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/>
  <mc:AlternateContent xmlns:mc="http://schemas.openxmlformats.org/markup-compatibility/2006">
    <mc:Choice Requires="x15">
      <x15ac:absPath xmlns:x15ac="http://schemas.microsoft.com/office/spreadsheetml/2010/11/ac" url="D:\1 碳\项目开展\云水 污水处理项目\云水VCS开发\核查文件\运行数据\证据文件相关\审定核查证据\云水审定签发材料\2nd findings to Yunshui Wastewater VCS Joint\最终修改文件\Yunshui Final\Verra 第一轮意见\"/>
    </mc:Choice>
  </mc:AlternateContent>
  <xr:revisionPtr revIDLastSave="0" documentId="13_ncr:1_{DDCE6713-7017-4979-886B-4C1CDE3333C9}" xr6:coauthVersionLast="47" xr6:coauthVersionMax="47" xr10:uidLastSave="{00000000-0000-0000-0000-000000000000}"/>
  <bookViews>
    <workbookView xWindow="-28920" yWindow="-120" windowWidth="29040" windowHeight="15840" tabRatio="898" activeTab="3" xr2:uid="{00000000-000D-0000-FFFF-FFFF00000000}"/>
  </bookViews>
  <sheets>
    <sheet name="Cover Page" sheetId="3" r:id="rId1"/>
    <sheet name="Data monitored" sheetId="11" r:id="rId2"/>
    <sheet name="Baseline Emissions 2020" sheetId="4" r:id="rId3"/>
    <sheet name="Baseline Emissions 2021" sheetId="12" r:id="rId4"/>
    <sheet name="Baseline Emissions 2022" sheetId="14" r:id="rId5"/>
    <sheet name="Project Emissions 2020" sheetId="5" r:id="rId6"/>
    <sheet name="Project Emissions 2021" sheetId="13" r:id="rId7"/>
    <sheet name="Project Emissions 2022" sheetId="15" r:id="rId8"/>
    <sheet name="Emission Reductions" sheetId="10" r:id="rId9"/>
  </sheets>
  <calcPr calcId="181029"/>
</workbook>
</file>

<file path=xl/calcChain.xml><?xml version="1.0" encoding="utf-8"?>
<calcChain xmlns="http://schemas.openxmlformats.org/spreadsheetml/2006/main">
  <c r="E105" i="5" l="1"/>
  <c r="E107" i="5"/>
  <c r="E10" i="14" l="1"/>
  <c r="F11" i="14"/>
  <c r="F9" i="14" s="1"/>
  <c r="G11" i="14"/>
  <c r="G9" i="14" s="1"/>
  <c r="H11" i="14"/>
  <c r="H9" i="14" s="1"/>
  <c r="I11" i="14"/>
  <c r="I9" i="14" s="1"/>
  <c r="J11" i="14"/>
  <c r="J9" i="14" s="1"/>
  <c r="K11" i="14"/>
  <c r="K9" i="14" s="1"/>
  <c r="E12" i="14"/>
  <c r="E14" i="14" s="1"/>
  <c r="E13" i="14"/>
  <c r="F14" i="14"/>
  <c r="G14" i="14"/>
  <c r="H14" i="14"/>
  <c r="I14" i="14"/>
  <c r="J14" i="14"/>
  <c r="K14" i="14"/>
  <c r="E15" i="14"/>
  <c r="F15" i="14"/>
  <c r="G15" i="14"/>
  <c r="H15" i="14"/>
  <c r="I15" i="14"/>
  <c r="J15" i="14"/>
  <c r="K15" i="14"/>
  <c r="E17" i="14"/>
  <c r="E18" i="14"/>
  <c r="E16" i="14" s="1"/>
  <c r="E19" i="14"/>
  <c r="E65" i="14"/>
  <c r="F66" i="14"/>
  <c r="F64" i="14" s="1"/>
  <c r="G66" i="14"/>
  <c r="G64" i="14" s="1"/>
  <c r="H66" i="14"/>
  <c r="H64" i="14" s="1"/>
  <c r="I66" i="14"/>
  <c r="I64" i="14" s="1"/>
  <c r="J66" i="14"/>
  <c r="J64" i="14" s="1"/>
  <c r="K66" i="14"/>
  <c r="K64" i="14" s="1"/>
  <c r="E67" i="14"/>
  <c r="E69" i="14" s="1"/>
  <c r="E68" i="14"/>
  <c r="F69" i="14"/>
  <c r="G69" i="14"/>
  <c r="H69" i="14"/>
  <c r="I69" i="14"/>
  <c r="J69" i="14"/>
  <c r="K69" i="14"/>
  <c r="E70" i="14"/>
  <c r="F70" i="14"/>
  <c r="G70" i="14"/>
  <c r="H70" i="14"/>
  <c r="I70" i="14"/>
  <c r="J70" i="14"/>
  <c r="K70" i="14"/>
  <c r="E72" i="14"/>
  <c r="E73" i="14"/>
  <c r="E71" i="14" s="1"/>
  <c r="E74" i="14"/>
  <c r="E120" i="14"/>
  <c r="F121" i="14"/>
  <c r="E121" i="14" s="1"/>
  <c r="G121" i="14"/>
  <c r="G119" i="14" s="1"/>
  <c r="H121" i="14"/>
  <c r="H119" i="14" s="1"/>
  <c r="I121" i="14"/>
  <c r="I119" i="14" s="1"/>
  <c r="J121" i="14"/>
  <c r="J119" i="14" s="1"/>
  <c r="K121" i="14"/>
  <c r="K119" i="14" s="1"/>
  <c r="E122" i="14"/>
  <c r="E123" i="14"/>
  <c r="E124" i="14"/>
  <c r="F124" i="14"/>
  <c r="G124" i="14"/>
  <c r="H124" i="14"/>
  <c r="I124" i="14"/>
  <c r="J124" i="14"/>
  <c r="K124" i="14"/>
  <c r="E125" i="14"/>
  <c r="F125" i="14"/>
  <c r="G125" i="14"/>
  <c r="H125" i="14"/>
  <c r="I125" i="14"/>
  <c r="J125" i="14"/>
  <c r="K125" i="14"/>
  <c r="E127" i="14"/>
  <c r="E126" i="14" s="1"/>
  <c r="E128" i="14"/>
  <c r="E129" i="14"/>
  <c r="E174" i="14"/>
  <c r="F175" i="14"/>
  <c r="E175" i="14" s="1"/>
  <c r="G175" i="14"/>
  <c r="G173" i="14" s="1"/>
  <c r="H175" i="14"/>
  <c r="H173" i="14" s="1"/>
  <c r="I175" i="14"/>
  <c r="I173" i="14" s="1"/>
  <c r="J175" i="14"/>
  <c r="J173" i="14" s="1"/>
  <c r="K175" i="14"/>
  <c r="K173" i="14" s="1"/>
  <c r="E176" i="14"/>
  <c r="E178" i="14" s="1"/>
  <c r="E177" i="14"/>
  <c r="F178" i="14"/>
  <c r="G178" i="14"/>
  <c r="H178" i="14"/>
  <c r="I178" i="14"/>
  <c r="J178" i="14"/>
  <c r="K178" i="14"/>
  <c r="E179" i="14"/>
  <c r="F179" i="14"/>
  <c r="G179" i="14"/>
  <c r="H179" i="14"/>
  <c r="I179" i="14"/>
  <c r="J179" i="14"/>
  <c r="K179" i="14"/>
  <c r="E181" i="14"/>
  <c r="E180" i="14" s="1"/>
  <c r="E182" i="14"/>
  <c r="E183" i="14"/>
  <c r="E229" i="14"/>
  <c r="F230" i="14"/>
  <c r="F228" i="14" s="1"/>
  <c r="G230" i="14"/>
  <c r="G228" i="14" s="1"/>
  <c r="H230" i="14"/>
  <c r="H228" i="14" s="1"/>
  <c r="I230" i="14"/>
  <c r="I228" i="14" s="1"/>
  <c r="J230" i="14"/>
  <c r="J228" i="14" s="1"/>
  <c r="K230" i="14"/>
  <c r="E230" i="14" s="1"/>
  <c r="E231" i="14"/>
  <c r="E233" i="14" s="1"/>
  <c r="E232" i="14"/>
  <c r="F233" i="14"/>
  <c r="G233" i="14"/>
  <c r="H233" i="14"/>
  <c r="I233" i="14"/>
  <c r="J233" i="14"/>
  <c r="K233" i="14"/>
  <c r="E234" i="14"/>
  <c r="F234" i="14"/>
  <c r="G234" i="14"/>
  <c r="H234" i="14"/>
  <c r="I234" i="14"/>
  <c r="J234" i="14"/>
  <c r="K234" i="14"/>
  <c r="E236" i="14"/>
  <c r="E237" i="14"/>
  <c r="E235" i="14" s="1"/>
  <c r="E238" i="14"/>
  <c r="E283" i="14"/>
  <c r="E284" i="14"/>
  <c r="F284" i="14"/>
  <c r="F282" i="14" s="1"/>
  <c r="G284" i="14"/>
  <c r="G282" i="14" s="1"/>
  <c r="H284" i="14"/>
  <c r="H282" i="14" s="1"/>
  <c r="I284" i="14"/>
  <c r="I282" i="14" s="1"/>
  <c r="J284" i="14"/>
  <c r="J282" i="14" s="1"/>
  <c r="K284" i="14"/>
  <c r="K282" i="14" s="1"/>
  <c r="E285" i="14"/>
  <c r="E287" i="14" s="1"/>
  <c r="E286" i="14"/>
  <c r="F287" i="14"/>
  <c r="G287" i="14"/>
  <c r="H287" i="14"/>
  <c r="I287" i="14"/>
  <c r="J287" i="14"/>
  <c r="K287" i="14"/>
  <c r="E288" i="14"/>
  <c r="F288" i="14"/>
  <c r="G288" i="14"/>
  <c r="H288" i="14"/>
  <c r="I288" i="14"/>
  <c r="J288" i="14"/>
  <c r="K288" i="14"/>
  <c r="E290" i="14"/>
  <c r="E291" i="14"/>
  <c r="E289" i="14" s="1"/>
  <c r="E292" i="14"/>
  <c r="E337" i="14"/>
  <c r="F338" i="14"/>
  <c r="F336" i="14" s="1"/>
  <c r="G338" i="14"/>
  <c r="G336" i="14" s="1"/>
  <c r="H338" i="14"/>
  <c r="H336" i="14" s="1"/>
  <c r="I338" i="14"/>
  <c r="I336" i="14" s="1"/>
  <c r="J338" i="14"/>
  <c r="J336" i="14" s="1"/>
  <c r="K338" i="14"/>
  <c r="K336" i="14" s="1"/>
  <c r="E339" i="14"/>
  <c r="E340" i="14"/>
  <c r="E342" i="14" s="1"/>
  <c r="E341" i="14"/>
  <c r="F341" i="14"/>
  <c r="G341" i="14"/>
  <c r="H341" i="14"/>
  <c r="I341" i="14"/>
  <c r="J341" i="14"/>
  <c r="K341" i="14"/>
  <c r="F342" i="14"/>
  <c r="G342" i="14"/>
  <c r="H342" i="14"/>
  <c r="I342" i="14"/>
  <c r="J342" i="14"/>
  <c r="K342" i="14"/>
  <c r="E344" i="14"/>
  <c r="E345" i="14"/>
  <c r="E343" i="14" s="1"/>
  <c r="E346" i="14"/>
  <c r="E391" i="14"/>
  <c r="F392" i="14"/>
  <c r="E392" i="14" s="1"/>
  <c r="G392" i="14"/>
  <c r="G390" i="14" s="1"/>
  <c r="H392" i="14"/>
  <c r="H390" i="14" s="1"/>
  <c r="I392" i="14"/>
  <c r="I390" i="14" s="1"/>
  <c r="J392" i="14"/>
  <c r="J390" i="14" s="1"/>
  <c r="K392" i="14"/>
  <c r="K390" i="14" s="1"/>
  <c r="E393" i="14"/>
  <c r="E394" i="14"/>
  <c r="E395" i="14"/>
  <c r="F395" i="14"/>
  <c r="G395" i="14"/>
  <c r="H395" i="14"/>
  <c r="I395" i="14"/>
  <c r="J395" i="14"/>
  <c r="K395" i="14"/>
  <c r="E396" i="14"/>
  <c r="F396" i="14"/>
  <c r="G396" i="14"/>
  <c r="H396" i="14"/>
  <c r="I396" i="14"/>
  <c r="J396" i="14"/>
  <c r="K396" i="14"/>
  <c r="E398" i="14"/>
  <c r="E397" i="14" s="1"/>
  <c r="E399" i="14"/>
  <c r="E400" i="14"/>
  <c r="E446" i="14"/>
  <c r="F447" i="14"/>
  <c r="F445" i="14" s="1"/>
  <c r="G447" i="14"/>
  <c r="E447" i="14" s="1"/>
  <c r="H447" i="14"/>
  <c r="H445" i="14" s="1"/>
  <c r="I447" i="14"/>
  <c r="I445" i="14" s="1"/>
  <c r="J447" i="14"/>
  <c r="J445" i="14" s="1"/>
  <c r="K447" i="14"/>
  <c r="K445" i="14" s="1"/>
  <c r="E448" i="14"/>
  <c r="E450" i="14" s="1"/>
  <c r="E449" i="14"/>
  <c r="F450" i="14"/>
  <c r="G450" i="14"/>
  <c r="H450" i="14"/>
  <c r="I450" i="14"/>
  <c r="J450" i="14"/>
  <c r="K450" i="14"/>
  <c r="E451" i="14"/>
  <c r="F451" i="14"/>
  <c r="G451" i="14"/>
  <c r="H451" i="14"/>
  <c r="I451" i="14"/>
  <c r="J451" i="14"/>
  <c r="K451" i="14"/>
  <c r="E453" i="14"/>
  <c r="E454" i="14"/>
  <c r="E452" i="14" s="1"/>
  <c r="E455" i="14"/>
  <c r="E501" i="14"/>
  <c r="F502" i="14"/>
  <c r="F500" i="14" s="1"/>
  <c r="G502" i="14"/>
  <c r="G500" i="14" s="1"/>
  <c r="H502" i="14"/>
  <c r="E502" i="14" s="1"/>
  <c r="I502" i="14"/>
  <c r="I500" i="14" s="1"/>
  <c r="J502" i="14"/>
  <c r="J500" i="14" s="1"/>
  <c r="K502" i="14"/>
  <c r="K500" i="14" s="1"/>
  <c r="E503" i="14"/>
  <c r="E505" i="14" s="1"/>
  <c r="E504" i="14"/>
  <c r="F505" i="14"/>
  <c r="G505" i="14"/>
  <c r="H505" i="14"/>
  <c r="H500" i="14" s="1"/>
  <c r="I505" i="14"/>
  <c r="J505" i="14"/>
  <c r="K505" i="14"/>
  <c r="E506" i="14"/>
  <c r="F506" i="14"/>
  <c r="G506" i="14"/>
  <c r="H506" i="14"/>
  <c r="I506" i="14"/>
  <c r="J506" i="14"/>
  <c r="K506" i="14"/>
  <c r="E508" i="14"/>
  <c r="E507" i="14" s="1"/>
  <c r="E509" i="14"/>
  <c r="E510" i="14"/>
  <c r="E555" i="14"/>
  <c r="F556" i="14"/>
  <c r="E556" i="14" s="1"/>
  <c r="G556" i="14"/>
  <c r="G554" i="14" s="1"/>
  <c r="H556" i="14"/>
  <c r="H554" i="14" s="1"/>
  <c r="I556" i="14"/>
  <c r="I554" i="14" s="1"/>
  <c r="J556" i="14"/>
  <c r="J554" i="14" s="1"/>
  <c r="K556" i="14"/>
  <c r="K554" i="14" s="1"/>
  <c r="E557" i="14"/>
  <c r="E558" i="14"/>
  <c r="E559" i="14"/>
  <c r="F559" i="14"/>
  <c r="G559" i="14"/>
  <c r="H559" i="14"/>
  <c r="I559" i="14"/>
  <c r="J559" i="14"/>
  <c r="K559" i="14"/>
  <c r="E560" i="14"/>
  <c r="F560" i="14"/>
  <c r="G560" i="14"/>
  <c r="H560" i="14"/>
  <c r="I560" i="14"/>
  <c r="J560" i="14"/>
  <c r="K560" i="14"/>
  <c r="E562" i="14"/>
  <c r="E561" i="14" s="1"/>
  <c r="E563" i="14"/>
  <c r="E564" i="14"/>
  <c r="K609" i="14"/>
  <c r="E610" i="14"/>
  <c r="F611" i="14"/>
  <c r="F609" i="14" s="1"/>
  <c r="G611" i="14"/>
  <c r="E611" i="14" s="1"/>
  <c r="H611" i="14"/>
  <c r="H609" i="14" s="1"/>
  <c r="I611" i="14"/>
  <c r="I609" i="14" s="1"/>
  <c r="J611" i="14"/>
  <c r="J609" i="14" s="1"/>
  <c r="K611" i="14"/>
  <c r="E612" i="14"/>
  <c r="E614" i="14" s="1"/>
  <c r="E613" i="14"/>
  <c r="F614" i="14"/>
  <c r="G614" i="14"/>
  <c r="H614" i="14"/>
  <c r="I614" i="14"/>
  <c r="J614" i="14"/>
  <c r="K614" i="14"/>
  <c r="E615" i="14"/>
  <c r="F615" i="14"/>
  <c r="G615" i="14"/>
  <c r="H615" i="14"/>
  <c r="I615" i="14"/>
  <c r="J615" i="14"/>
  <c r="K615" i="14"/>
  <c r="E617" i="14"/>
  <c r="E616" i="14" s="1"/>
  <c r="E618" i="14"/>
  <c r="E619" i="14"/>
  <c r="E664" i="14"/>
  <c r="F665" i="14"/>
  <c r="F663" i="14" s="1"/>
  <c r="G665" i="14"/>
  <c r="G663" i="14" s="1"/>
  <c r="H665" i="14"/>
  <c r="H663" i="14" s="1"/>
  <c r="I665" i="14"/>
  <c r="I663" i="14" s="1"/>
  <c r="J665" i="14"/>
  <c r="J663" i="14" s="1"/>
  <c r="K665" i="14"/>
  <c r="E665" i="14" s="1"/>
  <c r="E666" i="14"/>
  <c r="E668" i="14" s="1"/>
  <c r="E667" i="14"/>
  <c r="F668" i="14"/>
  <c r="G668" i="14"/>
  <c r="H668" i="14"/>
  <c r="I668" i="14"/>
  <c r="J668" i="14"/>
  <c r="K668" i="14"/>
  <c r="E669" i="14"/>
  <c r="F669" i="14"/>
  <c r="G669" i="14"/>
  <c r="H669" i="14"/>
  <c r="I669" i="14"/>
  <c r="J669" i="14"/>
  <c r="K669" i="14"/>
  <c r="E671" i="14"/>
  <c r="E672" i="14"/>
  <c r="E670" i="14" s="1"/>
  <c r="E673" i="14"/>
  <c r="E719" i="14"/>
  <c r="E720" i="14"/>
  <c r="F720" i="14"/>
  <c r="F718" i="14" s="1"/>
  <c r="G720" i="14"/>
  <c r="G718" i="14" s="1"/>
  <c r="H720" i="14"/>
  <c r="H718" i="14" s="1"/>
  <c r="I720" i="14"/>
  <c r="I718" i="14" s="1"/>
  <c r="J720" i="14"/>
  <c r="J718" i="14" s="1"/>
  <c r="K720" i="14"/>
  <c r="K718" i="14" s="1"/>
  <c r="E721" i="14"/>
  <c r="E723" i="14" s="1"/>
  <c r="E722" i="14"/>
  <c r="E724" i="14" s="1"/>
  <c r="F723" i="14"/>
  <c r="G723" i="14"/>
  <c r="H723" i="14"/>
  <c r="I723" i="14"/>
  <c r="J723" i="14"/>
  <c r="K723" i="14"/>
  <c r="F724" i="14"/>
  <c r="G724" i="14"/>
  <c r="H724" i="14"/>
  <c r="I724" i="14"/>
  <c r="J724" i="14"/>
  <c r="K724" i="14"/>
  <c r="E726" i="14"/>
  <c r="E727" i="14"/>
  <c r="E725" i="14" s="1"/>
  <c r="E728" i="14"/>
  <c r="E773" i="14"/>
  <c r="F774" i="14"/>
  <c r="F772" i="14" s="1"/>
  <c r="G774" i="14"/>
  <c r="G772" i="14" s="1"/>
  <c r="H774" i="14"/>
  <c r="H772" i="14" s="1"/>
  <c r="I774" i="14"/>
  <c r="I772" i="14" s="1"/>
  <c r="J774" i="14"/>
  <c r="J772" i="14" s="1"/>
  <c r="K774" i="14"/>
  <c r="K772" i="14" s="1"/>
  <c r="E775" i="14"/>
  <c r="E776" i="14"/>
  <c r="E778" i="14" s="1"/>
  <c r="E777" i="14"/>
  <c r="F777" i="14"/>
  <c r="G777" i="14"/>
  <c r="H777" i="14"/>
  <c r="I777" i="14"/>
  <c r="J777" i="14"/>
  <c r="K777" i="14"/>
  <c r="F778" i="14"/>
  <c r="G778" i="14"/>
  <c r="H778" i="14"/>
  <c r="I778" i="14"/>
  <c r="J778" i="14"/>
  <c r="K778" i="14"/>
  <c r="E780" i="14"/>
  <c r="E779" i="14" s="1"/>
  <c r="E781" i="14"/>
  <c r="E782" i="14"/>
  <c r="E827" i="14"/>
  <c r="F828" i="14"/>
  <c r="F826" i="14" s="1"/>
  <c r="G828" i="14"/>
  <c r="G826" i="14" s="1"/>
  <c r="H828" i="14"/>
  <c r="H826" i="14" s="1"/>
  <c r="I828" i="14"/>
  <c r="I826" i="14" s="1"/>
  <c r="J828" i="14"/>
  <c r="J826" i="14" s="1"/>
  <c r="K828" i="14"/>
  <c r="K826" i="14" s="1"/>
  <c r="E829" i="14"/>
  <c r="E830" i="14"/>
  <c r="E831" i="14"/>
  <c r="F831" i="14"/>
  <c r="G831" i="14"/>
  <c r="H831" i="14"/>
  <c r="I831" i="14"/>
  <c r="J831" i="14"/>
  <c r="K831" i="14"/>
  <c r="E832" i="14"/>
  <c r="F832" i="14"/>
  <c r="G832" i="14"/>
  <c r="H832" i="14"/>
  <c r="I832" i="14"/>
  <c r="J832" i="14"/>
  <c r="K832" i="14"/>
  <c r="E834" i="14"/>
  <c r="E833" i="14" s="1"/>
  <c r="E835" i="14"/>
  <c r="E836" i="14"/>
  <c r="E50" i="5"/>
  <c r="G343" i="14" l="1"/>
  <c r="G335" i="14" s="1"/>
  <c r="G332" i="14" s="1"/>
  <c r="H343" i="14"/>
  <c r="H335" i="14" s="1"/>
  <c r="H332" i="14" s="1"/>
  <c r="I343" i="14"/>
  <c r="I335" i="14" s="1"/>
  <c r="I332" i="14" s="1"/>
  <c r="F343" i="14"/>
  <c r="J343" i="14"/>
  <c r="J335" i="14" s="1"/>
  <c r="J332" i="14" s="1"/>
  <c r="H16" i="14"/>
  <c r="H8" i="14" s="1"/>
  <c r="H5" i="14" s="1"/>
  <c r="I16" i="14"/>
  <c r="I8" i="14" s="1"/>
  <c r="I5" i="14" s="1"/>
  <c r="J16" i="14"/>
  <c r="J8" i="14" s="1"/>
  <c r="J5" i="14" s="1"/>
  <c r="F16" i="14"/>
  <c r="G16" i="14"/>
  <c r="G8" i="14" s="1"/>
  <c r="G5" i="14" s="1"/>
  <c r="E826" i="14"/>
  <c r="E825" i="14" s="1"/>
  <c r="E500" i="14"/>
  <c r="E499" i="14" s="1"/>
  <c r="F289" i="14"/>
  <c r="G289" i="14"/>
  <c r="G281" i="14" s="1"/>
  <c r="G278" i="14" s="1"/>
  <c r="H289" i="14"/>
  <c r="H281" i="14" s="1"/>
  <c r="H278" i="14" s="1"/>
  <c r="I289" i="14"/>
  <c r="I281" i="14" s="1"/>
  <c r="I278" i="14" s="1"/>
  <c r="J289" i="14"/>
  <c r="J281" i="14" s="1"/>
  <c r="J278" i="14" s="1"/>
  <c r="E772" i="14"/>
  <c r="E771" i="14" s="1"/>
  <c r="E718" i="14"/>
  <c r="E717" i="14" s="1"/>
  <c r="F561" i="14"/>
  <c r="G561" i="14"/>
  <c r="G553" i="14" s="1"/>
  <c r="G550" i="14" s="1"/>
  <c r="J561" i="14"/>
  <c r="J553" i="14" s="1"/>
  <c r="J550" i="14" s="1"/>
  <c r="H561" i="14"/>
  <c r="H553" i="14" s="1"/>
  <c r="H550" i="14" s="1"/>
  <c r="I561" i="14"/>
  <c r="I553" i="14" s="1"/>
  <c r="I550" i="14" s="1"/>
  <c r="E445" i="14"/>
  <c r="F235" i="14"/>
  <c r="G235" i="14"/>
  <c r="G227" i="14" s="1"/>
  <c r="G224" i="14" s="1"/>
  <c r="H235" i="14"/>
  <c r="H227" i="14" s="1"/>
  <c r="H224" i="14" s="1"/>
  <c r="I235" i="14"/>
  <c r="I227" i="14" s="1"/>
  <c r="I224" i="14" s="1"/>
  <c r="J235" i="14"/>
  <c r="J227" i="14" s="1"/>
  <c r="J224" i="14" s="1"/>
  <c r="H833" i="14"/>
  <c r="H825" i="14" s="1"/>
  <c r="H822" i="14" s="1"/>
  <c r="I833" i="14"/>
  <c r="I825" i="14" s="1"/>
  <c r="I822" i="14" s="1"/>
  <c r="J833" i="14"/>
  <c r="J825" i="14" s="1"/>
  <c r="J822" i="14" s="1"/>
  <c r="G833" i="14"/>
  <c r="G825" i="14" s="1"/>
  <c r="G822" i="14" s="1"/>
  <c r="F833" i="14"/>
  <c r="J507" i="14"/>
  <c r="J499" i="14" s="1"/>
  <c r="J496" i="14" s="1"/>
  <c r="F507" i="14"/>
  <c r="I507" i="14"/>
  <c r="I499" i="14" s="1"/>
  <c r="I496" i="14" s="1"/>
  <c r="G507" i="14"/>
  <c r="G499" i="14" s="1"/>
  <c r="G496" i="14" s="1"/>
  <c r="H507" i="14"/>
  <c r="H499" i="14" s="1"/>
  <c r="H496" i="14" s="1"/>
  <c r="I452" i="14"/>
  <c r="I444" i="14" s="1"/>
  <c r="I441" i="14" s="1"/>
  <c r="J452" i="14"/>
  <c r="J444" i="14" s="1"/>
  <c r="J441" i="14" s="1"/>
  <c r="H452" i="14"/>
  <c r="H444" i="14" s="1"/>
  <c r="H441" i="14" s="1"/>
  <c r="F452" i="14"/>
  <c r="E444" i="14"/>
  <c r="G452" i="14"/>
  <c r="G444" i="14" s="1"/>
  <c r="G441" i="14" s="1"/>
  <c r="F180" i="14"/>
  <c r="G180" i="14"/>
  <c r="G172" i="14" s="1"/>
  <c r="G169" i="14" s="1"/>
  <c r="H180" i="14"/>
  <c r="H172" i="14" s="1"/>
  <c r="H169" i="14" s="1"/>
  <c r="I180" i="14"/>
  <c r="I172" i="14" s="1"/>
  <c r="I169" i="14" s="1"/>
  <c r="J180" i="14"/>
  <c r="J172" i="14" s="1"/>
  <c r="J169" i="14" s="1"/>
  <c r="E64" i="14"/>
  <c r="E63" i="14" s="1"/>
  <c r="F616" i="14"/>
  <c r="G616" i="14"/>
  <c r="H616" i="14"/>
  <c r="H608" i="14" s="1"/>
  <c r="H605" i="14" s="1"/>
  <c r="I616" i="14"/>
  <c r="I608" i="14" s="1"/>
  <c r="I605" i="14" s="1"/>
  <c r="J616" i="14"/>
  <c r="J608" i="14" s="1"/>
  <c r="J605" i="14" s="1"/>
  <c r="F779" i="14"/>
  <c r="H779" i="14"/>
  <c r="H771" i="14" s="1"/>
  <c r="H768" i="14" s="1"/>
  <c r="I779" i="14"/>
  <c r="I771" i="14" s="1"/>
  <c r="I768" i="14" s="1"/>
  <c r="J779" i="14"/>
  <c r="J771" i="14" s="1"/>
  <c r="J768" i="14" s="1"/>
  <c r="G779" i="14"/>
  <c r="G771" i="14" s="1"/>
  <c r="G768" i="14" s="1"/>
  <c r="G725" i="14"/>
  <c r="G717" i="14" s="1"/>
  <c r="G714" i="14" s="1"/>
  <c r="H725" i="14"/>
  <c r="H717" i="14" s="1"/>
  <c r="H714" i="14" s="1"/>
  <c r="J725" i="14"/>
  <c r="J717" i="14" s="1"/>
  <c r="J714" i="14" s="1"/>
  <c r="I725" i="14"/>
  <c r="I717" i="14" s="1"/>
  <c r="I714" i="14" s="1"/>
  <c r="F725" i="14"/>
  <c r="E336" i="14"/>
  <c r="E335" i="14" s="1"/>
  <c r="J126" i="14"/>
  <c r="J118" i="14" s="1"/>
  <c r="J115" i="14" s="1"/>
  <c r="F126" i="14"/>
  <c r="G126" i="14"/>
  <c r="G118" i="14" s="1"/>
  <c r="G115" i="14" s="1"/>
  <c r="H126" i="14"/>
  <c r="H118" i="14" s="1"/>
  <c r="H115" i="14" s="1"/>
  <c r="I126" i="14"/>
  <c r="I118" i="14" s="1"/>
  <c r="I115" i="14" s="1"/>
  <c r="E9" i="14"/>
  <c r="E8" i="14" s="1"/>
  <c r="F670" i="14"/>
  <c r="G670" i="14"/>
  <c r="G662" i="14" s="1"/>
  <c r="G659" i="14" s="1"/>
  <c r="H670" i="14"/>
  <c r="H662" i="14" s="1"/>
  <c r="H659" i="14" s="1"/>
  <c r="I670" i="14"/>
  <c r="I662" i="14" s="1"/>
  <c r="I659" i="14" s="1"/>
  <c r="J670" i="14"/>
  <c r="J662" i="14" s="1"/>
  <c r="J659" i="14" s="1"/>
  <c r="H397" i="14"/>
  <c r="H389" i="14" s="1"/>
  <c r="H386" i="14" s="1"/>
  <c r="I397" i="14"/>
  <c r="I389" i="14" s="1"/>
  <c r="I386" i="14" s="1"/>
  <c r="J397" i="14"/>
  <c r="J389" i="14" s="1"/>
  <c r="J386" i="14" s="1"/>
  <c r="F397" i="14"/>
  <c r="G397" i="14"/>
  <c r="G389" i="14" s="1"/>
  <c r="G386" i="14" s="1"/>
  <c r="E282" i="14"/>
  <c r="E281" i="14" s="1"/>
  <c r="J71" i="14"/>
  <c r="J63" i="14" s="1"/>
  <c r="J60" i="14" s="1"/>
  <c r="F71" i="14"/>
  <c r="G71" i="14"/>
  <c r="G63" i="14" s="1"/>
  <c r="G60" i="14" s="1"/>
  <c r="H71" i="14"/>
  <c r="H63" i="14" s="1"/>
  <c r="H60" i="14" s="1"/>
  <c r="I71" i="14"/>
  <c r="I63" i="14" s="1"/>
  <c r="I60" i="14" s="1"/>
  <c r="G445" i="14"/>
  <c r="F390" i="14"/>
  <c r="E390" i="14" s="1"/>
  <c r="E389" i="14" s="1"/>
  <c r="K228" i="14"/>
  <c r="E228" i="14" s="1"/>
  <c r="E227" i="14" s="1"/>
  <c r="E828" i="14"/>
  <c r="E11" i="14"/>
  <c r="K663" i="14"/>
  <c r="E663" i="14" s="1"/>
  <c r="E662" i="14" s="1"/>
  <c r="E338" i="14"/>
  <c r="G609" i="14"/>
  <c r="E609" i="14" s="1"/>
  <c r="E608" i="14" s="1"/>
  <c r="F554" i="14"/>
  <c r="E554" i="14" s="1"/>
  <c r="E553" i="14" s="1"/>
  <c r="F119" i="14"/>
  <c r="E119" i="14" s="1"/>
  <c r="E118" i="14" s="1"/>
  <c r="E66" i="14"/>
  <c r="E774" i="14"/>
  <c r="F173" i="14"/>
  <c r="E173" i="14" s="1"/>
  <c r="E172" i="14" s="1"/>
  <c r="E855" i="14"/>
  <c r="E801" i="14"/>
  <c r="E747" i="14"/>
  <c r="E692" i="14"/>
  <c r="E638" i="14"/>
  <c r="E583" i="14"/>
  <c r="E529" i="14"/>
  <c r="E474" i="14"/>
  <c r="E419" i="14"/>
  <c r="E413" i="14" s="1"/>
  <c r="E365" i="14"/>
  <c r="E359" i="14" s="1"/>
  <c r="E311" i="14"/>
  <c r="E257" i="14"/>
  <c r="E251" i="14" s="1"/>
  <c r="E202" i="14"/>
  <c r="E196" i="14" s="1"/>
  <c r="E148" i="14"/>
  <c r="E93" i="14"/>
  <c r="E87" i="14" s="1"/>
  <c r="E38" i="14"/>
  <c r="E32" i="14" s="1"/>
  <c r="D849" i="14"/>
  <c r="D795" i="14"/>
  <c r="D741" i="14"/>
  <c r="D686" i="14"/>
  <c r="D632" i="14"/>
  <c r="D577" i="14"/>
  <c r="E523" i="14"/>
  <c r="D523" i="14"/>
  <c r="E468" i="14"/>
  <c r="D468" i="14"/>
  <c r="D413" i="14"/>
  <c r="D359" i="14"/>
  <c r="E305" i="14"/>
  <c r="D305" i="14"/>
  <c r="D251" i="14"/>
  <c r="D196" i="14"/>
  <c r="E142" i="14"/>
  <c r="D142" i="14"/>
  <c r="D87" i="14"/>
  <c r="D32" i="14"/>
  <c r="E855" i="12"/>
  <c r="E801" i="12"/>
  <c r="E747" i="12"/>
  <c r="E692" i="12"/>
  <c r="E638" i="12"/>
  <c r="E583" i="12"/>
  <c r="E529" i="12"/>
  <c r="E474" i="12"/>
  <c r="E419" i="12"/>
  <c r="E365" i="12"/>
  <c r="E311" i="12"/>
  <c r="E257" i="12"/>
  <c r="E202" i="12"/>
  <c r="E148" i="12"/>
  <c r="E93" i="12"/>
  <c r="E38" i="12"/>
  <c r="K71" i="14" l="1"/>
  <c r="K63" i="14" s="1"/>
  <c r="K60" i="14" s="1"/>
  <c r="F63" i="14"/>
  <c r="F60" i="14" s="1"/>
  <c r="E60" i="14" s="1"/>
  <c r="F717" i="14"/>
  <c r="F714" i="14" s="1"/>
  <c r="E714" i="14" s="1"/>
  <c r="K725" i="14"/>
  <c r="K717" i="14" s="1"/>
  <c r="K714" i="14" s="1"/>
  <c r="K180" i="14"/>
  <c r="K172" i="14" s="1"/>
  <c r="K169" i="14" s="1"/>
  <c r="F172" i="14"/>
  <c r="F169" i="14" s="1"/>
  <c r="E169" i="14" s="1"/>
  <c r="K561" i="14"/>
  <c r="K553" i="14" s="1"/>
  <c r="K550" i="14" s="1"/>
  <c r="F553" i="14"/>
  <c r="F550" i="14" s="1"/>
  <c r="F281" i="14"/>
  <c r="F278" i="14" s="1"/>
  <c r="E278" i="14" s="1"/>
  <c r="K289" i="14"/>
  <c r="K281" i="14" s="1"/>
  <c r="K278" i="14" s="1"/>
  <c r="F335" i="14"/>
  <c r="F332" i="14" s="1"/>
  <c r="E332" i="14" s="1"/>
  <c r="K343" i="14"/>
  <c r="K335" i="14" s="1"/>
  <c r="K332" i="14" s="1"/>
  <c r="K616" i="14"/>
  <c r="K608" i="14" s="1"/>
  <c r="K605" i="14" s="1"/>
  <c r="F608" i="14"/>
  <c r="F605" i="14" s="1"/>
  <c r="E605" i="14" s="1"/>
  <c r="F771" i="14"/>
  <c r="F768" i="14" s="1"/>
  <c r="E768" i="14" s="1"/>
  <c r="K779" i="14"/>
  <c r="K771" i="14" s="1"/>
  <c r="K768" i="14" s="1"/>
  <c r="K452" i="14"/>
  <c r="K444" i="14" s="1"/>
  <c r="K441" i="14" s="1"/>
  <c r="F444" i="14"/>
  <c r="F441" i="14" s="1"/>
  <c r="E441" i="14" s="1"/>
  <c r="K507" i="14"/>
  <c r="K499" i="14" s="1"/>
  <c r="K496" i="14" s="1"/>
  <c r="F499" i="14"/>
  <c r="F496" i="14" s="1"/>
  <c r="K126" i="14"/>
  <c r="K118" i="14" s="1"/>
  <c r="K115" i="14" s="1"/>
  <c r="F118" i="14"/>
  <c r="F115" i="14" s="1"/>
  <c r="E115" i="14" s="1"/>
  <c r="F389" i="14"/>
  <c r="F386" i="14" s="1"/>
  <c r="E386" i="14" s="1"/>
  <c r="K397" i="14"/>
  <c r="K389" i="14" s="1"/>
  <c r="K386" i="14" s="1"/>
  <c r="K16" i="14"/>
  <c r="K8" i="14" s="1"/>
  <c r="K5" i="14" s="1"/>
  <c r="F8" i="14"/>
  <c r="F5" i="14" s="1"/>
  <c r="E5" i="14" s="1"/>
  <c r="F227" i="14"/>
  <c r="F224" i="14" s="1"/>
  <c r="E224" i="14" s="1"/>
  <c r="K235" i="14"/>
  <c r="K227" i="14" s="1"/>
  <c r="K224" i="14" s="1"/>
  <c r="F662" i="14"/>
  <c r="F659" i="14" s="1"/>
  <c r="K670" i="14"/>
  <c r="K662" i="14" s="1"/>
  <c r="K659" i="14" s="1"/>
  <c r="F825" i="14"/>
  <c r="F822" i="14" s="1"/>
  <c r="E822" i="14" s="1"/>
  <c r="K833" i="14"/>
  <c r="K825" i="14" s="1"/>
  <c r="K822" i="14" s="1"/>
  <c r="G608" i="14"/>
  <c r="G605" i="14" s="1"/>
  <c r="E849" i="12"/>
  <c r="D849" i="12"/>
  <c r="E795" i="12"/>
  <c r="D795" i="12"/>
  <c r="E741" i="12"/>
  <c r="D741" i="12"/>
  <c r="E686" i="12"/>
  <c r="D686" i="12"/>
  <c r="E632" i="12"/>
  <c r="D632" i="12"/>
  <c r="E577" i="12"/>
  <c r="D577" i="12"/>
  <c r="E523" i="12"/>
  <c r="D523" i="12"/>
  <c r="E468" i="12"/>
  <c r="D468" i="12"/>
  <c r="E413" i="12"/>
  <c r="D413" i="12"/>
  <c r="E359" i="12"/>
  <c r="D359" i="12"/>
  <c r="E305" i="12"/>
  <c r="D305" i="12"/>
  <c r="E251" i="12"/>
  <c r="D251" i="12"/>
  <c r="E196" i="12"/>
  <c r="D196" i="12"/>
  <c r="E142" i="12"/>
  <c r="D142" i="12"/>
  <c r="E87" i="12"/>
  <c r="D87" i="12"/>
  <c r="E32" i="12"/>
  <c r="D32" i="12"/>
  <c r="D849" i="4"/>
  <c r="D795" i="4"/>
  <c r="D741" i="4"/>
  <c r="D686" i="4"/>
  <c r="D632" i="4"/>
  <c r="D577" i="4"/>
  <c r="D523" i="4"/>
  <c r="D468" i="4"/>
  <c r="D413" i="4"/>
  <c r="D359" i="4"/>
  <c r="D305" i="4"/>
  <c r="D251" i="4"/>
  <c r="D196" i="4"/>
  <c r="D142" i="4"/>
  <c r="D87" i="4"/>
  <c r="D32" i="4"/>
  <c r="E550" i="14" l="1"/>
  <c r="E659" i="14"/>
  <c r="E496" i="14"/>
  <c r="E670" i="5"/>
  <c r="E557" i="5"/>
  <c r="E444" i="5"/>
  <c r="E163" i="5"/>
  <c r="E47" i="5" l="1"/>
  <c r="E892" i="15"/>
  <c r="E836" i="15"/>
  <c r="E780" i="15"/>
  <c r="E723" i="15"/>
  <c r="E667" i="15"/>
  <c r="E610" i="15"/>
  <c r="E554" i="15"/>
  <c r="E497" i="15"/>
  <c r="E441" i="15"/>
  <c r="E385" i="15"/>
  <c r="E329" i="15"/>
  <c r="E273" i="15"/>
  <c r="E216" i="15"/>
  <c r="E160" i="15"/>
  <c r="E103" i="15"/>
  <c r="E47" i="15"/>
  <c r="E892" i="13"/>
  <c r="E836" i="13"/>
  <c r="E780" i="13"/>
  <c r="E723" i="13"/>
  <c r="E667" i="13"/>
  <c r="E610" i="13"/>
  <c r="E554" i="13"/>
  <c r="E497" i="13"/>
  <c r="E441" i="13"/>
  <c r="E385" i="13"/>
  <c r="E329" i="13"/>
  <c r="E273" i="13"/>
  <c r="E216" i="13"/>
  <c r="E160" i="13"/>
  <c r="E103" i="13"/>
  <c r="E47" i="13"/>
  <c r="E892" i="5"/>
  <c r="E836" i="5"/>
  <c r="E780" i="5"/>
  <c r="E723" i="5"/>
  <c r="E667" i="5"/>
  <c r="E610" i="5"/>
  <c r="E554" i="5"/>
  <c r="E497" i="5"/>
  <c r="E441" i="5"/>
  <c r="E385" i="5"/>
  <c r="E329" i="5"/>
  <c r="E273" i="5"/>
  <c r="E216" i="5"/>
  <c r="E160" i="5"/>
  <c r="E103" i="5"/>
  <c r="E726" i="15"/>
  <c r="E726" i="13"/>
  <c r="E388" i="15"/>
  <c r="E388" i="13"/>
  <c r="E332" i="15"/>
  <c r="E332" i="13"/>
  <c r="E276" i="15"/>
  <c r="E276" i="13"/>
  <c r="E726" i="5"/>
  <c r="E388" i="5"/>
  <c r="E332" i="5"/>
  <c r="E276" i="5"/>
  <c r="E884" i="5"/>
  <c r="E857" i="14" l="1"/>
  <c r="E803" i="14"/>
  <c r="E749" i="14"/>
  <c r="E694" i="14"/>
  <c r="E640" i="14"/>
  <c r="E585" i="14"/>
  <c r="E531" i="14"/>
  <c r="E476" i="14"/>
  <c r="E421" i="14"/>
  <c r="E367" i="14"/>
  <c r="E313" i="14"/>
  <c r="E259" i="14"/>
  <c r="E204" i="14"/>
  <c r="E150" i="14"/>
  <c r="E95" i="14"/>
  <c r="E40" i="14"/>
  <c r="E857" i="12"/>
  <c r="E803" i="12"/>
  <c r="E749" i="12"/>
  <c r="E694" i="12"/>
  <c r="E640" i="12"/>
  <c r="E585" i="12"/>
  <c r="E531" i="12"/>
  <c r="E476" i="12"/>
  <c r="E421" i="12"/>
  <c r="E367" i="12"/>
  <c r="E313" i="12"/>
  <c r="E259" i="12"/>
  <c r="E204" i="12"/>
  <c r="E150" i="12"/>
  <c r="E95" i="12"/>
  <c r="E40" i="12"/>
  <c r="E857" i="4"/>
  <c r="E803" i="4"/>
  <c r="E749" i="4"/>
  <c r="E694" i="4"/>
  <c r="E640" i="4"/>
  <c r="E585" i="4"/>
  <c r="E531" i="4"/>
  <c r="E476" i="4"/>
  <c r="E421" i="4"/>
  <c r="E367" i="4"/>
  <c r="E313" i="4"/>
  <c r="E259" i="4"/>
  <c r="E204" i="4"/>
  <c r="E150" i="4"/>
  <c r="E95" i="4"/>
  <c r="E40" i="4"/>
  <c r="E377" i="5" l="1"/>
  <c r="E265" i="5" l="1"/>
  <c r="E884" i="15"/>
  <c r="E852" i="15"/>
  <c r="E853" i="15"/>
  <c r="E854" i="15"/>
  <c r="E855" i="15"/>
  <c r="E856" i="15"/>
  <c r="E857" i="15"/>
  <c r="E858" i="15"/>
  <c r="E859" i="15"/>
  <c r="E870" i="15"/>
  <c r="K852" i="15"/>
  <c r="K853" i="15"/>
  <c r="K854" i="15"/>
  <c r="K855" i="15"/>
  <c r="K856" i="15"/>
  <c r="K857" i="15"/>
  <c r="K859" i="15"/>
  <c r="K866" i="15"/>
  <c r="E828" i="15"/>
  <c r="E796" i="15"/>
  <c r="E797" i="15"/>
  <c r="E798" i="15"/>
  <c r="E799" i="15"/>
  <c r="E800" i="15"/>
  <c r="E801" i="15"/>
  <c r="E802" i="15"/>
  <c r="E803" i="15"/>
  <c r="E814" i="15"/>
  <c r="K796" i="15"/>
  <c r="K797" i="15"/>
  <c r="K798" i="15"/>
  <c r="K799" i="15"/>
  <c r="K800" i="15"/>
  <c r="K801" i="15"/>
  <c r="K803" i="15"/>
  <c r="K810" i="15"/>
  <c r="K815" i="15" s="1"/>
  <c r="E772" i="15"/>
  <c r="E740" i="15"/>
  <c r="E741" i="15"/>
  <c r="E742" i="15"/>
  <c r="E743" i="15"/>
  <c r="E744" i="15"/>
  <c r="E745" i="15"/>
  <c r="E746" i="15"/>
  <c r="E747" i="15"/>
  <c r="E758" i="15"/>
  <c r="K740" i="15"/>
  <c r="K741" i="15"/>
  <c r="K742" i="15"/>
  <c r="K743" i="15"/>
  <c r="K744" i="15"/>
  <c r="K745" i="15"/>
  <c r="K747" i="15"/>
  <c r="K754" i="15"/>
  <c r="E715" i="15"/>
  <c r="E683" i="15"/>
  <c r="E684" i="15"/>
  <c r="E685" i="15"/>
  <c r="E686" i="15"/>
  <c r="E687" i="15"/>
  <c r="E688" i="15"/>
  <c r="E689" i="15"/>
  <c r="E690" i="15"/>
  <c r="E701" i="15"/>
  <c r="K683" i="15"/>
  <c r="K684" i="15"/>
  <c r="K685" i="15"/>
  <c r="K686" i="15"/>
  <c r="K687" i="15"/>
  <c r="K688" i="15"/>
  <c r="K690" i="15"/>
  <c r="K697" i="15"/>
  <c r="K702" i="15"/>
  <c r="E659" i="15"/>
  <c r="E627" i="15"/>
  <c r="E628" i="15"/>
  <c r="E629" i="15"/>
  <c r="E630" i="15"/>
  <c r="E631" i="15"/>
  <c r="E632" i="15"/>
  <c r="E633" i="15"/>
  <c r="E634" i="15"/>
  <c r="E645" i="15"/>
  <c r="K627" i="15"/>
  <c r="K628" i="15"/>
  <c r="K629" i="15"/>
  <c r="K630" i="15"/>
  <c r="K631" i="15"/>
  <c r="K632" i="15"/>
  <c r="K634" i="15"/>
  <c r="K641" i="15"/>
  <c r="K646" i="15" s="1"/>
  <c r="E602" i="15"/>
  <c r="E570" i="15"/>
  <c r="E571" i="15"/>
  <c r="E572" i="15"/>
  <c r="E573" i="15"/>
  <c r="E574" i="15"/>
  <c r="E575" i="15"/>
  <c r="E576" i="15"/>
  <c r="E577" i="15"/>
  <c r="E588" i="15"/>
  <c r="K570" i="15"/>
  <c r="K571" i="15"/>
  <c r="K572" i="15"/>
  <c r="K573" i="15"/>
  <c r="K574" i="15"/>
  <c r="K575" i="15"/>
  <c r="K577" i="15"/>
  <c r="K584" i="15"/>
  <c r="E546" i="15"/>
  <c r="E514" i="15"/>
  <c r="E515" i="15"/>
  <c r="E516" i="15"/>
  <c r="E517" i="15"/>
  <c r="E518" i="15"/>
  <c r="E519" i="15"/>
  <c r="E520" i="15"/>
  <c r="E521" i="15"/>
  <c r="E532" i="15"/>
  <c r="K514" i="15"/>
  <c r="K515" i="15"/>
  <c r="K516" i="15"/>
  <c r="K517" i="15"/>
  <c r="K518" i="15"/>
  <c r="K519" i="15"/>
  <c r="K521" i="15"/>
  <c r="K528" i="15"/>
  <c r="K533" i="15" s="1"/>
  <c r="E489" i="15"/>
  <c r="E457" i="15"/>
  <c r="E458" i="15"/>
  <c r="E459" i="15"/>
  <c r="E460" i="15"/>
  <c r="E461" i="15"/>
  <c r="E462" i="15"/>
  <c r="E463" i="15"/>
  <c r="E464" i="15"/>
  <c r="E475" i="15"/>
  <c r="K457" i="15"/>
  <c r="K458" i="15"/>
  <c r="K459" i="15"/>
  <c r="K460" i="15"/>
  <c r="K461" i="15"/>
  <c r="K462" i="15"/>
  <c r="K464" i="15"/>
  <c r="K471" i="15"/>
  <c r="E433" i="15"/>
  <c r="E401" i="15"/>
  <c r="E402" i="15"/>
  <c r="E403" i="15"/>
  <c r="E404" i="15"/>
  <c r="E405" i="15"/>
  <c r="E406" i="15"/>
  <c r="E407" i="15"/>
  <c r="E408" i="15"/>
  <c r="E419" i="15"/>
  <c r="K401" i="15"/>
  <c r="K402" i="15"/>
  <c r="K403" i="15"/>
  <c r="K404" i="15"/>
  <c r="K405" i="15"/>
  <c r="K406" i="15"/>
  <c r="K408" i="15"/>
  <c r="K415" i="15"/>
  <c r="K420" i="15" s="1"/>
  <c r="E345" i="15"/>
  <c r="E346" i="15"/>
  <c r="E347" i="15"/>
  <c r="E348" i="15"/>
  <c r="E349" i="15"/>
  <c r="E350" i="15"/>
  <c r="E351" i="15"/>
  <c r="E352" i="15"/>
  <c r="E363" i="15"/>
  <c r="K345" i="15"/>
  <c r="K346" i="15"/>
  <c r="K347" i="15"/>
  <c r="K348" i="15"/>
  <c r="K349" i="15"/>
  <c r="K350" i="15"/>
  <c r="K352" i="15"/>
  <c r="K359" i="15"/>
  <c r="E377" i="15"/>
  <c r="E290" i="15"/>
  <c r="E291" i="15"/>
  <c r="E292" i="15"/>
  <c r="E293" i="15"/>
  <c r="E294" i="15"/>
  <c r="E295" i="15"/>
  <c r="E296" i="15"/>
  <c r="E307" i="15"/>
  <c r="K289" i="15"/>
  <c r="K290" i="15"/>
  <c r="K291" i="15"/>
  <c r="K292" i="15"/>
  <c r="K293" i="15"/>
  <c r="K294" i="15"/>
  <c r="K296" i="15"/>
  <c r="K303" i="15"/>
  <c r="K308" i="15" s="1"/>
  <c r="E321" i="15"/>
  <c r="E233" i="15"/>
  <c r="E234" i="15"/>
  <c r="E235" i="15"/>
  <c r="E236" i="15"/>
  <c r="E237" i="15"/>
  <c r="E238" i="15"/>
  <c r="E239" i="15"/>
  <c r="E240" i="15"/>
  <c r="E251" i="15"/>
  <c r="E265" i="15"/>
  <c r="K233" i="15"/>
  <c r="K234" i="15"/>
  <c r="K235" i="15"/>
  <c r="K236" i="15"/>
  <c r="K237" i="15"/>
  <c r="K238" i="15"/>
  <c r="K240" i="15"/>
  <c r="K247" i="15"/>
  <c r="E208" i="15"/>
  <c r="E176" i="15"/>
  <c r="E177" i="15"/>
  <c r="E178" i="15"/>
  <c r="E180" i="15"/>
  <c r="E181" i="15"/>
  <c r="E182" i="15"/>
  <c r="E183" i="15"/>
  <c r="E194" i="15"/>
  <c r="K176" i="15"/>
  <c r="K177" i="15"/>
  <c r="K178" i="15"/>
  <c r="K179" i="15"/>
  <c r="K180" i="15"/>
  <c r="K181" i="15"/>
  <c r="K183" i="15"/>
  <c r="K190" i="15"/>
  <c r="E63" i="15"/>
  <c r="E64" i="15"/>
  <c r="E65" i="15"/>
  <c r="E66" i="15"/>
  <c r="E68" i="15"/>
  <c r="E69" i="15"/>
  <c r="E70" i="15"/>
  <c r="E81" i="15"/>
  <c r="E152" i="15"/>
  <c r="E120" i="15"/>
  <c r="E121" i="15"/>
  <c r="E122" i="15"/>
  <c r="E123" i="15"/>
  <c r="E124" i="15"/>
  <c r="E125" i="15"/>
  <c r="E126" i="15"/>
  <c r="E127" i="15"/>
  <c r="E138" i="15"/>
  <c r="K120" i="15"/>
  <c r="K121" i="15"/>
  <c r="K122" i="15"/>
  <c r="K124" i="15"/>
  <c r="K125" i="15"/>
  <c r="K127" i="15"/>
  <c r="K134" i="15"/>
  <c r="E95" i="15"/>
  <c r="K63" i="15"/>
  <c r="K64" i="15"/>
  <c r="K65" i="15"/>
  <c r="K66" i="15"/>
  <c r="K67" i="15"/>
  <c r="K68" i="15"/>
  <c r="K70" i="15"/>
  <c r="K77" i="15"/>
  <c r="E39" i="15"/>
  <c r="E7" i="15"/>
  <c r="E8" i="15"/>
  <c r="E9" i="15"/>
  <c r="E10" i="15"/>
  <c r="E11" i="15"/>
  <c r="E25" i="15"/>
  <c r="K26" i="15"/>
  <c r="K21" i="15"/>
  <c r="K7" i="15"/>
  <c r="K14" i="15"/>
  <c r="K12" i="15" s="1"/>
  <c r="K11" i="15"/>
  <c r="K9" i="15"/>
  <c r="K10" i="15"/>
  <c r="E849" i="14"/>
  <c r="E843" i="14"/>
  <c r="K839" i="14"/>
  <c r="E795" i="14"/>
  <c r="E789" i="14"/>
  <c r="K785" i="14"/>
  <c r="E741" i="14"/>
  <c r="E735" i="14"/>
  <c r="K731" i="14"/>
  <c r="E686" i="14"/>
  <c r="E680" i="14"/>
  <c r="K676" i="14"/>
  <c r="E632" i="14"/>
  <c r="E626" i="14"/>
  <c r="K622" i="14"/>
  <c r="E577" i="14"/>
  <c r="E571" i="14"/>
  <c r="K567" i="14"/>
  <c r="E517" i="14"/>
  <c r="K513" i="14"/>
  <c r="E462" i="14"/>
  <c r="K458" i="14"/>
  <c r="E407" i="14"/>
  <c r="K403" i="14"/>
  <c r="E353" i="14"/>
  <c r="K349" i="14"/>
  <c r="E299" i="14"/>
  <c r="K295" i="14"/>
  <c r="E245" i="14"/>
  <c r="K241" i="14"/>
  <c r="E190" i="14"/>
  <c r="K186" i="14"/>
  <c r="E26" i="14"/>
  <c r="E81" i="14"/>
  <c r="E136" i="14"/>
  <c r="K132" i="14"/>
  <c r="K77" i="14"/>
  <c r="J22" i="14"/>
  <c r="K22" i="14"/>
  <c r="K871" i="15" l="1"/>
  <c r="K759" i="15"/>
  <c r="K589" i="15"/>
  <c r="K476" i="15"/>
  <c r="K364" i="15"/>
  <c r="K252" i="15"/>
  <c r="K195" i="15"/>
  <c r="K139" i="15"/>
  <c r="K82" i="15"/>
  <c r="K8" i="15"/>
  <c r="G31" i="11"/>
  <c r="H31" i="11"/>
  <c r="G62" i="11"/>
  <c r="H62" i="11"/>
  <c r="G93" i="11"/>
  <c r="H93" i="11"/>
  <c r="G124" i="11"/>
  <c r="H124" i="11"/>
  <c r="G155" i="11"/>
  <c r="H155" i="11"/>
  <c r="G186" i="11"/>
  <c r="H186" i="11"/>
  <c r="G217" i="11"/>
  <c r="H217" i="11"/>
  <c r="H248" i="11"/>
  <c r="G248" i="11"/>
  <c r="H279" i="11"/>
  <c r="G279" i="11"/>
  <c r="H310" i="11"/>
  <c r="G310" i="11"/>
  <c r="H341" i="11"/>
  <c r="G341" i="11"/>
  <c r="H372" i="11"/>
  <c r="G372" i="11"/>
  <c r="H403" i="11"/>
  <c r="G403" i="11"/>
  <c r="H434" i="11"/>
  <c r="G434" i="11"/>
  <c r="G465" i="11"/>
  <c r="H465" i="11"/>
  <c r="H496" i="11"/>
  <c r="G496" i="11"/>
  <c r="G866" i="15" l="1"/>
  <c r="G871" i="15" s="1"/>
  <c r="H866" i="15"/>
  <c r="H871" i="15" s="1"/>
  <c r="I866" i="15"/>
  <c r="I871" i="15" s="1"/>
  <c r="J866" i="15"/>
  <c r="J871" i="15" s="1"/>
  <c r="F866" i="15"/>
  <c r="G852" i="15"/>
  <c r="H852" i="15"/>
  <c r="I852" i="15"/>
  <c r="J852" i="15"/>
  <c r="F852" i="15"/>
  <c r="G855" i="15"/>
  <c r="H855" i="15"/>
  <c r="I855" i="15"/>
  <c r="J855" i="15"/>
  <c r="F855" i="15"/>
  <c r="G859" i="15"/>
  <c r="H859" i="15"/>
  <c r="I859" i="15"/>
  <c r="J859" i="15"/>
  <c r="F859" i="15"/>
  <c r="G856" i="15"/>
  <c r="H856" i="15"/>
  <c r="I856" i="15"/>
  <c r="J856" i="15"/>
  <c r="F856" i="15"/>
  <c r="G839" i="14"/>
  <c r="H839" i="14"/>
  <c r="I839" i="14"/>
  <c r="J839" i="14"/>
  <c r="F839" i="14"/>
  <c r="H815" i="15"/>
  <c r="G810" i="15"/>
  <c r="G815" i="15" s="1"/>
  <c r="H810" i="15"/>
  <c r="I810" i="15"/>
  <c r="I815" i="15" s="1"/>
  <c r="J810" i="15"/>
  <c r="J815" i="15" s="1"/>
  <c r="F810" i="15"/>
  <c r="G799" i="15"/>
  <c r="H799" i="15"/>
  <c r="I799" i="15"/>
  <c r="J799" i="15"/>
  <c r="F799" i="15"/>
  <c r="G803" i="15"/>
  <c r="H803" i="15"/>
  <c r="I803" i="15"/>
  <c r="J803" i="15"/>
  <c r="F803" i="15"/>
  <c r="G800" i="15"/>
  <c r="H800" i="15"/>
  <c r="I800" i="15"/>
  <c r="J800" i="15"/>
  <c r="F800" i="15"/>
  <c r="G785" i="14"/>
  <c r="H785" i="14"/>
  <c r="I785" i="14"/>
  <c r="J785" i="14"/>
  <c r="F785" i="14"/>
  <c r="G754" i="15"/>
  <c r="G759" i="15" s="1"/>
  <c r="H754" i="15"/>
  <c r="H759" i="15" s="1"/>
  <c r="I754" i="15"/>
  <c r="I759" i="15" s="1"/>
  <c r="J754" i="15"/>
  <c r="J759" i="15" s="1"/>
  <c r="F754" i="15"/>
  <c r="G743" i="15"/>
  <c r="H743" i="15"/>
  <c r="I743" i="15"/>
  <c r="J743" i="15"/>
  <c r="F743" i="15"/>
  <c r="G747" i="15"/>
  <c r="H747" i="15"/>
  <c r="I747" i="15"/>
  <c r="J747" i="15"/>
  <c r="F747" i="15"/>
  <c r="G744" i="15"/>
  <c r="H744" i="15"/>
  <c r="I744" i="15"/>
  <c r="J744" i="15"/>
  <c r="F744" i="15"/>
  <c r="G731" i="14"/>
  <c r="H731" i="14"/>
  <c r="I731" i="14"/>
  <c r="J731" i="14"/>
  <c r="F731" i="14"/>
  <c r="G697" i="15"/>
  <c r="G702" i="15" s="1"/>
  <c r="H697" i="15"/>
  <c r="H702" i="15" s="1"/>
  <c r="I697" i="15"/>
  <c r="I702" i="15" s="1"/>
  <c r="J697" i="15"/>
  <c r="J702" i="15" s="1"/>
  <c r="F697" i="15"/>
  <c r="G683" i="15"/>
  <c r="H683" i="15"/>
  <c r="I683" i="15"/>
  <c r="J683" i="15"/>
  <c r="F683" i="15"/>
  <c r="G686" i="15"/>
  <c r="H686" i="15"/>
  <c r="I686" i="15"/>
  <c r="J686" i="15"/>
  <c r="F686" i="15"/>
  <c r="G690" i="15"/>
  <c r="H690" i="15"/>
  <c r="I690" i="15"/>
  <c r="J690" i="15"/>
  <c r="F690" i="15"/>
  <c r="G687" i="15"/>
  <c r="H687" i="15"/>
  <c r="I687" i="15"/>
  <c r="J687" i="15"/>
  <c r="F687" i="15"/>
  <c r="G676" i="14"/>
  <c r="H676" i="14"/>
  <c r="I676" i="14"/>
  <c r="J676" i="14"/>
  <c r="F676" i="14"/>
  <c r="G641" i="15"/>
  <c r="G646" i="15" s="1"/>
  <c r="H641" i="15"/>
  <c r="H646" i="15" s="1"/>
  <c r="I641" i="15"/>
  <c r="I646" i="15" s="1"/>
  <c r="J641" i="15"/>
  <c r="J646" i="15" s="1"/>
  <c r="F641" i="15"/>
  <c r="G627" i="15"/>
  <c r="H627" i="15"/>
  <c r="I627" i="15"/>
  <c r="J627" i="15"/>
  <c r="F627" i="15"/>
  <c r="G630" i="15"/>
  <c r="H630" i="15"/>
  <c r="I630" i="15"/>
  <c r="J630" i="15"/>
  <c r="F630" i="15"/>
  <c r="G634" i="15"/>
  <c r="H634" i="15"/>
  <c r="I634" i="15"/>
  <c r="J634" i="15"/>
  <c r="F634" i="15"/>
  <c r="G631" i="15"/>
  <c r="H631" i="15"/>
  <c r="I631" i="15"/>
  <c r="J631" i="15"/>
  <c r="F631" i="15"/>
  <c r="G622" i="14"/>
  <c r="H622" i="14"/>
  <c r="I622" i="14"/>
  <c r="J622" i="14"/>
  <c r="F622" i="14"/>
  <c r="G573" i="15"/>
  <c r="H573" i="15"/>
  <c r="I573" i="15"/>
  <c r="J573" i="15"/>
  <c r="F573" i="15"/>
  <c r="H589" i="15"/>
  <c r="G584" i="15"/>
  <c r="G589" i="15" s="1"/>
  <c r="H584" i="15"/>
  <c r="I584" i="15"/>
  <c r="I589" i="15" s="1"/>
  <c r="J584" i="15"/>
  <c r="J589" i="15" s="1"/>
  <c r="F584" i="15"/>
  <c r="G577" i="15"/>
  <c r="H577" i="15"/>
  <c r="I577" i="15"/>
  <c r="J577" i="15"/>
  <c r="F577" i="15"/>
  <c r="G574" i="15"/>
  <c r="H574" i="15"/>
  <c r="I574" i="15"/>
  <c r="J574" i="15"/>
  <c r="F574" i="15"/>
  <c r="G567" i="14"/>
  <c r="H567" i="14"/>
  <c r="I567" i="14"/>
  <c r="J567" i="14"/>
  <c r="F567" i="14"/>
  <c r="G517" i="15"/>
  <c r="H517" i="15"/>
  <c r="I517" i="15"/>
  <c r="J517" i="15"/>
  <c r="F517" i="15"/>
  <c r="G528" i="15"/>
  <c r="G533" i="15" s="1"/>
  <c r="H528" i="15"/>
  <c r="H533" i="15" s="1"/>
  <c r="I528" i="15"/>
  <c r="I533" i="15" s="1"/>
  <c r="J528" i="15"/>
  <c r="J533" i="15" s="1"/>
  <c r="F528" i="15"/>
  <c r="G521" i="15"/>
  <c r="H521" i="15"/>
  <c r="I521" i="15"/>
  <c r="J521" i="15"/>
  <c r="F521" i="15"/>
  <c r="G518" i="15"/>
  <c r="H518" i="15"/>
  <c r="I518" i="15"/>
  <c r="J518" i="15"/>
  <c r="F518" i="15"/>
  <c r="G513" i="14"/>
  <c r="H513" i="14"/>
  <c r="I513" i="14"/>
  <c r="J513" i="14"/>
  <c r="F513" i="14"/>
  <c r="E513" i="14" s="1"/>
  <c r="G460" i="15"/>
  <c r="H460" i="15"/>
  <c r="I460" i="15"/>
  <c r="J460" i="15"/>
  <c r="F460" i="15"/>
  <c r="G471" i="15"/>
  <c r="G476" i="15" s="1"/>
  <c r="H471" i="15"/>
  <c r="H476" i="15" s="1"/>
  <c r="I471" i="15"/>
  <c r="I476" i="15" s="1"/>
  <c r="J471" i="15"/>
  <c r="J476" i="15" s="1"/>
  <c r="F471" i="15"/>
  <c r="G464" i="15"/>
  <c r="H464" i="15"/>
  <c r="I464" i="15"/>
  <c r="J464" i="15"/>
  <c r="F464" i="15"/>
  <c r="G461" i="15"/>
  <c r="H461" i="15"/>
  <c r="I461" i="15"/>
  <c r="J461" i="15"/>
  <c r="F461" i="15"/>
  <c r="G458" i="14"/>
  <c r="H458" i="14"/>
  <c r="I458" i="14"/>
  <c r="J458" i="14"/>
  <c r="F458" i="14"/>
  <c r="G404" i="15"/>
  <c r="H404" i="15"/>
  <c r="I404" i="15"/>
  <c r="J404" i="15"/>
  <c r="F404" i="15"/>
  <c r="G403" i="14"/>
  <c r="H403" i="14"/>
  <c r="I403" i="14"/>
  <c r="J403" i="14"/>
  <c r="F403" i="14"/>
  <c r="E403" i="14" s="1"/>
  <c r="G415" i="15"/>
  <c r="H415" i="15"/>
  <c r="I415" i="15"/>
  <c r="J415" i="15"/>
  <c r="F415" i="15"/>
  <c r="G359" i="15"/>
  <c r="G364" i="15" s="1"/>
  <c r="H359" i="15"/>
  <c r="H364" i="15" s="1"/>
  <c r="I359" i="15"/>
  <c r="I364" i="15" s="1"/>
  <c r="J359" i="15"/>
  <c r="J364" i="15" s="1"/>
  <c r="F359" i="15"/>
  <c r="F352" i="15"/>
  <c r="G352" i="15"/>
  <c r="H352" i="15"/>
  <c r="I352" i="15"/>
  <c r="J352" i="15"/>
  <c r="G348" i="15"/>
  <c r="H348" i="15"/>
  <c r="I348" i="15"/>
  <c r="J348" i="15"/>
  <c r="F348" i="15"/>
  <c r="G349" i="15"/>
  <c r="H349" i="15"/>
  <c r="I349" i="15"/>
  <c r="J349" i="15"/>
  <c r="F349" i="15"/>
  <c r="G349" i="14"/>
  <c r="H349" i="14"/>
  <c r="I349" i="14"/>
  <c r="J349" i="14"/>
  <c r="F349" i="14"/>
  <c r="E349" i="14" s="1"/>
  <c r="H308" i="15"/>
  <c r="G303" i="15"/>
  <c r="G308" i="15" s="1"/>
  <c r="H303" i="15"/>
  <c r="I303" i="15"/>
  <c r="I308" i="15" s="1"/>
  <c r="J303" i="15"/>
  <c r="J308" i="15" s="1"/>
  <c r="F303" i="15"/>
  <c r="G289" i="15"/>
  <c r="H289" i="15"/>
  <c r="I289" i="15"/>
  <c r="J289" i="15"/>
  <c r="F289" i="15"/>
  <c r="G296" i="15"/>
  <c r="H296" i="15"/>
  <c r="I296" i="15"/>
  <c r="J296" i="15"/>
  <c r="F296" i="15"/>
  <c r="G293" i="15"/>
  <c r="H293" i="15"/>
  <c r="I293" i="15"/>
  <c r="J293" i="15"/>
  <c r="F293" i="15"/>
  <c r="G292" i="15"/>
  <c r="H292" i="15"/>
  <c r="I292" i="15"/>
  <c r="J292" i="15"/>
  <c r="F292" i="15"/>
  <c r="G295" i="14"/>
  <c r="H295" i="14"/>
  <c r="I295" i="14"/>
  <c r="J295" i="14"/>
  <c r="F295" i="14"/>
  <c r="G247" i="15"/>
  <c r="G252" i="15" s="1"/>
  <c r="H247" i="15"/>
  <c r="H252" i="15" s="1"/>
  <c r="I247" i="15"/>
  <c r="I252" i="15" s="1"/>
  <c r="J247" i="15"/>
  <c r="J252" i="15" s="1"/>
  <c r="F247" i="15"/>
  <c r="G236" i="15"/>
  <c r="H236" i="15"/>
  <c r="I236" i="15"/>
  <c r="J236" i="15"/>
  <c r="F236" i="15"/>
  <c r="G240" i="15"/>
  <c r="H240" i="15"/>
  <c r="I240" i="15"/>
  <c r="J240" i="15"/>
  <c r="F240" i="15"/>
  <c r="G237" i="15"/>
  <c r="H237" i="15"/>
  <c r="I237" i="15"/>
  <c r="J237" i="15"/>
  <c r="F237" i="15"/>
  <c r="G241" i="14"/>
  <c r="H241" i="14"/>
  <c r="I241" i="14"/>
  <c r="J241" i="14"/>
  <c r="F241" i="14"/>
  <c r="G176" i="15"/>
  <c r="H176" i="15"/>
  <c r="I176" i="15"/>
  <c r="J176" i="15"/>
  <c r="F176" i="15"/>
  <c r="G179" i="15"/>
  <c r="H179" i="15"/>
  <c r="I179" i="15"/>
  <c r="J179" i="15"/>
  <c r="F179" i="15"/>
  <c r="G183" i="15"/>
  <c r="H183" i="15"/>
  <c r="I183" i="15"/>
  <c r="J183" i="15"/>
  <c r="F183" i="15"/>
  <c r="G180" i="15"/>
  <c r="H180" i="15"/>
  <c r="I180" i="15"/>
  <c r="J180" i="15"/>
  <c r="F180" i="15"/>
  <c r="G186" i="14"/>
  <c r="H186" i="14"/>
  <c r="I186" i="14"/>
  <c r="J186" i="14"/>
  <c r="F186" i="14"/>
  <c r="F120" i="15"/>
  <c r="G120" i="15"/>
  <c r="H120" i="15"/>
  <c r="I120" i="15"/>
  <c r="J120" i="15"/>
  <c r="G134" i="15"/>
  <c r="G139" i="15" s="1"/>
  <c r="H134" i="15"/>
  <c r="H139" i="15" s="1"/>
  <c r="I134" i="15"/>
  <c r="I139" i="15" s="1"/>
  <c r="J134" i="15"/>
  <c r="J139" i="15" s="1"/>
  <c r="F134" i="15"/>
  <c r="G123" i="15"/>
  <c r="H123" i="15"/>
  <c r="I123" i="15"/>
  <c r="J123" i="15"/>
  <c r="F123" i="15"/>
  <c r="G127" i="15"/>
  <c r="H127" i="15"/>
  <c r="I127" i="15"/>
  <c r="J127" i="15"/>
  <c r="F127" i="15"/>
  <c r="G124" i="15"/>
  <c r="H124" i="15"/>
  <c r="I124" i="15"/>
  <c r="J124" i="15"/>
  <c r="F124" i="15"/>
  <c r="G132" i="14"/>
  <c r="H132" i="14"/>
  <c r="I132" i="14"/>
  <c r="J132" i="14"/>
  <c r="F132" i="14"/>
  <c r="H77" i="15"/>
  <c r="H82" i="15" s="1"/>
  <c r="I77" i="15"/>
  <c r="I82" i="15" s="1"/>
  <c r="J77" i="15"/>
  <c r="J82" i="15" s="1"/>
  <c r="G77" i="15"/>
  <c r="G82" i="15" s="1"/>
  <c r="F77" i="15"/>
  <c r="G66" i="15"/>
  <c r="H66" i="15"/>
  <c r="I66" i="15"/>
  <c r="J66" i="15"/>
  <c r="F66" i="15"/>
  <c r="G70" i="15"/>
  <c r="H70" i="15"/>
  <c r="I70" i="15"/>
  <c r="J70" i="15"/>
  <c r="F70" i="15"/>
  <c r="G67" i="15"/>
  <c r="H67" i="15"/>
  <c r="I67" i="15"/>
  <c r="J67" i="15"/>
  <c r="F67" i="15"/>
  <c r="G77" i="14"/>
  <c r="H77" i="14"/>
  <c r="I77" i="14"/>
  <c r="J77" i="14"/>
  <c r="F77" i="14"/>
  <c r="E77" i="14" s="1"/>
  <c r="G10" i="15"/>
  <c r="H10" i="15"/>
  <c r="I10" i="15"/>
  <c r="J10" i="15"/>
  <c r="F10" i="15"/>
  <c r="E14" i="15"/>
  <c r="G14" i="15"/>
  <c r="H14" i="15"/>
  <c r="I14" i="15"/>
  <c r="J14" i="15"/>
  <c r="F14" i="15"/>
  <c r="E13" i="15"/>
  <c r="G11" i="15"/>
  <c r="H11" i="15"/>
  <c r="I11" i="15"/>
  <c r="J11" i="15"/>
  <c r="F11" i="15"/>
  <c r="F871" i="15" l="1"/>
  <c r="E871" i="15" s="1"/>
  <c r="E866" i="15"/>
  <c r="E865" i="15"/>
  <c r="K863" i="15" s="1"/>
  <c r="K862" i="15" s="1"/>
  <c r="F815" i="15"/>
  <c r="E815" i="15" s="1"/>
  <c r="E809" i="15"/>
  <c r="K807" i="15" s="1"/>
  <c r="K806" i="15" s="1"/>
  <c r="E810" i="15"/>
  <c r="F759" i="15"/>
  <c r="E759" i="15" s="1"/>
  <c r="E754" i="15"/>
  <c r="E839" i="14"/>
  <c r="E785" i="14"/>
  <c r="E731" i="14"/>
  <c r="F702" i="15"/>
  <c r="E702" i="15" s="1"/>
  <c r="E697" i="15"/>
  <c r="F646" i="15"/>
  <c r="E646" i="15" s="1"/>
  <c r="E641" i="15"/>
  <c r="E676" i="14"/>
  <c r="E622" i="14"/>
  <c r="F589" i="15"/>
  <c r="E589" i="15" s="1"/>
  <c r="E584" i="15"/>
  <c r="E583" i="15"/>
  <c r="K581" i="15" s="1"/>
  <c r="K580" i="15" s="1"/>
  <c r="F533" i="15"/>
  <c r="E533" i="15" s="1"/>
  <c r="E528" i="15"/>
  <c r="E527" i="15"/>
  <c r="K525" i="15" s="1"/>
  <c r="K524" i="15" s="1"/>
  <c r="E567" i="14"/>
  <c r="F476" i="15"/>
  <c r="E476" i="15" s="1"/>
  <c r="E471" i="15"/>
  <c r="E458" i="14"/>
  <c r="E415" i="15"/>
  <c r="F364" i="15"/>
  <c r="E364" i="15" s="1"/>
  <c r="E359" i="15"/>
  <c r="E358" i="15"/>
  <c r="K356" i="15" s="1"/>
  <c r="K355" i="15" s="1"/>
  <c r="F308" i="15"/>
  <c r="E308" i="15" s="1"/>
  <c r="E303" i="15"/>
  <c r="E302" i="15"/>
  <c r="K300" i="15" s="1"/>
  <c r="K299" i="15" s="1"/>
  <c r="F252" i="15"/>
  <c r="E252" i="15" s="1"/>
  <c r="E246" i="15"/>
  <c r="K244" i="15" s="1"/>
  <c r="K243" i="15" s="1"/>
  <c r="E247" i="15"/>
  <c r="E295" i="14"/>
  <c r="E241" i="14"/>
  <c r="E186" i="14"/>
  <c r="F139" i="15"/>
  <c r="E139" i="15" s="1"/>
  <c r="E134" i="15"/>
  <c r="E133" i="15"/>
  <c r="K131" i="15" s="1"/>
  <c r="K130" i="15" s="1"/>
  <c r="E132" i="14"/>
  <c r="F82" i="15"/>
  <c r="E82" i="15" s="1"/>
  <c r="E77" i="15"/>
  <c r="E76" i="15"/>
  <c r="K74" i="15" s="1"/>
  <c r="K73" i="15" s="1"/>
  <c r="E884" i="13"/>
  <c r="G855" i="13"/>
  <c r="H855" i="13"/>
  <c r="I855" i="13"/>
  <c r="J855" i="13"/>
  <c r="K855" i="13"/>
  <c r="L855" i="13"/>
  <c r="M855" i="13"/>
  <c r="N855" i="13"/>
  <c r="O855" i="13"/>
  <c r="P855" i="13"/>
  <c r="Q855" i="13"/>
  <c r="F855" i="13"/>
  <c r="M871" i="13"/>
  <c r="H866" i="13"/>
  <c r="H871" i="13" s="1"/>
  <c r="I866" i="13"/>
  <c r="I871" i="13" s="1"/>
  <c r="J866" i="13"/>
  <c r="J871" i="13" s="1"/>
  <c r="K866" i="13"/>
  <c r="K871" i="13" s="1"/>
  <c r="L866" i="13"/>
  <c r="L871" i="13" s="1"/>
  <c r="M866" i="13"/>
  <c r="N866" i="13"/>
  <c r="N871" i="13" s="1"/>
  <c r="O866" i="13"/>
  <c r="O871" i="13" s="1"/>
  <c r="P866" i="13"/>
  <c r="P871" i="13" s="1"/>
  <c r="Q866" i="13"/>
  <c r="Q871" i="13" s="1"/>
  <c r="G866" i="13"/>
  <c r="G871" i="13" s="1"/>
  <c r="F866" i="13"/>
  <c r="F871" i="13" s="1"/>
  <c r="G859" i="13"/>
  <c r="H859" i="13"/>
  <c r="I859" i="13"/>
  <c r="J859" i="13"/>
  <c r="K859" i="13"/>
  <c r="L859" i="13"/>
  <c r="M859" i="13"/>
  <c r="N859" i="13"/>
  <c r="O859" i="13"/>
  <c r="P859" i="13"/>
  <c r="Q859" i="13"/>
  <c r="F859" i="13"/>
  <c r="G856" i="13"/>
  <c r="H856" i="13"/>
  <c r="I856" i="13"/>
  <c r="J856" i="13"/>
  <c r="K856" i="13"/>
  <c r="L856" i="13"/>
  <c r="M856" i="13"/>
  <c r="N856" i="13"/>
  <c r="O856" i="13"/>
  <c r="P856" i="13"/>
  <c r="Q856" i="13"/>
  <c r="F856" i="13"/>
  <c r="E828" i="13"/>
  <c r="G799" i="13"/>
  <c r="H799" i="13"/>
  <c r="I799" i="13"/>
  <c r="J799" i="13"/>
  <c r="K799" i="13"/>
  <c r="L799" i="13"/>
  <c r="M799" i="13"/>
  <c r="N799" i="13"/>
  <c r="O799" i="13"/>
  <c r="P799" i="13"/>
  <c r="Q799" i="13"/>
  <c r="F799" i="13"/>
  <c r="G815" i="13"/>
  <c r="H815" i="13"/>
  <c r="O815" i="13"/>
  <c r="P815" i="13"/>
  <c r="G810" i="13"/>
  <c r="H810" i="13"/>
  <c r="I810" i="13"/>
  <c r="I815" i="13" s="1"/>
  <c r="J810" i="13"/>
  <c r="J815" i="13" s="1"/>
  <c r="K810" i="13"/>
  <c r="K815" i="13" s="1"/>
  <c r="L810" i="13"/>
  <c r="L815" i="13" s="1"/>
  <c r="M810" i="13"/>
  <c r="M815" i="13" s="1"/>
  <c r="N810" i="13"/>
  <c r="N815" i="13" s="1"/>
  <c r="O810" i="13"/>
  <c r="P810" i="13"/>
  <c r="Q810" i="13"/>
  <c r="Q815" i="13" s="1"/>
  <c r="F810" i="13"/>
  <c r="F815" i="13" s="1"/>
  <c r="G803" i="13"/>
  <c r="H803" i="13"/>
  <c r="I803" i="13"/>
  <c r="J803" i="13"/>
  <c r="K803" i="13"/>
  <c r="L803" i="13"/>
  <c r="M803" i="13"/>
  <c r="N803" i="13"/>
  <c r="O803" i="13"/>
  <c r="P803" i="13"/>
  <c r="Q803" i="13"/>
  <c r="F803" i="13"/>
  <c r="G800" i="13"/>
  <c r="H800" i="13"/>
  <c r="I800" i="13"/>
  <c r="J800" i="13"/>
  <c r="K800" i="13"/>
  <c r="L800" i="13"/>
  <c r="M800" i="13"/>
  <c r="N800" i="13"/>
  <c r="O800" i="13"/>
  <c r="P800" i="13"/>
  <c r="Q800" i="13"/>
  <c r="F800" i="13"/>
  <c r="E772" i="13"/>
  <c r="H754" i="13"/>
  <c r="H759" i="13" s="1"/>
  <c r="I754" i="13"/>
  <c r="I759" i="13" s="1"/>
  <c r="J754" i="13"/>
  <c r="J759" i="13" s="1"/>
  <c r="K754" i="13"/>
  <c r="K759" i="13" s="1"/>
  <c r="L754" i="13"/>
  <c r="L759" i="13" s="1"/>
  <c r="M754" i="13"/>
  <c r="M759" i="13" s="1"/>
  <c r="N754" i="13"/>
  <c r="N759" i="13" s="1"/>
  <c r="O754" i="13"/>
  <c r="O759" i="13" s="1"/>
  <c r="P754" i="13"/>
  <c r="P759" i="13" s="1"/>
  <c r="Q754" i="13"/>
  <c r="Q759" i="13" s="1"/>
  <c r="G754" i="13"/>
  <c r="G759" i="13" s="1"/>
  <c r="F754" i="13"/>
  <c r="F759" i="13" s="1"/>
  <c r="G743" i="13"/>
  <c r="H743" i="13"/>
  <c r="I743" i="13"/>
  <c r="J743" i="13"/>
  <c r="K743" i="13"/>
  <c r="L743" i="13"/>
  <c r="M743" i="13"/>
  <c r="N743" i="13"/>
  <c r="O743" i="13"/>
  <c r="P743" i="13"/>
  <c r="Q743" i="13"/>
  <c r="F743" i="13"/>
  <c r="G747" i="13"/>
  <c r="H747" i="13"/>
  <c r="I747" i="13"/>
  <c r="J747" i="13"/>
  <c r="K747" i="13"/>
  <c r="L747" i="13"/>
  <c r="M747" i="13"/>
  <c r="N747" i="13"/>
  <c r="O747" i="13"/>
  <c r="P747" i="13"/>
  <c r="Q747" i="13"/>
  <c r="F747" i="13"/>
  <c r="G744" i="13"/>
  <c r="H744" i="13"/>
  <c r="I744" i="13"/>
  <c r="J744" i="13"/>
  <c r="K744" i="13"/>
  <c r="L744" i="13"/>
  <c r="M744" i="13"/>
  <c r="N744" i="13"/>
  <c r="O744" i="13"/>
  <c r="P744" i="13"/>
  <c r="Q744" i="13"/>
  <c r="F744" i="13"/>
  <c r="E715" i="13"/>
  <c r="G697" i="13"/>
  <c r="G702" i="13" s="1"/>
  <c r="H697" i="13"/>
  <c r="H702" i="13" s="1"/>
  <c r="I697" i="13"/>
  <c r="I702" i="13" s="1"/>
  <c r="J697" i="13"/>
  <c r="J702" i="13" s="1"/>
  <c r="K697" i="13"/>
  <c r="K702" i="13" s="1"/>
  <c r="L697" i="13"/>
  <c r="L702" i="13" s="1"/>
  <c r="M697" i="13"/>
  <c r="M702" i="13" s="1"/>
  <c r="N697" i="13"/>
  <c r="N702" i="13" s="1"/>
  <c r="O697" i="13"/>
  <c r="O702" i="13" s="1"/>
  <c r="P697" i="13"/>
  <c r="P702" i="13" s="1"/>
  <c r="Q697" i="13"/>
  <c r="Q702" i="13" s="1"/>
  <c r="F697" i="13"/>
  <c r="F702" i="13" s="1"/>
  <c r="G683" i="13"/>
  <c r="H683" i="13"/>
  <c r="I683" i="13"/>
  <c r="J683" i="13"/>
  <c r="K683" i="13"/>
  <c r="L683" i="13"/>
  <c r="M683" i="13"/>
  <c r="N683" i="13"/>
  <c r="O683" i="13"/>
  <c r="P683" i="13"/>
  <c r="Q683" i="13"/>
  <c r="G686" i="13"/>
  <c r="H686" i="13"/>
  <c r="I686" i="13"/>
  <c r="J686" i="13"/>
  <c r="K686" i="13"/>
  <c r="L686" i="13"/>
  <c r="M686" i="13"/>
  <c r="N686" i="13"/>
  <c r="O686" i="13"/>
  <c r="P686" i="13"/>
  <c r="Q686" i="13"/>
  <c r="F686" i="13"/>
  <c r="G690" i="13"/>
  <c r="H690" i="13"/>
  <c r="I690" i="13"/>
  <c r="J690" i="13"/>
  <c r="K690" i="13"/>
  <c r="L690" i="13"/>
  <c r="M690" i="13"/>
  <c r="N690" i="13"/>
  <c r="O690" i="13"/>
  <c r="P690" i="13"/>
  <c r="Q690" i="13"/>
  <c r="F690" i="13"/>
  <c r="G687" i="13"/>
  <c r="H687" i="13"/>
  <c r="I687" i="13"/>
  <c r="J687" i="13"/>
  <c r="K687" i="13"/>
  <c r="L687" i="13"/>
  <c r="M687" i="13"/>
  <c r="N687" i="13"/>
  <c r="O687" i="13"/>
  <c r="P687" i="13"/>
  <c r="Q687" i="13"/>
  <c r="F687" i="13"/>
  <c r="E659" i="13"/>
  <c r="G630" i="13"/>
  <c r="H630" i="13"/>
  <c r="I630" i="13"/>
  <c r="J630" i="13"/>
  <c r="K630" i="13"/>
  <c r="L630" i="13"/>
  <c r="M630" i="13"/>
  <c r="N630" i="13"/>
  <c r="O630" i="13"/>
  <c r="P630" i="13"/>
  <c r="Q630" i="13"/>
  <c r="F630" i="13"/>
  <c r="K646" i="13"/>
  <c r="L646" i="13"/>
  <c r="G641" i="13"/>
  <c r="G646" i="13" s="1"/>
  <c r="H641" i="13"/>
  <c r="H646" i="13" s="1"/>
  <c r="I641" i="13"/>
  <c r="I646" i="13" s="1"/>
  <c r="J641" i="13"/>
  <c r="J646" i="13" s="1"/>
  <c r="K641" i="13"/>
  <c r="L641" i="13"/>
  <c r="M641" i="13"/>
  <c r="M646" i="13" s="1"/>
  <c r="N641" i="13"/>
  <c r="N646" i="13" s="1"/>
  <c r="O641" i="13"/>
  <c r="O646" i="13" s="1"/>
  <c r="P641" i="13"/>
  <c r="P646" i="13" s="1"/>
  <c r="Q641" i="13"/>
  <c r="Q646" i="13" s="1"/>
  <c r="F641" i="13"/>
  <c r="F646" i="13" s="1"/>
  <c r="G634" i="13"/>
  <c r="H634" i="13"/>
  <c r="I634" i="13"/>
  <c r="J634" i="13"/>
  <c r="K634" i="13"/>
  <c r="L634" i="13"/>
  <c r="M634" i="13"/>
  <c r="N634" i="13"/>
  <c r="O634" i="13"/>
  <c r="P634" i="13"/>
  <c r="Q634" i="13"/>
  <c r="F634" i="13"/>
  <c r="G631" i="13"/>
  <c r="H631" i="13"/>
  <c r="I631" i="13"/>
  <c r="J631" i="13"/>
  <c r="K631" i="13"/>
  <c r="L631" i="13"/>
  <c r="M631" i="13"/>
  <c r="N631" i="13"/>
  <c r="O631" i="13"/>
  <c r="P631" i="13"/>
  <c r="Q631" i="13"/>
  <c r="F631" i="13"/>
  <c r="E602" i="13"/>
  <c r="I589" i="13"/>
  <c r="J589" i="13"/>
  <c r="Q589" i="13"/>
  <c r="F589" i="13"/>
  <c r="H584" i="13"/>
  <c r="H589" i="13" s="1"/>
  <c r="I584" i="13"/>
  <c r="J584" i="13"/>
  <c r="K584" i="13"/>
  <c r="K589" i="13" s="1"/>
  <c r="L584" i="13"/>
  <c r="L589" i="13" s="1"/>
  <c r="M584" i="13"/>
  <c r="M589" i="13" s="1"/>
  <c r="N584" i="13"/>
  <c r="N589" i="13" s="1"/>
  <c r="O584" i="13"/>
  <c r="O589" i="13" s="1"/>
  <c r="P584" i="13"/>
  <c r="P589" i="13" s="1"/>
  <c r="Q584" i="13"/>
  <c r="G584" i="13"/>
  <c r="G589" i="13" s="1"/>
  <c r="F584" i="13"/>
  <c r="E576" i="13"/>
  <c r="G573" i="13"/>
  <c r="H573" i="13"/>
  <c r="I573" i="13"/>
  <c r="J573" i="13"/>
  <c r="K573" i="13"/>
  <c r="L573" i="13"/>
  <c r="M573" i="13"/>
  <c r="N573" i="13"/>
  <c r="O573" i="13"/>
  <c r="P573" i="13"/>
  <c r="Q573" i="13"/>
  <c r="F573" i="13"/>
  <c r="G577" i="13"/>
  <c r="H577" i="13"/>
  <c r="I577" i="13"/>
  <c r="J577" i="13"/>
  <c r="K577" i="13"/>
  <c r="L577" i="13"/>
  <c r="M577" i="13"/>
  <c r="N577" i="13"/>
  <c r="O577" i="13"/>
  <c r="P577" i="13"/>
  <c r="Q577" i="13"/>
  <c r="F577" i="13"/>
  <c r="G574" i="13"/>
  <c r="H574" i="13"/>
  <c r="I574" i="13"/>
  <c r="J574" i="13"/>
  <c r="K574" i="13"/>
  <c r="L574" i="13"/>
  <c r="M574" i="13"/>
  <c r="N574" i="13"/>
  <c r="O574" i="13"/>
  <c r="P574" i="13"/>
  <c r="Q574" i="13"/>
  <c r="F574" i="13"/>
  <c r="E546" i="13"/>
  <c r="G528" i="13"/>
  <c r="G533" i="13" s="1"/>
  <c r="H528" i="13"/>
  <c r="H533" i="13" s="1"/>
  <c r="I528" i="13"/>
  <c r="I533" i="13" s="1"/>
  <c r="J528" i="13"/>
  <c r="J533" i="13" s="1"/>
  <c r="K528" i="13"/>
  <c r="K533" i="13" s="1"/>
  <c r="L528" i="13"/>
  <c r="L533" i="13" s="1"/>
  <c r="M528" i="13"/>
  <c r="M533" i="13" s="1"/>
  <c r="N528" i="13"/>
  <c r="N533" i="13" s="1"/>
  <c r="O528" i="13"/>
  <c r="O533" i="13" s="1"/>
  <c r="P528" i="13"/>
  <c r="P533" i="13" s="1"/>
  <c r="Q528" i="13"/>
  <c r="Q533" i="13" s="1"/>
  <c r="F528" i="13"/>
  <c r="F533" i="13" s="1"/>
  <c r="G517" i="13"/>
  <c r="H517" i="13"/>
  <c r="I517" i="13"/>
  <c r="J517" i="13"/>
  <c r="K517" i="13"/>
  <c r="L517" i="13"/>
  <c r="M517" i="13"/>
  <c r="N517" i="13"/>
  <c r="O517" i="13"/>
  <c r="P517" i="13"/>
  <c r="Q517" i="13"/>
  <c r="F517" i="13"/>
  <c r="E501" i="12"/>
  <c r="G521" i="13"/>
  <c r="H521" i="13"/>
  <c r="I521" i="13"/>
  <c r="J521" i="13"/>
  <c r="K521" i="13"/>
  <c r="L521" i="13"/>
  <c r="M521" i="13"/>
  <c r="N521" i="13"/>
  <c r="O521" i="13"/>
  <c r="P521" i="13"/>
  <c r="Q521" i="13"/>
  <c r="F521" i="13"/>
  <c r="G518" i="13"/>
  <c r="H518" i="13"/>
  <c r="I518" i="13"/>
  <c r="J518" i="13"/>
  <c r="K518" i="13"/>
  <c r="L518" i="13"/>
  <c r="M518" i="13"/>
  <c r="N518" i="13"/>
  <c r="O518" i="13"/>
  <c r="P518" i="13"/>
  <c r="Q518" i="13"/>
  <c r="F518" i="13"/>
  <c r="E489" i="13"/>
  <c r="G476" i="13"/>
  <c r="H476" i="13"/>
  <c r="N476" i="13"/>
  <c r="O476" i="13"/>
  <c r="P476" i="13"/>
  <c r="G471" i="13"/>
  <c r="H471" i="13"/>
  <c r="I471" i="13"/>
  <c r="I476" i="13" s="1"/>
  <c r="J471" i="13"/>
  <c r="J476" i="13" s="1"/>
  <c r="K471" i="13"/>
  <c r="K476" i="13" s="1"/>
  <c r="L471" i="13"/>
  <c r="L476" i="13" s="1"/>
  <c r="M471" i="13"/>
  <c r="M476" i="13" s="1"/>
  <c r="N471" i="13"/>
  <c r="O471" i="13"/>
  <c r="P471" i="13"/>
  <c r="Q471" i="13"/>
  <c r="Q476" i="13" s="1"/>
  <c r="F471" i="13"/>
  <c r="F476" i="13" s="1"/>
  <c r="G460" i="13"/>
  <c r="H460" i="13"/>
  <c r="I460" i="13"/>
  <c r="J460" i="13"/>
  <c r="K460" i="13"/>
  <c r="L460" i="13"/>
  <c r="M460" i="13"/>
  <c r="N460" i="13"/>
  <c r="O460" i="13"/>
  <c r="P460" i="13"/>
  <c r="Q460" i="13"/>
  <c r="F460" i="13"/>
  <c r="G464" i="13"/>
  <c r="H464" i="13"/>
  <c r="I464" i="13"/>
  <c r="J464" i="13"/>
  <c r="K464" i="13"/>
  <c r="L464" i="13"/>
  <c r="M464" i="13"/>
  <c r="N464" i="13"/>
  <c r="O464" i="13"/>
  <c r="P464" i="13"/>
  <c r="Q464" i="13"/>
  <c r="F464" i="13"/>
  <c r="G461" i="13"/>
  <c r="H461" i="13"/>
  <c r="I461" i="13"/>
  <c r="J461" i="13"/>
  <c r="K461" i="13"/>
  <c r="L461" i="13"/>
  <c r="M461" i="13"/>
  <c r="N461" i="13"/>
  <c r="O461" i="13"/>
  <c r="P461" i="13"/>
  <c r="Q461" i="13"/>
  <c r="F461" i="13"/>
  <c r="E433" i="13"/>
  <c r="H420" i="13"/>
  <c r="L420" i="13"/>
  <c r="P420" i="13"/>
  <c r="G415" i="13"/>
  <c r="G420" i="13" s="1"/>
  <c r="H415" i="13"/>
  <c r="I415" i="13"/>
  <c r="I420" i="13" s="1"/>
  <c r="J415" i="13"/>
  <c r="J420" i="13" s="1"/>
  <c r="K415" i="13"/>
  <c r="K420" i="13" s="1"/>
  <c r="L415" i="13"/>
  <c r="M415" i="13"/>
  <c r="M420" i="13" s="1"/>
  <c r="N415" i="13"/>
  <c r="N420" i="13" s="1"/>
  <c r="O415" i="13"/>
  <c r="O420" i="13" s="1"/>
  <c r="P415" i="13"/>
  <c r="Q415" i="13"/>
  <c r="Q420" i="13" s="1"/>
  <c r="F415" i="13"/>
  <c r="F420" i="13" s="1"/>
  <c r="G404" i="13"/>
  <c r="H404" i="13"/>
  <c r="I404" i="13"/>
  <c r="J404" i="13"/>
  <c r="K404" i="13"/>
  <c r="L404" i="13"/>
  <c r="M404" i="13"/>
  <c r="N404" i="13"/>
  <c r="O404" i="13"/>
  <c r="P404" i="13"/>
  <c r="Q404" i="13"/>
  <c r="F404" i="13"/>
  <c r="E391" i="12"/>
  <c r="G408" i="13"/>
  <c r="H408" i="13"/>
  <c r="I408" i="13"/>
  <c r="J408" i="13"/>
  <c r="K408" i="13"/>
  <c r="L408" i="13"/>
  <c r="M408" i="13"/>
  <c r="N408" i="13"/>
  <c r="O408" i="13"/>
  <c r="P408" i="13"/>
  <c r="Q408" i="13"/>
  <c r="F408" i="13"/>
  <c r="G405" i="13"/>
  <c r="H405" i="13"/>
  <c r="I405" i="13"/>
  <c r="J405" i="13"/>
  <c r="K405" i="13"/>
  <c r="L405" i="13"/>
  <c r="M405" i="13"/>
  <c r="N405" i="13"/>
  <c r="O405" i="13"/>
  <c r="P405" i="13"/>
  <c r="Q405" i="13"/>
  <c r="F405" i="13"/>
  <c r="E377" i="13"/>
  <c r="H359" i="13"/>
  <c r="H364" i="13" s="1"/>
  <c r="I359" i="13"/>
  <c r="I364" i="13" s="1"/>
  <c r="J359" i="13"/>
  <c r="J364" i="13" s="1"/>
  <c r="K359" i="13"/>
  <c r="K364" i="13" s="1"/>
  <c r="L359" i="13"/>
  <c r="L364" i="13" s="1"/>
  <c r="M359" i="13"/>
  <c r="M364" i="13" s="1"/>
  <c r="N359" i="13"/>
  <c r="N364" i="13" s="1"/>
  <c r="O359" i="13"/>
  <c r="O364" i="13" s="1"/>
  <c r="P359" i="13"/>
  <c r="P364" i="13" s="1"/>
  <c r="Q359" i="13"/>
  <c r="Q364" i="13" s="1"/>
  <c r="G359" i="13"/>
  <c r="G364" i="13" s="1"/>
  <c r="F359" i="13"/>
  <c r="F364" i="13" s="1"/>
  <c r="G348" i="13"/>
  <c r="H348" i="13"/>
  <c r="I348" i="13"/>
  <c r="J348" i="13"/>
  <c r="K348" i="13"/>
  <c r="L348" i="13"/>
  <c r="M348" i="13"/>
  <c r="N348" i="13"/>
  <c r="O348" i="13"/>
  <c r="P348" i="13"/>
  <c r="Q348" i="13"/>
  <c r="F348" i="13"/>
  <c r="E337" i="12"/>
  <c r="G352" i="13"/>
  <c r="H352" i="13"/>
  <c r="I352" i="13"/>
  <c r="J352" i="13"/>
  <c r="K352" i="13"/>
  <c r="L352" i="13"/>
  <c r="M352" i="13"/>
  <c r="N352" i="13"/>
  <c r="O352" i="13"/>
  <c r="P352" i="13"/>
  <c r="Q352" i="13"/>
  <c r="F352" i="13"/>
  <c r="G349" i="13"/>
  <c r="H349" i="13"/>
  <c r="I349" i="13"/>
  <c r="J349" i="13"/>
  <c r="K349" i="13"/>
  <c r="L349" i="13"/>
  <c r="M349" i="13"/>
  <c r="N349" i="13"/>
  <c r="O349" i="13"/>
  <c r="P349" i="13"/>
  <c r="Q349" i="13"/>
  <c r="F349" i="13"/>
  <c r="E321" i="13"/>
  <c r="G292" i="13"/>
  <c r="H292" i="13"/>
  <c r="I292" i="13"/>
  <c r="J292" i="13"/>
  <c r="K292" i="13"/>
  <c r="L292" i="13"/>
  <c r="M292" i="13"/>
  <c r="N292" i="13"/>
  <c r="O292" i="13"/>
  <c r="P292" i="13"/>
  <c r="Q292" i="13"/>
  <c r="F292" i="13"/>
  <c r="H308" i="13"/>
  <c r="P308" i="13"/>
  <c r="G303" i="13"/>
  <c r="G308" i="13" s="1"/>
  <c r="H303" i="13"/>
  <c r="I303" i="13"/>
  <c r="I308" i="13" s="1"/>
  <c r="J303" i="13"/>
  <c r="J308" i="13" s="1"/>
  <c r="K303" i="13"/>
  <c r="K308" i="13" s="1"/>
  <c r="L303" i="13"/>
  <c r="L308" i="13" s="1"/>
  <c r="M303" i="13"/>
  <c r="M308" i="13" s="1"/>
  <c r="N303" i="13"/>
  <c r="N308" i="13" s="1"/>
  <c r="O303" i="13"/>
  <c r="O308" i="13" s="1"/>
  <c r="P303" i="13"/>
  <c r="Q303" i="13"/>
  <c r="Q308" i="13" s="1"/>
  <c r="F303" i="13"/>
  <c r="F308" i="13" s="1"/>
  <c r="G296" i="13"/>
  <c r="H296" i="13"/>
  <c r="I296" i="13"/>
  <c r="J296" i="13"/>
  <c r="K296" i="13"/>
  <c r="L296" i="13"/>
  <c r="M296" i="13"/>
  <c r="N296" i="13"/>
  <c r="O296" i="13"/>
  <c r="P296" i="13"/>
  <c r="Q296" i="13"/>
  <c r="F296" i="13"/>
  <c r="G293" i="13"/>
  <c r="H293" i="13"/>
  <c r="I293" i="13"/>
  <c r="J293" i="13"/>
  <c r="K293" i="13"/>
  <c r="L293" i="13"/>
  <c r="M293" i="13"/>
  <c r="N293" i="13"/>
  <c r="O293" i="13"/>
  <c r="P293" i="13"/>
  <c r="Q293" i="13"/>
  <c r="F293" i="13"/>
  <c r="E265" i="13"/>
  <c r="G247" i="13"/>
  <c r="G252" i="13" s="1"/>
  <c r="H247" i="13"/>
  <c r="H252" i="13" s="1"/>
  <c r="I247" i="13"/>
  <c r="I252" i="13" s="1"/>
  <c r="J247" i="13"/>
  <c r="J252" i="13" s="1"/>
  <c r="K247" i="13"/>
  <c r="K252" i="13" s="1"/>
  <c r="L247" i="13"/>
  <c r="L252" i="13" s="1"/>
  <c r="M247" i="13"/>
  <c r="M252" i="13" s="1"/>
  <c r="N247" i="13"/>
  <c r="N252" i="13" s="1"/>
  <c r="O247" i="13"/>
  <c r="O252" i="13" s="1"/>
  <c r="P247" i="13"/>
  <c r="P252" i="13" s="1"/>
  <c r="Q247" i="13"/>
  <c r="Q252" i="13" s="1"/>
  <c r="F247" i="13"/>
  <c r="F252" i="13" s="1"/>
  <c r="G236" i="13"/>
  <c r="H236" i="13"/>
  <c r="I236" i="13"/>
  <c r="J236" i="13"/>
  <c r="K236" i="13"/>
  <c r="L236" i="13"/>
  <c r="M236" i="13"/>
  <c r="N236" i="13"/>
  <c r="O236" i="13"/>
  <c r="P236" i="13"/>
  <c r="Q236" i="13"/>
  <c r="F236" i="13"/>
  <c r="G240" i="13"/>
  <c r="H240" i="13"/>
  <c r="I240" i="13"/>
  <c r="J240" i="13"/>
  <c r="K240" i="13"/>
  <c r="L240" i="13"/>
  <c r="M240" i="13"/>
  <c r="N240" i="13"/>
  <c r="O240" i="13"/>
  <c r="P240" i="13"/>
  <c r="Q240" i="13"/>
  <c r="F240" i="13"/>
  <c r="G237" i="13"/>
  <c r="H237" i="13"/>
  <c r="I237" i="13"/>
  <c r="J237" i="13"/>
  <c r="K237" i="13"/>
  <c r="L237" i="13"/>
  <c r="M237" i="13"/>
  <c r="N237" i="13"/>
  <c r="O237" i="13"/>
  <c r="P237" i="13"/>
  <c r="Q237" i="13"/>
  <c r="F237" i="13"/>
  <c r="E208" i="13"/>
  <c r="G179" i="13"/>
  <c r="H179" i="13"/>
  <c r="I179" i="13"/>
  <c r="J179" i="13"/>
  <c r="K179" i="13"/>
  <c r="L179" i="13"/>
  <c r="M179" i="13"/>
  <c r="N179" i="13"/>
  <c r="O179" i="13"/>
  <c r="P179" i="13"/>
  <c r="Q179" i="13"/>
  <c r="F179" i="13"/>
  <c r="K195" i="13"/>
  <c r="M195" i="13"/>
  <c r="O195" i="13"/>
  <c r="H190" i="13"/>
  <c r="H195" i="13" s="1"/>
  <c r="I190" i="13"/>
  <c r="I195" i="13" s="1"/>
  <c r="J190" i="13"/>
  <c r="J195" i="13" s="1"/>
  <c r="K190" i="13"/>
  <c r="L190" i="13"/>
  <c r="L195" i="13" s="1"/>
  <c r="M190" i="13"/>
  <c r="N190" i="13"/>
  <c r="N195" i="13" s="1"/>
  <c r="O190" i="13"/>
  <c r="P190" i="13"/>
  <c r="P195" i="13" s="1"/>
  <c r="Q190" i="13"/>
  <c r="Q195" i="13" s="1"/>
  <c r="G190" i="13"/>
  <c r="G195" i="13" s="1"/>
  <c r="F190" i="13"/>
  <c r="F195" i="13" s="1"/>
  <c r="G183" i="13"/>
  <c r="H183" i="13"/>
  <c r="I183" i="13"/>
  <c r="J183" i="13"/>
  <c r="K183" i="13"/>
  <c r="L183" i="13"/>
  <c r="M183" i="13"/>
  <c r="N183" i="13"/>
  <c r="O183" i="13"/>
  <c r="P183" i="13"/>
  <c r="Q183" i="13"/>
  <c r="F183" i="13"/>
  <c r="G180" i="13"/>
  <c r="H180" i="13"/>
  <c r="I180" i="13"/>
  <c r="J180" i="13"/>
  <c r="K180" i="13"/>
  <c r="L180" i="13"/>
  <c r="M180" i="13"/>
  <c r="N180" i="13"/>
  <c r="O180" i="13"/>
  <c r="P180" i="13"/>
  <c r="Q180" i="13"/>
  <c r="F180" i="13"/>
  <c r="E152" i="13"/>
  <c r="G123" i="13"/>
  <c r="H123" i="13"/>
  <c r="I123" i="13"/>
  <c r="J123" i="13"/>
  <c r="K123" i="13"/>
  <c r="L123" i="13"/>
  <c r="M123" i="13"/>
  <c r="N123" i="13"/>
  <c r="O123" i="13"/>
  <c r="P123" i="13"/>
  <c r="Q123" i="13"/>
  <c r="F123" i="13"/>
  <c r="M139" i="13"/>
  <c r="N139" i="13"/>
  <c r="G134" i="13"/>
  <c r="G139" i="13" s="1"/>
  <c r="H134" i="13"/>
  <c r="H139" i="13" s="1"/>
  <c r="I134" i="13"/>
  <c r="I139" i="13" s="1"/>
  <c r="J134" i="13"/>
  <c r="J139" i="13" s="1"/>
  <c r="K134" i="13"/>
  <c r="K139" i="13" s="1"/>
  <c r="L134" i="13"/>
  <c r="L139" i="13" s="1"/>
  <c r="M134" i="13"/>
  <c r="N134" i="13"/>
  <c r="O134" i="13"/>
  <c r="O139" i="13" s="1"/>
  <c r="P134" i="13"/>
  <c r="P139" i="13" s="1"/>
  <c r="Q134" i="13"/>
  <c r="Q139" i="13" s="1"/>
  <c r="F134" i="13"/>
  <c r="F139" i="13" s="1"/>
  <c r="G127" i="13"/>
  <c r="H127" i="13"/>
  <c r="I127" i="13"/>
  <c r="J127" i="13"/>
  <c r="K127" i="13"/>
  <c r="L127" i="13"/>
  <c r="M127" i="13"/>
  <c r="N127" i="13"/>
  <c r="O127" i="13"/>
  <c r="P127" i="13"/>
  <c r="Q127" i="13"/>
  <c r="F127" i="13"/>
  <c r="G124" i="13"/>
  <c r="H124" i="13"/>
  <c r="I124" i="13"/>
  <c r="J124" i="13"/>
  <c r="K124" i="13"/>
  <c r="L124" i="13"/>
  <c r="M124" i="13"/>
  <c r="N124" i="13"/>
  <c r="O124" i="13"/>
  <c r="P124" i="13"/>
  <c r="Q124" i="13"/>
  <c r="F124" i="13"/>
  <c r="E95" i="13"/>
  <c r="G63" i="13"/>
  <c r="H63" i="13"/>
  <c r="I63" i="13"/>
  <c r="J63" i="13"/>
  <c r="K63" i="13"/>
  <c r="L63" i="13"/>
  <c r="M63" i="13"/>
  <c r="N63" i="13"/>
  <c r="O63" i="13"/>
  <c r="P63" i="13"/>
  <c r="Q63" i="13"/>
  <c r="F63" i="13"/>
  <c r="G66" i="13"/>
  <c r="H66" i="13"/>
  <c r="I66" i="13"/>
  <c r="J66" i="13"/>
  <c r="K66" i="13"/>
  <c r="L66" i="13"/>
  <c r="M66" i="13"/>
  <c r="N66" i="13"/>
  <c r="O66" i="13"/>
  <c r="P66" i="13"/>
  <c r="Q66" i="13"/>
  <c r="F66" i="13"/>
  <c r="G77" i="13"/>
  <c r="G82" i="13" s="1"/>
  <c r="H77" i="13"/>
  <c r="H82" i="13" s="1"/>
  <c r="I77" i="13"/>
  <c r="J77" i="13"/>
  <c r="K77" i="13"/>
  <c r="L77" i="13"/>
  <c r="M77" i="13"/>
  <c r="M82" i="13" s="1"/>
  <c r="N77" i="13"/>
  <c r="N82" i="13" s="1"/>
  <c r="O77" i="13"/>
  <c r="O82" i="13" s="1"/>
  <c r="P77" i="13"/>
  <c r="P82" i="13" s="1"/>
  <c r="Q77" i="13"/>
  <c r="F77" i="13"/>
  <c r="F82" i="13" s="1"/>
  <c r="I82" i="13"/>
  <c r="J82" i="13"/>
  <c r="K82" i="13"/>
  <c r="L82" i="13"/>
  <c r="Q82" i="13"/>
  <c r="G70" i="13"/>
  <c r="H70" i="13"/>
  <c r="I70" i="13"/>
  <c r="J70" i="13"/>
  <c r="K70" i="13"/>
  <c r="L70" i="13"/>
  <c r="M70" i="13"/>
  <c r="N70" i="13"/>
  <c r="O70" i="13"/>
  <c r="P70" i="13"/>
  <c r="Q70" i="13"/>
  <c r="F70" i="13"/>
  <c r="G67" i="13"/>
  <c r="H67" i="13"/>
  <c r="I67" i="13"/>
  <c r="J67" i="13"/>
  <c r="K67" i="13"/>
  <c r="L67" i="13"/>
  <c r="M67" i="13"/>
  <c r="N67" i="13"/>
  <c r="O67" i="13"/>
  <c r="P67" i="13"/>
  <c r="Q67" i="13"/>
  <c r="F67" i="13"/>
  <c r="E39" i="13"/>
  <c r="G10" i="13"/>
  <c r="H10" i="13"/>
  <c r="I10" i="13"/>
  <c r="J10" i="13"/>
  <c r="K10" i="13"/>
  <c r="L10" i="13"/>
  <c r="M10" i="13"/>
  <c r="N10" i="13"/>
  <c r="O10" i="13"/>
  <c r="P10" i="13"/>
  <c r="Q10" i="13"/>
  <c r="F10" i="13"/>
  <c r="G14" i="13"/>
  <c r="H14" i="13"/>
  <c r="I14" i="13"/>
  <c r="J14" i="13"/>
  <c r="K14" i="13"/>
  <c r="L14" i="13"/>
  <c r="M14" i="13"/>
  <c r="N14" i="13"/>
  <c r="O14" i="13"/>
  <c r="P14" i="13"/>
  <c r="Q14" i="13"/>
  <c r="F14" i="13"/>
  <c r="G11" i="13"/>
  <c r="H11" i="13"/>
  <c r="I11" i="13"/>
  <c r="J11" i="13"/>
  <c r="K11" i="13"/>
  <c r="L11" i="13"/>
  <c r="M11" i="13"/>
  <c r="N11" i="13"/>
  <c r="O11" i="13"/>
  <c r="P11" i="13"/>
  <c r="Q11" i="13"/>
  <c r="F11" i="13"/>
  <c r="H839" i="12"/>
  <c r="I839" i="12"/>
  <c r="J839" i="12"/>
  <c r="K839" i="12"/>
  <c r="L839" i="12"/>
  <c r="M839" i="12"/>
  <c r="N839" i="12"/>
  <c r="N844" i="12" s="1"/>
  <c r="O839" i="12"/>
  <c r="P839" i="12"/>
  <c r="Q839" i="12"/>
  <c r="G839" i="12"/>
  <c r="F839" i="12"/>
  <c r="E827" i="12"/>
  <c r="E830" i="12"/>
  <c r="E829" i="12"/>
  <c r="G785" i="12"/>
  <c r="H785" i="12"/>
  <c r="I785" i="12"/>
  <c r="J785" i="12"/>
  <c r="K785" i="12"/>
  <c r="L785" i="12"/>
  <c r="M785" i="12"/>
  <c r="N785" i="12"/>
  <c r="N790" i="12" s="1"/>
  <c r="O785" i="12"/>
  <c r="P785" i="12"/>
  <c r="Q785" i="12"/>
  <c r="F785" i="12"/>
  <c r="E773" i="12"/>
  <c r="E776" i="12"/>
  <c r="E775" i="12"/>
  <c r="E719" i="12"/>
  <c r="E722" i="12"/>
  <c r="E721" i="12"/>
  <c r="G676" i="12"/>
  <c r="H676" i="12"/>
  <c r="I676" i="12"/>
  <c r="J676" i="12"/>
  <c r="K676" i="12"/>
  <c r="L676" i="12"/>
  <c r="M676" i="12"/>
  <c r="N676" i="12"/>
  <c r="N681" i="12" s="1"/>
  <c r="O676" i="12"/>
  <c r="P676" i="12"/>
  <c r="Q676" i="12"/>
  <c r="F676" i="12"/>
  <c r="E664" i="12"/>
  <c r="E667" i="12"/>
  <c r="E666" i="12"/>
  <c r="G622" i="12"/>
  <c r="H622" i="12"/>
  <c r="I622" i="12"/>
  <c r="J622" i="12"/>
  <c r="K622" i="12"/>
  <c r="L622" i="12"/>
  <c r="M622" i="12"/>
  <c r="N622" i="12"/>
  <c r="N627" i="12" s="1"/>
  <c r="O622" i="12"/>
  <c r="P622" i="12"/>
  <c r="Q622" i="12"/>
  <c r="F622" i="12"/>
  <c r="E610" i="12"/>
  <c r="E613" i="12"/>
  <c r="E612" i="12"/>
  <c r="G567" i="12"/>
  <c r="H567" i="12"/>
  <c r="I567" i="12"/>
  <c r="J567" i="12"/>
  <c r="K567" i="12"/>
  <c r="L567" i="12"/>
  <c r="M567" i="12"/>
  <c r="N567" i="12"/>
  <c r="N572" i="12" s="1"/>
  <c r="O567" i="12"/>
  <c r="P567" i="12"/>
  <c r="Q567" i="12"/>
  <c r="F567" i="12"/>
  <c r="E555" i="12"/>
  <c r="E558" i="12"/>
  <c r="E557" i="12"/>
  <c r="G513" i="12"/>
  <c r="H513" i="12"/>
  <c r="I513" i="12"/>
  <c r="J513" i="12"/>
  <c r="K513" i="12"/>
  <c r="L513" i="12"/>
  <c r="M513" i="12"/>
  <c r="N513" i="12"/>
  <c r="N518" i="12" s="1"/>
  <c r="O513" i="12"/>
  <c r="P513" i="12"/>
  <c r="Q513" i="12"/>
  <c r="F513" i="12"/>
  <c r="E504" i="12"/>
  <c r="E503" i="12"/>
  <c r="G458" i="12"/>
  <c r="H458" i="12"/>
  <c r="I458" i="12"/>
  <c r="J458" i="12"/>
  <c r="K458" i="12"/>
  <c r="L458" i="12"/>
  <c r="M458" i="12"/>
  <c r="N458" i="12"/>
  <c r="N463" i="12" s="1"/>
  <c r="O458" i="12"/>
  <c r="P458" i="12"/>
  <c r="Q458" i="12"/>
  <c r="F458" i="12"/>
  <c r="E446" i="12"/>
  <c r="E449" i="12"/>
  <c r="E448" i="12"/>
  <c r="G403" i="12"/>
  <c r="H403" i="12"/>
  <c r="I403" i="12"/>
  <c r="J403" i="12"/>
  <c r="K403" i="12"/>
  <c r="L403" i="12"/>
  <c r="M403" i="12"/>
  <c r="N403" i="12"/>
  <c r="N408" i="12" s="1"/>
  <c r="O403" i="12"/>
  <c r="P403" i="12"/>
  <c r="Q403" i="12"/>
  <c r="F403" i="12"/>
  <c r="E394" i="12"/>
  <c r="E396" i="12" s="1"/>
  <c r="E393" i="12"/>
  <c r="E395" i="12" s="1"/>
  <c r="F395" i="12"/>
  <c r="G395" i="12"/>
  <c r="H395" i="12"/>
  <c r="I395" i="12"/>
  <c r="J395" i="12"/>
  <c r="K395" i="12"/>
  <c r="L395" i="12"/>
  <c r="M395" i="12"/>
  <c r="N395" i="12"/>
  <c r="O395" i="12"/>
  <c r="P395" i="12"/>
  <c r="Q395" i="12"/>
  <c r="F396" i="12"/>
  <c r="G396" i="12"/>
  <c r="H396" i="12"/>
  <c r="I396" i="12"/>
  <c r="J396" i="12"/>
  <c r="K396" i="12"/>
  <c r="L396" i="12"/>
  <c r="M396" i="12"/>
  <c r="N396" i="12"/>
  <c r="O396" i="12"/>
  <c r="P396" i="12"/>
  <c r="Q396" i="12"/>
  <c r="G349" i="12"/>
  <c r="H349" i="12"/>
  <c r="I349" i="12"/>
  <c r="J349" i="12"/>
  <c r="K349" i="12"/>
  <c r="L349" i="12"/>
  <c r="M349" i="12"/>
  <c r="N349" i="12"/>
  <c r="N354" i="12" s="1"/>
  <c r="O349" i="12"/>
  <c r="P349" i="12"/>
  <c r="Q349" i="12"/>
  <c r="F349" i="12"/>
  <c r="E340" i="12"/>
  <c r="E339" i="12"/>
  <c r="H295" i="12"/>
  <c r="I295" i="12"/>
  <c r="J295" i="12"/>
  <c r="K295" i="12"/>
  <c r="L295" i="12"/>
  <c r="M295" i="12"/>
  <c r="N295" i="12"/>
  <c r="N300" i="12" s="1"/>
  <c r="O295" i="12"/>
  <c r="P295" i="12"/>
  <c r="Q295" i="12"/>
  <c r="G295" i="12"/>
  <c r="F295" i="12"/>
  <c r="E283" i="12"/>
  <c r="E286" i="12"/>
  <c r="E285" i="12"/>
  <c r="G241" i="12"/>
  <c r="H241" i="12"/>
  <c r="I241" i="12"/>
  <c r="J241" i="12"/>
  <c r="K241" i="12"/>
  <c r="L241" i="12"/>
  <c r="M241" i="12"/>
  <c r="N241" i="12"/>
  <c r="N246" i="12" s="1"/>
  <c r="O241" i="12"/>
  <c r="P241" i="12"/>
  <c r="Q241" i="12"/>
  <c r="F241" i="12"/>
  <c r="E229" i="12"/>
  <c r="E232" i="12"/>
  <c r="E231" i="12"/>
  <c r="G186" i="12"/>
  <c r="H186" i="12"/>
  <c r="I186" i="12"/>
  <c r="J186" i="12"/>
  <c r="K186" i="12"/>
  <c r="L186" i="12"/>
  <c r="M186" i="12"/>
  <c r="N186" i="12"/>
  <c r="N191" i="12" s="1"/>
  <c r="O186" i="12"/>
  <c r="P186" i="12"/>
  <c r="Q186" i="12"/>
  <c r="F186" i="12"/>
  <c r="E174" i="12"/>
  <c r="E177" i="12"/>
  <c r="E176" i="12"/>
  <c r="G132" i="12"/>
  <c r="H132" i="12"/>
  <c r="I132" i="12"/>
  <c r="J132" i="12"/>
  <c r="K132" i="12"/>
  <c r="L132" i="12"/>
  <c r="M132" i="12"/>
  <c r="N132" i="12"/>
  <c r="N137" i="12" s="1"/>
  <c r="O132" i="12"/>
  <c r="P132" i="12"/>
  <c r="Q132" i="12"/>
  <c r="F132" i="12"/>
  <c r="F22" i="12"/>
  <c r="E120" i="12"/>
  <c r="E123" i="12"/>
  <c r="E122" i="12"/>
  <c r="H77" i="12"/>
  <c r="I77" i="12"/>
  <c r="J77" i="12"/>
  <c r="K77" i="12"/>
  <c r="L77" i="12"/>
  <c r="M77" i="12"/>
  <c r="N77" i="12"/>
  <c r="N82" i="12" s="1"/>
  <c r="O77" i="12"/>
  <c r="P77" i="12"/>
  <c r="Q77" i="12"/>
  <c r="G77" i="12"/>
  <c r="F77" i="12"/>
  <c r="E65" i="12"/>
  <c r="E68" i="12"/>
  <c r="E67" i="12"/>
  <c r="E10" i="12"/>
  <c r="E13" i="12"/>
  <c r="E12" i="12"/>
  <c r="E753" i="15" l="1"/>
  <c r="K751" i="15" s="1"/>
  <c r="K750" i="15" s="1"/>
  <c r="E696" i="15"/>
  <c r="K694" i="15" s="1"/>
  <c r="K693" i="15" s="1"/>
  <c r="E640" i="15"/>
  <c r="K638" i="15" s="1"/>
  <c r="K637" i="15" s="1"/>
  <c r="E470" i="15"/>
  <c r="K468" i="15" s="1"/>
  <c r="K467" i="15" s="1"/>
  <c r="E403" i="12"/>
  <c r="E870" i="5" l="1"/>
  <c r="O866" i="5"/>
  <c r="P866" i="5"/>
  <c r="Q866" i="5"/>
  <c r="N866" i="5"/>
  <c r="O855" i="5"/>
  <c r="P855" i="5"/>
  <c r="Q855" i="5"/>
  <c r="N855" i="5"/>
  <c r="E828" i="5"/>
  <c r="O810" i="5"/>
  <c r="P810" i="5"/>
  <c r="Q810" i="5"/>
  <c r="N810" i="5"/>
  <c r="O799" i="5"/>
  <c r="P799" i="5"/>
  <c r="Q799" i="5"/>
  <c r="N799" i="5"/>
  <c r="E802" i="5"/>
  <c r="E772" i="5"/>
  <c r="O754" i="5"/>
  <c r="P754" i="5"/>
  <c r="Q754" i="5"/>
  <c r="N754" i="5"/>
  <c r="O743" i="5"/>
  <c r="P743" i="5"/>
  <c r="Q743" i="5"/>
  <c r="N743" i="5"/>
  <c r="E746" i="5"/>
  <c r="E715" i="5"/>
  <c r="E701" i="5"/>
  <c r="O697" i="5"/>
  <c r="P697" i="5"/>
  <c r="Q697" i="5"/>
  <c r="N697" i="5"/>
  <c r="O686" i="5"/>
  <c r="P686" i="5"/>
  <c r="Q686" i="5"/>
  <c r="N686" i="5"/>
  <c r="E689" i="5"/>
  <c r="E659" i="5"/>
  <c r="E645" i="5"/>
  <c r="O641" i="5"/>
  <c r="P641" i="5"/>
  <c r="Q641" i="5"/>
  <c r="N641" i="5"/>
  <c r="O630" i="5"/>
  <c r="P630" i="5"/>
  <c r="Q630" i="5"/>
  <c r="N630" i="5"/>
  <c r="E633" i="5"/>
  <c r="E602" i="5"/>
  <c r="E588" i="5"/>
  <c r="O584" i="5"/>
  <c r="P584" i="5"/>
  <c r="Q584" i="5"/>
  <c r="N584" i="5"/>
  <c r="O573" i="5"/>
  <c r="P573" i="5"/>
  <c r="Q573" i="5"/>
  <c r="N573" i="5"/>
  <c r="E576" i="5"/>
  <c r="E546" i="5"/>
  <c r="E532" i="5"/>
  <c r="O528" i="5"/>
  <c r="P528" i="5"/>
  <c r="Q528" i="5"/>
  <c r="N528" i="5"/>
  <c r="E528" i="5" s="1"/>
  <c r="O517" i="5"/>
  <c r="P517" i="5"/>
  <c r="Q517" i="5"/>
  <c r="N517" i="5"/>
  <c r="E520" i="5"/>
  <c r="E489" i="5"/>
  <c r="E475" i="5"/>
  <c r="O471" i="5"/>
  <c r="P471" i="5"/>
  <c r="Q471" i="5"/>
  <c r="N471" i="5"/>
  <c r="E471" i="5" s="1"/>
  <c r="E463" i="5"/>
  <c r="O460" i="5"/>
  <c r="P460" i="5"/>
  <c r="E460" i="5" s="1"/>
  <c r="Q460" i="5"/>
  <c r="N460" i="5"/>
  <c r="E433" i="5"/>
  <c r="E419" i="5"/>
  <c r="O404" i="5"/>
  <c r="P404" i="5"/>
  <c r="Q404" i="5"/>
  <c r="N404" i="5"/>
  <c r="E363" i="5"/>
  <c r="O359" i="5"/>
  <c r="P359" i="5"/>
  <c r="Q359" i="5"/>
  <c r="N359" i="5"/>
  <c r="E359" i="5" s="1"/>
  <c r="O348" i="5"/>
  <c r="P348" i="5"/>
  <c r="Q348" i="5"/>
  <c r="E348" i="5" s="1"/>
  <c r="N348" i="5"/>
  <c r="E351" i="5"/>
  <c r="E321" i="5"/>
  <c r="E307" i="5"/>
  <c r="O303" i="5"/>
  <c r="P303" i="5"/>
  <c r="Q303" i="5"/>
  <c r="N303" i="5"/>
  <c r="E303" i="5" s="1"/>
  <c r="E295" i="5"/>
  <c r="O292" i="5"/>
  <c r="P292" i="5"/>
  <c r="Q292" i="5"/>
  <c r="N292" i="5"/>
  <c r="E292" i="5" s="1"/>
  <c r="E251" i="5"/>
  <c r="P247" i="5"/>
  <c r="Q247" i="5"/>
  <c r="O247" i="5"/>
  <c r="N247" i="5"/>
  <c r="O236" i="5"/>
  <c r="P236" i="5"/>
  <c r="Q236" i="5"/>
  <c r="N236" i="5"/>
  <c r="E208" i="5"/>
  <c r="O190" i="5"/>
  <c r="P190" i="5"/>
  <c r="Q190" i="5"/>
  <c r="N190" i="5"/>
  <c r="O179" i="5"/>
  <c r="E179" i="5" s="1"/>
  <c r="P179" i="5"/>
  <c r="Q179" i="5"/>
  <c r="N179" i="5"/>
  <c r="E182" i="5"/>
  <c r="E152" i="5"/>
  <c r="P134" i="5"/>
  <c r="Q134" i="5"/>
  <c r="O134" i="5"/>
  <c r="N134" i="5"/>
  <c r="O123" i="5"/>
  <c r="P123" i="5"/>
  <c r="Q123" i="5"/>
  <c r="N123" i="5"/>
  <c r="E95" i="5"/>
  <c r="O77" i="5"/>
  <c r="P77" i="5"/>
  <c r="Q77" i="5"/>
  <c r="N77" i="5"/>
  <c r="N21" i="5"/>
  <c r="E81" i="5"/>
  <c r="O66" i="5"/>
  <c r="P66" i="5"/>
  <c r="Q66" i="5"/>
  <c r="N66" i="5"/>
  <c r="E404" i="5" l="1"/>
  <c r="E743" i="5"/>
  <c r="E799" i="5"/>
  <c r="E686" i="5"/>
  <c r="E630" i="5"/>
  <c r="E573" i="5"/>
  <c r="E517" i="5"/>
  <c r="E77" i="5"/>
  <c r="E66" i="5"/>
  <c r="E13" i="5"/>
  <c r="O10" i="5" l="1"/>
  <c r="P10" i="5"/>
  <c r="Q10" i="5"/>
  <c r="N10" i="5"/>
  <c r="E39" i="5"/>
  <c r="E10" i="5" l="1"/>
  <c r="E843" i="4"/>
  <c r="E830" i="4"/>
  <c r="E829" i="4"/>
  <c r="E827" i="4"/>
  <c r="E776" i="4"/>
  <c r="E775" i="4"/>
  <c r="E773" i="4"/>
  <c r="E722" i="4" l="1"/>
  <c r="E721" i="4"/>
  <c r="E719" i="4"/>
  <c r="E667" i="4"/>
  <c r="E666" i="4"/>
  <c r="E664" i="4"/>
  <c r="E613" i="4"/>
  <c r="E612" i="4"/>
  <c r="E610" i="4"/>
  <c r="E558" i="4"/>
  <c r="E557" i="4"/>
  <c r="E555" i="4"/>
  <c r="E504" i="4"/>
  <c r="E503" i="4"/>
  <c r="E501" i="4"/>
  <c r="E446" i="4"/>
  <c r="E449" i="4"/>
  <c r="E448" i="4"/>
  <c r="E391" i="4"/>
  <c r="E394" i="4"/>
  <c r="E393" i="4"/>
  <c r="E337" i="4"/>
  <c r="E340" i="4"/>
  <c r="E339" i="4"/>
  <c r="N230" i="4"/>
  <c r="O230" i="4"/>
  <c r="P230" i="4"/>
  <c r="Q230" i="4"/>
  <c r="N233" i="4"/>
  <c r="O233" i="4"/>
  <c r="P233" i="4"/>
  <c r="Q233" i="4"/>
  <c r="N234" i="4"/>
  <c r="N240" i="5" s="1"/>
  <c r="O234" i="4"/>
  <c r="P234" i="4"/>
  <c r="Q234" i="4"/>
  <c r="E286" i="4"/>
  <c r="E285" i="4"/>
  <c r="E283" i="4"/>
  <c r="N287" i="4"/>
  <c r="N288" i="4"/>
  <c r="E232" i="4"/>
  <c r="E231" i="4"/>
  <c r="E229" i="4"/>
  <c r="E245" i="4"/>
  <c r="N252" i="5" l="1"/>
  <c r="E230" i="4"/>
  <c r="E257" i="4" s="1"/>
  <c r="E251" i="4" s="1"/>
  <c r="E190" i="4"/>
  <c r="E177" i="4"/>
  <c r="E176" i="4"/>
  <c r="E174" i="4"/>
  <c r="E123" i="4"/>
  <c r="E122" i="4"/>
  <c r="E120" i="4"/>
  <c r="E68" i="4"/>
  <c r="E67" i="4"/>
  <c r="E65" i="4"/>
  <c r="E10" i="4"/>
  <c r="E13" i="4"/>
  <c r="E12" i="4"/>
  <c r="E136" i="4" l="1"/>
  <c r="E898" i="15" l="1"/>
  <c r="E897" i="15"/>
  <c r="E896" i="15"/>
  <c r="E894" i="15"/>
  <c r="E891" i="15"/>
  <c r="E886" i="15"/>
  <c r="E883" i="15" s="1"/>
  <c r="E842" i="15"/>
  <c r="E841" i="15"/>
  <c r="E840" i="15"/>
  <c r="E838" i="15"/>
  <c r="E830" i="15"/>
  <c r="E827" i="15" s="1"/>
  <c r="E786" i="15"/>
  <c r="E785" i="15"/>
  <c r="E784" i="15"/>
  <c r="E782" i="15"/>
  <c r="E774" i="15"/>
  <c r="E771" i="15" s="1"/>
  <c r="E729" i="15"/>
  <c r="E728" i="15"/>
  <c r="E727" i="15"/>
  <c r="E725" i="15"/>
  <c r="E717" i="15"/>
  <c r="E714" i="15" s="1"/>
  <c r="E673" i="15"/>
  <c r="E672" i="15"/>
  <c r="E671" i="15"/>
  <c r="E669" i="15"/>
  <c r="E661" i="15"/>
  <c r="E658" i="15" s="1"/>
  <c r="E616" i="15"/>
  <c r="E615" i="15"/>
  <c r="E614" i="15"/>
  <c r="E612" i="15"/>
  <c r="E604" i="15"/>
  <c r="E601" i="15"/>
  <c r="E560" i="15"/>
  <c r="E559" i="15"/>
  <c r="E558" i="15"/>
  <c r="E556" i="15"/>
  <c r="E553" i="15"/>
  <c r="E548" i="15"/>
  <c r="E545" i="15" s="1"/>
  <c r="E503" i="15"/>
  <c r="E502" i="15"/>
  <c r="E501" i="15"/>
  <c r="E499" i="15"/>
  <c r="E491" i="15"/>
  <c r="E488" i="15"/>
  <c r="E447" i="15"/>
  <c r="E446" i="15"/>
  <c r="E445" i="15"/>
  <c r="E443" i="15"/>
  <c r="E440" i="15"/>
  <c r="E435" i="15"/>
  <c r="E432" i="15"/>
  <c r="E391" i="15"/>
  <c r="E390" i="15"/>
  <c r="E389" i="15"/>
  <c r="E387" i="15"/>
  <c r="E384" i="15"/>
  <c r="E379" i="15"/>
  <c r="E376" i="15" s="1"/>
  <c r="E335" i="15"/>
  <c r="E334" i="15"/>
  <c r="E333" i="15"/>
  <c r="E331" i="15"/>
  <c r="E323" i="15"/>
  <c r="E320" i="15" s="1"/>
  <c r="E279" i="15"/>
  <c r="E278" i="15"/>
  <c r="E277" i="15"/>
  <c r="E275" i="15"/>
  <c r="E267" i="15"/>
  <c r="E264" i="15"/>
  <c r="E222" i="15"/>
  <c r="E221" i="15"/>
  <c r="E220" i="15"/>
  <c r="E218" i="15"/>
  <c r="E210" i="15"/>
  <c r="E207" i="15" s="1"/>
  <c r="J190" i="15"/>
  <c r="J195" i="15" s="1"/>
  <c r="I190" i="15"/>
  <c r="I195" i="15" s="1"/>
  <c r="H190" i="15"/>
  <c r="H195" i="15" s="1"/>
  <c r="G190" i="15"/>
  <c r="G195" i="15" s="1"/>
  <c r="F190" i="15"/>
  <c r="E166" i="15"/>
  <c r="E165" i="15"/>
  <c r="E164" i="15"/>
  <c r="E162" i="15"/>
  <c r="E154" i="15"/>
  <c r="E151" i="15"/>
  <c r="E109" i="15"/>
  <c r="E108" i="15"/>
  <c r="E107" i="15"/>
  <c r="E105" i="15"/>
  <c r="E102" i="15"/>
  <c r="E97" i="15"/>
  <c r="E94" i="15"/>
  <c r="E53" i="15"/>
  <c r="E52" i="15"/>
  <c r="E51" i="15"/>
  <c r="E49" i="15"/>
  <c r="E41" i="15"/>
  <c r="J21" i="15"/>
  <c r="J26" i="15" s="1"/>
  <c r="I21" i="15"/>
  <c r="I26" i="15" s="1"/>
  <c r="H21" i="15"/>
  <c r="H26" i="15" s="1"/>
  <c r="G21" i="15"/>
  <c r="G26" i="15" s="1"/>
  <c r="F21" i="15"/>
  <c r="E860" i="14"/>
  <c r="E859" i="14"/>
  <c r="E858" i="14"/>
  <c r="E856" i="14"/>
  <c r="E854" i="14"/>
  <c r="E806" i="14"/>
  <c r="E805" i="14"/>
  <c r="E804" i="14"/>
  <c r="E802" i="14"/>
  <c r="E752" i="14"/>
  <c r="E751" i="14"/>
  <c r="E750" i="14"/>
  <c r="E748" i="14"/>
  <c r="E746" i="14"/>
  <c r="E745" i="14" s="1"/>
  <c r="E697" i="14"/>
  <c r="E696" i="14"/>
  <c r="E695" i="14"/>
  <c r="E693" i="14"/>
  <c r="E691" i="14" s="1"/>
  <c r="E643" i="14"/>
  <c r="E642" i="14"/>
  <c r="E641" i="14"/>
  <c r="E639" i="14"/>
  <c r="E637" i="14"/>
  <c r="E588" i="14"/>
  <c r="E587" i="14"/>
  <c r="E586" i="14"/>
  <c r="E584" i="14"/>
  <c r="E534" i="14"/>
  <c r="E533" i="14"/>
  <c r="E532" i="14"/>
  <c r="E530" i="14"/>
  <c r="E528" i="14"/>
  <c r="E479" i="14"/>
  <c r="E478" i="14"/>
  <c r="E477" i="14"/>
  <c r="E475" i="14"/>
  <c r="E473" i="14" s="1"/>
  <c r="E472" i="14" s="1"/>
  <c r="E424" i="14"/>
  <c r="E423" i="14"/>
  <c r="E422" i="14"/>
  <c r="E420" i="14"/>
  <c r="J408" i="15"/>
  <c r="J420" i="15" s="1"/>
  <c r="I408" i="15"/>
  <c r="I420" i="15" s="1"/>
  <c r="H408" i="15"/>
  <c r="H420" i="15" s="1"/>
  <c r="G408" i="15"/>
  <c r="G420" i="15" s="1"/>
  <c r="J405" i="15"/>
  <c r="I405" i="15"/>
  <c r="F405" i="15"/>
  <c r="E370" i="14"/>
  <c r="E369" i="14"/>
  <c r="E368" i="14"/>
  <c r="E366" i="14"/>
  <c r="E364" i="14" s="1"/>
  <c r="E316" i="14"/>
  <c r="E315" i="14"/>
  <c r="E314" i="14"/>
  <c r="E312" i="14"/>
  <c r="E310" i="14"/>
  <c r="E309" i="14" s="1"/>
  <c r="E262" i="14"/>
  <c r="E261" i="14"/>
  <c r="E260" i="14"/>
  <c r="E258" i="14"/>
  <c r="E256" i="14" s="1"/>
  <c r="E255" i="14" s="1"/>
  <c r="E207" i="14"/>
  <c r="E206" i="14"/>
  <c r="E205" i="14"/>
  <c r="E203" i="14"/>
  <c r="E153" i="14"/>
  <c r="E152" i="14"/>
  <c r="E151" i="14"/>
  <c r="E149" i="14"/>
  <c r="E98" i="14"/>
  <c r="E97" i="14"/>
  <c r="E96" i="14"/>
  <c r="E94" i="14"/>
  <c r="E92" i="14" s="1"/>
  <c r="E43" i="14"/>
  <c r="E42" i="14"/>
  <c r="E41" i="14"/>
  <c r="E39" i="14"/>
  <c r="E37" i="14" s="1"/>
  <c r="E36" i="14" s="1"/>
  <c r="I22" i="14"/>
  <c r="H22" i="14"/>
  <c r="G22" i="14"/>
  <c r="F22" i="14"/>
  <c r="E898" i="13"/>
  <c r="E897" i="13"/>
  <c r="E896" i="13"/>
  <c r="E894" i="13"/>
  <c r="E891" i="13"/>
  <c r="E886" i="13"/>
  <c r="E883" i="13" s="1"/>
  <c r="E870" i="13"/>
  <c r="E858" i="13"/>
  <c r="E842" i="13"/>
  <c r="E841" i="13"/>
  <c r="E840" i="13"/>
  <c r="E838" i="13"/>
  <c r="E830" i="13"/>
  <c r="E827" i="13"/>
  <c r="E814" i="13"/>
  <c r="E802" i="13"/>
  <c r="E799" i="13"/>
  <c r="E786" i="13"/>
  <c r="E785" i="13"/>
  <c r="E784" i="13"/>
  <c r="E782" i="13"/>
  <c r="E774" i="13"/>
  <c r="E771" i="13" s="1"/>
  <c r="E758" i="13"/>
  <c r="E746" i="13"/>
  <c r="E729" i="13"/>
  <c r="E728" i="13"/>
  <c r="E727" i="13"/>
  <c r="E725" i="13"/>
  <c r="E717" i="13"/>
  <c r="E714" i="13" s="1"/>
  <c r="E701" i="13"/>
  <c r="E673" i="13"/>
  <c r="E672" i="13"/>
  <c r="E671" i="13"/>
  <c r="E669" i="13"/>
  <c r="E661" i="13"/>
  <c r="E658" i="13" s="1"/>
  <c r="E645" i="13"/>
  <c r="E616" i="13"/>
  <c r="E615" i="13"/>
  <c r="E614" i="13"/>
  <c r="E612" i="13"/>
  <c r="E609" i="13"/>
  <c r="E604" i="13"/>
  <c r="E601" i="13"/>
  <c r="E588" i="13"/>
  <c r="E573" i="13"/>
  <c r="E560" i="13"/>
  <c r="E559" i="13"/>
  <c r="E558" i="13"/>
  <c r="E556" i="13"/>
  <c r="E553" i="13"/>
  <c r="E548" i="13"/>
  <c r="E545" i="13" s="1"/>
  <c r="E532" i="13"/>
  <c r="E503" i="13"/>
  <c r="E502" i="13"/>
  <c r="E501" i="13"/>
  <c r="E499" i="13"/>
  <c r="E491" i="13"/>
  <c r="E488" i="13"/>
  <c r="E475" i="13"/>
  <c r="E447" i="13"/>
  <c r="E446" i="13"/>
  <c r="E443" i="13"/>
  <c r="E435" i="13"/>
  <c r="E432" i="13" s="1"/>
  <c r="E419" i="13"/>
  <c r="E391" i="13"/>
  <c r="E390" i="13"/>
  <c r="E389" i="13"/>
  <c r="E387" i="13"/>
  <c r="E379" i="13"/>
  <c r="E376" i="13"/>
  <c r="E363" i="13"/>
  <c r="E351" i="13"/>
  <c r="E348" i="13"/>
  <c r="E335" i="13"/>
  <c r="E334" i="13"/>
  <c r="E333" i="13"/>
  <c r="E331" i="13"/>
  <c r="E323" i="13"/>
  <c r="E320" i="13" s="1"/>
  <c r="E307" i="13"/>
  <c r="E279" i="13"/>
  <c r="E278" i="13"/>
  <c r="E277" i="13"/>
  <c r="E275" i="13"/>
  <c r="E267" i="13"/>
  <c r="E264" i="13" s="1"/>
  <c r="E251" i="13"/>
  <c r="E236" i="13"/>
  <c r="E222" i="13"/>
  <c r="E221" i="13"/>
  <c r="E220" i="13"/>
  <c r="E218" i="13"/>
  <c r="E215" i="13"/>
  <c r="E210" i="13"/>
  <c r="E207" i="13" s="1"/>
  <c r="E194" i="13"/>
  <c r="E166" i="13"/>
  <c r="E165" i="13"/>
  <c r="E164" i="13"/>
  <c r="E162" i="13"/>
  <c r="E154" i="13"/>
  <c r="E151" i="13"/>
  <c r="E138" i="13"/>
  <c r="E134" i="13"/>
  <c r="E109" i="13"/>
  <c r="E108" i="13"/>
  <c r="E107" i="13"/>
  <c r="E105" i="13"/>
  <c r="E97" i="13"/>
  <c r="E94" i="13"/>
  <c r="E81" i="13"/>
  <c r="E69" i="13"/>
  <c r="E66" i="13"/>
  <c r="E53" i="13"/>
  <c r="E52" i="13"/>
  <c r="E51" i="13"/>
  <c r="E49" i="13"/>
  <c r="E41" i="13"/>
  <c r="E38" i="13" s="1"/>
  <c r="E25" i="13"/>
  <c r="Q21" i="13"/>
  <c r="Q26" i="13" s="1"/>
  <c r="P21" i="13"/>
  <c r="P26" i="13" s="1"/>
  <c r="O21" i="13"/>
  <c r="O26" i="13" s="1"/>
  <c r="N21" i="13"/>
  <c r="N26" i="13" s="1"/>
  <c r="M21" i="13"/>
  <c r="M26" i="13" s="1"/>
  <c r="L21" i="13"/>
  <c r="L26" i="13" s="1"/>
  <c r="K21" i="13"/>
  <c r="K26" i="13" s="1"/>
  <c r="J21" i="13"/>
  <c r="J26" i="13" s="1"/>
  <c r="I21" i="13"/>
  <c r="I26" i="13" s="1"/>
  <c r="H21" i="13"/>
  <c r="H26" i="13" s="1"/>
  <c r="G21" i="13"/>
  <c r="G26" i="13" s="1"/>
  <c r="F21" i="13"/>
  <c r="E13" i="13"/>
  <c r="E10" i="13"/>
  <c r="E860" i="12"/>
  <c r="E859" i="12"/>
  <c r="E858" i="12"/>
  <c r="E856" i="12"/>
  <c r="E854" i="12"/>
  <c r="E853" i="12" s="1"/>
  <c r="E843" i="12"/>
  <c r="Q832" i="12"/>
  <c r="P832" i="12"/>
  <c r="O832" i="12"/>
  <c r="N832" i="12"/>
  <c r="M832" i="12"/>
  <c r="L832" i="12"/>
  <c r="K832" i="12"/>
  <c r="J832" i="12"/>
  <c r="I832" i="12"/>
  <c r="H832" i="12"/>
  <c r="G832" i="12"/>
  <c r="F832" i="12"/>
  <c r="E832" i="12"/>
  <c r="Q831" i="12"/>
  <c r="P831" i="12"/>
  <c r="O831" i="12"/>
  <c r="N831" i="12"/>
  <c r="M831" i="12"/>
  <c r="L831" i="12"/>
  <c r="K831" i="12"/>
  <c r="J831" i="12"/>
  <c r="I831" i="12"/>
  <c r="H831" i="12"/>
  <c r="G831" i="12"/>
  <c r="F831" i="12"/>
  <c r="E831" i="12"/>
  <c r="Q828" i="12"/>
  <c r="Q826" i="12" s="1"/>
  <c r="P828" i="12"/>
  <c r="O828" i="12"/>
  <c r="N828" i="12"/>
  <c r="N826" i="12" s="1"/>
  <c r="M828" i="12"/>
  <c r="L828" i="12"/>
  <c r="K828" i="12"/>
  <c r="J828" i="12"/>
  <c r="I828" i="12"/>
  <c r="I826" i="12" s="1"/>
  <c r="H828" i="12"/>
  <c r="G828" i="12"/>
  <c r="F828" i="12"/>
  <c r="F826" i="12" s="1"/>
  <c r="M826" i="12"/>
  <c r="J826" i="12"/>
  <c r="E806" i="12"/>
  <c r="E805" i="12"/>
  <c r="E804" i="12"/>
  <c r="E802" i="12"/>
  <c r="E800" i="12"/>
  <c r="E799" i="12" s="1"/>
  <c r="E789" i="12"/>
  <c r="Q778" i="12"/>
  <c r="P778" i="12"/>
  <c r="O778" i="12"/>
  <c r="N778" i="12"/>
  <c r="M778" i="12"/>
  <c r="L778" i="12"/>
  <c r="K778" i="12"/>
  <c r="J778" i="12"/>
  <c r="I778" i="12"/>
  <c r="H778" i="12"/>
  <c r="G778" i="12"/>
  <c r="F778" i="12"/>
  <c r="E778" i="12"/>
  <c r="Q777" i="12"/>
  <c r="P777" i="12"/>
  <c r="O777" i="12"/>
  <c r="N777" i="12"/>
  <c r="M777" i="12"/>
  <c r="L777" i="12"/>
  <c r="K777" i="12"/>
  <c r="J777" i="12"/>
  <c r="I777" i="12"/>
  <c r="H777" i="12"/>
  <c r="G777" i="12"/>
  <c r="F777" i="12"/>
  <c r="E777" i="12"/>
  <c r="Q774" i="12"/>
  <c r="Q772" i="12" s="1"/>
  <c r="P774" i="12"/>
  <c r="P772" i="12" s="1"/>
  <c r="O774" i="12"/>
  <c r="N774" i="12"/>
  <c r="M774" i="12"/>
  <c r="L774" i="12"/>
  <c r="K774" i="12"/>
  <c r="J774" i="12"/>
  <c r="I774" i="12"/>
  <c r="I772" i="12" s="1"/>
  <c r="H774" i="12"/>
  <c r="G774" i="12"/>
  <c r="F774" i="12"/>
  <c r="O772" i="12"/>
  <c r="G772" i="12"/>
  <c r="E752" i="12"/>
  <c r="E751" i="12"/>
  <c r="E750" i="12"/>
  <c r="E748" i="12"/>
  <c r="E735" i="12"/>
  <c r="Q731" i="12"/>
  <c r="P731" i="12"/>
  <c r="O731" i="12"/>
  <c r="N731" i="12"/>
  <c r="N736" i="12" s="1"/>
  <c r="M731" i="12"/>
  <c r="L731" i="12"/>
  <c r="K731" i="12"/>
  <c r="J731" i="12"/>
  <c r="I731" i="12"/>
  <c r="H731" i="12"/>
  <c r="G731" i="12"/>
  <c r="F731" i="12"/>
  <c r="Q724" i="12"/>
  <c r="P724" i="12"/>
  <c r="O724" i="12"/>
  <c r="N724" i="12"/>
  <c r="M724" i="12"/>
  <c r="L724" i="12"/>
  <c r="K724" i="12"/>
  <c r="J724" i="12"/>
  <c r="I724" i="12"/>
  <c r="H724" i="12"/>
  <c r="G724" i="12"/>
  <c r="F724" i="12"/>
  <c r="E724" i="12"/>
  <c r="Q723" i="12"/>
  <c r="P723" i="12"/>
  <c r="O723" i="12"/>
  <c r="N723" i="12"/>
  <c r="M723" i="12"/>
  <c r="L723" i="12"/>
  <c r="K723" i="12"/>
  <c r="J723" i="12"/>
  <c r="I723" i="12"/>
  <c r="H723" i="12"/>
  <c r="G723" i="12"/>
  <c r="F723" i="12"/>
  <c r="E723" i="12"/>
  <c r="Q720" i="12"/>
  <c r="Q718" i="12" s="1"/>
  <c r="P720" i="12"/>
  <c r="O720" i="12"/>
  <c r="N720" i="12"/>
  <c r="M720" i="12"/>
  <c r="M718" i="12" s="1"/>
  <c r="L720" i="12"/>
  <c r="K720" i="12"/>
  <c r="J720" i="12"/>
  <c r="J718" i="12" s="1"/>
  <c r="I720" i="12"/>
  <c r="H720" i="12"/>
  <c r="G720" i="12"/>
  <c r="F720" i="12"/>
  <c r="K718" i="12"/>
  <c r="E697" i="12"/>
  <c r="E696" i="12"/>
  <c r="E695" i="12"/>
  <c r="E693" i="12"/>
  <c r="E691" i="12"/>
  <c r="E680" i="12"/>
  <c r="Q669" i="12"/>
  <c r="P669" i="12"/>
  <c r="O669" i="12"/>
  <c r="N669" i="12"/>
  <c r="M669" i="12"/>
  <c r="L669" i="12"/>
  <c r="K669" i="12"/>
  <c r="J669" i="12"/>
  <c r="I669" i="12"/>
  <c r="H669" i="12"/>
  <c r="G669" i="12"/>
  <c r="F669" i="12"/>
  <c r="E669" i="12"/>
  <c r="Q668" i="12"/>
  <c r="P668" i="12"/>
  <c r="O668" i="12"/>
  <c r="N668" i="12"/>
  <c r="M668" i="12"/>
  <c r="L668" i="12"/>
  <c r="K668" i="12"/>
  <c r="J668" i="12"/>
  <c r="I668" i="12"/>
  <c r="H668" i="12"/>
  <c r="G668" i="12"/>
  <c r="F668" i="12"/>
  <c r="E668" i="12"/>
  <c r="Q665" i="12"/>
  <c r="P665" i="12"/>
  <c r="P663" i="12" s="1"/>
  <c r="O665" i="12"/>
  <c r="O663" i="12" s="1"/>
  <c r="N665" i="12"/>
  <c r="M665" i="12"/>
  <c r="L665" i="12"/>
  <c r="L663" i="12" s="1"/>
  <c r="K665" i="12"/>
  <c r="J665" i="12"/>
  <c r="I665" i="12"/>
  <c r="H665" i="12"/>
  <c r="H663" i="12" s="1"/>
  <c r="G665" i="12"/>
  <c r="G663" i="12" s="1"/>
  <c r="F665" i="12"/>
  <c r="E643" i="12"/>
  <c r="E642" i="12"/>
  <c r="E641" i="12"/>
  <c r="E639" i="12"/>
  <c r="E637" i="12"/>
  <c r="E636" i="12" s="1"/>
  <c r="E626" i="12"/>
  <c r="Q615" i="12"/>
  <c r="P615" i="12"/>
  <c r="O615" i="12"/>
  <c r="N615" i="12"/>
  <c r="M615" i="12"/>
  <c r="L615" i="12"/>
  <c r="K615" i="12"/>
  <c r="J615" i="12"/>
  <c r="I615" i="12"/>
  <c r="H615" i="12"/>
  <c r="G615" i="12"/>
  <c r="F615" i="12"/>
  <c r="E615" i="12"/>
  <c r="Q614" i="12"/>
  <c r="P614" i="12"/>
  <c r="O614" i="12"/>
  <c r="N614" i="12"/>
  <c r="M614" i="12"/>
  <c r="L614" i="12"/>
  <c r="K614" i="12"/>
  <c r="J614" i="12"/>
  <c r="I614" i="12"/>
  <c r="H614" i="12"/>
  <c r="G614" i="12"/>
  <c r="F614" i="12"/>
  <c r="E614" i="12"/>
  <c r="Q611" i="12"/>
  <c r="P611" i="12"/>
  <c r="O611" i="12"/>
  <c r="O609" i="12" s="1"/>
  <c r="N611" i="12"/>
  <c r="N609" i="12" s="1"/>
  <c r="M611" i="12"/>
  <c r="L611" i="12"/>
  <c r="K611" i="12"/>
  <c r="J611" i="12"/>
  <c r="I611" i="12"/>
  <c r="H611" i="12"/>
  <c r="G611" i="12"/>
  <c r="G609" i="12" s="1"/>
  <c r="F611" i="12"/>
  <c r="F609" i="12" s="1"/>
  <c r="M609" i="12"/>
  <c r="E588" i="12"/>
  <c r="E587" i="12"/>
  <c r="E586" i="12"/>
  <c r="E584" i="12"/>
  <c r="E582" i="12"/>
  <c r="E571" i="12"/>
  <c r="Q560" i="12"/>
  <c r="P560" i="12"/>
  <c r="O560" i="12"/>
  <c r="N560" i="12"/>
  <c r="M560" i="12"/>
  <c r="L560" i="12"/>
  <c r="K560" i="12"/>
  <c r="J560" i="12"/>
  <c r="I560" i="12"/>
  <c r="H560" i="12"/>
  <c r="G560" i="12"/>
  <c r="F560" i="12"/>
  <c r="E560" i="12"/>
  <c r="Q559" i="12"/>
  <c r="P559" i="12"/>
  <c r="O559" i="12"/>
  <c r="N559" i="12"/>
  <c r="M559" i="12"/>
  <c r="L559" i="12"/>
  <c r="K559" i="12"/>
  <c r="J559" i="12"/>
  <c r="I559" i="12"/>
  <c r="H559" i="12"/>
  <c r="G559" i="12"/>
  <c r="F559" i="12"/>
  <c r="E559" i="12"/>
  <c r="Q556" i="12"/>
  <c r="Q554" i="12" s="1"/>
  <c r="P556" i="12"/>
  <c r="P554" i="12" s="1"/>
  <c r="O556" i="12"/>
  <c r="N556" i="12"/>
  <c r="M556" i="12"/>
  <c r="M554" i="12" s="1"/>
  <c r="L556" i="12"/>
  <c r="K556" i="12"/>
  <c r="J556" i="12"/>
  <c r="J554" i="12" s="1"/>
  <c r="I556" i="12"/>
  <c r="H556" i="12"/>
  <c r="G556" i="12"/>
  <c r="F556" i="12"/>
  <c r="E534" i="12"/>
  <c r="E533" i="12"/>
  <c r="E532" i="12"/>
  <c r="E530" i="12"/>
  <c r="E528" i="12"/>
  <c r="E517" i="12"/>
  <c r="Q506" i="12"/>
  <c r="P506" i="12"/>
  <c r="O506" i="12"/>
  <c r="N506" i="12"/>
  <c r="M506" i="12"/>
  <c r="L506" i="12"/>
  <c r="K506" i="12"/>
  <c r="J506" i="12"/>
  <c r="I506" i="12"/>
  <c r="H506" i="12"/>
  <c r="G506" i="12"/>
  <c r="F506" i="12"/>
  <c r="E506" i="12"/>
  <c r="Q505" i="12"/>
  <c r="P505" i="12"/>
  <c r="O505" i="12"/>
  <c r="N505" i="12"/>
  <c r="M505" i="12"/>
  <c r="L505" i="12"/>
  <c r="K505" i="12"/>
  <c r="J505" i="12"/>
  <c r="I505" i="12"/>
  <c r="H505" i="12"/>
  <c r="G505" i="12"/>
  <c r="F505" i="12"/>
  <c r="E505" i="12"/>
  <c r="Q502" i="12"/>
  <c r="Q500" i="12" s="1"/>
  <c r="P502" i="12"/>
  <c r="P500" i="12" s="1"/>
  <c r="O502" i="12"/>
  <c r="O500" i="12" s="1"/>
  <c r="N502" i="12"/>
  <c r="N500" i="12" s="1"/>
  <c r="M502" i="12"/>
  <c r="L502" i="12"/>
  <c r="K502" i="12"/>
  <c r="J502" i="12"/>
  <c r="I502" i="12"/>
  <c r="I500" i="12" s="1"/>
  <c r="H502" i="12"/>
  <c r="H500" i="12" s="1"/>
  <c r="G502" i="12"/>
  <c r="F502" i="12"/>
  <c r="F500" i="12" s="1"/>
  <c r="E479" i="12"/>
  <c r="E478" i="12"/>
  <c r="E477" i="12"/>
  <c r="E475" i="12"/>
  <c r="E473" i="12"/>
  <c r="E462" i="12"/>
  <c r="Q451" i="12"/>
  <c r="P451" i="12"/>
  <c r="O451" i="12"/>
  <c r="N451" i="12"/>
  <c r="M451" i="12"/>
  <c r="L451" i="12"/>
  <c r="K451" i="12"/>
  <c r="J451" i="12"/>
  <c r="I451" i="12"/>
  <c r="H451" i="12"/>
  <c r="G451" i="12"/>
  <c r="F451" i="12"/>
  <c r="E451" i="12"/>
  <c r="Q450" i="12"/>
  <c r="P450" i="12"/>
  <c r="O450" i="12"/>
  <c r="N450" i="12"/>
  <c r="M450" i="12"/>
  <c r="L450" i="12"/>
  <c r="K450" i="12"/>
  <c r="J450" i="12"/>
  <c r="I450" i="12"/>
  <c r="H450" i="12"/>
  <c r="G450" i="12"/>
  <c r="F450" i="12"/>
  <c r="E450" i="12"/>
  <c r="Q447" i="12"/>
  <c r="P447" i="12"/>
  <c r="O447" i="12"/>
  <c r="O445" i="12" s="1"/>
  <c r="N447" i="12"/>
  <c r="M447" i="12"/>
  <c r="L447" i="12"/>
  <c r="K447" i="12"/>
  <c r="K445" i="12" s="1"/>
  <c r="J447" i="12"/>
  <c r="I447" i="12"/>
  <c r="H447" i="12"/>
  <c r="G447" i="12"/>
  <c r="F447" i="12"/>
  <c r="E424" i="12"/>
  <c r="E423" i="12"/>
  <c r="E422" i="12"/>
  <c r="E420" i="12"/>
  <c r="E407" i="12"/>
  <c r="Q392" i="12"/>
  <c r="P392" i="12"/>
  <c r="O392" i="12"/>
  <c r="N392" i="12"/>
  <c r="M392" i="12"/>
  <c r="L392" i="12"/>
  <c r="K392" i="12"/>
  <c r="J392" i="12"/>
  <c r="I392" i="12"/>
  <c r="I390" i="12" s="1"/>
  <c r="H392" i="12"/>
  <c r="G392" i="12"/>
  <c r="F392" i="12"/>
  <c r="N390" i="12"/>
  <c r="M390" i="12"/>
  <c r="L390" i="12"/>
  <c r="F390" i="12"/>
  <c r="E370" i="12"/>
  <c r="E369" i="12"/>
  <c r="E368" i="12"/>
  <c r="E366" i="12"/>
  <c r="E364" i="12"/>
  <c r="E363" i="12" s="1"/>
  <c r="E353" i="12"/>
  <c r="Q342" i="12"/>
  <c r="P342" i="12"/>
  <c r="O342" i="12"/>
  <c r="N342" i="12"/>
  <c r="M342" i="12"/>
  <c r="L342" i="12"/>
  <c r="K342" i="12"/>
  <c r="J342" i="12"/>
  <c r="I342" i="12"/>
  <c r="H342" i="12"/>
  <c r="G342" i="12"/>
  <c r="F342" i="12"/>
  <c r="E342" i="12"/>
  <c r="Q341" i="12"/>
  <c r="P341" i="12"/>
  <c r="O341" i="12"/>
  <c r="N341" i="12"/>
  <c r="M341" i="12"/>
  <c r="L341" i="12"/>
  <c r="K341" i="12"/>
  <c r="J341" i="12"/>
  <c r="I341" i="12"/>
  <c r="H341" i="12"/>
  <c r="G341" i="12"/>
  <c r="F341" i="12"/>
  <c r="E341" i="12"/>
  <c r="Q338" i="12"/>
  <c r="P338" i="12"/>
  <c r="P336" i="12" s="1"/>
  <c r="O338" i="12"/>
  <c r="N338" i="12"/>
  <c r="M338" i="12"/>
  <c r="M336" i="12" s="1"/>
  <c r="L338" i="12"/>
  <c r="K338" i="12"/>
  <c r="J338" i="12"/>
  <c r="J336" i="12" s="1"/>
  <c r="I338" i="12"/>
  <c r="H338" i="12"/>
  <c r="G338" i="12"/>
  <c r="F338" i="12"/>
  <c r="O336" i="12"/>
  <c r="K336" i="12"/>
  <c r="E316" i="12"/>
  <c r="E315" i="12"/>
  <c r="E314" i="12"/>
  <c r="E312" i="12"/>
  <c r="E299" i="12"/>
  <c r="Q288" i="12"/>
  <c r="P288" i="12"/>
  <c r="O288" i="12"/>
  <c r="N288" i="12"/>
  <c r="M288" i="12"/>
  <c r="L288" i="12"/>
  <c r="K288" i="12"/>
  <c r="J288" i="12"/>
  <c r="I288" i="12"/>
  <c r="H288" i="12"/>
  <c r="G288" i="12"/>
  <c r="F288" i="12"/>
  <c r="E288" i="12"/>
  <c r="Q287" i="12"/>
  <c r="Q282" i="12" s="1"/>
  <c r="P287" i="12"/>
  <c r="O287" i="12"/>
  <c r="N287" i="12"/>
  <c r="M287" i="12"/>
  <c r="L287" i="12"/>
  <c r="K287" i="12"/>
  <c r="J287" i="12"/>
  <c r="I287" i="12"/>
  <c r="H287" i="12"/>
  <c r="G287" i="12"/>
  <c r="F287" i="12"/>
  <c r="E287" i="12"/>
  <c r="Q284" i="12"/>
  <c r="P284" i="12"/>
  <c r="O284" i="12"/>
  <c r="N284" i="12"/>
  <c r="M284" i="12"/>
  <c r="L284" i="12"/>
  <c r="K284" i="12"/>
  <c r="K282" i="12" s="1"/>
  <c r="J284" i="12"/>
  <c r="I284" i="12"/>
  <c r="H284" i="12"/>
  <c r="G284" i="12"/>
  <c r="F284" i="12"/>
  <c r="P282" i="12"/>
  <c r="L282" i="12"/>
  <c r="E262" i="12"/>
  <c r="E261" i="12"/>
  <c r="E260" i="12"/>
  <c r="E258" i="12"/>
  <c r="E256" i="12"/>
  <c r="E245" i="12"/>
  <c r="Q234" i="12"/>
  <c r="P234" i="12"/>
  <c r="O234" i="12"/>
  <c r="N234" i="12"/>
  <c r="M234" i="12"/>
  <c r="L234" i="12"/>
  <c r="K234" i="12"/>
  <c r="J234" i="12"/>
  <c r="I234" i="12"/>
  <c r="H234" i="12"/>
  <c r="G234" i="12"/>
  <c r="F234" i="12"/>
  <c r="E234" i="12"/>
  <c r="Q233" i="12"/>
  <c r="P233" i="12"/>
  <c r="O233" i="12"/>
  <c r="N233" i="12"/>
  <c r="M233" i="12"/>
  <c r="L233" i="12"/>
  <c r="K233" i="12"/>
  <c r="J233" i="12"/>
  <c r="I233" i="12"/>
  <c r="H233" i="12"/>
  <c r="G233" i="12"/>
  <c r="F233" i="12"/>
  <c r="E233" i="12"/>
  <c r="Q230" i="12"/>
  <c r="P230" i="12"/>
  <c r="O230" i="12"/>
  <c r="N230" i="12"/>
  <c r="M230" i="12"/>
  <c r="M228" i="12" s="1"/>
  <c r="L230" i="12"/>
  <c r="K230" i="12"/>
  <c r="K228" i="12" s="1"/>
  <c r="J230" i="12"/>
  <c r="I230" i="12"/>
  <c r="H230" i="12"/>
  <c r="G230" i="12"/>
  <c r="F230" i="12"/>
  <c r="P228" i="12"/>
  <c r="E207" i="12"/>
  <c r="E206" i="12"/>
  <c r="E205" i="12"/>
  <c r="E203" i="12"/>
  <c r="E190" i="12"/>
  <c r="Q179" i="12"/>
  <c r="P179" i="12"/>
  <c r="O179" i="12"/>
  <c r="N179" i="12"/>
  <c r="M179" i="12"/>
  <c r="L179" i="12"/>
  <c r="K179" i="12"/>
  <c r="J179" i="12"/>
  <c r="I179" i="12"/>
  <c r="H179" i="12"/>
  <c r="G179" i="12"/>
  <c r="F179" i="12"/>
  <c r="E179" i="12"/>
  <c r="Q178" i="12"/>
  <c r="P178" i="12"/>
  <c r="O178" i="12"/>
  <c r="N178" i="12"/>
  <c r="M178" i="12"/>
  <c r="L178" i="12"/>
  <c r="K178" i="12"/>
  <c r="J178" i="12"/>
  <c r="I178" i="12"/>
  <c r="H178" i="12"/>
  <c r="G178" i="12"/>
  <c r="F178" i="12"/>
  <c r="E178" i="12"/>
  <c r="Q175" i="12"/>
  <c r="P175" i="12"/>
  <c r="O175" i="12"/>
  <c r="N175" i="12"/>
  <c r="M175" i="12"/>
  <c r="L175" i="12"/>
  <c r="L173" i="12" s="1"/>
  <c r="K175" i="12"/>
  <c r="K173" i="12" s="1"/>
  <c r="J175" i="12"/>
  <c r="I175" i="12"/>
  <c r="H175" i="12"/>
  <c r="G175" i="12"/>
  <c r="F175" i="12"/>
  <c r="J173" i="12"/>
  <c r="E153" i="12"/>
  <c r="E152" i="12"/>
  <c r="E151" i="12"/>
  <c r="E149" i="12"/>
  <c r="E147" i="12" s="1"/>
  <c r="E146" i="12" s="1"/>
  <c r="E136" i="12"/>
  <c r="Q125" i="12"/>
  <c r="P125" i="12"/>
  <c r="O125" i="12"/>
  <c r="N125" i="12"/>
  <c r="M125" i="12"/>
  <c r="L125" i="12"/>
  <c r="K125" i="12"/>
  <c r="J125" i="12"/>
  <c r="I125" i="12"/>
  <c r="H125" i="12"/>
  <c r="G125" i="12"/>
  <c r="F125" i="12"/>
  <c r="E125" i="12"/>
  <c r="Q124" i="12"/>
  <c r="P124" i="12"/>
  <c r="O124" i="12"/>
  <c r="N124" i="12"/>
  <c r="M124" i="12"/>
  <c r="L124" i="12"/>
  <c r="K124" i="12"/>
  <c r="J124" i="12"/>
  <c r="I124" i="12"/>
  <c r="H124" i="12"/>
  <c r="H119" i="12" s="1"/>
  <c r="G124" i="12"/>
  <c r="F124" i="12"/>
  <c r="E124" i="12"/>
  <c r="Q121" i="12"/>
  <c r="Q119" i="12" s="1"/>
  <c r="P121" i="12"/>
  <c r="O121" i="12"/>
  <c r="N121" i="12"/>
  <c r="M121" i="12"/>
  <c r="M119" i="12" s="1"/>
  <c r="L121" i="12"/>
  <c r="K121" i="12"/>
  <c r="J121" i="12"/>
  <c r="I121" i="12"/>
  <c r="I119" i="12" s="1"/>
  <c r="H121" i="12"/>
  <c r="G121" i="12"/>
  <c r="F121" i="12"/>
  <c r="F119" i="12" s="1"/>
  <c r="L119" i="12"/>
  <c r="E98" i="12"/>
  <c r="E97" i="12"/>
  <c r="E96" i="12"/>
  <c r="E94" i="12"/>
  <c r="E92" i="12"/>
  <c r="E91" i="12" s="1"/>
  <c r="E81" i="12"/>
  <c r="Q70" i="12"/>
  <c r="P70" i="12"/>
  <c r="O70" i="12"/>
  <c r="N70" i="12"/>
  <c r="M70" i="12"/>
  <c r="L70" i="12"/>
  <c r="K70" i="12"/>
  <c r="J70" i="12"/>
  <c r="I70" i="12"/>
  <c r="H70" i="12"/>
  <c r="G70" i="12"/>
  <c r="F70" i="12"/>
  <c r="E70" i="12"/>
  <c r="Q69" i="12"/>
  <c r="P69" i="12"/>
  <c r="O69" i="12"/>
  <c r="N69" i="12"/>
  <c r="M69" i="12"/>
  <c r="L69" i="12"/>
  <c r="K69" i="12"/>
  <c r="J69" i="12"/>
  <c r="I69" i="12"/>
  <c r="H69" i="12"/>
  <c r="G69" i="12"/>
  <c r="F69" i="12"/>
  <c r="E69" i="12"/>
  <c r="Q66" i="12"/>
  <c r="P66" i="12"/>
  <c r="O66" i="12"/>
  <c r="N66" i="12"/>
  <c r="N64" i="12" s="1"/>
  <c r="M66" i="12"/>
  <c r="M64" i="12" s="1"/>
  <c r="L66" i="12"/>
  <c r="L64" i="12" s="1"/>
  <c r="K66" i="12"/>
  <c r="J66" i="12"/>
  <c r="I66" i="12"/>
  <c r="H66" i="12"/>
  <c r="G66" i="12"/>
  <c r="F66" i="12"/>
  <c r="F64" i="12" s="1"/>
  <c r="E43" i="12"/>
  <c r="E42" i="12"/>
  <c r="E41" i="12"/>
  <c r="E39" i="12"/>
  <c r="E37" i="12"/>
  <c r="E36" i="12" s="1"/>
  <c r="E26" i="12"/>
  <c r="Q22" i="12"/>
  <c r="P22" i="12"/>
  <c r="O22" i="12"/>
  <c r="N22" i="12"/>
  <c r="N27" i="12" s="1"/>
  <c r="M22" i="12"/>
  <c r="L22" i="12"/>
  <c r="K22" i="12"/>
  <c r="J22" i="12"/>
  <c r="I22" i="12"/>
  <c r="H22" i="12"/>
  <c r="G22" i="12"/>
  <c r="Q15" i="12"/>
  <c r="P15" i="12"/>
  <c r="O15" i="12"/>
  <c r="N15" i="12"/>
  <c r="M15" i="12"/>
  <c r="L15" i="12"/>
  <c r="K15" i="12"/>
  <c r="J15" i="12"/>
  <c r="I15" i="12"/>
  <c r="H15" i="12"/>
  <c r="G15" i="12"/>
  <c r="F15" i="12"/>
  <c r="E15" i="12"/>
  <c r="Q14" i="12"/>
  <c r="P14" i="12"/>
  <c r="O14" i="12"/>
  <c r="N14" i="12"/>
  <c r="M14" i="12"/>
  <c r="L14" i="12"/>
  <c r="K14" i="12"/>
  <c r="J14" i="12"/>
  <c r="I14" i="12"/>
  <c r="H14" i="12"/>
  <c r="G14" i="12"/>
  <c r="F14" i="12"/>
  <c r="E14" i="12"/>
  <c r="Q11" i="12"/>
  <c r="P11" i="12"/>
  <c r="P9" i="12" s="1"/>
  <c r="O11" i="12"/>
  <c r="O9" i="12" s="1"/>
  <c r="N11" i="12"/>
  <c r="N9" i="12" s="1"/>
  <c r="M11" i="12"/>
  <c r="L11" i="12"/>
  <c r="K11" i="12"/>
  <c r="J11" i="12"/>
  <c r="I11" i="12"/>
  <c r="H11" i="12"/>
  <c r="G11" i="12"/>
  <c r="G9" i="12" s="1"/>
  <c r="F11" i="12"/>
  <c r="E11" i="12" s="1"/>
  <c r="M9" i="12"/>
  <c r="E190" i="15" l="1"/>
  <c r="F26" i="13"/>
  <c r="E20" i="13" s="1"/>
  <c r="E21" i="15"/>
  <c r="E20" i="15"/>
  <c r="E22" i="14"/>
  <c r="F195" i="15"/>
  <c r="E195" i="15" s="1"/>
  <c r="E159" i="15"/>
  <c r="F26" i="15"/>
  <c r="F408" i="15"/>
  <c r="G405" i="15"/>
  <c r="H405" i="15"/>
  <c r="O390" i="12"/>
  <c r="Q390" i="12"/>
  <c r="G336" i="12"/>
  <c r="E338" i="12"/>
  <c r="L826" i="12"/>
  <c r="O826" i="12"/>
  <c r="G826" i="12"/>
  <c r="F772" i="12"/>
  <c r="N772" i="12"/>
  <c r="K772" i="12"/>
  <c r="I718" i="12"/>
  <c r="K663" i="12"/>
  <c r="M663" i="12"/>
  <c r="J609" i="12"/>
  <c r="E556" i="12"/>
  <c r="L554" i="12"/>
  <c r="O554" i="12"/>
  <c r="I554" i="12"/>
  <c r="G554" i="12"/>
  <c r="K500" i="12"/>
  <c r="J445" i="12"/>
  <c r="G445" i="12"/>
  <c r="I445" i="12"/>
  <c r="H336" i="12"/>
  <c r="I282" i="12"/>
  <c r="O228" i="12"/>
  <c r="H228" i="12"/>
  <c r="G173" i="12"/>
  <c r="O173" i="12"/>
  <c r="P119" i="12"/>
  <c r="E121" i="12"/>
  <c r="J119" i="12"/>
  <c r="N119" i="12"/>
  <c r="K119" i="12"/>
  <c r="O64" i="12"/>
  <c r="H9" i="12"/>
  <c r="E328" i="15"/>
  <c r="E835" i="15"/>
  <c r="E46" i="15"/>
  <c r="E272" i="15"/>
  <c r="E609" i="15"/>
  <c r="E779" i="15"/>
  <c r="E722" i="15"/>
  <c r="E215" i="15"/>
  <c r="E190" i="13"/>
  <c r="E584" i="13"/>
  <c r="E21" i="13"/>
  <c r="E272" i="13"/>
  <c r="E866" i="13"/>
  <c r="E102" i="13"/>
  <c r="E517" i="13"/>
  <c r="E779" i="13"/>
  <c r="E328" i="13"/>
  <c r="E359" i="13"/>
  <c r="E46" i="13"/>
  <c r="E496" i="13"/>
  <c r="E159" i="13"/>
  <c r="E247" i="13"/>
  <c r="E384" i="13"/>
  <c r="E690" i="14"/>
  <c r="E418" i="14"/>
  <c r="E417" i="14" s="1"/>
  <c r="E636" i="14"/>
  <c r="E853" i="14"/>
  <c r="E201" i="14"/>
  <c r="E200" i="14" s="1"/>
  <c r="E91" i="14"/>
  <c r="E800" i="14"/>
  <c r="E799" i="14" s="1"/>
  <c r="H64" i="12"/>
  <c r="P64" i="12"/>
  <c r="F228" i="12"/>
  <c r="H390" i="12"/>
  <c r="E418" i="12"/>
  <c r="E417" i="12" s="1"/>
  <c r="N445" i="12"/>
  <c r="J663" i="12"/>
  <c r="F718" i="12"/>
  <c r="E774" i="12"/>
  <c r="E785" i="12"/>
  <c r="J9" i="12"/>
  <c r="E66" i="12"/>
  <c r="J64" i="12"/>
  <c r="N228" i="12"/>
  <c r="E295" i="12"/>
  <c r="F336" i="12"/>
  <c r="E447" i="12"/>
  <c r="H772" i="12"/>
  <c r="E22" i="12"/>
  <c r="E186" i="12"/>
  <c r="E513" i="12"/>
  <c r="L772" i="12"/>
  <c r="P173" i="12"/>
  <c r="F9" i="12"/>
  <c r="I9" i="12"/>
  <c r="Q9" i="12"/>
  <c r="L9" i="12"/>
  <c r="E132" i="12"/>
  <c r="E201" i="12"/>
  <c r="E200" i="12" s="1"/>
  <c r="M282" i="12"/>
  <c r="I336" i="12"/>
  <c r="Q336" i="12"/>
  <c r="K390" i="12"/>
  <c r="F445" i="12"/>
  <c r="J500" i="12"/>
  <c r="H554" i="12"/>
  <c r="I609" i="12"/>
  <c r="Q609" i="12"/>
  <c r="L609" i="12"/>
  <c r="N718" i="12"/>
  <c r="E746" i="12"/>
  <c r="E745" i="12" s="1"/>
  <c r="E77" i="12"/>
  <c r="I173" i="12"/>
  <c r="Q173" i="12"/>
  <c r="E230" i="12"/>
  <c r="P390" i="12"/>
  <c r="E472" i="12"/>
  <c r="H718" i="12"/>
  <c r="P718" i="12"/>
  <c r="E731" i="12"/>
  <c r="K64" i="12"/>
  <c r="E241" i="12"/>
  <c r="G282" i="12"/>
  <c r="E310" i="12"/>
  <c r="E309" i="12" s="1"/>
  <c r="N336" i="12"/>
  <c r="Q445" i="12"/>
  <c r="L445" i="12"/>
  <c r="E581" i="12"/>
  <c r="E622" i="12"/>
  <c r="E828" i="12"/>
  <c r="H173" i="12"/>
  <c r="F173" i="12"/>
  <c r="N173" i="12"/>
  <c r="L228" i="12"/>
  <c r="E458" i="12"/>
  <c r="E633" i="13"/>
  <c r="E179" i="15"/>
  <c r="E496" i="15"/>
  <c r="E666" i="15"/>
  <c r="E363" i="14"/>
  <c r="E147" i="14"/>
  <c r="E146" i="14" s="1"/>
  <c r="E527" i="14"/>
  <c r="E582" i="14"/>
  <c r="E581" i="14" s="1"/>
  <c r="E126" i="13"/>
  <c r="E123" i="13"/>
  <c r="E179" i="13"/>
  <c r="E77" i="13"/>
  <c r="E239" i="13"/>
  <c r="E415" i="13"/>
  <c r="E295" i="13"/>
  <c r="E404" i="13"/>
  <c r="E520" i="13"/>
  <c r="E182" i="13"/>
  <c r="E292" i="13"/>
  <c r="E471" i="13"/>
  <c r="E440" i="13"/>
  <c r="E303" i="13"/>
  <c r="E460" i="13"/>
  <c r="E463" i="13"/>
  <c r="E528" i="13"/>
  <c r="E686" i="13"/>
  <c r="E407" i="13"/>
  <c r="E630" i="13"/>
  <c r="E641" i="13"/>
  <c r="E697" i="13"/>
  <c r="E666" i="13"/>
  <c r="E754" i="13"/>
  <c r="E722" i="13"/>
  <c r="E810" i="13"/>
  <c r="E743" i="13"/>
  <c r="E835" i="13"/>
  <c r="E689" i="13"/>
  <c r="E855" i="13"/>
  <c r="G228" i="12"/>
  <c r="E175" i="12"/>
  <c r="E284" i="12"/>
  <c r="F282" i="12"/>
  <c r="G64" i="12"/>
  <c r="I228" i="12"/>
  <c r="Q228" i="12"/>
  <c r="E255" i="12"/>
  <c r="H282" i="12"/>
  <c r="L336" i="12"/>
  <c r="E336" i="12" s="1"/>
  <c r="H445" i="12"/>
  <c r="P445" i="12"/>
  <c r="E676" i="12"/>
  <c r="N282" i="12"/>
  <c r="J228" i="12"/>
  <c r="O282" i="12"/>
  <c r="K9" i="12"/>
  <c r="I64" i="12"/>
  <c r="Q64" i="12"/>
  <c r="G119" i="12"/>
  <c r="O119" i="12"/>
  <c r="M173" i="12"/>
  <c r="J282" i="12"/>
  <c r="E349" i="12"/>
  <c r="E392" i="12"/>
  <c r="G390" i="12"/>
  <c r="J390" i="12"/>
  <c r="M445" i="12"/>
  <c r="E502" i="12"/>
  <c r="G500" i="12"/>
  <c r="L500" i="12"/>
  <c r="E567" i="12"/>
  <c r="E611" i="12"/>
  <c r="J772" i="12"/>
  <c r="M772" i="12"/>
  <c r="E839" i="12"/>
  <c r="H609" i="12"/>
  <c r="P609" i="12"/>
  <c r="K609" i="12"/>
  <c r="L718" i="12"/>
  <c r="E720" i="12"/>
  <c r="G718" i="12"/>
  <c r="O718" i="12"/>
  <c r="M500" i="12"/>
  <c r="H826" i="12"/>
  <c r="P826" i="12"/>
  <c r="K826" i="12"/>
  <c r="E527" i="12"/>
  <c r="K554" i="12"/>
  <c r="F554" i="12"/>
  <c r="N554" i="12"/>
  <c r="E665" i="12"/>
  <c r="F663" i="12"/>
  <c r="N663" i="12"/>
  <c r="I663" i="12"/>
  <c r="Q663" i="12"/>
  <c r="E690" i="12"/>
  <c r="E189" i="15" l="1"/>
  <c r="K187" i="15" s="1"/>
  <c r="K186" i="15" s="1"/>
  <c r="K18" i="15"/>
  <c r="K17" i="15" s="1"/>
  <c r="E26" i="15"/>
  <c r="H187" i="15"/>
  <c r="H186" i="15" s="1"/>
  <c r="I187" i="15"/>
  <c r="I186" i="15" s="1"/>
  <c r="F187" i="15"/>
  <c r="J187" i="15"/>
  <c r="J186" i="15" s="1"/>
  <c r="G187" i="15"/>
  <c r="G186" i="15" s="1"/>
  <c r="F420" i="15"/>
  <c r="E398" i="12"/>
  <c r="E399" i="12"/>
  <c r="E834" i="12"/>
  <c r="E726" i="12"/>
  <c r="E671" i="12"/>
  <c r="E609" i="12"/>
  <c r="E562" i="12"/>
  <c r="E454" i="12"/>
  <c r="E453" i="12"/>
  <c r="E452" i="12" s="1"/>
  <c r="E236" i="12"/>
  <c r="E181" i="12"/>
  <c r="E127" i="12"/>
  <c r="E128" i="12"/>
  <c r="E126" i="12" s="1"/>
  <c r="E72" i="12"/>
  <c r="E17" i="12"/>
  <c r="E500" i="12"/>
  <c r="E445" i="12"/>
  <c r="E509" i="12"/>
  <c r="E727" i="12"/>
  <c r="E617" i="12"/>
  <c r="E616" i="12" s="1"/>
  <c r="O616" i="12" s="1"/>
  <c r="E772" i="12"/>
  <c r="E508" i="12"/>
  <c r="E390" i="12"/>
  <c r="E73" i="12"/>
  <c r="E71" i="12" s="1"/>
  <c r="E228" i="12"/>
  <c r="E618" i="12"/>
  <c r="E9" i="12"/>
  <c r="E237" i="12"/>
  <c r="E173" i="12"/>
  <c r="E18" i="12"/>
  <c r="E64" i="12"/>
  <c r="E835" i="12"/>
  <c r="E718" i="12"/>
  <c r="E780" i="12"/>
  <c r="E345" i="12"/>
  <c r="E119" i="12"/>
  <c r="E290" i="12"/>
  <c r="E672" i="12"/>
  <c r="E563" i="12"/>
  <c r="E561" i="12" s="1"/>
  <c r="E663" i="12"/>
  <c r="E182" i="12"/>
  <c r="E180" i="12" s="1"/>
  <c r="E291" i="12"/>
  <c r="E289" i="12" s="1"/>
  <c r="E781" i="12"/>
  <c r="E826" i="12"/>
  <c r="E344" i="12"/>
  <c r="E282" i="12"/>
  <c r="E554" i="12"/>
  <c r="E420" i="15" l="1"/>
  <c r="E414" i="15"/>
  <c r="K412" i="15" s="1"/>
  <c r="K411" i="15" s="1"/>
  <c r="F186" i="15"/>
  <c r="E186" i="15" s="1"/>
  <c r="E187" i="15"/>
  <c r="E397" i="12"/>
  <c r="E389" i="12" s="1"/>
  <c r="E833" i="12"/>
  <c r="P833" i="12" s="1"/>
  <c r="E779" i="12"/>
  <c r="Q779" i="12" s="1"/>
  <c r="E725" i="12"/>
  <c r="Q725" i="12" s="1"/>
  <c r="E670" i="12"/>
  <c r="K670" i="12" s="1"/>
  <c r="K616" i="12"/>
  <c r="E608" i="12"/>
  <c r="M616" i="12"/>
  <c r="L616" i="12"/>
  <c r="L608" i="12" s="1"/>
  <c r="P616" i="12"/>
  <c r="H616" i="12"/>
  <c r="E507" i="12"/>
  <c r="N507" i="12" s="1"/>
  <c r="N499" i="12" s="1"/>
  <c r="E235" i="12"/>
  <c r="K235" i="12" s="1"/>
  <c r="J126" i="12"/>
  <c r="N126" i="12"/>
  <c r="F126" i="12"/>
  <c r="H126" i="12"/>
  <c r="H118" i="12" s="1"/>
  <c r="K126" i="12"/>
  <c r="Q126" i="12"/>
  <c r="O126" i="12"/>
  <c r="O118" i="12" s="1"/>
  <c r="G126" i="12"/>
  <c r="I126" i="12"/>
  <c r="I118" i="12" s="1"/>
  <c r="P126" i="12"/>
  <c r="M126" i="12"/>
  <c r="L126" i="12"/>
  <c r="L118" i="12" s="1"/>
  <c r="E118" i="12"/>
  <c r="E16" i="12"/>
  <c r="H16" i="12" s="1"/>
  <c r="F616" i="12"/>
  <c r="I616" i="12"/>
  <c r="N616" i="12"/>
  <c r="N608" i="12" s="1"/>
  <c r="E343" i="12"/>
  <c r="F343" i="12" s="1"/>
  <c r="Q616" i="12"/>
  <c r="Q608" i="12" s="1"/>
  <c r="G616" i="12"/>
  <c r="J616" i="12"/>
  <c r="J608" i="12" s="1"/>
  <c r="K180" i="12"/>
  <c r="E172" i="12"/>
  <c r="J180" i="12"/>
  <c r="Q180" i="12"/>
  <c r="I180" i="12"/>
  <c r="L180" i="12"/>
  <c r="P180" i="12"/>
  <c r="H180" i="12"/>
  <c r="O180" i="12"/>
  <c r="G180" i="12"/>
  <c r="N180" i="12"/>
  <c r="F180" i="12"/>
  <c r="M180" i="12"/>
  <c r="E662" i="12"/>
  <c r="G670" i="12"/>
  <c r="K289" i="12"/>
  <c r="J289" i="12"/>
  <c r="P289" i="12"/>
  <c r="H289" i="12"/>
  <c r="O289" i="12"/>
  <c r="G289" i="12"/>
  <c r="Q289" i="12"/>
  <c r="N289" i="12"/>
  <c r="M289" i="12"/>
  <c r="L289" i="12"/>
  <c r="I289" i="12"/>
  <c r="F289" i="12"/>
  <c r="E281" i="12"/>
  <c r="P118" i="12"/>
  <c r="M118" i="12"/>
  <c r="J561" i="12"/>
  <c r="P561" i="12"/>
  <c r="H561" i="12"/>
  <c r="O561" i="12"/>
  <c r="G561" i="12"/>
  <c r="N561" i="12"/>
  <c r="F561" i="12"/>
  <c r="M561" i="12"/>
  <c r="Q561" i="12"/>
  <c r="E553" i="12"/>
  <c r="L561" i="12"/>
  <c r="K561" i="12"/>
  <c r="I561" i="12"/>
  <c r="M452" i="12"/>
  <c r="L452" i="12"/>
  <c r="E444" i="12"/>
  <c r="K452" i="12"/>
  <c r="J452" i="12"/>
  <c r="Q452" i="12"/>
  <c r="I452" i="12"/>
  <c r="P452" i="12"/>
  <c r="H452" i="12"/>
  <c r="O452" i="12"/>
  <c r="G452" i="12"/>
  <c r="F452" i="12"/>
  <c r="N452" i="12"/>
  <c r="G608" i="12"/>
  <c r="O71" i="12"/>
  <c r="G71" i="12"/>
  <c r="N71" i="12"/>
  <c r="F71" i="12"/>
  <c r="M71" i="12"/>
  <c r="P71" i="12"/>
  <c r="L71" i="12"/>
  <c r="E63" i="12"/>
  <c r="K71" i="12"/>
  <c r="J71" i="12"/>
  <c r="H71" i="12"/>
  <c r="Q71" i="12"/>
  <c r="I71" i="12"/>
  <c r="O608" i="12"/>
  <c r="M608" i="12"/>
  <c r="I608" i="12"/>
  <c r="Q118" i="12"/>
  <c r="F118" i="12"/>
  <c r="M235" i="12"/>
  <c r="Q235" i="12"/>
  <c r="I235" i="12"/>
  <c r="H235" i="12"/>
  <c r="G235" i="12"/>
  <c r="P235" i="12"/>
  <c r="F235" i="12"/>
  <c r="O235" i="12"/>
  <c r="E227" i="12"/>
  <c r="N235" i="12"/>
  <c r="N118" i="12"/>
  <c r="J118" i="12"/>
  <c r="K608" i="12"/>
  <c r="H608" i="12"/>
  <c r="G118" i="12"/>
  <c r="K118" i="12"/>
  <c r="P608" i="12"/>
  <c r="L833" i="12" l="1"/>
  <c r="F779" i="12"/>
  <c r="J725" i="12"/>
  <c r="G725" i="12"/>
  <c r="O725" i="12"/>
  <c r="K725" i="12"/>
  <c r="K717" i="12" s="1"/>
  <c r="L725" i="12"/>
  <c r="L717" i="12" s="1"/>
  <c r="H725" i="12"/>
  <c r="H717" i="12" s="1"/>
  <c r="F725" i="12"/>
  <c r="F717" i="12" s="1"/>
  <c r="N725" i="12"/>
  <c r="N717" i="12" s="1"/>
  <c r="P725" i="12"/>
  <c r="E717" i="12"/>
  <c r="I725" i="12"/>
  <c r="M725" i="12"/>
  <c r="M717" i="12" s="1"/>
  <c r="L235" i="12"/>
  <c r="J235" i="12"/>
  <c r="L397" i="12"/>
  <c r="G397" i="12"/>
  <c r="H397" i="12"/>
  <c r="H389" i="12" s="1"/>
  <c r="P397" i="12"/>
  <c r="I397" i="12"/>
  <c r="I389" i="12" s="1"/>
  <c r="K397" i="12"/>
  <c r="O397" i="12"/>
  <c r="M397" i="12"/>
  <c r="M389" i="12" s="1"/>
  <c r="N397" i="12"/>
  <c r="Q397" i="12"/>
  <c r="F397" i="12"/>
  <c r="F389" i="12" s="1"/>
  <c r="J397" i="12"/>
  <c r="E335" i="12"/>
  <c r="I343" i="12"/>
  <c r="Q343" i="12"/>
  <c r="I833" i="12"/>
  <c r="I825" i="12" s="1"/>
  <c r="N833" i="12"/>
  <c r="Q833" i="12"/>
  <c r="G833" i="12"/>
  <c r="M833" i="12"/>
  <c r="F833" i="12"/>
  <c r="O833" i="12"/>
  <c r="O825" i="12" s="1"/>
  <c r="K833" i="12"/>
  <c r="K825" i="12" s="1"/>
  <c r="H833" i="12"/>
  <c r="H825" i="12" s="1"/>
  <c r="J833" i="12"/>
  <c r="E825" i="12"/>
  <c r="N779" i="12"/>
  <c r="G779" i="12"/>
  <c r="G771" i="12" s="1"/>
  <c r="O779" i="12"/>
  <c r="H779" i="12"/>
  <c r="E771" i="12"/>
  <c r="P779" i="12"/>
  <c r="L779" i="12"/>
  <c r="L771" i="12" s="1"/>
  <c r="I779" i="12"/>
  <c r="I771" i="12" s="1"/>
  <c r="J779" i="12"/>
  <c r="K779" i="12"/>
  <c r="M779" i="12"/>
  <c r="O670" i="12"/>
  <c r="O662" i="12" s="1"/>
  <c r="L670" i="12"/>
  <c r="L662" i="12" s="1"/>
  <c r="H670" i="12"/>
  <c r="P670" i="12"/>
  <c r="F670" i="12"/>
  <c r="F662" i="12" s="1"/>
  <c r="I670" i="12"/>
  <c r="N670" i="12"/>
  <c r="N662" i="12" s="1"/>
  <c r="J670" i="12"/>
  <c r="J662" i="12" s="1"/>
  <c r="M670" i="12"/>
  <c r="M662" i="12" s="1"/>
  <c r="Q670" i="12"/>
  <c r="Q662" i="12" s="1"/>
  <c r="F608" i="12"/>
  <c r="M507" i="12"/>
  <c r="M499" i="12" s="1"/>
  <c r="F507" i="12"/>
  <c r="F499" i="12" s="1"/>
  <c r="J507" i="12"/>
  <c r="J499" i="12" s="1"/>
  <c r="Q507" i="12"/>
  <c r="Q499" i="12" s="1"/>
  <c r="H507" i="12"/>
  <c r="H499" i="12" s="1"/>
  <c r="L507" i="12"/>
  <c r="L499" i="12" s="1"/>
  <c r="P507" i="12"/>
  <c r="P499" i="12" s="1"/>
  <c r="G507" i="12"/>
  <c r="G499" i="12" s="1"/>
  <c r="E499" i="12"/>
  <c r="K507" i="12"/>
  <c r="K499" i="12" s="1"/>
  <c r="O507" i="12"/>
  <c r="O499" i="12" s="1"/>
  <c r="I507" i="12"/>
  <c r="I499" i="12" s="1"/>
  <c r="N343" i="12"/>
  <c r="O343" i="12"/>
  <c r="O335" i="12" s="1"/>
  <c r="J343" i="12"/>
  <c r="H343" i="12"/>
  <c r="L343" i="12"/>
  <c r="G343" i="12"/>
  <c r="G335" i="12" s="1"/>
  <c r="K343" i="12"/>
  <c r="K335" i="12" s="1"/>
  <c r="P343" i="12"/>
  <c r="P335" i="12" s="1"/>
  <c r="M343" i="12"/>
  <c r="P16" i="12"/>
  <c r="M16" i="12"/>
  <c r="I16" i="12"/>
  <c r="I8" i="12" s="1"/>
  <c r="N16" i="12"/>
  <c r="Q16" i="12"/>
  <c r="F16" i="12"/>
  <c r="F8" i="12" s="1"/>
  <c r="E8" i="12"/>
  <c r="K16" i="12"/>
  <c r="K8" i="12" s="1"/>
  <c r="O16" i="12"/>
  <c r="O8" i="12" s="1"/>
  <c r="L16" i="12"/>
  <c r="L8" i="12" s="1"/>
  <c r="G16" i="12"/>
  <c r="G8" i="12" s="1"/>
  <c r="J16" i="12"/>
  <c r="G227" i="12"/>
  <c r="M8" i="12"/>
  <c r="P8" i="12"/>
  <c r="G444" i="12"/>
  <c r="F825" i="12"/>
  <c r="N553" i="12"/>
  <c r="M281" i="12"/>
  <c r="K281" i="12"/>
  <c r="O771" i="12"/>
  <c r="H662" i="12"/>
  <c r="H172" i="12"/>
  <c r="L389" i="12"/>
  <c r="H227" i="12"/>
  <c r="L63" i="12"/>
  <c r="O444" i="12"/>
  <c r="L444" i="12"/>
  <c r="N825" i="12"/>
  <c r="L335" i="12"/>
  <c r="I335" i="12"/>
  <c r="I553" i="12"/>
  <c r="G553" i="12"/>
  <c r="N281" i="12"/>
  <c r="K771" i="12"/>
  <c r="H771" i="12"/>
  <c r="P662" i="12"/>
  <c r="P172" i="12"/>
  <c r="L227" i="12"/>
  <c r="N8" i="12"/>
  <c r="Q8" i="12"/>
  <c r="P63" i="12"/>
  <c r="H444" i="12"/>
  <c r="M444" i="12"/>
  <c r="Q825" i="12"/>
  <c r="G825" i="12"/>
  <c r="M335" i="12"/>
  <c r="Q335" i="12"/>
  <c r="K553" i="12"/>
  <c r="O553" i="12"/>
  <c r="Q281" i="12"/>
  <c r="P771" i="12"/>
  <c r="I662" i="12"/>
  <c r="L172" i="12"/>
  <c r="G717" i="12"/>
  <c r="O717" i="12"/>
  <c r="P389" i="12"/>
  <c r="N227" i="12"/>
  <c r="J227" i="12"/>
  <c r="I63" i="12"/>
  <c r="M63" i="12"/>
  <c r="P444" i="12"/>
  <c r="J825" i="12"/>
  <c r="F335" i="12"/>
  <c r="L553" i="12"/>
  <c r="H553" i="12"/>
  <c r="G281" i="12"/>
  <c r="M172" i="12"/>
  <c r="I172" i="12"/>
  <c r="N389" i="12"/>
  <c r="K227" i="12"/>
  <c r="Q63" i="12"/>
  <c r="F63" i="12"/>
  <c r="I444" i="12"/>
  <c r="N335" i="12"/>
  <c r="P553" i="12"/>
  <c r="O281" i="12"/>
  <c r="M771" i="12"/>
  <c r="Q771" i="12"/>
  <c r="F172" i="12"/>
  <c r="Q172" i="12"/>
  <c r="Q389" i="12"/>
  <c r="G389" i="12"/>
  <c r="O227" i="12"/>
  <c r="I227" i="12"/>
  <c r="H63" i="12"/>
  <c r="N63" i="12"/>
  <c r="Q444" i="12"/>
  <c r="P825" i="12"/>
  <c r="Q553" i="12"/>
  <c r="J553" i="12"/>
  <c r="F281" i="12"/>
  <c r="H281" i="12"/>
  <c r="F771" i="12"/>
  <c r="J771" i="12"/>
  <c r="K662" i="12"/>
  <c r="N172" i="12"/>
  <c r="J172" i="12"/>
  <c r="J717" i="12"/>
  <c r="P717" i="12"/>
  <c r="I717" i="12"/>
  <c r="O389" i="12"/>
  <c r="F227" i="12"/>
  <c r="Q227" i="12"/>
  <c r="J63" i="12"/>
  <c r="G63" i="12"/>
  <c r="N444" i="12"/>
  <c r="J444" i="12"/>
  <c r="L825" i="12"/>
  <c r="J335" i="12"/>
  <c r="M553" i="12"/>
  <c r="I281" i="12"/>
  <c r="P281" i="12"/>
  <c r="N771" i="12"/>
  <c r="G662" i="12"/>
  <c r="G172" i="12"/>
  <c r="J389" i="12"/>
  <c r="Q717" i="12"/>
  <c r="K389" i="12"/>
  <c r="P227" i="12"/>
  <c r="M227" i="12"/>
  <c r="J8" i="12"/>
  <c r="H8" i="12"/>
  <c r="K63" i="12"/>
  <c r="O63" i="12"/>
  <c r="F444" i="12"/>
  <c r="K444" i="12"/>
  <c r="M825" i="12"/>
  <c r="H335" i="12"/>
  <c r="F553" i="12"/>
  <c r="L281" i="12"/>
  <c r="J281" i="12"/>
  <c r="O172" i="12"/>
  <c r="K172" i="12"/>
  <c r="H57" i="11" l="1"/>
  <c r="H58" i="11"/>
  <c r="H59" i="11"/>
  <c r="H60" i="11"/>
  <c r="H61" i="11"/>
  <c r="G58" i="11"/>
  <c r="G59" i="11"/>
  <c r="G60" i="11"/>
  <c r="G61" i="11"/>
  <c r="G57" i="11"/>
  <c r="H47" i="11"/>
  <c r="H48" i="11"/>
  <c r="H49" i="11"/>
  <c r="H50" i="11"/>
  <c r="H51" i="11"/>
  <c r="H52" i="11"/>
  <c r="H53" i="11"/>
  <c r="G47" i="11"/>
  <c r="G48" i="11"/>
  <c r="G49" i="11"/>
  <c r="G50" i="11"/>
  <c r="G51" i="11"/>
  <c r="G52" i="11"/>
  <c r="G53" i="11"/>
  <c r="H491" i="11"/>
  <c r="H492" i="11"/>
  <c r="H493" i="11"/>
  <c r="H494" i="11"/>
  <c r="H495" i="11"/>
  <c r="G492" i="11"/>
  <c r="G493" i="11"/>
  <c r="G494" i="11"/>
  <c r="G495" i="11"/>
  <c r="G491" i="11"/>
  <c r="H476" i="11"/>
  <c r="H477" i="11"/>
  <c r="H478" i="11"/>
  <c r="H479" i="11"/>
  <c r="H480" i="11"/>
  <c r="H481" i="11"/>
  <c r="H482" i="11"/>
  <c r="H483" i="11"/>
  <c r="H484" i="11"/>
  <c r="H485" i="11"/>
  <c r="H486" i="11"/>
  <c r="H487" i="11"/>
  <c r="G477" i="11"/>
  <c r="G478" i="11"/>
  <c r="G479" i="11"/>
  <c r="G480" i="11"/>
  <c r="G481" i="11"/>
  <c r="G482" i="11"/>
  <c r="G483" i="11"/>
  <c r="G484" i="11"/>
  <c r="G485" i="11"/>
  <c r="G486" i="11"/>
  <c r="G487" i="11"/>
  <c r="G476" i="11"/>
  <c r="H470" i="11"/>
  <c r="H471" i="11"/>
  <c r="H472" i="11"/>
  <c r="H473" i="11"/>
  <c r="G471" i="11"/>
  <c r="G472" i="11"/>
  <c r="G473" i="11"/>
  <c r="G470" i="11"/>
  <c r="H460" i="11"/>
  <c r="H461" i="11"/>
  <c r="H462" i="11"/>
  <c r="H463" i="11"/>
  <c r="H464" i="11"/>
  <c r="G461" i="11"/>
  <c r="G462" i="11"/>
  <c r="G463" i="11"/>
  <c r="G464" i="11"/>
  <c r="G460" i="11"/>
  <c r="H445" i="11"/>
  <c r="H446" i="11"/>
  <c r="H447" i="11"/>
  <c r="H448" i="11"/>
  <c r="H449" i="11"/>
  <c r="H450" i="11"/>
  <c r="H451" i="11"/>
  <c r="H452" i="11"/>
  <c r="H453" i="11"/>
  <c r="H454" i="11"/>
  <c r="H455" i="11"/>
  <c r="H456" i="11"/>
  <c r="G446" i="11"/>
  <c r="G447" i="11"/>
  <c r="G448" i="11"/>
  <c r="G449" i="11"/>
  <c r="G450" i="11"/>
  <c r="G451" i="11"/>
  <c r="G452" i="11"/>
  <c r="G453" i="11"/>
  <c r="G454" i="11"/>
  <c r="G455" i="11"/>
  <c r="G456" i="11"/>
  <c r="G445" i="11"/>
  <c r="H439" i="11"/>
  <c r="H440" i="11"/>
  <c r="H441" i="11"/>
  <c r="H442" i="11"/>
  <c r="G440" i="11"/>
  <c r="G441" i="11"/>
  <c r="G442" i="11"/>
  <c r="G439" i="11"/>
  <c r="H429" i="11"/>
  <c r="H430" i="11"/>
  <c r="H431" i="11"/>
  <c r="H432" i="11"/>
  <c r="H433" i="11"/>
  <c r="G430" i="11"/>
  <c r="G431" i="11"/>
  <c r="G432" i="11"/>
  <c r="G433" i="11"/>
  <c r="G429" i="11"/>
  <c r="H414" i="11"/>
  <c r="H415" i="11"/>
  <c r="H416" i="11"/>
  <c r="H417" i="11"/>
  <c r="H418" i="11"/>
  <c r="H419" i="11"/>
  <c r="H420" i="11"/>
  <c r="H421" i="11"/>
  <c r="H422" i="11"/>
  <c r="H423" i="11"/>
  <c r="H424" i="11"/>
  <c r="H425" i="11"/>
  <c r="G415" i="11"/>
  <c r="G416" i="11"/>
  <c r="G417" i="11"/>
  <c r="G418" i="11"/>
  <c r="G419" i="11"/>
  <c r="G420" i="11"/>
  <c r="G421" i="11"/>
  <c r="G422" i="11"/>
  <c r="G423" i="11"/>
  <c r="G424" i="11"/>
  <c r="G425" i="11"/>
  <c r="G414" i="11"/>
  <c r="H408" i="11"/>
  <c r="H409" i="11"/>
  <c r="H410" i="11"/>
  <c r="H411" i="11"/>
  <c r="G409" i="11"/>
  <c r="G410" i="11"/>
  <c r="G411" i="11"/>
  <c r="G408" i="11"/>
  <c r="H398" i="11"/>
  <c r="H399" i="11"/>
  <c r="H400" i="11"/>
  <c r="H401" i="11"/>
  <c r="H402" i="11"/>
  <c r="G399" i="11"/>
  <c r="G400" i="11"/>
  <c r="G401" i="11"/>
  <c r="G402" i="11"/>
  <c r="G398" i="11"/>
  <c r="H383" i="11"/>
  <c r="H384" i="11"/>
  <c r="H385" i="11"/>
  <c r="H386" i="11"/>
  <c r="H387" i="11"/>
  <c r="H388" i="11"/>
  <c r="H389" i="11"/>
  <c r="H390" i="11"/>
  <c r="H391" i="11"/>
  <c r="H392" i="11"/>
  <c r="H393" i="11"/>
  <c r="H394" i="11"/>
  <c r="G384" i="11"/>
  <c r="G385" i="11"/>
  <c r="G386" i="11"/>
  <c r="G387" i="11"/>
  <c r="G388" i="11"/>
  <c r="G389" i="11"/>
  <c r="G390" i="11"/>
  <c r="G391" i="11"/>
  <c r="G392" i="11"/>
  <c r="G393" i="11"/>
  <c r="G394" i="11"/>
  <c r="G383" i="11"/>
  <c r="H377" i="11"/>
  <c r="H378" i="11"/>
  <c r="H379" i="11"/>
  <c r="H380" i="11"/>
  <c r="G378" i="11"/>
  <c r="G379" i="11"/>
  <c r="G380" i="11"/>
  <c r="G377" i="11"/>
  <c r="H367" i="11"/>
  <c r="H368" i="11"/>
  <c r="H369" i="11"/>
  <c r="H370" i="11"/>
  <c r="H371" i="11"/>
  <c r="G371" i="11"/>
  <c r="G368" i="11"/>
  <c r="G369" i="11"/>
  <c r="G370" i="11"/>
  <c r="G367" i="11"/>
  <c r="H352" i="11"/>
  <c r="H353" i="11"/>
  <c r="H354" i="11"/>
  <c r="H355" i="11"/>
  <c r="H356" i="11"/>
  <c r="H357" i="11"/>
  <c r="H358" i="11"/>
  <c r="H359" i="11"/>
  <c r="H360" i="11"/>
  <c r="H361" i="11"/>
  <c r="H362" i="11"/>
  <c r="H363" i="11"/>
  <c r="G353" i="11"/>
  <c r="G354" i="11"/>
  <c r="G355" i="11"/>
  <c r="G356" i="11"/>
  <c r="G357" i="11"/>
  <c r="G358" i="11"/>
  <c r="G359" i="11"/>
  <c r="G360" i="11"/>
  <c r="G361" i="11"/>
  <c r="G362" i="11"/>
  <c r="G363" i="11"/>
  <c r="G352" i="11"/>
  <c r="H346" i="11"/>
  <c r="H347" i="11"/>
  <c r="H348" i="11"/>
  <c r="H349" i="11"/>
  <c r="G347" i="11"/>
  <c r="G348" i="11"/>
  <c r="G349" i="11"/>
  <c r="G346" i="11"/>
  <c r="H336" i="11"/>
  <c r="H337" i="11"/>
  <c r="H338" i="11"/>
  <c r="H339" i="11"/>
  <c r="H340" i="11"/>
  <c r="G337" i="11"/>
  <c r="G338" i="11"/>
  <c r="G339" i="11"/>
  <c r="G340" i="11"/>
  <c r="G336" i="11"/>
  <c r="H321" i="11"/>
  <c r="H322" i="11"/>
  <c r="H323" i="11"/>
  <c r="H324" i="11"/>
  <c r="H325" i="11"/>
  <c r="H326" i="11"/>
  <c r="H327" i="11"/>
  <c r="H328" i="11"/>
  <c r="H329" i="11"/>
  <c r="H330" i="11"/>
  <c r="H331" i="11"/>
  <c r="H332" i="11"/>
  <c r="G322" i="11"/>
  <c r="G323" i="11"/>
  <c r="G324" i="11"/>
  <c r="G325" i="11"/>
  <c r="G326" i="11"/>
  <c r="G327" i="11"/>
  <c r="G328" i="11"/>
  <c r="G329" i="11"/>
  <c r="G330" i="11"/>
  <c r="G331" i="11"/>
  <c r="G332" i="11"/>
  <c r="G321" i="11"/>
  <c r="H315" i="11"/>
  <c r="H316" i="11"/>
  <c r="H317" i="11"/>
  <c r="H318" i="11"/>
  <c r="G316" i="11"/>
  <c r="G317" i="11"/>
  <c r="G318" i="11"/>
  <c r="G315" i="11"/>
  <c r="H305" i="11"/>
  <c r="H306" i="11"/>
  <c r="H307" i="11"/>
  <c r="H308" i="11"/>
  <c r="H309" i="11"/>
  <c r="G306" i="11"/>
  <c r="G307" i="11"/>
  <c r="G308" i="11"/>
  <c r="G309" i="11"/>
  <c r="G305" i="11"/>
  <c r="H290" i="11"/>
  <c r="H291" i="11"/>
  <c r="H292" i="11"/>
  <c r="H293" i="11"/>
  <c r="H294" i="11"/>
  <c r="H295" i="11"/>
  <c r="H296" i="11"/>
  <c r="H297" i="11"/>
  <c r="H298" i="11"/>
  <c r="H299" i="11"/>
  <c r="H300" i="11"/>
  <c r="H301" i="11"/>
  <c r="G291" i="11"/>
  <c r="G292" i="11"/>
  <c r="G293" i="11"/>
  <c r="G294" i="11"/>
  <c r="G295" i="11"/>
  <c r="G296" i="11"/>
  <c r="G297" i="11"/>
  <c r="G298" i="11"/>
  <c r="G299" i="11"/>
  <c r="G300" i="11"/>
  <c r="G301" i="11"/>
  <c r="G290" i="11"/>
  <c r="H284" i="11"/>
  <c r="H285" i="11"/>
  <c r="H286" i="11"/>
  <c r="H287" i="11"/>
  <c r="G285" i="11"/>
  <c r="G286" i="11"/>
  <c r="G287" i="11"/>
  <c r="G284" i="11"/>
  <c r="H274" i="11"/>
  <c r="H275" i="11"/>
  <c r="H276" i="11"/>
  <c r="H277" i="11"/>
  <c r="H278" i="11"/>
  <c r="G275" i="11"/>
  <c r="G276" i="11"/>
  <c r="G277" i="11"/>
  <c r="G278" i="11"/>
  <c r="G274" i="11"/>
  <c r="H259" i="11"/>
  <c r="H260" i="11"/>
  <c r="H261" i="11"/>
  <c r="H262" i="11"/>
  <c r="H263" i="11"/>
  <c r="H264" i="11"/>
  <c r="H265" i="11"/>
  <c r="H266" i="11"/>
  <c r="H267" i="11"/>
  <c r="H268" i="11"/>
  <c r="H269" i="11"/>
  <c r="H270" i="11"/>
  <c r="G260" i="11"/>
  <c r="G261" i="11"/>
  <c r="G262" i="11"/>
  <c r="G263" i="11"/>
  <c r="G264" i="11"/>
  <c r="G265" i="11"/>
  <c r="G266" i="11"/>
  <c r="G267" i="11"/>
  <c r="G268" i="11"/>
  <c r="G269" i="11"/>
  <c r="G270" i="11"/>
  <c r="G259" i="11"/>
  <c r="H253" i="11"/>
  <c r="H254" i="11"/>
  <c r="H255" i="11"/>
  <c r="H256" i="11"/>
  <c r="G254" i="11"/>
  <c r="G255" i="11"/>
  <c r="G256" i="11"/>
  <c r="G253" i="11"/>
  <c r="H243" i="11"/>
  <c r="H244" i="11"/>
  <c r="H245" i="11"/>
  <c r="H246" i="11"/>
  <c r="H247" i="11"/>
  <c r="G244" i="11"/>
  <c r="G245" i="11"/>
  <c r="G246" i="11"/>
  <c r="G247" i="11"/>
  <c r="G243" i="11"/>
  <c r="H228" i="11"/>
  <c r="H229" i="11"/>
  <c r="H230" i="11"/>
  <c r="H231" i="11"/>
  <c r="H232" i="11"/>
  <c r="H233" i="11"/>
  <c r="H234" i="11"/>
  <c r="H235" i="11"/>
  <c r="H236" i="11"/>
  <c r="H237" i="11"/>
  <c r="H238" i="11"/>
  <c r="H239" i="11"/>
  <c r="G229" i="11"/>
  <c r="G230" i="11"/>
  <c r="G231" i="11"/>
  <c r="G232" i="11"/>
  <c r="G233" i="11"/>
  <c r="G234" i="11"/>
  <c r="G235" i="11"/>
  <c r="G236" i="11"/>
  <c r="G237" i="11"/>
  <c r="G238" i="11"/>
  <c r="G239" i="11"/>
  <c r="G228" i="11"/>
  <c r="H222" i="11"/>
  <c r="H223" i="11"/>
  <c r="H224" i="11"/>
  <c r="H225" i="11"/>
  <c r="G223" i="11"/>
  <c r="G224" i="11"/>
  <c r="G225" i="11"/>
  <c r="G222" i="11"/>
  <c r="H212" i="11"/>
  <c r="H213" i="11"/>
  <c r="H214" i="11"/>
  <c r="H215" i="11"/>
  <c r="H216" i="11"/>
  <c r="G213" i="11"/>
  <c r="G214" i="11"/>
  <c r="G215" i="11"/>
  <c r="G216" i="11"/>
  <c r="G212" i="11"/>
  <c r="H197" i="11"/>
  <c r="H198" i="11"/>
  <c r="H199" i="11"/>
  <c r="H200" i="11"/>
  <c r="H201" i="11"/>
  <c r="H202" i="11"/>
  <c r="H203" i="11"/>
  <c r="H204" i="11"/>
  <c r="H205" i="11"/>
  <c r="H206" i="11"/>
  <c r="H207" i="11"/>
  <c r="H208" i="11"/>
  <c r="G198" i="11"/>
  <c r="G199" i="11"/>
  <c r="G200" i="11"/>
  <c r="G201" i="11"/>
  <c r="G202" i="11"/>
  <c r="G203" i="11"/>
  <c r="G204" i="11"/>
  <c r="G205" i="11"/>
  <c r="G206" i="11"/>
  <c r="G207" i="11"/>
  <c r="G208" i="11"/>
  <c r="G197" i="11"/>
  <c r="H191" i="11"/>
  <c r="H192" i="11"/>
  <c r="H193" i="11"/>
  <c r="H194" i="11"/>
  <c r="G192" i="11"/>
  <c r="G193" i="11"/>
  <c r="G194" i="11"/>
  <c r="G191" i="11"/>
  <c r="H181" i="11"/>
  <c r="H182" i="11"/>
  <c r="H183" i="11"/>
  <c r="H184" i="11"/>
  <c r="H185" i="11"/>
  <c r="G182" i="11"/>
  <c r="G183" i="11"/>
  <c r="G184" i="11"/>
  <c r="G185" i="11"/>
  <c r="G181" i="11"/>
  <c r="H166" i="11"/>
  <c r="H167" i="11"/>
  <c r="H168" i="11"/>
  <c r="H169" i="11"/>
  <c r="H170" i="11"/>
  <c r="H171" i="11"/>
  <c r="H172" i="11"/>
  <c r="H173" i="11"/>
  <c r="H174" i="11"/>
  <c r="H175" i="11"/>
  <c r="H176" i="11"/>
  <c r="H177" i="11"/>
  <c r="G167" i="11"/>
  <c r="G168" i="11"/>
  <c r="G169" i="11"/>
  <c r="G170" i="11"/>
  <c r="G171" i="11"/>
  <c r="G172" i="11"/>
  <c r="G173" i="11"/>
  <c r="G174" i="11"/>
  <c r="G175" i="11"/>
  <c r="G176" i="11"/>
  <c r="G177" i="11"/>
  <c r="G166" i="11"/>
  <c r="H160" i="11"/>
  <c r="H161" i="11"/>
  <c r="H162" i="11"/>
  <c r="H163" i="11"/>
  <c r="G161" i="11"/>
  <c r="G162" i="11"/>
  <c r="G163" i="11"/>
  <c r="G160" i="11"/>
  <c r="H150" i="11"/>
  <c r="H151" i="11"/>
  <c r="H152" i="11"/>
  <c r="H153" i="11"/>
  <c r="H154" i="11"/>
  <c r="G151" i="11"/>
  <c r="G152" i="11"/>
  <c r="G153" i="11"/>
  <c r="G154" i="11"/>
  <c r="G150" i="11"/>
  <c r="H135" i="11"/>
  <c r="H136" i="11"/>
  <c r="H137" i="11"/>
  <c r="H138" i="11"/>
  <c r="H139" i="11"/>
  <c r="H140" i="11"/>
  <c r="H141" i="11"/>
  <c r="H142" i="11"/>
  <c r="H143" i="11"/>
  <c r="H144" i="11"/>
  <c r="H145" i="11"/>
  <c r="H146" i="11"/>
  <c r="G136" i="11"/>
  <c r="G137" i="11"/>
  <c r="G138" i="11"/>
  <c r="G139" i="11"/>
  <c r="G140" i="11"/>
  <c r="G141" i="11"/>
  <c r="G142" i="11"/>
  <c r="G143" i="11"/>
  <c r="G144" i="11"/>
  <c r="G145" i="11"/>
  <c r="G146" i="11"/>
  <c r="G135" i="11"/>
  <c r="H129" i="11"/>
  <c r="H130" i="11"/>
  <c r="H131" i="11"/>
  <c r="H132" i="11"/>
  <c r="G130" i="11"/>
  <c r="G131" i="11"/>
  <c r="G132" i="11"/>
  <c r="G129" i="11"/>
  <c r="H119" i="11"/>
  <c r="H120" i="11"/>
  <c r="H121" i="11"/>
  <c r="H122" i="11"/>
  <c r="H123" i="11"/>
  <c r="G120" i="11"/>
  <c r="G121" i="11"/>
  <c r="G122" i="11"/>
  <c r="G123" i="11"/>
  <c r="G119" i="11"/>
  <c r="H104" i="11"/>
  <c r="H105" i="11"/>
  <c r="H106" i="11"/>
  <c r="H107" i="11"/>
  <c r="H108" i="11"/>
  <c r="H109" i="11"/>
  <c r="H110" i="11"/>
  <c r="H111" i="11"/>
  <c r="H112" i="11"/>
  <c r="H113" i="11"/>
  <c r="H114" i="11"/>
  <c r="H115" i="11"/>
  <c r="G105" i="11"/>
  <c r="G106" i="11"/>
  <c r="G107" i="11"/>
  <c r="G108" i="11"/>
  <c r="G109" i="11"/>
  <c r="G110" i="11"/>
  <c r="G111" i="11"/>
  <c r="G112" i="11"/>
  <c r="G113" i="11"/>
  <c r="G114" i="11"/>
  <c r="G115" i="11"/>
  <c r="G104" i="11"/>
  <c r="H98" i="11"/>
  <c r="H99" i="11"/>
  <c r="H100" i="11"/>
  <c r="H101" i="11"/>
  <c r="G99" i="11"/>
  <c r="G100" i="11"/>
  <c r="G101" i="11"/>
  <c r="G98" i="11"/>
  <c r="H88" i="11"/>
  <c r="H89" i="11"/>
  <c r="H90" i="11"/>
  <c r="H91" i="11"/>
  <c r="H92" i="11"/>
  <c r="G89" i="11"/>
  <c r="G90" i="11"/>
  <c r="G91" i="11"/>
  <c r="G92" i="11"/>
  <c r="G88" i="11"/>
  <c r="H73" i="11"/>
  <c r="H74" i="11"/>
  <c r="H75" i="11"/>
  <c r="H76" i="11"/>
  <c r="H77" i="11"/>
  <c r="H78" i="11"/>
  <c r="H79" i="11"/>
  <c r="H80" i="11"/>
  <c r="H81" i="11"/>
  <c r="H82" i="11"/>
  <c r="H83" i="11"/>
  <c r="H84" i="11"/>
  <c r="G74" i="11"/>
  <c r="G75" i="11"/>
  <c r="G76" i="11"/>
  <c r="G77" i="11"/>
  <c r="G78" i="11"/>
  <c r="G79" i="11"/>
  <c r="G80" i="11"/>
  <c r="G81" i="11"/>
  <c r="G82" i="11"/>
  <c r="G83" i="11"/>
  <c r="G84" i="11"/>
  <c r="G73" i="11"/>
  <c r="H67" i="11"/>
  <c r="H68" i="11"/>
  <c r="H69" i="11"/>
  <c r="H70" i="11"/>
  <c r="G68" i="11"/>
  <c r="G69" i="11"/>
  <c r="G70" i="11"/>
  <c r="G67" i="11"/>
  <c r="H42" i="11"/>
  <c r="H43" i="11"/>
  <c r="H44" i="11"/>
  <c r="H45" i="11"/>
  <c r="H46" i="11"/>
  <c r="G43" i="11"/>
  <c r="G44" i="11"/>
  <c r="G45" i="11"/>
  <c r="G46" i="11"/>
  <c r="G42" i="11"/>
  <c r="H36" i="11"/>
  <c r="H37" i="11"/>
  <c r="H38" i="11"/>
  <c r="H39" i="11"/>
  <c r="G37" i="11"/>
  <c r="G38" i="11"/>
  <c r="G39" i="11"/>
  <c r="G36" i="11"/>
  <c r="H26" i="11"/>
  <c r="H27" i="11"/>
  <c r="H28" i="11"/>
  <c r="H29" i="11"/>
  <c r="H30" i="11"/>
  <c r="G27" i="11"/>
  <c r="G28" i="11"/>
  <c r="G29" i="11"/>
  <c r="G30" i="11"/>
  <c r="G26" i="11"/>
  <c r="H11" i="11"/>
  <c r="H12" i="11"/>
  <c r="H13" i="11"/>
  <c r="H14" i="11"/>
  <c r="H15" i="11"/>
  <c r="H16" i="11"/>
  <c r="H17" i="11"/>
  <c r="H18" i="11"/>
  <c r="H19" i="11"/>
  <c r="H20" i="11"/>
  <c r="H21" i="11"/>
  <c r="H22" i="11"/>
  <c r="G12" i="11"/>
  <c r="G13" i="11"/>
  <c r="G14" i="11"/>
  <c r="G15" i="11"/>
  <c r="G16" i="11"/>
  <c r="G17" i="11"/>
  <c r="G18" i="11"/>
  <c r="G19" i="11"/>
  <c r="G20" i="11"/>
  <c r="G21" i="11"/>
  <c r="G22" i="11"/>
  <c r="G11" i="11"/>
  <c r="G6" i="11"/>
  <c r="H6" i="11"/>
  <c r="G7" i="11"/>
  <c r="H7" i="11"/>
  <c r="G8" i="11"/>
  <c r="H8" i="11"/>
  <c r="H5" i="11"/>
  <c r="G5" i="11"/>
  <c r="E102" i="10" l="1"/>
  <c r="E103" i="10"/>
  <c r="E101" i="10"/>
  <c r="E96" i="10"/>
  <c r="E90" i="10"/>
  <c r="E84" i="10"/>
  <c r="E78" i="10"/>
  <c r="E72" i="10"/>
  <c r="E66" i="10"/>
  <c r="E60" i="10"/>
  <c r="E54" i="10"/>
  <c r="E48" i="10"/>
  <c r="E42" i="10"/>
  <c r="E36" i="10"/>
  <c r="E30" i="10"/>
  <c r="E18" i="10"/>
  <c r="E12" i="10"/>
  <c r="E886" i="5"/>
  <c r="E830" i="5"/>
  <c r="E774" i="5"/>
  <c r="E717" i="5"/>
  <c r="E661" i="5"/>
  <c r="E604" i="5"/>
  <c r="E548" i="5"/>
  <c r="E491" i="5"/>
  <c r="E435" i="5"/>
  <c r="E379" i="5"/>
  <c r="E323" i="5"/>
  <c r="E267" i="5"/>
  <c r="E210" i="5"/>
  <c r="E154" i="5"/>
  <c r="E97" i="5"/>
  <c r="E41" i="5"/>
  <c r="E814" i="5"/>
  <c r="E758" i="5"/>
  <c r="E194" i="5"/>
  <c r="E138" i="5"/>
  <c r="E25" i="5"/>
  <c r="E104" i="10" l="1"/>
  <c r="E898" i="5"/>
  <c r="E897" i="5"/>
  <c r="E896" i="5"/>
  <c r="E894" i="5"/>
  <c r="E891" i="5"/>
  <c r="E883" i="5"/>
  <c r="E858" i="5"/>
  <c r="E855" i="5"/>
  <c r="E842" i="5"/>
  <c r="E841" i="5"/>
  <c r="E840" i="5"/>
  <c r="E838" i="5"/>
  <c r="E827" i="5"/>
  <c r="E786" i="5"/>
  <c r="E785" i="5"/>
  <c r="E784" i="5"/>
  <c r="E782" i="5"/>
  <c r="E771" i="5"/>
  <c r="E729" i="5"/>
  <c r="E728" i="5"/>
  <c r="E727" i="5"/>
  <c r="E725" i="5"/>
  <c r="E722" i="5" s="1"/>
  <c r="E673" i="5"/>
  <c r="E672" i="5"/>
  <c r="E671" i="5"/>
  <c r="E669" i="5"/>
  <c r="E658" i="5"/>
  <c r="E616" i="5"/>
  <c r="E615" i="5"/>
  <c r="E614" i="5"/>
  <c r="E612" i="5"/>
  <c r="E609" i="5" s="1"/>
  <c r="E601" i="5"/>
  <c r="E560" i="5"/>
  <c r="E559" i="5"/>
  <c r="E558" i="5"/>
  <c r="E556" i="5"/>
  <c r="E545" i="5"/>
  <c r="E503" i="5"/>
  <c r="E502" i="5"/>
  <c r="E501" i="5"/>
  <c r="E499" i="5"/>
  <c r="E496" i="5" s="1"/>
  <c r="E488" i="5"/>
  <c r="E447" i="5"/>
  <c r="E446" i="5"/>
  <c r="E445" i="5"/>
  <c r="E443" i="5"/>
  <c r="E440" i="5" s="1"/>
  <c r="E432" i="5"/>
  <c r="Q415" i="5"/>
  <c r="P415" i="5"/>
  <c r="O415" i="5"/>
  <c r="N415" i="5"/>
  <c r="E415" i="5" s="1"/>
  <c r="E407" i="5"/>
  <c r="E391" i="5"/>
  <c r="E390" i="5"/>
  <c r="E389" i="5"/>
  <c r="E387" i="5"/>
  <c r="E376" i="5"/>
  <c r="E335" i="5"/>
  <c r="E334" i="5"/>
  <c r="E333" i="5"/>
  <c r="E331" i="5"/>
  <c r="E328" i="5"/>
  <c r="E320" i="5"/>
  <c r="E279" i="5"/>
  <c r="E278" i="5"/>
  <c r="E277" i="5"/>
  <c r="E275" i="5"/>
  <c r="E264" i="5"/>
  <c r="E239" i="5"/>
  <c r="E236" i="5"/>
  <c r="E222" i="5"/>
  <c r="E221" i="5"/>
  <c r="E220" i="5"/>
  <c r="E218" i="5"/>
  <c r="E207" i="5"/>
  <c r="E166" i="5"/>
  <c r="E165" i="5"/>
  <c r="E164" i="5"/>
  <c r="E162" i="5"/>
  <c r="E159" i="5"/>
  <c r="E151" i="5"/>
  <c r="E126" i="5"/>
  <c r="E109" i="5"/>
  <c r="E108" i="5"/>
  <c r="E94" i="5"/>
  <c r="E69" i="5"/>
  <c r="E424" i="4"/>
  <c r="E423" i="4"/>
  <c r="E422" i="4"/>
  <c r="E420" i="4"/>
  <c r="E407" i="4"/>
  <c r="Q403" i="4"/>
  <c r="P403" i="4"/>
  <c r="O403" i="4"/>
  <c r="N403" i="4"/>
  <c r="Q396" i="4"/>
  <c r="P396" i="4"/>
  <c r="O396" i="4"/>
  <c r="N396" i="4"/>
  <c r="E396" i="4"/>
  <c r="Q395" i="4"/>
  <c r="P395" i="4"/>
  <c r="O395" i="4"/>
  <c r="N395" i="4"/>
  <c r="E395" i="4"/>
  <c r="Q392" i="4"/>
  <c r="P392" i="4"/>
  <c r="O392" i="4"/>
  <c r="N392" i="4"/>
  <c r="E860" i="4"/>
  <c r="E859" i="4"/>
  <c r="E858" i="4"/>
  <c r="E856" i="4"/>
  <c r="Q839" i="4"/>
  <c r="P839" i="4"/>
  <c r="O839" i="4"/>
  <c r="N839" i="4"/>
  <c r="E839" i="4" s="1"/>
  <c r="Q832" i="4"/>
  <c r="P832" i="4"/>
  <c r="O832" i="4"/>
  <c r="N832" i="4"/>
  <c r="E832" i="4"/>
  <c r="Q831" i="4"/>
  <c r="P831" i="4"/>
  <c r="O831" i="4"/>
  <c r="N831" i="4"/>
  <c r="E831" i="4"/>
  <c r="Q828" i="4"/>
  <c r="P828" i="4"/>
  <c r="O828" i="4"/>
  <c r="N828" i="4"/>
  <c r="E806" i="4"/>
  <c r="E805" i="4"/>
  <c r="E804" i="4"/>
  <c r="E802" i="4"/>
  <c r="E789" i="4"/>
  <c r="Q785" i="4"/>
  <c r="P785" i="4"/>
  <c r="O785" i="4"/>
  <c r="N785" i="4"/>
  <c r="Q778" i="4"/>
  <c r="P778" i="4"/>
  <c r="O778" i="4"/>
  <c r="N778" i="4"/>
  <c r="E778" i="4"/>
  <c r="Q777" i="4"/>
  <c r="P777" i="4"/>
  <c r="O777" i="4"/>
  <c r="N777" i="4"/>
  <c r="E777" i="4"/>
  <c r="Q774" i="4"/>
  <c r="P774" i="4"/>
  <c r="O774" i="4"/>
  <c r="N774" i="4"/>
  <c r="E774" i="4" s="1"/>
  <c r="E801" i="4" s="1"/>
  <c r="E795" i="4" s="1"/>
  <c r="E752" i="4"/>
  <c r="E751" i="4"/>
  <c r="E750" i="4"/>
  <c r="E748" i="4"/>
  <c r="E735" i="4"/>
  <c r="Q731" i="4"/>
  <c r="P731" i="4"/>
  <c r="O731" i="4"/>
  <c r="N731" i="4"/>
  <c r="Q724" i="4"/>
  <c r="P724" i="4"/>
  <c r="O724" i="4"/>
  <c r="N724" i="4"/>
  <c r="E724" i="4"/>
  <c r="Q723" i="4"/>
  <c r="P723" i="4"/>
  <c r="O723" i="4"/>
  <c r="N723" i="4"/>
  <c r="E723" i="4"/>
  <c r="Q720" i="4"/>
  <c r="P720" i="4"/>
  <c r="O720" i="4"/>
  <c r="N720" i="4"/>
  <c r="E697" i="4"/>
  <c r="E696" i="4"/>
  <c r="E695" i="4"/>
  <c r="E693" i="4"/>
  <c r="E680" i="4"/>
  <c r="Q676" i="4"/>
  <c r="P676" i="4"/>
  <c r="O676" i="4"/>
  <c r="N676" i="4"/>
  <c r="Q669" i="4"/>
  <c r="P669" i="4"/>
  <c r="O669" i="4"/>
  <c r="N669" i="4"/>
  <c r="E669" i="4"/>
  <c r="Q668" i="4"/>
  <c r="P668" i="4"/>
  <c r="O668" i="4"/>
  <c r="N668" i="4"/>
  <c r="E668" i="4"/>
  <c r="Q665" i="4"/>
  <c r="P665" i="4"/>
  <c r="O665" i="4"/>
  <c r="N665" i="4"/>
  <c r="E643" i="4"/>
  <c r="E642" i="4"/>
  <c r="E641" i="4"/>
  <c r="E639" i="4"/>
  <c r="E626" i="4"/>
  <c r="Q622" i="4"/>
  <c r="P622" i="4"/>
  <c r="O622" i="4"/>
  <c r="N622" i="4"/>
  <c r="Q615" i="4"/>
  <c r="P615" i="4"/>
  <c r="O615" i="4"/>
  <c r="N615" i="4"/>
  <c r="E615" i="4"/>
  <c r="Q614" i="4"/>
  <c r="P614" i="4"/>
  <c r="O614" i="4"/>
  <c r="N614" i="4"/>
  <c r="E614" i="4"/>
  <c r="Q611" i="4"/>
  <c r="P611" i="4"/>
  <c r="O611" i="4"/>
  <c r="N611" i="4"/>
  <c r="E588" i="4"/>
  <c r="E587" i="4"/>
  <c r="E586" i="4"/>
  <c r="E584" i="4"/>
  <c r="E571" i="4"/>
  <c r="Q567" i="4"/>
  <c r="P567" i="4"/>
  <c r="O567" i="4"/>
  <c r="N567" i="4"/>
  <c r="Q560" i="4"/>
  <c r="P560" i="4"/>
  <c r="O560" i="4"/>
  <c r="N560" i="4"/>
  <c r="E560" i="4"/>
  <c r="Q559" i="4"/>
  <c r="P559" i="4"/>
  <c r="O559" i="4"/>
  <c r="N559" i="4"/>
  <c r="E559" i="4"/>
  <c r="Q556" i="4"/>
  <c r="P556" i="4"/>
  <c r="O556" i="4"/>
  <c r="N556" i="4"/>
  <c r="E534" i="4"/>
  <c r="E533" i="4"/>
  <c r="E532" i="4"/>
  <c r="E530" i="4"/>
  <c r="E517" i="4"/>
  <c r="Q513" i="4"/>
  <c r="P513" i="4"/>
  <c r="O513" i="4"/>
  <c r="N513" i="4"/>
  <c r="Q506" i="4"/>
  <c r="P506" i="4"/>
  <c r="O506" i="4"/>
  <c r="N506" i="4"/>
  <c r="E506" i="4"/>
  <c r="Q505" i="4"/>
  <c r="P505" i="4"/>
  <c r="O505" i="4"/>
  <c r="N505" i="4"/>
  <c r="E505" i="4"/>
  <c r="Q502" i="4"/>
  <c r="P502" i="4"/>
  <c r="O502" i="4"/>
  <c r="N502" i="4"/>
  <c r="E479" i="4"/>
  <c r="E478" i="4"/>
  <c r="E477" i="4"/>
  <c r="E475" i="4"/>
  <c r="E462" i="4"/>
  <c r="Q458" i="4"/>
  <c r="P458" i="4"/>
  <c r="O458" i="4"/>
  <c r="N458" i="4"/>
  <c r="Q451" i="4"/>
  <c r="P451" i="4"/>
  <c r="O451" i="4"/>
  <c r="N451" i="4"/>
  <c r="E451" i="4"/>
  <c r="Q450" i="4"/>
  <c r="P450" i="4"/>
  <c r="O450" i="4"/>
  <c r="N450" i="4"/>
  <c r="E450" i="4"/>
  <c r="Q447" i="4"/>
  <c r="P447" i="4"/>
  <c r="O447" i="4"/>
  <c r="N447" i="4"/>
  <c r="E370" i="4"/>
  <c r="E369" i="4"/>
  <c r="E368" i="4"/>
  <c r="E366" i="4"/>
  <c r="E353" i="4"/>
  <c r="Q349" i="4"/>
  <c r="P349" i="4"/>
  <c r="O349" i="4"/>
  <c r="N349" i="4"/>
  <c r="Q342" i="4"/>
  <c r="P342" i="4"/>
  <c r="O342" i="4"/>
  <c r="N342" i="4"/>
  <c r="E342" i="4"/>
  <c r="Q341" i="4"/>
  <c r="P341" i="4"/>
  <c r="O341" i="4"/>
  <c r="N341" i="4"/>
  <c r="E341" i="4"/>
  <c r="Q338" i="4"/>
  <c r="P338" i="4"/>
  <c r="O338" i="4"/>
  <c r="N338" i="4"/>
  <c r="E338" i="4" s="1"/>
  <c r="E365" i="4" s="1"/>
  <c r="E359" i="4" s="1"/>
  <c r="E316" i="4"/>
  <c r="E315" i="4"/>
  <c r="E314" i="4"/>
  <c r="E312" i="4"/>
  <c r="E299" i="4"/>
  <c r="Q295" i="4"/>
  <c r="P295" i="4"/>
  <c r="O295" i="4"/>
  <c r="N295" i="4"/>
  <c r="Q288" i="4"/>
  <c r="P288" i="4"/>
  <c r="O288" i="4"/>
  <c r="E288" i="4"/>
  <c r="Q287" i="4"/>
  <c r="P287" i="4"/>
  <c r="O287" i="4"/>
  <c r="E287" i="4"/>
  <c r="Q284" i="4"/>
  <c r="P284" i="4"/>
  <c r="O284" i="4"/>
  <c r="N284" i="4"/>
  <c r="E262" i="4"/>
  <c r="E261" i="4"/>
  <c r="E260" i="4"/>
  <c r="E258" i="4"/>
  <c r="Q241" i="4"/>
  <c r="P241" i="4"/>
  <c r="O241" i="4"/>
  <c r="N241" i="4"/>
  <c r="E234" i="4"/>
  <c r="E233" i="4"/>
  <c r="E207" i="4"/>
  <c r="E206" i="4"/>
  <c r="E205" i="4"/>
  <c r="E203" i="4"/>
  <c r="Q186" i="4"/>
  <c r="P186" i="4"/>
  <c r="O186" i="4"/>
  <c r="N186" i="4"/>
  <c r="E186" i="4" s="1"/>
  <c r="Q179" i="4"/>
  <c r="P179" i="4"/>
  <c r="O179" i="4"/>
  <c r="N179" i="4"/>
  <c r="E179" i="4"/>
  <c r="Q178" i="4"/>
  <c r="P178" i="4"/>
  <c r="O178" i="4"/>
  <c r="N178" i="4"/>
  <c r="E178" i="4"/>
  <c r="Q175" i="4"/>
  <c r="P175" i="4"/>
  <c r="O175" i="4"/>
  <c r="N175" i="4"/>
  <c r="E153" i="4"/>
  <c r="E152" i="4"/>
  <c r="E151" i="4"/>
  <c r="E149" i="4"/>
  <c r="Q132" i="4"/>
  <c r="P132" i="4"/>
  <c r="O132" i="4"/>
  <c r="N132" i="4"/>
  <c r="Q125" i="4"/>
  <c r="P125" i="4"/>
  <c r="O125" i="4"/>
  <c r="N125" i="4"/>
  <c r="E125" i="4"/>
  <c r="Q124" i="4"/>
  <c r="P124" i="4"/>
  <c r="O124" i="4"/>
  <c r="N124" i="4"/>
  <c r="E124" i="4"/>
  <c r="Q121" i="4"/>
  <c r="P121" i="4"/>
  <c r="O121" i="4"/>
  <c r="N121" i="4"/>
  <c r="E98" i="4"/>
  <c r="E97" i="4"/>
  <c r="E96" i="4"/>
  <c r="E94" i="4"/>
  <c r="E81" i="4"/>
  <c r="Q77" i="4"/>
  <c r="P77" i="4"/>
  <c r="O77" i="4"/>
  <c r="N77" i="4"/>
  <c r="Q70" i="4"/>
  <c r="P70" i="4"/>
  <c r="O70" i="4"/>
  <c r="N70" i="4"/>
  <c r="E70" i="4"/>
  <c r="Q69" i="4"/>
  <c r="P69" i="4"/>
  <c r="O69" i="4"/>
  <c r="N69" i="4"/>
  <c r="E69" i="4"/>
  <c r="E6" i="10"/>
  <c r="E53" i="5"/>
  <c r="E52" i="5"/>
  <c r="E51" i="5"/>
  <c r="E49" i="5"/>
  <c r="E38" i="5"/>
  <c r="Q21" i="5"/>
  <c r="P21" i="5"/>
  <c r="O21" i="5"/>
  <c r="E43" i="4"/>
  <c r="E42" i="4"/>
  <c r="E41" i="4"/>
  <c r="E39" i="4"/>
  <c r="E26" i="4"/>
  <c r="Q22" i="4"/>
  <c r="P22" i="4"/>
  <c r="O22" i="4"/>
  <c r="N22" i="4"/>
  <c r="Q15" i="4"/>
  <c r="P15" i="4"/>
  <c r="O15" i="4"/>
  <c r="N15" i="4"/>
  <c r="E15" i="4"/>
  <c r="Q14" i="4"/>
  <c r="P14" i="4"/>
  <c r="O14" i="4"/>
  <c r="N14" i="4"/>
  <c r="E14" i="4"/>
  <c r="E175" i="4" l="1"/>
  <c r="E202" i="4" s="1"/>
  <c r="E196" i="4" s="1"/>
  <c r="E284" i="4"/>
  <c r="E311" i="4" s="1"/>
  <c r="E828" i="4"/>
  <c r="E855" i="4" s="1"/>
  <c r="E849" i="4" s="1"/>
  <c r="E364" i="4"/>
  <c r="E363" i="4" s="1"/>
  <c r="E720" i="4"/>
  <c r="E747" i="4" s="1"/>
  <c r="E741" i="4" s="1"/>
  <c r="E556" i="4"/>
  <c r="E583" i="4" s="1"/>
  <c r="E611" i="4"/>
  <c r="E638" i="4" s="1"/>
  <c r="E665" i="4"/>
  <c r="E692" i="4" s="1"/>
  <c r="E686" i="4" s="1"/>
  <c r="E800" i="4"/>
  <c r="E447" i="4"/>
  <c r="E474" i="4" s="1"/>
  <c r="E468" i="4" s="1"/>
  <c r="N826" i="4"/>
  <c r="O554" i="4"/>
  <c r="E502" i="4"/>
  <c r="E529" i="4" s="1"/>
  <c r="E523" i="4" s="1"/>
  <c r="N336" i="4"/>
  <c r="E121" i="4"/>
  <c r="E148" i="4" s="1"/>
  <c r="E142" i="4" s="1"/>
  <c r="E384" i="5"/>
  <c r="E272" i="5"/>
  <c r="E835" i="5"/>
  <c r="O124" i="5"/>
  <c r="O122" i="13"/>
  <c r="I237" i="5"/>
  <c r="I235" i="15"/>
  <c r="I235" i="13"/>
  <c r="Q237" i="5"/>
  <c r="Q235" i="5" s="1"/>
  <c r="Q235" i="13"/>
  <c r="N296" i="5"/>
  <c r="M518" i="5"/>
  <c r="M516" i="13"/>
  <c r="I577" i="5"/>
  <c r="I634" i="5"/>
  <c r="N687" i="5"/>
  <c r="N685" i="13"/>
  <c r="Q747" i="5"/>
  <c r="Q759" i="5" s="1"/>
  <c r="G800" i="5"/>
  <c r="G798" i="15"/>
  <c r="G798" i="13"/>
  <c r="F11" i="5"/>
  <c r="F9" i="15"/>
  <c r="I14" i="5"/>
  <c r="Q14" i="5"/>
  <c r="Q26" i="5" s="1"/>
  <c r="G9" i="15"/>
  <c r="G9" i="13"/>
  <c r="O9" i="13"/>
  <c r="J14" i="5"/>
  <c r="M67" i="5"/>
  <c r="M65" i="13"/>
  <c r="H70" i="5"/>
  <c r="P70" i="5"/>
  <c r="P82" i="5" s="1"/>
  <c r="F124" i="5"/>
  <c r="F122" i="15"/>
  <c r="F122" i="13"/>
  <c r="N124" i="5"/>
  <c r="N122" i="5" s="1"/>
  <c r="N122" i="13"/>
  <c r="I127" i="5"/>
  <c r="Q127" i="5"/>
  <c r="Q139" i="5" s="1"/>
  <c r="G180" i="5"/>
  <c r="G178" i="15"/>
  <c r="G178" i="13"/>
  <c r="O180" i="5"/>
  <c r="O178" i="5" s="1"/>
  <c r="O178" i="13"/>
  <c r="J183" i="5"/>
  <c r="H237" i="5"/>
  <c r="H235" i="15"/>
  <c r="H235" i="13"/>
  <c r="P237" i="5"/>
  <c r="P235" i="5" s="1"/>
  <c r="P235" i="13"/>
  <c r="K240" i="5"/>
  <c r="J293" i="5"/>
  <c r="J291" i="15"/>
  <c r="J291" i="13"/>
  <c r="M296" i="5"/>
  <c r="J349" i="5"/>
  <c r="J347" i="15"/>
  <c r="J347" i="13"/>
  <c r="M352" i="5"/>
  <c r="K461" i="5"/>
  <c r="K459" i="13"/>
  <c r="F464" i="5"/>
  <c r="N464" i="5"/>
  <c r="L518" i="5"/>
  <c r="L516" i="13"/>
  <c r="G521" i="5"/>
  <c r="O521" i="5"/>
  <c r="M574" i="5"/>
  <c r="M572" i="13"/>
  <c r="H577" i="5"/>
  <c r="P577" i="5"/>
  <c r="M631" i="5"/>
  <c r="M629" i="13"/>
  <c r="H634" i="5"/>
  <c r="P634" i="5"/>
  <c r="M687" i="5"/>
  <c r="M685" i="13"/>
  <c r="H690" i="5"/>
  <c r="P690" i="5"/>
  <c r="M744" i="5"/>
  <c r="M742" i="13"/>
  <c r="H747" i="5"/>
  <c r="P747" i="5"/>
  <c r="F800" i="5"/>
  <c r="N800" i="5"/>
  <c r="N798" i="13"/>
  <c r="I803" i="5"/>
  <c r="Q803" i="5"/>
  <c r="F856" i="5"/>
  <c r="N856" i="5"/>
  <c r="N854" i="5" s="1"/>
  <c r="N854" i="13"/>
  <c r="I859" i="5"/>
  <c r="Q859" i="5"/>
  <c r="Q871" i="5" s="1"/>
  <c r="G405" i="5"/>
  <c r="G403" i="15"/>
  <c r="G403" i="13"/>
  <c r="O405" i="5"/>
  <c r="O403" i="13"/>
  <c r="J408" i="5"/>
  <c r="H11" i="5"/>
  <c r="H9" i="15"/>
  <c r="H9" i="13"/>
  <c r="F67" i="5"/>
  <c r="G124" i="5"/>
  <c r="G122" i="15"/>
  <c r="G122" i="13"/>
  <c r="L240" i="5"/>
  <c r="N352" i="5"/>
  <c r="L461" i="5"/>
  <c r="L459" i="13"/>
  <c r="F574" i="5"/>
  <c r="Q577" i="5"/>
  <c r="N631" i="5"/>
  <c r="N629" i="13"/>
  <c r="Q690" i="5"/>
  <c r="I747" i="5"/>
  <c r="J803" i="5"/>
  <c r="P403" i="13"/>
  <c r="I11" i="5"/>
  <c r="I9" i="13"/>
  <c r="Q11" i="5"/>
  <c r="Q9" i="13"/>
  <c r="G67" i="5"/>
  <c r="G65" i="15"/>
  <c r="G65" i="13"/>
  <c r="O67" i="5"/>
  <c r="O65" i="5" s="1"/>
  <c r="O65" i="13"/>
  <c r="J70" i="5"/>
  <c r="H124" i="5"/>
  <c r="H122" i="15"/>
  <c r="H122" i="13"/>
  <c r="P124" i="5"/>
  <c r="P122" i="5" s="1"/>
  <c r="P122" i="13"/>
  <c r="K127" i="5"/>
  <c r="I180" i="5"/>
  <c r="I178" i="15"/>
  <c r="I178" i="13"/>
  <c r="Q180" i="5"/>
  <c r="Q178" i="5" s="1"/>
  <c r="Q178" i="13"/>
  <c r="L183" i="5"/>
  <c r="J237" i="5"/>
  <c r="J235" i="15"/>
  <c r="J235" i="13"/>
  <c r="M240" i="5"/>
  <c r="L293" i="5"/>
  <c r="L291" i="13"/>
  <c r="G296" i="5"/>
  <c r="O296" i="5"/>
  <c r="L349" i="5"/>
  <c r="L347" i="13"/>
  <c r="G352" i="5"/>
  <c r="O352" i="5"/>
  <c r="M461" i="5"/>
  <c r="M459" i="13"/>
  <c r="H464" i="5"/>
  <c r="P464" i="5"/>
  <c r="P476" i="5" s="1"/>
  <c r="F518" i="5"/>
  <c r="N518" i="5"/>
  <c r="N516" i="13"/>
  <c r="I521" i="5"/>
  <c r="Q521" i="5"/>
  <c r="G574" i="5"/>
  <c r="G572" i="13"/>
  <c r="G572" i="15"/>
  <c r="O574" i="5"/>
  <c r="O572" i="5" s="1"/>
  <c r="O572" i="13"/>
  <c r="J577" i="5"/>
  <c r="G631" i="5"/>
  <c r="G629" i="15"/>
  <c r="G629" i="13"/>
  <c r="O631" i="5"/>
  <c r="O629" i="5" s="1"/>
  <c r="O629" i="13"/>
  <c r="J634" i="5"/>
  <c r="G687" i="5"/>
  <c r="G685" i="15"/>
  <c r="G685" i="13"/>
  <c r="O687" i="5"/>
  <c r="O685" i="5" s="1"/>
  <c r="O685" i="13"/>
  <c r="J690" i="5"/>
  <c r="G744" i="5"/>
  <c r="G742" i="15"/>
  <c r="G742" i="13"/>
  <c r="O744" i="5"/>
  <c r="O742" i="5" s="1"/>
  <c r="O742" i="13"/>
  <c r="J747" i="5"/>
  <c r="H800" i="5"/>
  <c r="H798" i="13"/>
  <c r="H798" i="15"/>
  <c r="P800" i="5"/>
  <c r="P798" i="5" s="1"/>
  <c r="P798" i="13"/>
  <c r="K803" i="5"/>
  <c r="H856" i="5"/>
  <c r="H854" i="15"/>
  <c r="H854" i="13"/>
  <c r="P856" i="5"/>
  <c r="P854" i="5" s="1"/>
  <c r="P854" i="13"/>
  <c r="K859" i="5"/>
  <c r="I405" i="5"/>
  <c r="I403" i="13"/>
  <c r="I403" i="15"/>
  <c r="Q405" i="5"/>
  <c r="Q403" i="13"/>
  <c r="L408" i="5"/>
  <c r="N67" i="5"/>
  <c r="N65" i="13"/>
  <c r="F296" i="5"/>
  <c r="O464" i="5"/>
  <c r="Q634" i="5"/>
  <c r="I690" i="5"/>
  <c r="N744" i="5"/>
  <c r="N742" i="13"/>
  <c r="O800" i="5"/>
  <c r="O798" i="5" s="1"/>
  <c r="O798" i="13"/>
  <c r="O856" i="5"/>
  <c r="O854" i="5" s="1"/>
  <c r="O854" i="13"/>
  <c r="J11" i="5"/>
  <c r="J9" i="15"/>
  <c r="J9" i="13"/>
  <c r="M14" i="5"/>
  <c r="H67" i="5"/>
  <c r="H65" i="15"/>
  <c r="H65" i="13"/>
  <c r="P67" i="5"/>
  <c r="P65" i="13"/>
  <c r="K70" i="5"/>
  <c r="I124" i="5"/>
  <c r="I122" i="15"/>
  <c r="I122" i="13"/>
  <c r="Q124" i="5"/>
  <c r="Q122" i="13"/>
  <c r="L127" i="5"/>
  <c r="J180" i="5"/>
  <c r="J178" i="15"/>
  <c r="J178" i="13"/>
  <c r="M183" i="5"/>
  <c r="K237" i="5"/>
  <c r="K235" i="13"/>
  <c r="F240" i="5"/>
  <c r="M291" i="13"/>
  <c r="H296" i="5"/>
  <c r="P296" i="5"/>
  <c r="M349" i="5"/>
  <c r="M347" i="13"/>
  <c r="H352" i="5"/>
  <c r="P352" i="5"/>
  <c r="P364" i="5" s="1"/>
  <c r="F461" i="5"/>
  <c r="N461" i="5"/>
  <c r="N459" i="5" s="1"/>
  <c r="N459" i="13"/>
  <c r="I464" i="5"/>
  <c r="Q464" i="5"/>
  <c r="G518" i="5"/>
  <c r="G516" i="15"/>
  <c r="G516" i="13"/>
  <c r="O518" i="5"/>
  <c r="O516" i="5" s="1"/>
  <c r="O516" i="13"/>
  <c r="J521" i="5"/>
  <c r="H574" i="5"/>
  <c r="H572" i="15"/>
  <c r="H572" i="13"/>
  <c r="P574" i="5"/>
  <c r="P572" i="5" s="1"/>
  <c r="P572" i="13"/>
  <c r="K577" i="5"/>
  <c r="H631" i="5"/>
  <c r="H629" i="15"/>
  <c r="H629" i="13"/>
  <c r="P631" i="5"/>
  <c r="P629" i="5" s="1"/>
  <c r="P629" i="13"/>
  <c r="K634" i="5"/>
  <c r="H687" i="5"/>
  <c r="H685" i="15"/>
  <c r="H685" i="13"/>
  <c r="P687" i="5"/>
  <c r="P685" i="5" s="1"/>
  <c r="P685" i="13"/>
  <c r="K690" i="5"/>
  <c r="H744" i="5"/>
  <c r="H742" i="15"/>
  <c r="H742" i="13"/>
  <c r="P744" i="5"/>
  <c r="P742" i="5" s="1"/>
  <c r="P742" i="13"/>
  <c r="K747" i="5"/>
  <c r="I800" i="5"/>
  <c r="I798" i="15"/>
  <c r="I798" i="13"/>
  <c r="Q800" i="5"/>
  <c r="Q798" i="5" s="1"/>
  <c r="Q798" i="13"/>
  <c r="L803" i="5"/>
  <c r="I856" i="5"/>
  <c r="I854" i="15"/>
  <c r="I854" i="13"/>
  <c r="Q856" i="5"/>
  <c r="Q854" i="5" s="1"/>
  <c r="Q854" i="13"/>
  <c r="L859" i="5"/>
  <c r="J405" i="5"/>
  <c r="J403" i="15"/>
  <c r="J403" i="13"/>
  <c r="M408" i="5"/>
  <c r="J127" i="5"/>
  <c r="H180" i="5"/>
  <c r="H178" i="13"/>
  <c r="H178" i="15"/>
  <c r="F352" i="5"/>
  <c r="N574" i="5"/>
  <c r="N572" i="13"/>
  <c r="F631" i="5"/>
  <c r="H403" i="15"/>
  <c r="H403" i="13"/>
  <c r="K11" i="5"/>
  <c r="K9" i="13"/>
  <c r="F14" i="5"/>
  <c r="N14" i="5"/>
  <c r="N26" i="5" s="1"/>
  <c r="I67" i="5"/>
  <c r="I65" i="15"/>
  <c r="I65" i="13"/>
  <c r="Q67" i="5"/>
  <c r="Q65" i="5" s="1"/>
  <c r="Q65" i="13"/>
  <c r="J124" i="5"/>
  <c r="J122" i="13"/>
  <c r="M127" i="5"/>
  <c r="K180" i="5"/>
  <c r="K178" i="13"/>
  <c r="F183" i="5"/>
  <c r="N183" i="5"/>
  <c r="L237" i="5"/>
  <c r="L235" i="13"/>
  <c r="G240" i="5"/>
  <c r="O240" i="5"/>
  <c r="F293" i="5"/>
  <c r="N293" i="5"/>
  <c r="N291" i="13"/>
  <c r="I296" i="5"/>
  <c r="Q296" i="5"/>
  <c r="F349" i="5"/>
  <c r="N349" i="5"/>
  <c r="N347" i="13"/>
  <c r="I352" i="5"/>
  <c r="Q352" i="5"/>
  <c r="G461" i="5"/>
  <c r="G459" i="15"/>
  <c r="G459" i="13"/>
  <c r="O461" i="5"/>
  <c r="O459" i="5" s="1"/>
  <c r="O459" i="13"/>
  <c r="J464" i="5"/>
  <c r="H518" i="5"/>
  <c r="H516" i="15"/>
  <c r="H516" i="13"/>
  <c r="P518" i="5"/>
  <c r="P516" i="5" s="1"/>
  <c r="P516" i="13"/>
  <c r="K521" i="5"/>
  <c r="I574" i="5"/>
  <c r="I572" i="15"/>
  <c r="I572" i="13"/>
  <c r="Q574" i="5"/>
  <c r="Q572" i="5" s="1"/>
  <c r="Q572" i="13"/>
  <c r="L577" i="5"/>
  <c r="I631" i="5"/>
  <c r="I629" i="13"/>
  <c r="I629" i="15"/>
  <c r="Q631" i="5"/>
  <c r="Q629" i="5" s="1"/>
  <c r="Q629" i="13"/>
  <c r="L634" i="5"/>
  <c r="N663" i="4"/>
  <c r="I687" i="5"/>
  <c r="I685" i="15"/>
  <c r="I685" i="13"/>
  <c r="Q687" i="5"/>
  <c r="Q685" i="5" s="1"/>
  <c r="Q685" i="13"/>
  <c r="L690" i="5"/>
  <c r="I742" i="15"/>
  <c r="I742" i="13"/>
  <c r="Q742" i="13"/>
  <c r="L747" i="5"/>
  <c r="J800" i="5"/>
  <c r="J798" i="15"/>
  <c r="J798" i="13"/>
  <c r="M803" i="5"/>
  <c r="J856" i="5"/>
  <c r="J854" i="15"/>
  <c r="J854" i="13"/>
  <c r="M859" i="5"/>
  <c r="K405" i="5"/>
  <c r="K403" i="13"/>
  <c r="N408" i="5"/>
  <c r="P11" i="5"/>
  <c r="P9" i="13"/>
  <c r="P180" i="5"/>
  <c r="P178" i="5" s="1"/>
  <c r="P178" i="13"/>
  <c r="K293" i="5"/>
  <c r="K291" i="13"/>
  <c r="K349" i="5"/>
  <c r="K347" i="13"/>
  <c r="F744" i="5"/>
  <c r="G856" i="5"/>
  <c r="G854" i="15"/>
  <c r="G854" i="13"/>
  <c r="K408" i="5"/>
  <c r="L11" i="5"/>
  <c r="L9" i="13"/>
  <c r="G14" i="5"/>
  <c r="O14" i="5"/>
  <c r="O26" i="5" s="1"/>
  <c r="J67" i="5"/>
  <c r="J65" i="15"/>
  <c r="J65" i="13"/>
  <c r="M70" i="5"/>
  <c r="K124" i="5"/>
  <c r="K122" i="13"/>
  <c r="F127" i="5"/>
  <c r="N127" i="5"/>
  <c r="N139" i="5" s="1"/>
  <c r="L180" i="5"/>
  <c r="L178" i="13"/>
  <c r="G183" i="5"/>
  <c r="O183" i="5"/>
  <c r="M237" i="5"/>
  <c r="M235" i="13"/>
  <c r="H240" i="5"/>
  <c r="P240" i="5"/>
  <c r="G291" i="15"/>
  <c r="G291" i="13"/>
  <c r="O293" i="5"/>
  <c r="O291" i="5" s="1"/>
  <c r="O291" i="13"/>
  <c r="J296" i="5"/>
  <c r="G349" i="5"/>
  <c r="G347" i="15"/>
  <c r="G347" i="13"/>
  <c r="O349" i="5"/>
  <c r="O347" i="5" s="1"/>
  <c r="O347" i="13"/>
  <c r="J352" i="5"/>
  <c r="H461" i="5"/>
  <c r="H459" i="15"/>
  <c r="H459" i="13"/>
  <c r="P461" i="5"/>
  <c r="P459" i="5" s="1"/>
  <c r="P459" i="13"/>
  <c r="K464" i="5"/>
  <c r="I518" i="5"/>
  <c r="I516" i="15"/>
  <c r="I516" i="13"/>
  <c r="Q518" i="5"/>
  <c r="Q516" i="5" s="1"/>
  <c r="Q516" i="13"/>
  <c r="L521" i="5"/>
  <c r="J574" i="5"/>
  <c r="J572" i="15"/>
  <c r="J572" i="13"/>
  <c r="M577" i="5"/>
  <c r="J631" i="5"/>
  <c r="J629" i="15"/>
  <c r="J629" i="13"/>
  <c r="M634" i="5"/>
  <c r="J687" i="5"/>
  <c r="J685" i="15"/>
  <c r="J685" i="13"/>
  <c r="M690" i="5"/>
  <c r="J742" i="13"/>
  <c r="J742" i="15"/>
  <c r="M747" i="5"/>
  <c r="K800" i="5"/>
  <c r="K798" i="13"/>
  <c r="F803" i="5"/>
  <c r="N803" i="5"/>
  <c r="K856" i="5"/>
  <c r="K854" i="13"/>
  <c r="F859" i="5"/>
  <c r="N859" i="5"/>
  <c r="L405" i="5"/>
  <c r="L403" i="13"/>
  <c r="G408" i="5"/>
  <c r="O408" i="5"/>
  <c r="O420" i="5" s="1"/>
  <c r="K14" i="5"/>
  <c r="G464" i="5"/>
  <c r="P521" i="5"/>
  <c r="M9" i="13"/>
  <c r="H14" i="5"/>
  <c r="P14" i="5"/>
  <c r="P26" i="5" s="1"/>
  <c r="K67" i="5"/>
  <c r="K65" i="13"/>
  <c r="F70" i="5"/>
  <c r="N70" i="5"/>
  <c r="L124" i="5"/>
  <c r="G127" i="5"/>
  <c r="O127" i="5"/>
  <c r="O139" i="5" s="1"/>
  <c r="M180" i="5"/>
  <c r="M178" i="13"/>
  <c r="H183" i="5"/>
  <c r="P183" i="5"/>
  <c r="F237" i="5"/>
  <c r="F235" i="15"/>
  <c r="F235" i="13"/>
  <c r="N237" i="5"/>
  <c r="N235" i="13"/>
  <c r="I240" i="5"/>
  <c r="Q240" i="5"/>
  <c r="Q252" i="5" s="1"/>
  <c r="H293" i="5"/>
  <c r="H291" i="15"/>
  <c r="H291" i="13"/>
  <c r="P293" i="5"/>
  <c r="P291" i="5" s="1"/>
  <c r="P291" i="13"/>
  <c r="K296" i="5"/>
  <c r="H347" i="15"/>
  <c r="H347" i="13"/>
  <c r="P347" i="13"/>
  <c r="K352" i="5"/>
  <c r="I461" i="5"/>
  <c r="I459" i="15"/>
  <c r="I459" i="13"/>
  <c r="Q461" i="5"/>
  <c r="Q459" i="5" s="1"/>
  <c r="Q459" i="13"/>
  <c r="L464" i="5"/>
  <c r="J518" i="5"/>
  <c r="J516" i="15"/>
  <c r="J516" i="13"/>
  <c r="M521" i="5"/>
  <c r="K574" i="5"/>
  <c r="K572" i="13"/>
  <c r="F577" i="5"/>
  <c r="N577" i="5"/>
  <c r="K631" i="5"/>
  <c r="K629" i="13"/>
  <c r="F634" i="5"/>
  <c r="N634" i="5"/>
  <c r="K687" i="5"/>
  <c r="K685" i="13"/>
  <c r="F690" i="5"/>
  <c r="N690" i="5"/>
  <c r="K744" i="5"/>
  <c r="K742" i="13"/>
  <c r="F747" i="5"/>
  <c r="N747" i="5"/>
  <c r="L798" i="13"/>
  <c r="G803" i="5"/>
  <c r="O803" i="5"/>
  <c r="L856" i="5"/>
  <c r="L854" i="13"/>
  <c r="G859" i="5"/>
  <c r="O859" i="5"/>
  <c r="M405" i="5"/>
  <c r="M403" i="13"/>
  <c r="H408" i="5"/>
  <c r="P408" i="5"/>
  <c r="K183" i="5"/>
  <c r="H521" i="5"/>
  <c r="F687" i="5"/>
  <c r="J859" i="5"/>
  <c r="N11" i="5"/>
  <c r="N9" i="13"/>
  <c r="L67" i="5"/>
  <c r="L65" i="13"/>
  <c r="G70" i="5"/>
  <c r="O70" i="5"/>
  <c r="O82" i="5" s="1"/>
  <c r="M124" i="5"/>
  <c r="M122" i="13"/>
  <c r="H127" i="5"/>
  <c r="P127" i="5"/>
  <c r="P139" i="5" s="1"/>
  <c r="F180" i="5"/>
  <c r="N180" i="5"/>
  <c r="N178" i="13"/>
  <c r="I183" i="5"/>
  <c r="Q183" i="5"/>
  <c r="G237" i="5"/>
  <c r="G235" i="15"/>
  <c r="O237" i="5"/>
  <c r="O235" i="5" s="1"/>
  <c r="O235" i="13"/>
  <c r="J240" i="5"/>
  <c r="I293" i="5"/>
  <c r="I291" i="15"/>
  <c r="I291" i="13"/>
  <c r="Q293" i="5"/>
  <c r="Q291" i="5" s="1"/>
  <c r="Q291" i="13"/>
  <c r="L296" i="5"/>
  <c r="I349" i="5"/>
  <c r="I347" i="15"/>
  <c r="I347" i="13"/>
  <c r="Q349" i="5"/>
  <c r="Q347" i="5" s="1"/>
  <c r="Q347" i="13"/>
  <c r="L352" i="5"/>
  <c r="J461" i="5"/>
  <c r="J459" i="15"/>
  <c r="J459" i="13"/>
  <c r="M464" i="5"/>
  <c r="K518" i="5"/>
  <c r="K516" i="13"/>
  <c r="F521" i="5"/>
  <c r="N521" i="5"/>
  <c r="L574" i="5"/>
  <c r="L572" i="13"/>
  <c r="G577" i="5"/>
  <c r="O577" i="5"/>
  <c r="L631" i="5"/>
  <c r="L629" i="13"/>
  <c r="G634" i="5"/>
  <c r="O634" i="5"/>
  <c r="L687" i="5"/>
  <c r="L685" i="13"/>
  <c r="G690" i="5"/>
  <c r="O690" i="5"/>
  <c r="L744" i="5"/>
  <c r="L742" i="13"/>
  <c r="G747" i="5"/>
  <c r="O747" i="5"/>
  <c r="M800" i="5"/>
  <c r="M798" i="13"/>
  <c r="H803" i="5"/>
  <c r="P803" i="5"/>
  <c r="M856" i="5"/>
  <c r="M854" i="13"/>
  <c r="H859" i="5"/>
  <c r="P859" i="5"/>
  <c r="F405" i="5"/>
  <c r="N405" i="5"/>
  <c r="N403" i="13"/>
  <c r="I408" i="5"/>
  <c r="Q408" i="5"/>
  <c r="E666" i="5"/>
  <c r="E102" i="5"/>
  <c r="E215" i="5"/>
  <c r="E553" i="5"/>
  <c r="E779" i="5"/>
  <c r="Q857" i="5"/>
  <c r="Q853" i="5" s="1"/>
  <c r="Q852" i="5" s="1"/>
  <c r="I744" i="5"/>
  <c r="Q744" i="5"/>
  <c r="Q742" i="5" s="1"/>
  <c r="N390" i="4"/>
  <c r="O406" i="5"/>
  <c r="Q745" i="5"/>
  <c r="I70" i="5"/>
  <c r="Q70" i="5"/>
  <c r="Q82" i="5" s="1"/>
  <c r="N445" i="4"/>
  <c r="J744" i="5"/>
  <c r="Q238" i="5"/>
  <c r="P663" i="4"/>
  <c r="L800" i="5"/>
  <c r="O390" i="4"/>
  <c r="F408" i="5"/>
  <c r="L70" i="5"/>
  <c r="P405" i="5"/>
  <c r="H405" i="5"/>
  <c r="P390" i="4"/>
  <c r="P500" i="4"/>
  <c r="Q500" i="4"/>
  <c r="H349" i="5"/>
  <c r="P349" i="5"/>
  <c r="P347" i="5" s="1"/>
  <c r="M293" i="5"/>
  <c r="G293" i="5"/>
  <c r="P65" i="5"/>
  <c r="E697" i="5"/>
  <c r="E584" i="5"/>
  <c r="E190" i="5"/>
  <c r="E134" i="5"/>
  <c r="E641" i="5"/>
  <c r="E866" i="5"/>
  <c r="E810" i="5"/>
  <c r="E754" i="5"/>
  <c r="P826" i="4"/>
  <c r="E247" i="5"/>
  <c r="P718" i="4"/>
  <c r="Q663" i="4"/>
  <c r="P609" i="4"/>
  <c r="P554" i="4"/>
  <c r="N500" i="4"/>
  <c r="Q390" i="4"/>
  <c r="N282" i="4"/>
  <c r="O282" i="4"/>
  <c r="N238" i="5"/>
  <c r="E123" i="5"/>
  <c r="E46" i="5"/>
  <c r="E21" i="5"/>
  <c r="Q9" i="5"/>
  <c r="E691" i="4"/>
  <c r="E690" i="4" s="1"/>
  <c r="P445" i="4"/>
  <c r="Q554" i="4"/>
  <c r="N228" i="4"/>
  <c r="O609" i="4"/>
  <c r="P772" i="4"/>
  <c r="E392" i="4"/>
  <c r="E419" i="4" s="1"/>
  <c r="E413" i="4" s="1"/>
  <c r="E799" i="4"/>
  <c r="E256" i="4"/>
  <c r="E255" i="4" s="1"/>
  <c r="P282" i="4"/>
  <c r="N718" i="4"/>
  <c r="E403" i="4"/>
  <c r="O228" i="4"/>
  <c r="O336" i="4"/>
  <c r="O445" i="4"/>
  <c r="E513" i="4"/>
  <c r="E567" i="4"/>
  <c r="E676" i="4"/>
  <c r="O826" i="4"/>
  <c r="O772" i="4"/>
  <c r="Q282" i="4"/>
  <c r="E349" i="4"/>
  <c r="Q718" i="4"/>
  <c r="N772" i="4"/>
  <c r="Q772" i="4"/>
  <c r="E785" i="4"/>
  <c r="P228" i="4"/>
  <c r="P336" i="4"/>
  <c r="Q609" i="4"/>
  <c r="O663" i="4"/>
  <c r="E731" i="4"/>
  <c r="P125" i="5"/>
  <c r="E295" i="4"/>
  <c r="E622" i="4"/>
  <c r="E458" i="4"/>
  <c r="O718" i="4"/>
  <c r="N609" i="4"/>
  <c r="Q826" i="4"/>
  <c r="N554" i="4"/>
  <c r="O500" i="4"/>
  <c r="Q445" i="4"/>
  <c r="Q336" i="4"/>
  <c r="Q119" i="4"/>
  <c r="E147" i="4"/>
  <c r="E146" i="4" s="1"/>
  <c r="E201" i="4"/>
  <c r="E200" i="4" s="1"/>
  <c r="E132" i="4"/>
  <c r="O122" i="5"/>
  <c r="E77" i="4"/>
  <c r="P119" i="4"/>
  <c r="P173" i="4"/>
  <c r="E241" i="4"/>
  <c r="N119" i="4"/>
  <c r="Q122" i="5"/>
  <c r="Q228" i="4"/>
  <c r="O173" i="4"/>
  <c r="Q12" i="5"/>
  <c r="Q125" i="5"/>
  <c r="N173" i="4"/>
  <c r="Q173" i="4"/>
  <c r="O125" i="5"/>
  <c r="O119" i="4"/>
  <c r="E22" i="4"/>
  <c r="O12" i="5"/>
  <c r="N9" i="5"/>
  <c r="P12" i="5"/>
  <c r="N12" i="5"/>
  <c r="P9" i="5"/>
  <c r="L14" i="5"/>
  <c r="M11" i="5"/>
  <c r="G11" i="5"/>
  <c r="O11" i="5"/>
  <c r="O9" i="5" s="1"/>
  <c r="N350" i="5" l="1"/>
  <c r="N364" i="5"/>
  <c r="E358" i="5" s="1"/>
  <c r="E352" i="5"/>
  <c r="E445" i="4"/>
  <c r="Q406" i="5"/>
  <c r="Q420" i="5"/>
  <c r="O181" i="5"/>
  <c r="O177" i="5" s="1"/>
  <c r="O176" i="5" s="1"/>
  <c r="O195" i="5"/>
  <c r="E195" i="5" s="1"/>
  <c r="Q294" i="5"/>
  <c r="Q308" i="5"/>
  <c r="Q688" i="5"/>
  <c r="Q702" i="5"/>
  <c r="P745" i="5"/>
  <c r="P741" i="5" s="1"/>
  <c r="P740" i="5" s="1"/>
  <c r="P759" i="5"/>
  <c r="P632" i="5"/>
  <c r="P646" i="5"/>
  <c r="O519" i="5"/>
  <c r="O533" i="5"/>
  <c r="E418" i="4"/>
  <c r="E417" i="4" s="1"/>
  <c r="P519" i="5"/>
  <c r="P533" i="5"/>
  <c r="E746" i="4"/>
  <c r="E745" i="4" s="1"/>
  <c r="P801" i="5"/>
  <c r="P797" i="5" s="1"/>
  <c r="P796" i="5" s="1"/>
  <c r="P815" i="5"/>
  <c r="E809" i="5" s="1"/>
  <c r="O688" i="5"/>
  <c r="O702" i="5"/>
  <c r="O575" i="5"/>
  <c r="O589" i="5"/>
  <c r="N178" i="5"/>
  <c r="N177" i="5" s="1"/>
  <c r="N176" i="5" s="1"/>
  <c r="E180" i="5"/>
  <c r="P181" i="5"/>
  <c r="P195" i="5"/>
  <c r="N181" i="5"/>
  <c r="N195" i="5"/>
  <c r="E183" i="5"/>
  <c r="Q462" i="5"/>
  <c r="Q458" i="5" s="1"/>
  <c r="Q457" i="5" s="1"/>
  <c r="Q476" i="5"/>
  <c r="N742" i="5"/>
  <c r="E744" i="5"/>
  <c r="N294" i="5"/>
  <c r="N308" i="5"/>
  <c r="E296" i="5"/>
  <c r="O857" i="5"/>
  <c r="O853" i="5" s="1"/>
  <c r="O852" i="5" s="1"/>
  <c r="O871" i="5"/>
  <c r="N65" i="5"/>
  <c r="E67" i="5"/>
  <c r="P462" i="5"/>
  <c r="P458" i="5" s="1"/>
  <c r="P457" i="5" s="1"/>
  <c r="P406" i="5"/>
  <c r="P420" i="5"/>
  <c r="N688" i="5"/>
  <c r="N702" i="5"/>
  <c r="E690" i="5"/>
  <c r="N575" i="5"/>
  <c r="N589" i="5"/>
  <c r="E577" i="5"/>
  <c r="N801" i="5"/>
  <c r="N815" i="5"/>
  <c r="E803" i="5"/>
  <c r="P294" i="5"/>
  <c r="P308" i="5"/>
  <c r="Q519" i="5"/>
  <c r="Q533" i="5"/>
  <c r="N629" i="5"/>
  <c r="E631" i="5"/>
  <c r="E405" i="5"/>
  <c r="O801" i="5"/>
  <c r="O815" i="5"/>
  <c r="Q350" i="5"/>
  <c r="Q346" i="5" s="1"/>
  <c r="Q345" i="5" s="1"/>
  <c r="Q364" i="5"/>
  <c r="N291" i="5"/>
  <c r="E291" i="5" s="1"/>
  <c r="E293" i="5"/>
  <c r="Q632" i="5"/>
  <c r="Q628" i="5" s="1"/>
  <c r="Q627" i="5" s="1"/>
  <c r="Q646" i="5"/>
  <c r="O350" i="5"/>
  <c r="O364" i="5"/>
  <c r="Q575" i="5"/>
  <c r="Q571" i="5" s="1"/>
  <c r="Q570" i="5" s="1"/>
  <c r="Q589" i="5"/>
  <c r="Q801" i="5"/>
  <c r="Q797" i="5" s="1"/>
  <c r="Q796" i="5" s="1"/>
  <c r="Q815" i="5"/>
  <c r="E473" i="4"/>
  <c r="E472" i="4" s="1"/>
  <c r="O294" i="5"/>
  <c r="O290" i="5" s="1"/>
  <c r="O289" i="5" s="1"/>
  <c r="O308" i="5"/>
  <c r="E11" i="5"/>
  <c r="P238" i="5"/>
  <c r="P234" i="5" s="1"/>
  <c r="P233" i="5" s="1"/>
  <c r="P252" i="5"/>
  <c r="N458" i="5"/>
  <c r="N457" i="5" s="1"/>
  <c r="O462" i="5"/>
  <c r="O458" i="5" s="1"/>
  <c r="O476" i="5"/>
  <c r="P688" i="5"/>
  <c r="P702" i="5"/>
  <c r="P575" i="5"/>
  <c r="P571" i="5" s="1"/>
  <c r="P570" i="5" s="1"/>
  <c r="P589" i="5"/>
  <c r="E583" i="5" s="1"/>
  <c r="N462" i="5"/>
  <c r="E464" i="5"/>
  <c r="N476" i="5"/>
  <c r="N685" i="5"/>
  <c r="E687" i="5"/>
  <c r="E632" i="4"/>
  <c r="E637" i="4"/>
  <c r="E636" i="4" s="1"/>
  <c r="E305" i="4"/>
  <c r="E310" i="4"/>
  <c r="E309" i="4" s="1"/>
  <c r="Q515" i="5"/>
  <c r="Q514" i="5" s="1"/>
  <c r="E554" i="4"/>
  <c r="E390" i="4"/>
  <c r="P857" i="5"/>
  <c r="P853" i="5" s="1"/>
  <c r="P852" i="5" s="1"/>
  <c r="P871" i="5"/>
  <c r="O745" i="5"/>
  <c r="O759" i="5"/>
  <c r="E759" i="5" s="1"/>
  <c r="O632" i="5"/>
  <c r="O628" i="5" s="1"/>
  <c r="O627" i="5" s="1"/>
  <c r="O646" i="5"/>
  <c r="N519" i="5"/>
  <c r="N533" i="5"/>
  <c r="E521" i="5"/>
  <c r="N235" i="5"/>
  <c r="E235" i="5" s="1"/>
  <c r="E237" i="5"/>
  <c r="N406" i="5"/>
  <c r="E406" i="5" s="1"/>
  <c r="E408" i="5"/>
  <c r="N420" i="5"/>
  <c r="O238" i="5"/>
  <c r="O234" i="5" s="1"/>
  <c r="O233" i="5" s="1"/>
  <c r="O252" i="5"/>
  <c r="E240" i="5"/>
  <c r="N572" i="5"/>
  <c r="N571" i="5" s="1"/>
  <c r="E574" i="5"/>
  <c r="N516" i="5"/>
  <c r="E516" i="5" s="1"/>
  <c r="E518" i="5"/>
  <c r="E577" i="4"/>
  <c r="E582" i="4"/>
  <c r="E581" i="4" s="1"/>
  <c r="E12" i="5"/>
  <c r="Q181" i="5"/>
  <c r="Q195" i="5"/>
  <c r="N759" i="5"/>
  <c r="E747" i="5"/>
  <c r="N632" i="5"/>
  <c r="E634" i="5"/>
  <c r="N646" i="5"/>
  <c r="N857" i="5"/>
  <c r="N853" i="5" s="1"/>
  <c r="N852" i="5" s="1"/>
  <c r="N871" i="5"/>
  <c r="N347" i="5"/>
  <c r="E349" i="5"/>
  <c r="N798" i="5"/>
  <c r="N797" i="5" s="1"/>
  <c r="N796" i="5" s="1"/>
  <c r="E796" i="5" s="1"/>
  <c r="E800" i="5"/>
  <c r="E854" i="4"/>
  <c r="E853" i="4" s="1"/>
  <c r="E528" i="4"/>
  <c r="E527" i="4" s="1"/>
  <c r="E801" i="5"/>
  <c r="E742" i="5"/>
  <c r="E685" i="5"/>
  <c r="P684" i="5"/>
  <c r="P683" i="5" s="1"/>
  <c r="Q684" i="5"/>
  <c r="Q683" i="5" s="1"/>
  <c r="E632" i="5"/>
  <c r="P628" i="5"/>
  <c r="P627" i="5" s="1"/>
  <c r="N628" i="5"/>
  <c r="E628" i="5" s="1"/>
  <c r="E629" i="5"/>
  <c r="N627" i="5"/>
  <c r="O571" i="5"/>
  <c r="O570" i="5" s="1"/>
  <c r="E572" i="5"/>
  <c r="N570" i="5"/>
  <c r="E519" i="5"/>
  <c r="P515" i="5"/>
  <c r="P514" i="5" s="1"/>
  <c r="O346" i="5"/>
  <c r="O345" i="5" s="1"/>
  <c r="E347" i="5"/>
  <c r="N346" i="5"/>
  <c r="P290" i="5"/>
  <c r="P289" i="5" s="1"/>
  <c r="N290" i="5"/>
  <c r="Q234" i="5"/>
  <c r="Q233" i="5" s="1"/>
  <c r="E20" i="5"/>
  <c r="E826" i="4"/>
  <c r="E772" i="4"/>
  <c r="O797" i="5"/>
  <c r="O796" i="5" s="1"/>
  <c r="E718" i="4"/>
  <c r="Q741" i="5"/>
  <c r="Q740" i="5" s="1"/>
  <c r="O741" i="5"/>
  <c r="O740" i="5" s="1"/>
  <c r="N684" i="5"/>
  <c r="E663" i="4"/>
  <c r="E609" i="4"/>
  <c r="O515" i="5"/>
  <c r="O514" i="5" s="1"/>
  <c r="E500" i="4"/>
  <c r="P350" i="5"/>
  <c r="Q290" i="5"/>
  <c r="Q289" i="5" s="1"/>
  <c r="P177" i="5"/>
  <c r="P176" i="5" s="1"/>
  <c r="Q177" i="5"/>
  <c r="Q176" i="5" s="1"/>
  <c r="E859" i="5"/>
  <c r="N745" i="5"/>
  <c r="F403" i="15"/>
  <c r="H801" i="15"/>
  <c r="H797" i="15" s="1"/>
  <c r="H796" i="15" s="1"/>
  <c r="G745" i="15"/>
  <c r="O575" i="13"/>
  <c r="O571" i="13" s="1"/>
  <c r="O570" i="13" s="1"/>
  <c r="L350" i="13"/>
  <c r="E237" i="13"/>
  <c r="G235" i="13"/>
  <c r="F685" i="13"/>
  <c r="E687" i="13"/>
  <c r="H406" i="15"/>
  <c r="N745" i="13"/>
  <c r="N741" i="13" s="1"/>
  <c r="N740" i="13" s="1"/>
  <c r="N688" i="13"/>
  <c r="N684" i="13" s="1"/>
  <c r="O125" i="13"/>
  <c r="O121" i="13" s="1"/>
  <c r="O120" i="13" s="1"/>
  <c r="K12" i="13"/>
  <c r="F857" i="13"/>
  <c r="E859" i="13"/>
  <c r="E803" i="13"/>
  <c r="F801" i="13"/>
  <c r="M575" i="13"/>
  <c r="J350" i="15"/>
  <c r="J294" i="13"/>
  <c r="J290" i="13" s="1"/>
  <c r="J289" i="13" s="1"/>
  <c r="P238" i="13"/>
  <c r="P234" i="13" s="1"/>
  <c r="P233" i="13" s="1"/>
  <c r="F742" i="13"/>
  <c r="E744" i="13"/>
  <c r="N406" i="13"/>
  <c r="K519" i="13"/>
  <c r="E293" i="13"/>
  <c r="F291" i="13"/>
  <c r="G238" i="13"/>
  <c r="F12" i="13"/>
  <c r="E14" i="13"/>
  <c r="F629" i="13"/>
  <c r="E631" i="13"/>
  <c r="I68" i="15"/>
  <c r="I64" i="15" s="1"/>
  <c r="I63" i="15" s="1"/>
  <c r="L801" i="13"/>
  <c r="F459" i="15"/>
  <c r="J632" i="15"/>
  <c r="J628" i="15" s="1"/>
  <c r="J575" i="13"/>
  <c r="J571" i="13" s="1"/>
  <c r="J570" i="13" s="1"/>
  <c r="H462" i="13"/>
  <c r="H458" i="13" s="1"/>
  <c r="H457" i="13" s="1"/>
  <c r="M238" i="13"/>
  <c r="J68" i="13"/>
  <c r="N350" i="13"/>
  <c r="N346" i="13" s="1"/>
  <c r="N345" i="13" s="1"/>
  <c r="J406" i="13"/>
  <c r="I801" i="13"/>
  <c r="H575" i="15"/>
  <c r="H571" i="15" s="1"/>
  <c r="H570" i="15" s="1"/>
  <c r="G519" i="13"/>
  <c r="I125" i="13"/>
  <c r="I121" i="13" s="1"/>
  <c r="I120" i="13" s="1"/>
  <c r="I406" i="13"/>
  <c r="I402" i="13" s="1"/>
  <c r="I401" i="13" s="1"/>
  <c r="G745" i="13"/>
  <c r="G741" i="13" s="1"/>
  <c r="G740" i="13" s="1"/>
  <c r="G688" i="13"/>
  <c r="G684" i="13" s="1"/>
  <c r="N519" i="13"/>
  <c r="N515" i="13" s="1"/>
  <c r="N514" i="13" s="1"/>
  <c r="L294" i="13"/>
  <c r="L290" i="13" s="1"/>
  <c r="L289" i="13" s="1"/>
  <c r="O68" i="13"/>
  <c r="O64" i="13" s="1"/>
  <c r="F685" i="15"/>
  <c r="Q68" i="13"/>
  <c r="Q64" i="13" s="1"/>
  <c r="G857" i="13"/>
  <c r="N632" i="13"/>
  <c r="N628" i="13" s="1"/>
  <c r="N627" i="13" s="1"/>
  <c r="L462" i="13"/>
  <c r="L458" i="13" s="1"/>
  <c r="L457" i="13" s="1"/>
  <c r="K294" i="13"/>
  <c r="N68" i="13"/>
  <c r="N64" i="13" s="1"/>
  <c r="F801" i="15"/>
  <c r="J294" i="15"/>
  <c r="J290" i="15" s="1"/>
  <c r="O181" i="13"/>
  <c r="O177" i="13" s="1"/>
  <c r="O176" i="13" s="1"/>
  <c r="O12" i="13"/>
  <c r="O8" i="13" s="1"/>
  <c r="O7" i="13" s="1"/>
  <c r="F742" i="15"/>
  <c r="M857" i="13"/>
  <c r="M853" i="13" s="1"/>
  <c r="M852" i="13" s="1"/>
  <c r="J462" i="13"/>
  <c r="J458" i="13" s="1"/>
  <c r="J457" i="13" s="1"/>
  <c r="F291" i="15"/>
  <c r="G238" i="15"/>
  <c r="G234" i="15" s="1"/>
  <c r="G233" i="15" s="1"/>
  <c r="F181" i="13"/>
  <c r="E183" i="13"/>
  <c r="F12" i="15"/>
  <c r="F629" i="15"/>
  <c r="M406" i="13"/>
  <c r="M402" i="13" s="1"/>
  <c r="M401" i="13" s="1"/>
  <c r="K745" i="13"/>
  <c r="I462" i="13"/>
  <c r="I458" i="13" s="1"/>
  <c r="I457" i="13" s="1"/>
  <c r="O462" i="13"/>
  <c r="O458" i="13" s="1"/>
  <c r="O457" i="13" s="1"/>
  <c r="J575" i="15"/>
  <c r="J571" i="15" s="1"/>
  <c r="J570" i="15" s="1"/>
  <c r="Q519" i="13"/>
  <c r="Q515" i="13" s="1"/>
  <c r="Q514" i="13" s="1"/>
  <c r="H462" i="15"/>
  <c r="H458" i="15" s="1"/>
  <c r="H457" i="15" s="1"/>
  <c r="G350" i="13"/>
  <c r="G346" i="13" s="1"/>
  <c r="G345" i="13" s="1"/>
  <c r="J68" i="15"/>
  <c r="L12" i="13"/>
  <c r="L8" i="13" s="1"/>
  <c r="L7" i="13" s="1"/>
  <c r="F65" i="13"/>
  <c r="E67" i="13"/>
  <c r="J406" i="15"/>
  <c r="J402" i="15" s="1"/>
  <c r="J401" i="15" s="1"/>
  <c r="Q857" i="13"/>
  <c r="Q853" i="13" s="1"/>
  <c r="Q852" i="13" s="1"/>
  <c r="I801" i="15"/>
  <c r="I797" i="15" s="1"/>
  <c r="I796" i="15" s="1"/>
  <c r="P745" i="13"/>
  <c r="P741" i="13" s="1"/>
  <c r="P740" i="13" s="1"/>
  <c r="G519" i="15"/>
  <c r="E464" i="13"/>
  <c r="F462" i="13"/>
  <c r="I125" i="15"/>
  <c r="I121" i="15" s="1"/>
  <c r="P68" i="13"/>
  <c r="P64" i="13" s="1"/>
  <c r="Q12" i="13"/>
  <c r="Q8" i="13" s="1"/>
  <c r="Q7" i="13" s="1"/>
  <c r="I406" i="15"/>
  <c r="I402" i="15" s="1"/>
  <c r="I401" i="15" s="1"/>
  <c r="G688" i="15"/>
  <c r="G684" i="15" s="1"/>
  <c r="G632" i="13"/>
  <c r="G628" i="13" s="1"/>
  <c r="G627" i="13" s="1"/>
  <c r="M462" i="13"/>
  <c r="M458" i="13" s="1"/>
  <c r="M457" i="13" s="1"/>
  <c r="J238" i="13"/>
  <c r="J234" i="13" s="1"/>
  <c r="J233" i="13" s="1"/>
  <c r="H125" i="13"/>
  <c r="H121" i="13" s="1"/>
  <c r="H120" i="13" s="1"/>
  <c r="G857" i="15"/>
  <c r="G853" i="15" s="1"/>
  <c r="G801" i="13"/>
  <c r="G797" i="13" s="1"/>
  <c r="G796" i="13" s="1"/>
  <c r="E747" i="13"/>
  <c r="F745" i="13"/>
  <c r="N575" i="13"/>
  <c r="N571" i="13" s="1"/>
  <c r="N570" i="13" s="1"/>
  <c r="K350" i="13"/>
  <c r="K346" i="13" s="1"/>
  <c r="K345" i="13" s="1"/>
  <c r="H181" i="13"/>
  <c r="H177" i="13" s="1"/>
  <c r="H176" i="13" s="1"/>
  <c r="P12" i="13"/>
  <c r="P8" i="13" s="1"/>
  <c r="P7" i="13" s="1"/>
  <c r="M632" i="13"/>
  <c r="M628" i="13" s="1"/>
  <c r="M627" i="13" s="1"/>
  <c r="N125" i="13"/>
  <c r="N121" i="13" s="1"/>
  <c r="N120" i="13" s="1"/>
  <c r="K406" i="13"/>
  <c r="K402" i="13" s="1"/>
  <c r="K401" i="13" s="1"/>
  <c r="J462" i="15"/>
  <c r="I294" i="13"/>
  <c r="I290" i="13" s="1"/>
  <c r="I289" i="13" s="1"/>
  <c r="F181" i="15"/>
  <c r="K688" i="13"/>
  <c r="K684" i="13" s="1"/>
  <c r="I462" i="15"/>
  <c r="I458" i="15" s="1"/>
  <c r="I457" i="15" s="1"/>
  <c r="P350" i="13"/>
  <c r="P346" i="13" s="1"/>
  <c r="P345" i="13" s="1"/>
  <c r="L125" i="13"/>
  <c r="L406" i="13"/>
  <c r="L402" i="13" s="1"/>
  <c r="L401" i="13" s="1"/>
  <c r="F516" i="15"/>
  <c r="G350" i="15"/>
  <c r="G346" i="15" s="1"/>
  <c r="G345" i="15" s="1"/>
  <c r="G294" i="13"/>
  <c r="G290" i="13" s="1"/>
  <c r="G289" i="13" s="1"/>
  <c r="Q688" i="13"/>
  <c r="Q684" i="13" s="1"/>
  <c r="F572" i="13"/>
  <c r="E574" i="13"/>
  <c r="E67" i="15"/>
  <c r="F65" i="15"/>
  <c r="F854" i="13"/>
  <c r="E856" i="13"/>
  <c r="P688" i="13"/>
  <c r="P684" i="13" s="1"/>
  <c r="M571" i="13"/>
  <c r="M570" i="13" s="1"/>
  <c r="F462" i="15"/>
  <c r="J12" i="13"/>
  <c r="J8" i="13" s="1"/>
  <c r="J7" i="13" s="1"/>
  <c r="P857" i="13"/>
  <c r="P853" i="13" s="1"/>
  <c r="P852" i="13" s="1"/>
  <c r="G632" i="15"/>
  <c r="G575" i="13"/>
  <c r="G571" i="13" s="1"/>
  <c r="G570" i="13" s="1"/>
  <c r="J238" i="15"/>
  <c r="J234" i="15" s="1"/>
  <c r="J233" i="15" s="1"/>
  <c r="Q181" i="13"/>
  <c r="Q177" i="13" s="1"/>
  <c r="Q176" i="13" s="1"/>
  <c r="H125" i="15"/>
  <c r="H121" i="15" s="1"/>
  <c r="H519" i="13"/>
  <c r="H515" i="13" s="1"/>
  <c r="H514" i="13" s="1"/>
  <c r="G801" i="15"/>
  <c r="G797" i="15" s="1"/>
  <c r="G796" i="15" s="1"/>
  <c r="F745" i="15"/>
  <c r="E690" i="13"/>
  <c r="F688" i="13"/>
  <c r="M519" i="13"/>
  <c r="M515" i="13" s="1"/>
  <c r="M514" i="13" s="1"/>
  <c r="Q238" i="13"/>
  <c r="Q234" i="13" s="1"/>
  <c r="Q233" i="13" s="1"/>
  <c r="H181" i="15"/>
  <c r="H177" i="15" s="1"/>
  <c r="G125" i="13"/>
  <c r="P519" i="13"/>
  <c r="P515" i="13" s="1"/>
  <c r="P514" i="13" s="1"/>
  <c r="O406" i="13"/>
  <c r="O402" i="13" s="1"/>
  <c r="O401" i="13" s="1"/>
  <c r="M688" i="13"/>
  <c r="M684" i="13" s="1"/>
  <c r="H238" i="13"/>
  <c r="H234" i="13" s="1"/>
  <c r="H233" i="13" s="1"/>
  <c r="M68" i="13"/>
  <c r="M64" i="13" s="1"/>
  <c r="E408" i="13"/>
  <c r="F406" i="13"/>
  <c r="L688" i="13"/>
  <c r="L684" i="13" s="1"/>
  <c r="Q350" i="13"/>
  <c r="Q346" i="13" s="1"/>
  <c r="Q345" i="13" s="1"/>
  <c r="I294" i="15"/>
  <c r="I290" i="15" s="1"/>
  <c r="J122" i="15"/>
  <c r="K8" i="13"/>
  <c r="K7" i="13" s="1"/>
  <c r="K632" i="13"/>
  <c r="G515" i="13"/>
  <c r="G514" i="13" s="1"/>
  <c r="P294" i="13"/>
  <c r="P290" i="13" s="1"/>
  <c r="P289" i="13" s="1"/>
  <c r="N238" i="13"/>
  <c r="N234" i="13" s="1"/>
  <c r="N233" i="13" s="1"/>
  <c r="K68" i="13"/>
  <c r="K64" i="13" s="1"/>
  <c r="I688" i="13"/>
  <c r="I684" i="13" s="1"/>
  <c r="K857" i="13"/>
  <c r="K853" i="13" s="1"/>
  <c r="K852" i="13" s="1"/>
  <c r="O684" i="5"/>
  <c r="O683" i="5" s="1"/>
  <c r="F516" i="13"/>
  <c r="E518" i="13"/>
  <c r="G294" i="15"/>
  <c r="G290" i="15" s="1"/>
  <c r="J801" i="13"/>
  <c r="J797" i="13" s="1"/>
  <c r="J796" i="13" s="1"/>
  <c r="F572" i="15"/>
  <c r="L238" i="13"/>
  <c r="L234" i="13" s="1"/>
  <c r="L233" i="13" s="1"/>
  <c r="F854" i="15"/>
  <c r="P632" i="13"/>
  <c r="P628" i="13" s="1"/>
  <c r="P627" i="13" s="1"/>
  <c r="J346" i="15"/>
  <c r="J345" i="15" s="1"/>
  <c r="K238" i="13"/>
  <c r="K234" i="13" s="1"/>
  <c r="K233" i="13" s="1"/>
  <c r="J12" i="15"/>
  <c r="J8" i="15" s="1"/>
  <c r="J7" i="15" s="1"/>
  <c r="I632" i="13"/>
  <c r="I628" i="13" s="1"/>
  <c r="I627" i="13" s="1"/>
  <c r="N402" i="13"/>
  <c r="N401" i="13" s="1"/>
  <c r="P801" i="13"/>
  <c r="P797" i="13" s="1"/>
  <c r="P796" i="13" s="1"/>
  <c r="G575" i="15"/>
  <c r="G571" i="15" s="1"/>
  <c r="G570" i="15" s="1"/>
  <c r="E521" i="13"/>
  <c r="F519" i="13"/>
  <c r="E180" i="13"/>
  <c r="F178" i="13"/>
  <c r="G68" i="13"/>
  <c r="H519" i="15"/>
  <c r="H515" i="15" s="1"/>
  <c r="H514" i="15" s="1"/>
  <c r="P406" i="13"/>
  <c r="P402" i="13" s="1"/>
  <c r="P401" i="13" s="1"/>
  <c r="F688" i="15"/>
  <c r="E634" i="13"/>
  <c r="F632" i="13"/>
  <c r="G125" i="15"/>
  <c r="F68" i="13"/>
  <c r="E70" i="13"/>
  <c r="N857" i="13"/>
  <c r="N853" i="13" s="1"/>
  <c r="N852" i="13" s="1"/>
  <c r="H238" i="15"/>
  <c r="H234" i="15" s="1"/>
  <c r="H233" i="15" s="1"/>
  <c r="G181" i="13"/>
  <c r="G177" i="13" s="1"/>
  <c r="G176" i="13" s="1"/>
  <c r="G12" i="13"/>
  <c r="G8" i="13" s="1"/>
  <c r="G7" i="13" s="1"/>
  <c r="F406" i="15"/>
  <c r="L745" i="13"/>
  <c r="L741" i="13" s="1"/>
  <c r="L740" i="13" s="1"/>
  <c r="F347" i="13"/>
  <c r="E349" i="13"/>
  <c r="J125" i="13"/>
  <c r="J121" i="13" s="1"/>
  <c r="J120" i="13" s="1"/>
  <c r="J402" i="13"/>
  <c r="J401" i="13" s="1"/>
  <c r="K575" i="13"/>
  <c r="K571" i="13" s="1"/>
  <c r="K570" i="13" s="1"/>
  <c r="M181" i="13"/>
  <c r="M177" i="13" s="1"/>
  <c r="M176" i="13" s="1"/>
  <c r="M12" i="13"/>
  <c r="M8" i="13" s="1"/>
  <c r="M7" i="13" s="1"/>
  <c r="I688" i="15"/>
  <c r="I684" i="15" s="1"/>
  <c r="E296" i="13"/>
  <c r="F294" i="13"/>
  <c r="K801" i="13"/>
  <c r="K797" i="13" s="1"/>
  <c r="K796" i="13" s="1"/>
  <c r="G741" i="15"/>
  <c r="G740" i="15" s="1"/>
  <c r="I519" i="13"/>
  <c r="I515" i="13" s="1"/>
  <c r="I514" i="13" s="1"/>
  <c r="L346" i="13"/>
  <c r="L345" i="13" s="1"/>
  <c r="J801" i="15"/>
  <c r="J797" i="15" s="1"/>
  <c r="J796" i="15" s="1"/>
  <c r="I857" i="13"/>
  <c r="I853" i="13" s="1"/>
  <c r="I852" i="13" s="1"/>
  <c r="H745" i="13"/>
  <c r="P575" i="13"/>
  <c r="P571" i="13" s="1"/>
  <c r="P570" i="13" s="1"/>
  <c r="J181" i="13"/>
  <c r="J177" i="13" s="1"/>
  <c r="J176" i="13" s="1"/>
  <c r="H68" i="13"/>
  <c r="H64" i="13" s="1"/>
  <c r="I12" i="15"/>
  <c r="I632" i="15"/>
  <c r="I628" i="15" s="1"/>
  <c r="N294" i="13"/>
  <c r="N290" i="13" s="1"/>
  <c r="N289" i="13" s="1"/>
  <c r="E461" i="5"/>
  <c r="F519" i="15"/>
  <c r="F178" i="15"/>
  <c r="G68" i="15"/>
  <c r="G64" i="15" s="1"/>
  <c r="G63" i="15" s="1"/>
  <c r="J857" i="13"/>
  <c r="J853" i="13" s="1"/>
  <c r="J852" i="13" s="1"/>
  <c r="L797" i="13"/>
  <c r="L796" i="13" s="1"/>
  <c r="F632" i="15"/>
  <c r="E577" i="13"/>
  <c r="F575" i="13"/>
  <c r="F68" i="15"/>
  <c r="H12" i="13"/>
  <c r="H8" i="13" s="1"/>
  <c r="H7" i="13" s="1"/>
  <c r="G462" i="13"/>
  <c r="G458" i="13" s="1"/>
  <c r="G457" i="13" s="1"/>
  <c r="L519" i="13"/>
  <c r="L515" i="13" s="1"/>
  <c r="L514" i="13" s="1"/>
  <c r="G181" i="15"/>
  <c r="E127" i="13"/>
  <c r="F125" i="13"/>
  <c r="F121" i="13" s="1"/>
  <c r="F120" i="13" s="1"/>
  <c r="G12" i="15"/>
  <c r="G8" i="15" s="1"/>
  <c r="G7" i="15" s="1"/>
  <c r="G853" i="13"/>
  <c r="G852" i="13" s="1"/>
  <c r="L632" i="13"/>
  <c r="L628" i="13" s="1"/>
  <c r="L627" i="13" s="1"/>
  <c r="F347" i="15"/>
  <c r="O238" i="13"/>
  <c r="O234" i="13" s="1"/>
  <c r="O233" i="13" s="1"/>
  <c r="L68" i="13"/>
  <c r="L64" i="13" s="1"/>
  <c r="N12" i="13"/>
  <c r="N8" i="13" s="1"/>
  <c r="N7" i="13" s="1"/>
  <c r="J125" i="15"/>
  <c r="J519" i="13"/>
  <c r="J515" i="13" s="1"/>
  <c r="J514" i="13" s="1"/>
  <c r="H350" i="13"/>
  <c r="H346" i="13" s="1"/>
  <c r="H345" i="13" s="1"/>
  <c r="F294" i="15"/>
  <c r="J745" i="13"/>
  <c r="J741" i="13" s="1"/>
  <c r="J740" i="13" s="1"/>
  <c r="I519" i="15"/>
  <c r="I515" i="15" s="1"/>
  <c r="I514" i="15" s="1"/>
  <c r="P462" i="13"/>
  <c r="P458" i="13" s="1"/>
  <c r="P457" i="13" s="1"/>
  <c r="I857" i="15"/>
  <c r="I853" i="15" s="1"/>
  <c r="Q801" i="13"/>
  <c r="Q797" i="13" s="1"/>
  <c r="Q796" i="13" s="1"/>
  <c r="H745" i="15"/>
  <c r="H741" i="15" s="1"/>
  <c r="H740" i="15" s="1"/>
  <c r="H688" i="13"/>
  <c r="H684" i="13" s="1"/>
  <c r="O519" i="13"/>
  <c r="O515" i="13" s="1"/>
  <c r="O514" i="13" s="1"/>
  <c r="M294" i="13"/>
  <c r="M290" i="13" s="1"/>
  <c r="M289" i="13" s="1"/>
  <c r="J181" i="15"/>
  <c r="J177" i="15" s="1"/>
  <c r="Q125" i="13"/>
  <c r="Q121" i="13" s="1"/>
  <c r="Q120" i="13" s="1"/>
  <c r="H68" i="15"/>
  <c r="H64" i="15" s="1"/>
  <c r="H63" i="15" s="1"/>
  <c r="I12" i="13"/>
  <c r="I8" i="13" s="1"/>
  <c r="I7" i="13" s="1"/>
  <c r="Q745" i="13"/>
  <c r="Q741" i="13" s="1"/>
  <c r="Q740" i="13" s="1"/>
  <c r="Q406" i="13"/>
  <c r="Q402" i="13" s="1"/>
  <c r="Q401" i="13" s="1"/>
  <c r="H857" i="13"/>
  <c r="H853" i="13" s="1"/>
  <c r="H852" i="13" s="1"/>
  <c r="O745" i="13"/>
  <c r="O741" i="13" s="1"/>
  <c r="O740" i="13" s="1"/>
  <c r="O688" i="13"/>
  <c r="O684" i="13" s="1"/>
  <c r="J458" i="15"/>
  <c r="J457" i="15" s="1"/>
  <c r="I181" i="13"/>
  <c r="I177" i="13" s="1"/>
  <c r="I176" i="13" s="1"/>
  <c r="J857" i="15"/>
  <c r="J853" i="15" s="1"/>
  <c r="K181" i="13"/>
  <c r="K177" i="13" s="1"/>
  <c r="K176" i="13" s="1"/>
  <c r="O857" i="13"/>
  <c r="O853" i="13" s="1"/>
  <c r="O852" i="13" s="1"/>
  <c r="K741" i="13"/>
  <c r="K740" i="13" s="1"/>
  <c r="F575" i="15"/>
  <c r="E240" i="13"/>
  <c r="I238" i="13"/>
  <c r="I234" i="13" s="1"/>
  <c r="I233" i="13" s="1"/>
  <c r="E124" i="13"/>
  <c r="L122" i="13"/>
  <c r="H12" i="15"/>
  <c r="H8" i="15" s="1"/>
  <c r="H7" i="15" s="1"/>
  <c r="G462" i="15"/>
  <c r="G458" i="15" s="1"/>
  <c r="G457" i="15" s="1"/>
  <c r="G406" i="13"/>
  <c r="G402" i="13" s="1"/>
  <c r="G401" i="13" s="1"/>
  <c r="N801" i="13"/>
  <c r="N797" i="13" s="1"/>
  <c r="N796" i="13" s="1"/>
  <c r="M745" i="13"/>
  <c r="M741" i="13" s="1"/>
  <c r="M740" i="13" s="1"/>
  <c r="K462" i="13"/>
  <c r="K458" i="13" s="1"/>
  <c r="K457" i="13" s="1"/>
  <c r="M234" i="13"/>
  <c r="M233" i="13" s="1"/>
  <c r="F125" i="15"/>
  <c r="F121" i="15" s="1"/>
  <c r="J64" i="13"/>
  <c r="K290" i="13"/>
  <c r="K289" i="13" s="1"/>
  <c r="M801" i="13"/>
  <c r="M797" i="13" s="1"/>
  <c r="M796" i="13" s="1"/>
  <c r="I350" i="13"/>
  <c r="I346" i="13" s="1"/>
  <c r="I345" i="13" s="1"/>
  <c r="N181" i="13"/>
  <c r="N177" i="13" s="1"/>
  <c r="N176" i="13" s="1"/>
  <c r="E352" i="13"/>
  <c r="F350" i="13"/>
  <c r="I797" i="13"/>
  <c r="I796" i="13" s="1"/>
  <c r="J519" i="15"/>
  <c r="J515" i="15" s="1"/>
  <c r="J514" i="15" s="1"/>
  <c r="Q462" i="13"/>
  <c r="Q458" i="13" s="1"/>
  <c r="Q457" i="13" s="1"/>
  <c r="H350" i="15"/>
  <c r="H346" i="15" s="1"/>
  <c r="H345" i="15" s="1"/>
  <c r="H294" i="13"/>
  <c r="F238" i="13"/>
  <c r="F234" i="13" s="1"/>
  <c r="F233" i="13" s="1"/>
  <c r="Q632" i="13"/>
  <c r="Q628" i="13" s="1"/>
  <c r="Q627" i="13" s="1"/>
  <c r="J745" i="15"/>
  <c r="J741" i="15" s="1"/>
  <c r="J740" i="15" s="1"/>
  <c r="J688" i="13"/>
  <c r="J684" i="13" s="1"/>
  <c r="G628" i="15"/>
  <c r="O350" i="13"/>
  <c r="O346" i="13" s="1"/>
  <c r="O345" i="13" s="1"/>
  <c r="L181" i="13"/>
  <c r="L177" i="13" s="1"/>
  <c r="L176" i="13" s="1"/>
  <c r="G64" i="13"/>
  <c r="I745" i="13"/>
  <c r="I741" i="13" s="1"/>
  <c r="I740" i="13" s="1"/>
  <c r="G121" i="13"/>
  <c r="G120" i="13" s="1"/>
  <c r="F798" i="13"/>
  <c r="E800" i="13"/>
  <c r="H688" i="15"/>
  <c r="H684" i="15" s="1"/>
  <c r="H632" i="13"/>
  <c r="H628" i="13" s="1"/>
  <c r="H627" i="13" s="1"/>
  <c r="N462" i="13"/>
  <c r="N458" i="13" s="1"/>
  <c r="N457" i="13" s="1"/>
  <c r="E122" i="13"/>
  <c r="I575" i="13"/>
  <c r="I571" i="13" s="1"/>
  <c r="I570" i="13" s="1"/>
  <c r="E856" i="5"/>
  <c r="E405" i="13"/>
  <c r="F403" i="13"/>
  <c r="H857" i="15"/>
  <c r="H853" i="15" s="1"/>
  <c r="H801" i="13"/>
  <c r="H797" i="13" s="1"/>
  <c r="H796" i="13" s="1"/>
  <c r="O632" i="13"/>
  <c r="O628" i="13" s="1"/>
  <c r="O627" i="13" s="1"/>
  <c r="K515" i="13"/>
  <c r="K514" i="13" s="1"/>
  <c r="I181" i="15"/>
  <c r="I177" i="15" s="1"/>
  <c r="P125" i="13"/>
  <c r="P121" i="13" s="1"/>
  <c r="P120" i="13" s="1"/>
  <c r="H406" i="13"/>
  <c r="H402" i="13" s="1"/>
  <c r="H401" i="13" s="1"/>
  <c r="O801" i="13"/>
  <c r="O797" i="13" s="1"/>
  <c r="O796" i="13" s="1"/>
  <c r="K628" i="13"/>
  <c r="K627" i="13" s="1"/>
  <c r="I238" i="15"/>
  <c r="I234" i="15" s="1"/>
  <c r="I233" i="15" s="1"/>
  <c r="P181" i="13"/>
  <c r="P177" i="13" s="1"/>
  <c r="P176" i="13" s="1"/>
  <c r="G406" i="15"/>
  <c r="G402" i="15" s="1"/>
  <c r="G401" i="15" s="1"/>
  <c r="F857" i="15"/>
  <c r="J350" i="13"/>
  <c r="J346" i="13" s="1"/>
  <c r="J345" i="13" s="1"/>
  <c r="J64" i="15"/>
  <c r="J63" i="15" s="1"/>
  <c r="L575" i="13"/>
  <c r="L571" i="13" s="1"/>
  <c r="L570" i="13" s="1"/>
  <c r="I350" i="15"/>
  <c r="I346" i="15" s="1"/>
  <c r="I345" i="15" s="1"/>
  <c r="Q294" i="13"/>
  <c r="Q290" i="13" s="1"/>
  <c r="Q289" i="13" s="1"/>
  <c r="M125" i="13"/>
  <c r="M121" i="13" s="1"/>
  <c r="M120" i="13" s="1"/>
  <c r="H402" i="15"/>
  <c r="H401" i="15" s="1"/>
  <c r="F350" i="15"/>
  <c r="I68" i="13"/>
  <c r="I64" i="13" s="1"/>
  <c r="L857" i="13"/>
  <c r="L853" i="13" s="1"/>
  <c r="L852" i="13" s="1"/>
  <c r="H741" i="13"/>
  <c r="H740" i="13" s="1"/>
  <c r="E461" i="13"/>
  <c r="F459" i="13"/>
  <c r="H294" i="15"/>
  <c r="H290" i="15" s="1"/>
  <c r="F238" i="15"/>
  <c r="F234" i="15" s="1"/>
  <c r="F233" i="15" s="1"/>
  <c r="J688" i="15"/>
  <c r="J684" i="15" s="1"/>
  <c r="J632" i="13"/>
  <c r="J628" i="13" s="1"/>
  <c r="J627" i="13" s="1"/>
  <c r="O294" i="13"/>
  <c r="O290" i="13" s="1"/>
  <c r="O289" i="13" s="1"/>
  <c r="K125" i="13"/>
  <c r="K121" i="13" s="1"/>
  <c r="K120" i="13" s="1"/>
  <c r="I9" i="15"/>
  <c r="I745" i="15"/>
  <c r="I741" i="15" s="1"/>
  <c r="I740" i="15" s="1"/>
  <c r="Q575" i="13"/>
  <c r="Q571" i="13" s="1"/>
  <c r="Q570" i="13" s="1"/>
  <c r="G121" i="15"/>
  <c r="F798" i="15"/>
  <c r="H632" i="15"/>
  <c r="H628" i="15" s="1"/>
  <c r="H575" i="13"/>
  <c r="H571" i="13" s="1"/>
  <c r="H570" i="13" s="1"/>
  <c r="M350" i="13"/>
  <c r="M346" i="13" s="1"/>
  <c r="M345" i="13" s="1"/>
  <c r="F9" i="13"/>
  <c r="E11" i="13"/>
  <c r="I575" i="15"/>
  <c r="I571" i="15" s="1"/>
  <c r="I570" i="15" s="1"/>
  <c r="P346" i="5"/>
  <c r="P345" i="5" s="1"/>
  <c r="E834" i="4"/>
  <c r="E398" i="4"/>
  <c r="E282" i="4"/>
  <c r="O121" i="5"/>
  <c r="O120" i="5" s="1"/>
  <c r="E124" i="5"/>
  <c r="Q121" i="5"/>
  <c r="Q120" i="5" s="1"/>
  <c r="P121" i="5"/>
  <c r="P120" i="5" s="1"/>
  <c r="N125" i="5"/>
  <c r="N121" i="5" s="1"/>
  <c r="N120" i="5" s="1"/>
  <c r="E127" i="5"/>
  <c r="Q8" i="5"/>
  <c r="Q7" i="5" s="1"/>
  <c r="E857" i="5"/>
  <c r="E854" i="5"/>
  <c r="E459" i="5"/>
  <c r="E462" i="5"/>
  <c r="E122" i="5"/>
  <c r="E65" i="5"/>
  <c r="E290" i="4"/>
  <c r="E127" i="4"/>
  <c r="E726" i="4"/>
  <c r="E835" i="4"/>
  <c r="E399" i="4"/>
  <c r="E236" i="4"/>
  <c r="E344" i="4"/>
  <c r="E727" i="4"/>
  <c r="E453" i="4"/>
  <c r="O8" i="5"/>
  <c r="O7" i="5" s="1"/>
  <c r="E228" i="4"/>
  <c r="E780" i="4"/>
  <c r="E562" i="4"/>
  <c r="E345" i="4"/>
  <c r="E454" i="4"/>
  <c r="E671" i="4"/>
  <c r="E509" i="4"/>
  <c r="E291" i="4"/>
  <c r="E336" i="4"/>
  <c r="E181" i="4"/>
  <c r="E508" i="4"/>
  <c r="E563" i="4"/>
  <c r="E618" i="4"/>
  <c r="E672" i="4"/>
  <c r="E617" i="4"/>
  <c r="E781" i="4"/>
  <c r="E237" i="4"/>
  <c r="E128" i="4"/>
  <c r="E182" i="4"/>
  <c r="N8" i="5"/>
  <c r="N7" i="5" s="1"/>
  <c r="E173" i="4"/>
  <c r="E119" i="4"/>
  <c r="P8" i="5"/>
  <c r="P7" i="5" s="1"/>
  <c r="E14" i="5"/>
  <c r="E702" i="5" l="1"/>
  <c r="E646" i="5"/>
  <c r="E640" i="5"/>
  <c r="E527" i="5"/>
  <c r="E302" i="5"/>
  <c r="E189" i="5"/>
  <c r="O187" i="5" s="1"/>
  <c r="O186" i="5" s="1"/>
  <c r="O457" i="5"/>
  <c r="E457" i="5" s="1"/>
  <c r="E458" i="5"/>
  <c r="E753" i="5"/>
  <c r="P751" i="5" s="1"/>
  <c r="P750" i="5" s="1"/>
  <c r="E238" i="5"/>
  <c r="E571" i="5"/>
  <c r="E688" i="5"/>
  <c r="N234" i="5"/>
  <c r="E178" i="5"/>
  <c r="E871" i="5"/>
  <c r="E865" i="5"/>
  <c r="E364" i="5"/>
  <c r="E798" i="5"/>
  <c r="E246" i="5"/>
  <c r="E252" i="5"/>
  <c r="E533" i="5"/>
  <c r="E308" i="5"/>
  <c r="E181" i="5"/>
  <c r="N515" i="5"/>
  <c r="N514" i="5" s="1"/>
  <c r="E514" i="5" s="1"/>
  <c r="E476" i="5"/>
  <c r="E470" i="5"/>
  <c r="E294" i="5"/>
  <c r="E350" i="5"/>
  <c r="E575" i="5"/>
  <c r="E420" i="5"/>
  <c r="E414" i="5"/>
  <c r="E589" i="5"/>
  <c r="N289" i="5"/>
  <c r="E289" i="5" s="1"/>
  <c r="E290" i="5"/>
  <c r="O807" i="5"/>
  <c r="P807" i="5"/>
  <c r="Q807" i="5"/>
  <c r="Q806" i="5" s="1"/>
  <c r="N807" i="5"/>
  <c r="N806" i="5" s="1"/>
  <c r="O638" i="5"/>
  <c r="N638" i="5"/>
  <c r="P638" i="5"/>
  <c r="P637" i="5" s="1"/>
  <c r="Q638" i="5"/>
  <c r="Q581" i="5"/>
  <c r="O581" i="5"/>
  <c r="O580" i="5" s="1"/>
  <c r="P581" i="5"/>
  <c r="P580" i="5" s="1"/>
  <c r="N581" i="5"/>
  <c r="Q525" i="5"/>
  <c r="P525" i="5"/>
  <c r="N525" i="5"/>
  <c r="N524" i="5" s="1"/>
  <c r="O525" i="5"/>
  <c r="O356" i="5"/>
  <c r="O355" i="5" s="1"/>
  <c r="P356" i="5"/>
  <c r="P355" i="5" s="1"/>
  <c r="Q356" i="5"/>
  <c r="Q355" i="5" s="1"/>
  <c r="N356" i="5"/>
  <c r="O300" i="5"/>
  <c r="P300" i="5"/>
  <c r="Q300" i="5"/>
  <c r="Q299" i="5" s="1"/>
  <c r="N300" i="5"/>
  <c r="Q187" i="5"/>
  <c r="Q186" i="5" s="1"/>
  <c r="N187" i="5"/>
  <c r="H863" i="15"/>
  <c r="H862" i="15" s="1"/>
  <c r="I807" i="15"/>
  <c r="I806" i="15" s="1"/>
  <c r="J751" i="15"/>
  <c r="J750" i="15" s="1"/>
  <c r="F694" i="15"/>
  <c r="G581" i="15"/>
  <c r="G580" i="15" s="1"/>
  <c r="I525" i="15"/>
  <c r="I524" i="15" s="1"/>
  <c r="G468" i="15"/>
  <c r="G467" i="15" s="1"/>
  <c r="I412" i="15"/>
  <c r="I411" i="15" s="1"/>
  <c r="G356" i="15"/>
  <c r="G355" i="15" s="1"/>
  <c r="I300" i="15"/>
  <c r="I299" i="15" s="1"/>
  <c r="G244" i="15"/>
  <c r="G243" i="15" s="1"/>
  <c r="I244" i="15"/>
  <c r="I243" i="15" s="1"/>
  <c r="J244" i="15"/>
  <c r="J243" i="15" s="1"/>
  <c r="F244" i="15"/>
  <c r="H244" i="15"/>
  <c r="H243" i="15" s="1"/>
  <c r="G131" i="15"/>
  <c r="G130" i="15" s="1"/>
  <c r="H74" i="15"/>
  <c r="H73" i="15" s="1"/>
  <c r="F8" i="15"/>
  <c r="F7" i="15" s="1"/>
  <c r="E12" i="15"/>
  <c r="E797" i="5"/>
  <c r="N741" i="5"/>
  <c r="N740" i="5" s="1"/>
  <c r="E740" i="5" s="1"/>
  <c r="E745" i="5"/>
  <c r="E696" i="5"/>
  <c r="N683" i="5"/>
  <c r="E684" i="5"/>
  <c r="E515" i="5"/>
  <c r="N345" i="5"/>
  <c r="E346" i="5"/>
  <c r="E133" i="5"/>
  <c r="E815" i="5"/>
  <c r="L121" i="13"/>
  <c r="L120" i="13" s="1"/>
  <c r="G234" i="13"/>
  <c r="G233" i="13" s="1"/>
  <c r="E233" i="13" s="1"/>
  <c r="E252" i="13"/>
  <c r="F346" i="13"/>
  <c r="F345" i="13" s="1"/>
  <c r="E347" i="13"/>
  <c r="E632" i="13"/>
  <c r="E702" i="13"/>
  <c r="E696" i="13"/>
  <c r="E854" i="13"/>
  <c r="F853" i="13"/>
  <c r="F852" i="13" s="1"/>
  <c r="F628" i="15"/>
  <c r="F741" i="13"/>
  <c r="F740" i="13" s="1"/>
  <c r="E742" i="13"/>
  <c r="E459" i="13"/>
  <c r="F458" i="13"/>
  <c r="F457" i="13" s="1"/>
  <c r="E120" i="13"/>
  <c r="E121" i="13"/>
  <c r="E294" i="13"/>
  <c r="E235" i="13"/>
  <c r="E688" i="13"/>
  <c r="F741" i="15"/>
  <c r="F740" i="15" s="1"/>
  <c r="F684" i="15"/>
  <c r="E133" i="13"/>
  <c r="E871" i="13"/>
  <c r="F402" i="15"/>
  <c r="F401" i="15" s="1"/>
  <c r="E629" i="13"/>
  <c r="F628" i="13"/>
  <c r="F627" i="13" s="1"/>
  <c r="E857" i="13"/>
  <c r="E9" i="13"/>
  <c r="F8" i="13"/>
  <c r="H290" i="13"/>
  <c r="H289" i="13" s="1"/>
  <c r="E640" i="13"/>
  <c r="F402" i="13"/>
  <c r="F401" i="13" s="1"/>
  <c r="E403" i="13"/>
  <c r="E364" i="13"/>
  <c r="E358" i="13"/>
  <c r="E589" i="13"/>
  <c r="E583" i="13"/>
  <c r="E302" i="13"/>
  <c r="E308" i="13"/>
  <c r="G515" i="15"/>
  <c r="G514" i="15" s="1"/>
  <c r="E125" i="13"/>
  <c r="E76" i="13"/>
  <c r="E527" i="13"/>
  <c r="E533" i="13"/>
  <c r="E414" i="13"/>
  <c r="E420" i="13"/>
  <c r="F64" i="15"/>
  <c r="E26" i="13"/>
  <c r="F290" i="13"/>
  <c r="F289" i="13" s="1"/>
  <c r="E291" i="13"/>
  <c r="F515" i="15"/>
  <c r="F514" i="15" s="1"/>
  <c r="E350" i="13"/>
  <c r="E575" i="13"/>
  <c r="F177" i="15"/>
  <c r="E68" i="13"/>
  <c r="F571" i="15"/>
  <c r="F570" i="15" s="1"/>
  <c r="E865" i="13"/>
  <c r="F64" i="13"/>
  <c r="E65" i="13"/>
  <c r="E470" i="13"/>
  <c r="E139" i="13"/>
  <c r="E519" i="13"/>
  <c r="I8" i="15"/>
  <c r="I7" i="15" s="1"/>
  <c r="E753" i="13"/>
  <c r="E246" i="13"/>
  <c r="E195" i="13"/>
  <c r="E82" i="13"/>
  <c r="F177" i="13"/>
  <c r="F176" i="13" s="1"/>
  <c r="E178" i="13"/>
  <c r="G177" i="15"/>
  <c r="E462" i="13"/>
  <c r="E809" i="13"/>
  <c r="E12" i="13"/>
  <c r="E815" i="13"/>
  <c r="E406" i="13"/>
  <c r="F290" i="15"/>
  <c r="F797" i="15"/>
  <c r="F796" i="15" s="1"/>
  <c r="E238" i="13"/>
  <c r="F346" i="15"/>
  <c r="F345" i="15" s="1"/>
  <c r="F571" i="13"/>
  <c r="F570" i="13" s="1"/>
  <c r="E572" i="13"/>
  <c r="E476" i="13"/>
  <c r="E181" i="13"/>
  <c r="F458" i="15"/>
  <c r="E801" i="13"/>
  <c r="F684" i="13"/>
  <c r="F683" i="13" s="1"/>
  <c r="E685" i="13"/>
  <c r="F853" i="15"/>
  <c r="F515" i="13"/>
  <c r="F514" i="13" s="1"/>
  <c r="E516" i="13"/>
  <c r="J121" i="15"/>
  <c r="E759" i="13"/>
  <c r="E646" i="13"/>
  <c r="E189" i="13"/>
  <c r="E798" i="13"/>
  <c r="F797" i="13"/>
  <c r="F796" i="13" s="1"/>
  <c r="E745" i="13"/>
  <c r="E833" i="4"/>
  <c r="P833" i="4" s="1"/>
  <c r="E779" i="4"/>
  <c r="N779" i="4" s="1"/>
  <c r="N790" i="4" s="1"/>
  <c r="E683" i="5"/>
  <c r="E139" i="5"/>
  <c r="E725" i="4"/>
  <c r="N725" i="4" s="1"/>
  <c r="N736" i="4" s="1"/>
  <c r="E670" i="4"/>
  <c r="E616" i="4"/>
  <c r="E561" i="4"/>
  <c r="N561" i="4" s="1"/>
  <c r="N572" i="4" s="1"/>
  <c r="E452" i="4"/>
  <c r="E397" i="4"/>
  <c r="O397" i="4" s="1"/>
  <c r="E343" i="4"/>
  <c r="P343" i="4" s="1"/>
  <c r="E289" i="4"/>
  <c r="E235" i="4"/>
  <c r="E180" i="4"/>
  <c r="E125" i="5"/>
  <c r="E126" i="4"/>
  <c r="O806" i="5"/>
  <c r="Q637" i="5"/>
  <c r="O299" i="5"/>
  <c r="N299" i="5"/>
  <c r="N580" i="5"/>
  <c r="O637" i="5"/>
  <c r="N637" i="5"/>
  <c r="Q580" i="5"/>
  <c r="Q524" i="5"/>
  <c r="N355" i="5"/>
  <c r="P524" i="5"/>
  <c r="N186" i="5"/>
  <c r="O524" i="5"/>
  <c r="P806" i="5"/>
  <c r="P299" i="5"/>
  <c r="E853" i="5"/>
  <c r="E852" i="5"/>
  <c r="E627" i="5"/>
  <c r="E570" i="5"/>
  <c r="E345" i="5"/>
  <c r="E177" i="5"/>
  <c r="E176" i="5"/>
  <c r="E121" i="5"/>
  <c r="E120" i="5"/>
  <c r="E507" i="4"/>
  <c r="E26" i="5"/>
  <c r="P18" i="5"/>
  <c r="P17" i="5" s="1"/>
  <c r="O18" i="5"/>
  <c r="O17" i="5" s="1"/>
  <c r="N18" i="5"/>
  <c r="N17" i="5" s="1"/>
  <c r="Q18" i="5"/>
  <c r="Q17" i="5" s="1"/>
  <c r="E8" i="5"/>
  <c r="E7" i="5"/>
  <c r="E9" i="5"/>
  <c r="F693" i="15" l="1"/>
  <c r="F243" i="15"/>
  <c r="E243" i="15" s="1"/>
  <c r="E244" i="15"/>
  <c r="P187" i="5"/>
  <c r="P186" i="5" s="1"/>
  <c r="Q751" i="5"/>
  <c r="Q750" i="5" s="1"/>
  <c r="O863" i="5"/>
  <c r="O862" i="5" s="1"/>
  <c r="P863" i="5"/>
  <c r="P862" i="5" s="1"/>
  <c r="E862" i="5" s="1"/>
  <c r="E851" i="5" s="1"/>
  <c r="E902" i="5" s="1"/>
  <c r="D93" i="10" s="1"/>
  <c r="Q863" i="5"/>
  <c r="Q862" i="5" s="1"/>
  <c r="N863" i="5"/>
  <c r="N862" i="5" s="1"/>
  <c r="N233" i="5"/>
  <c r="E233" i="5" s="1"/>
  <c r="E234" i="5"/>
  <c r="O244" i="5"/>
  <c r="O243" i="5" s="1"/>
  <c r="P244" i="5"/>
  <c r="P243" i="5" s="1"/>
  <c r="Q244" i="5"/>
  <c r="Q243" i="5" s="1"/>
  <c r="N244" i="5"/>
  <c r="N243" i="5" s="1"/>
  <c r="O751" i="5"/>
  <c r="O750" i="5" s="1"/>
  <c r="P468" i="5"/>
  <c r="P467" i="5" s="1"/>
  <c r="E467" i="5" s="1"/>
  <c r="E456" i="5" s="1"/>
  <c r="E507" i="5" s="1"/>
  <c r="D51" i="10" s="1"/>
  <c r="O468" i="5"/>
  <c r="O467" i="5" s="1"/>
  <c r="Q468" i="5"/>
  <c r="Q467" i="5" s="1"/>
  <c r="N468" i="5"/>
  <c r="N467" i="5" s="1"/>
  <c r="N751" i="5"/>
  <c r="N750" i="5" s="1"/>
  <c r="O412" i="5"/>
  <c r="O411" i="5" s="1"/>
  <c r="P412" i="5"/>
  <c r="P411" i="5" s="1"/>
  <c r="Q412" i="5"/>
  <c r="Q411" i="5" s="1"/>
  <c r="N412" i="5"/>
  <c r="N411" i="5" s="1"/>
  <c r="E411" i="5" s="1"/>
  <c r="J638" i="15"/>
  <c r="J637" i="15" s="1"/>
  <c r="F638" i="15"/>
  <c r="I638" i="15"/>
  <c r="I637" i="15" s="1"/>
  <c r="G638" i="15"/>
  <c r="G637" i="15" s="1"/>
  <c r="H638" i="15"/>
  <c r="H637" i="15" s="1"/>
  <c r="O694" i="5"/>
  <c r="O693" i="5" s="1"/>
  <c r="N694" i="5"/>
  <c r="N693" i="5" s="1"/>
  <c r="P694" i="5"/>
  <c r="P693" i="5" s="1"/>
  <c r="Q694" i="5"/>
  <c r="Q693" i="5" s="1"/>
  <c r="O131" i="5"/>
  <c r="O130" i="5" s="1"/>
  <c r="P131" i="5"/>
  <c r="P130" i="5" s="1"/>
  <c r="Q131" i="5"/>
  <c r="Q130" i="5" s="1"/>
  <c r="N131" i="5"/>
  <c r="F863" i="15"/>
  <c r="I863" i="15"/>
  <c r="I862" i="15" s="1"/>
  <c r="J863" i="15"/>
  <c r="J862" i="15" s="1"/>
  <c r="G863" i="15"/>
  <c r="G862" i="15" s="1"/>
  <c r="J807" i="15"/>
  <c r="J806" i="15" s="1"/>
  <c r="F807" i="15"/>
  <c r="H807" i="15"/>
  <c r="H806" i="15" s="1"/>
  <c r="G807" i="15"/>
  <c r="G806" i="15" s="1"/>
  <c r="I751" i="15"/>
  <c r="I750" i="15" s="1"/>
  <c r="F751" i="15"/>
  <c r="H751" i="15"/>
  <c r="H750" i="15" s="1"/>
  <c r="G751" i="15"/>
  <c r="G750" i="15" s="1"/>
  <c r="J694" i="15"/>
  <c r="J693" i="15" s="1"/>
  <c r="I694" i="15"/>
  <c r="I693" i="15" s="1"/>
  <c r="H694" i="15"/>
  <c r="H693" i="15" s="1"/>
  <c r="G694" i="15"/>
  <c r="G693" i="15" s="1"/>
  <c r="J581" i="15"/>
  <c r="J580" i="15" s="1"/>
  <c r="H581" i="15"/>
  <c r="H580" i="15" s="1"/>
  <c r="I581" i="15"/>
  <c r="I580" i="15" s="1"/>
  <c r="F581" i="15"/>
  <c r="J525" i="15"/>
  <c r="J524" i="15" s="1"/>
  <c r="H525" i="15"/>
  <c r="H524" i="15" s="1"/>
  <c r="F525" i="15"/>
  <c r="G525" i="15"/>
  <c r="G524" i="15" s="1"/>
  <c r="F468" i="15"/>
  <c r="J468" i="15"/>
  <c r="J467" i="15" s="1"/>
  <c r="I468" i="15"/>
  <c r="I467" i="15" s="1"/>
  <c r="H468" i="15"/>
  <c r="H467" i="15" s="1"/>
  <c r="J412" i="15"/>
  <c r="J411" i="15" s="1"/>
  <c r="F412" i="15"/>
  <c r="H412" i="15"/>
  <c r="H411" i="15" s="1"/>
  <c r="G412" i="15"/>
  <c r="G411" i="15" s="1"/>
  <c r="H356" i="15"/>
  <c r="H355" i="15" s="1"/>
  <c r="F356" i="15"/>
  <c r="J356" i="15"/>
  <c r="J355" i="15" s="1"/>
  <c r="I356" i="15"/>
  <c r="I355" i="15" s="1"/>
  <c r="J300" i="15"/>
  <c r="J299" i="15" s="1"/>
  <c r="F300" i="15"/>
  <c r="H300" i="15"/>
  <c r="H299" i="15" s="1"/>
  <c r="G300" i="15"/>
  <c r="G299" i="15" s="1"/>
  <c r="H131" i="15"/>
  <c r="H130" i="15" s="1"/>
  <c r="I131" i="15"/>
  <c r="I130" i="15" s="1"/>
  <c r="J131" i="15"/>
  <c r="J130" i="15" s="1"/>
  <c r="F131" i="15"/>
  <c r="F74" i="15"/>
  <c r="I74" i="15"/>
  <c r="I73" i="15" s="1"/>
  <c r="J74" i="15"/>
  <c r="J73" i="15" s="1"/>
  <c r="G74" i="15"/>
  <c r="G73" i="15" s="1"/>
  <c r="N863" i="13"/>
  <c r="N862" i="13" s="1"/>
  <c r="G863" i="13"/>
  <c r="G862" i="13" s="1"/>
  <c r="O863" i="13"/>
  <c r="O862" i="13" s="1"/>
  <c r="H863" i="13"/>
  <c r="H862" i="13" s="1"/>
  <c r="P863" i="13"/>
  <c r="P862" i="13" s="1"/>
  <c r="I863" i="13"/>
  <c r="I862" i="13" s="1"/>
  <c r="Q863" i="13"/>
  <c r="Q862" i="13" s="1"/>
  <c r="J863" i="13"/>
  <c r="J862" i="13" s="1"/>
  <c r="F863" i="13"/>
  <c r="F862" i="13" s="1"/>
  <c r="K863" i="13"/>
  <c r="K862" i="13" s="1"/>
  <c r="L863" i="13"/>
  <c r="L862" i="13" s="1"/>
  <c r="M863" i="13"/>
  <c r="M862" i="13" s="1"/>
  <c r="N807" i="13"/>
  <c r="N806" i="13" s="1"/>
  <c r="G807" i="13"/>
  <c r="G806" i="13" s="1"/>
  <c r="O807" i="13"/>
  <c r="O806" i="13" s="1"/>
  <c r="H807" i="13"/>
  <c r="H806" i="13" s="1"/>
  <c r="P807" i="13"/>
  <c r="P806" i="13" s="1"/>
  <c r="I807" i="13"/>
  <c r="I806" i="13" s="1"/>
  <c r="Q807" i="13"/>
  <c r="Q806" i="13" s="1"/>
  <c r="J807" i="13"/>
  <c r="J806" i="13" s="1"/>
  <c r="F807" i="13"/>
  <c r="F806" i="13" s="1"/>
  <c r="K807" i="13"/>
  <c r="K806" i="13" s="1"/>
  <c r="L807" i="13"/>
  <c r="L806" i="13" s="1"/>
  <c r="M807" i="13"/>
  <c r="M806" i="13" s="1"/>
  <c r="N751" i="13"/>
  <c r="N750" i="13" s="1"/>
  <c r="G751" i="13"/>
  <c r="G750" i="13" s="1"/>
  <c r="O751" i="13"/>
  <c r="O750" i="13" s="1"/>
  <c r="I751" i="13"/>
  <c r="I750" i="13" s="1"/>
  <c r="Q751" i="13"/>
  <c r="Q750" i="13" s="1"/>
  <c r="J751" i="13"/>
  <c r="J750" i="13" s="1"/>
  <c r="F751" i="13"/>
  <c r="F750" i="13" s="1"/>
  <c r="K751" i="13"/>
  <c r="K750" i="13" s="1"/>
  <c r="L751" i="13"/>
  <c r="L750" i="13" s="1"/>
  <c r="H751" i="13"/>
  <c r="H750" i="13" s="1"/>
  <c r="M751" i="13"/>
  <c r="M750" i="13" s="1"/>
  <c r="P751" i="13"/>
  <c r="P750" i="13" s="1"/>
  <c r="N694" i="13"/>
  <c r="N693" i="13" s="1"/>
  <c r="G694" i="13"/>
  <c r="G693" i="13" s="1"/>
  <c r="O694" i="13"/>
  <c r="O693" i="13" s="1"/>
  <c r="H694" i="13"/>
  <c r="H693" i="13" s="1"/>
  <c r="P694" i="13"/>
  <c r="P693" i="13" s="1"/>
  <c r="I694" i="13"/>
  <c r="I693" i="13" s="1"/>
  <c r="Q694" i="13"/>
  <c r="Q693" i="13" s="1"/>
  <c r="J694" i="13"/>
  <c r="J693" i="13" s="1"/>
  <c r="F694" i="13"/>
  <c r="F693" i="13" s="1"/>
  <c r="K694" i="13"/>
  <c r="K693" i="13" s="1"/>
  <c r="L694" i="13"/>
  <c r="L693" i="13" s="1"/>
  <c r="M694" i="13"/>
  <c r="M693" i="13" s="1"/>
  <c r="N638" i="13"/>
  <c r="N637" i="13" s="1"/>
  <c r="G638" i="13"/>
  <c r="G637" i="13" s="1"/>
  <c r="O638" i="13"/>
  <c r="O637" i="13" s="1"/>
  <c r="H638" i="13"/>
  <c r="H637" i="13" s="1"/>
  <c r="P638" i="13"/>
  <c r="P637" i="13" s="1"/>
  <c r="I638" i="13"/>
  <c r="I637" i="13" s="1"/>
  <c r="Q638" i="13"/>
  <c r="Q637" i="13" s="1"/>
  <c r="J638" i="13"/>
  <c r="J637" i="13" s="1"/>
  <c r="F638" i="13"/>
  <c r="F637" i="13" s="1"/>
  <c r="K638" i="13"/>
  <c r="K637" i="13" s="1"/>
  <c r="L638" i="13"/>
  <c r="L637" i="13" s="1"/>
  <c r="M638" i="13"/>
  <c r="M637" i="13" s="1"/>
  <c r="N581" i="13"/>
  <c r="N580" i="13" s="1"/>
  <c r="G581" i="13"/>
  <c r="G580" i="13" s="1"/>
  <c r="O581" i="13"/>
  <c r="O580" i="13" s="1"/>
  <c r="H581" i="13"/>
  <c r="H580" i="13" s="1"/>
  <c r="P581" i="13"/>
  <c r="P580" i="13" s="1"/>
  <c r="I581" i="13"/>
  <c r="I580" i="13" s="1"/>
  <c r="Q581" i="13"/>
  <c r="Q580" i="13" s="1"/>
  <c r="M581" i="13"/>
  <c r="M580" i="13" s="1"/>
  <c r="J581" i="13"/>
  <c r="J580" i="13" s="1"/>
  <c r="F581" i="13"/>
  <c r="F580" i="13" s="1"/>
  <c r="K581" i="13"/>
  <c r="K580" i="13" s="1"/>
  <c r="L581" i="13"/>
  <c r="L580" i="13" s="1"/>
  <c r="N525" i="13"/>
  <c r="N524" i="13" s="1"/>
  <c r="G525" i="13"/>
  <c r="G524" i="13" s="1"/>
  <c r="O525" i="13"/>
  <c r="O524" i="13" s="1"/>
  <c r="H525" i="13"/>
  <c r="H524" i="13" s="1"/>
  <c r="P525" i="13"/>
  <c r="P524" i="13" s="1"/>
  <c r="I525" i="13"/>
  <c r="I524" i="13" s="1"/>
  <c r="Q525" i="13"/>
  <c r="Q524" i="13" s="1"/>
  <c r="J525" i="13"/>
  <c r="J524" i="13" s="1"/>
  <c r="F525" i="13"/>
  <c r="F524" i="13" s="1"/>
  <c r="K525" i="13"/>
  <c r="K524" i="13" s="1"/>
  <c r="L525" i="13"/>
  <c r="L524" i="13" s="1"/>
  <c r="M525" i="13"/>
  <c r="M524" i="13" s="1"/>
  <c r="N468" i="13"/>
  <c r="N467" i="13" s="1"/>
  <c r="L468" i="13"/>
  <c r="L467" i="13" s="1"/>
  <c r="G468" i="13"/>
  <c r="G467" i="13" s="1"/>
  <c r="O468" i="13"/>
  <c r="O467" i="13" s="1"/>
  <c r="H468" i="13"/>
  <c r="H467" i="13" s="1"/>
  <c r="P468" i="13"/>
  <c r="P467" i="13" s="1"/>
  <c r="I468" i="13"/>
  <c r="I467" i="13" s="1"/>
  <c r="Q468" i="13"/>
  <c r="Q467" i="13" s="1"/>
  <c r="J468" i="13"/>
  <c r="J467" i="13" s="1"/>
  <c r="F468" i="13"/>
  <c r="F467" i="13" s="1"/>
  <c r="K468" i="13"/>
  <c r="K467" i="13" s="1"/>
  <c r="M468" i="13"/>
  <c r="M467" i="13" s="1"/>
  <c r="N412" i="13"/>
  <c r="N411" i="13" s="1"/>
  <c r="G412" i="13"/>
  <c r="G411" i="13" s="1"/>
  <c r="O412" i="13"/>
  <c r="O411" i="13" s="1"/>
  <c r="H412" i="13"/>
  <c r="H411" i="13" s="1"/>
  <c r="P412" i="13"/>
  <c r="P411" i="13" s="1"/>
  <c r="I412" i="13"/>
  <c r="I411" i="13" s="1"/>
  <c r="Q412" i="13"/>
  <c r="Q411" i="13" s="1"/>
  <c r="J412" i="13"/>
  <c r="J411" i="13" s="1"/>
  <c r="F412" i="13"/>
  <c r="F411" i="13" s="1"/>
  <c r="K412" i="13"/>
  <c r="K411" i="13" s="1"/>
  <c r="L412" i="13"/>
  <c r="L411" i="13" s="1"/>
  <c r="M412" i="13"/>
  <c r="M411" i="13" s="1"/>
  <c r="G356" i="13"/>
  <c r="G355" i="13" s="1"/>
  <c r="O356" i="13"/>
  <c r="O355" i="13" s="1"/>
  <c r="H356" i="13"/>
  <c r="H355" i="13" s="1"/>
  <c r="P356" i="13"/>
  <c r="P355" i="13" s="1"/>
  <c r="I356" i="13"/>
  <c r="I355" i="13" s="1"/>
  <c r="Q356" i="13"/>
  <c r="Q355" i="13" s="1"/>
  <c r="J356" i="13"/>
  <c r="J355" i="13" s="1"/>
  <c r="F356" i="13"/>
  <c r="F355" i="13" s="1"/>
  <c r="K356" i="13"/>
  <c r="K355" i="13" s="1"/>
  <c r="L356" i="13"/>
  <c r="L355" i="13" s="1"/>
  <c r="N356" i="13"/>
  <c r="N355" i="13" s="1"/>
  <c r="M356" i="13"/>
  <c r="M355" i="13" s="1"/>
  <c r="H300" i="13"/>
  <c r="H299" i="13" s="1"/>
  <c r="P300" i="13"/>
  <c r="P299" i="13" s="1"/>
  <c r="I300" i="13"/>
  <c r="I299" i="13" s="1"/>
  <c r="Q300" i="13"/>
  <c r="Q299" i="13" s="1"/>
  <c r="N300" i="13"/>
  <c r="N299" i="13" s="1"/>
  <c r="G300" i="13"/>
  <c r="G299" i="13" s="1"/>
  <c r="J300" i="13"/>
  <c r="J299" i="13" s="1"/>
  <c r="F300" i="13"/>
  <c r="F299" i="13" s="1"/>
  <c r="K300" i="13"/>
  <c r="K299" i="13" s="1"/>
  <c r="O300" i="13"/>
  <c r="O299" i="13" s="1"/>
  <c r="L300" i="13"/>
  <c r="L299" i="13" s="1"/>
  <c r="M300" i="13"/>
  <c r="M299" i="13" s="1"/>
  <c r="N244" i="13"/>
  <c r="N243" i="13" s="1"/>
  <c r="G244" i="13"/>
  <c r="G243" i="13" s="1"/>
  <c r="O244" i="13"/>
  <c r="O243" i="13" s="1"/>
  <c r="H244" i="13"/>
  <c r="H243" i="13" s="1"/>
  <c r="P244" i="13"/>
  <c r="P243" i="13" s="1"/>
  <c r="I244" i="13"/>
  <c r="I243" i="13" s="1"/>
  <c r="Q244" i="13"/>
  <c r="Q243" i="13" s="1"/>
  <c r="J244" i="13"/>
  <c r="J243" i="13" s="1"/>
  <c r="F244" i="13"/>
  <c r="F243" i="13" s="1"/>
  <c r="K244" i="13"/>
  <c r="K243" i="13" s="1"/>
  <c r="L244" i="13"/>
  <c r="L243" i="13" s="1"/>
  <c r="M244" i="13"/>
  <c r="M243" i="13" s="1"/>
  <c r="E234" i="13"/>
  <c r="N187" i="13"/>
  <c r="N186" i="13" s="1"/>
  <c r="G187" i="13"/>
  <c r="G186" i="13" s="1"/>
  <c r="O187" i="13"/>
  <c r="O186" i="13" s="1"/>
  <c r="H187" i="13"/>
  <c r="H186" i="13" s="1"/>
  <c r="P187" i="13"/>
  <c r="P186" i="13" s="1"/>
  <c r="I187" i="13"/>
  <c r="I186" i="13" s="1"/>
  <c r="Q187" i="13"/>
  <c r="Q186" i="13" s="1"/>
  <c r="J187" i="13"/>
  <c r="J186" i="13" s="1"/>
  <c r="F187" i="13"/>
  <c r="F186" i="13" s="1"/>
  <c r="K187" i="13"/>
  <c r="K186" i="13" s="1"/>
  <c r="L187" i="13"/>
  <c r="L186" i="13" s="1"/>
  <c r="M187" i="13"/>
  <c r="M186" i="13" s="1"/>
  <c r="H131" i="13"/>
  <c r="H130" i="13" s="1"/>
  <c r="P131" i="13"/>
  <c r="P130" i="13" s="1"/>
  <c r="F131" i="13"/>
  <c r="F130" i="13" s="1"/>
  <c r="I131" i="13"/>
  <c r="I130" i="13" s="1"/>
  <c r="Q131" i="13"/>
  <c r="Q130" i="13" s="1"/>
  <c r="J131" i="13"/>
  <c r="J130" i="13" s="1"/>
  <c r="K131" i="13"/>
  <c r="K130" i="13" s="1"/>
  <c r="L131" i="13"/>
  <c r="L130" i="13" s="1"/>
  <c r="N131" i="13"/>
  <c r="N130" i="13" s="1"/>
  <c r="G131" i="13"/>
  <c r="G130" i="13" s="1"/>
  <c r="O131" i="13"/>
  <c r="O130" i="13" s="1"/>
  <c r="M131" i="13"/>
  <c r="M130" i="13" s="1"/>
  <c r="J74" i="13"/>
  <c r="J73" i="13" s="1"/>
  <c r="F74" i="13"/>
  <c r="F73" i="13" s="1"/>
  <c r="K74" i="13"/>
  <c r="K73" i="13" s="1"/>
  <c r="I74" i="13"/>
  <c r="I73" i="13" s="1"/>
  <c r="L74" i="13"/>
  <c r="L73" i="13" s="1"/>
  <c r="O74" i="13"/>
  <c r="O73" i="13" s="1"/>
  <c r="M74" i="13"/>
  <c r="M73" i="13" s="1"/>
  <c r="G74" i="13"/>
  <c r="G73" i="13" s="1"/>
  <c r="P74" i="13"/>
  <c r="P73" i="13" s="1"/>
  <c r="Q74" i="13"/>
  <c r="Q73" i="13" s="1"/>
  <c r="N74" i="13"/>
  <c r="N73" i="13" s="1"/>
  <c r="H74" i="13"/>
  <c r="H73" i="13" s="1"/>
  <c r="E741" i="5"/>
  <c r="E17" i="5"/>
  <c r="E6" i="5" s="1"/>
  <c r="E57" i="5" s="1"/>
  <c r="D3" i="10" s="1"/>
  <c r="N130" i="5"/>
  <c r="N833" i="4"/>
  <c r="N844" i="4" s="1"/>
  <c r="E771" i="4"/>
  <c r="P670" i="4"/>
  <c r="P662" i="4" s="1"/>
  <c r="E662" i="4"/>
  <c r="E608" i="4"/>
  <c r="O616" i="4"/>
  <c r="O608" i="4" s="1"/>
  <c r="N616" i="4"/>
  <c r="P616" i="4"/>
  <c r="P608" i="4" s="1"/>
  <c r="N452" i="4"/>
  <c r="N463" i="4" s="1"/>
  <c r="P397" i="4"/>
  <c r="P389" i="4" s="1"/>
  <c r="P180" i="4"/>
  <c r="P172" i="4" s="1"/>
  <c r="O180" i="4"/>
  <c r="O172" i="4" s="1"/>
  <c r="Q180" i="4"/>
  <c r="Q172" i="4" s="1"/>
  <c r="E172" i="4"/>
  <c r="N180" i="4"/>
  <c r="Q126" i="4"/>
  <c r="Q118" i="4" s="1"/>
  <c r="E118" i="4"/>
  <c r="O126" i="4"/>
  <c r="O118" i="4" s="1"/>
  <c r="N670" i="4"/>
  <c r="E683" i="13"/>
  <c r="E684" i="13"/>
  <c r="E570" i="13"/>
  <c r="E571" i="13"/>
  <c r="E63" i="13"/>
  <c r="E64" i="13"/>
  <c r="E8" i="13"/>
  <c r="F7" i="13"/>
  <c r="E7" i="13" s="1"/>
  <c r="E852" i="13"/>
  <c r="E853" i="13"/>
  <c r="Q833" i="4"/>
  <c r="Q825" i="4" s="1"/>
  <c r="E389" i="4"/>
  <c r="E796" i="13"/>
  <c r="E797" i="13"/>
  <c r="E515" i="13"/>
  <c r="E514" i="13"/>
  <c r="E289" i="13"/>
  <c r="E290" i="13"/>
  <c r="F63" i="15"/>
  <c r="E457" i="13"/>
  <c r="E458" i="13"/>
  <c r="E825" i="4"/>
  <c r="O833" i="4"/>
  <c r="O825" i="4" s="1"/>
  <c r="E176" i="13"/>
  <c r="E177" i="13"/>
  <c r="F457" i="15"/>
  <c r="G18" i="13"/>
  <c r="G17" i="13" s="1"/>
  <c r="J18" i="13"/>
  <c r="J17" i="13" s="1"/>
  <c r="Q18" i="13"/>
  <c r="Q17" i="13" s="1"/>
  <c r="H18" i="13"/>
  <c r="H17" i="13" s="1"/>
  <c r="N18" i="13"/>
  <c r="N17" i="13" s="1"/>
  <c r="I18" i="13"/>
  <c r="I17" i="13" s="1"/>
  <c r="P18" i="13"/>
  <c r="P17" i="13" s="1"/>
  <c r="M18" i="13"/>
  <c r="M17" i="13" s="1"/>
  <c r="K18" i="13"/>
  <c r="K17" i="13" s="1"/>
  <c r="O18" i="13"/>
  <c r="O17" i="13" s="1"/>
  <c r="F18" i="13"/>
  <c r="L18" i="13"/>
  <c r="L17" i="13" s="1"/>
  <c r="O670" i="4"/>
  <c r="O662" i="4" s="1"/>
  <c r="E401" i="13"/>
  <c r="E402" i="13"/>
  <c r="E627" i="13"/>
  <c r="E628" i="13"/>
  <c r="Q670" i="4"/>
  <c r="Q662" i="4" s="1"/>
  <c r="E289" i="15"/>
  <c r="E740" i="13"/>
  <c r="E741" i="13"/>
  <c r="F18" i="15"/>
  <c r="I18" i="15"/>
  <c r="I17" i="15" s="1"/>
  <c r="J18" i="15"/>
  <c r="J17" i="15" s="1"/>
  <c r="G18" i="15"/>
  <c r="G17" i="15" s="1"/>
  <c r="H18" i="15"/>
  <c r="H17" i="15" s="1"/>
  <c r="E345" i="13"/>
  <c r="E346" i="13"/>
  <c r="N397" i="4"/>
  <c r="E444" i="4"/>
  <c r="P452" i="4"/>
  <c r="P444" i="4" s="1"/>
  <c r="Q235" i="4"/>
  <c r="Q227" i="4" s="1"/>
  <c r="O779" i="4"/>
  <c r="O771" i="4" s="1"/>
  <c r="Q779" i="4"/>
  <c r="Q771" i="4" s="1"/>
  <c r="P779" i="4"/>
  <c r="P771" i="4" s="1"/>
  <c r="O725" i="4"/>
  <c r="O717" i="4" s="1"/>
  <c r="Q725" i="4"/>
  <c r="Q717" i="4" s="1"/>
  <c r="P725" i="4"/>
  <c r="P717" i="4" s="1"/>
  <c r="E717" i="4"/>
  <c r="Q616" i="4"/>
  <c r="Q608" i="4" s="1"/>
  <c r="P561" i="4"/>
  <c r="P553" i="4" s="1"/>
  <c r="E553" i="4"/>
  <c r="Q561" i="4"/>
  <c r="Q553" i="4" s="1"/>
  <c r="O561" i="4"/>
  <c r="O553" i="4" s="1"/>
  <c r="Q452" i="4"/>
  <c r="Q444" i="4" s="1"/>
  <c r="O452" i="4"/>
  <c r="O444" i="4" s="1"/>
  <c r="Q397" i="4"/>
  <c r="Q389" i="4" s="1"/>
  <c r="Q343" i="4"/>
  <c r="Q335" i="4" s="1"/>
  <c r="O343" i="4"/>
  <c r="O335" i="4" s="1"/>
  <c r="N343" i="4"/>
  <c r="E335" i="4"/>
  <c r="O289" i="4"/>
  <c r="O281" i="4" s="1"/>
  <c r="E281" i="4"/>
  <c r="P289" i="4"/>
  <c r="P281" i="4" s="1"/>
  <c r="N289" i="4"/>
  <c r="Q289" i="4"/>
  <c r="Q281" i="4" s="1"/>
  <c r="O235" i="4"/>
  <c r="O227" i="4" s="1"/>
  <c r="E227" i="4"/>
  <c r="P235" i="4"/>
  <c r="P227" i="4" s="1"/>
  <c r="N235" i="4"/>
  <c r="P126" i="4"/>
  <c r="P118" i="4" s="1"/>
  <c r="N126" i="4"/>
  <c r="E70" i="5"/>
  <c r="Q68" i="5"/>
  <c r="Q64" i="5" s="1"/>
  <c r="Q63" i="5" s="1"/>
  <c r="N82" i="5"/>
  <c r="N68" i="5"/>
  <c r="N64" i="5" s="1"/>
  <c r="N63" i="5" s="1"/>
  <c r="O68" i="5"/>
  <c r="O64" i="5" s="1"/>
  <c r="O63" i="5" s="1"/>
  <c r="E581" i="5"/>
  <c r="E580" i="5"/>
  <c r="E569" i="5" s="1"/>
  <c r="E620" i="5" s="1"/>
  <c r="D63" i="10" s="1"/>
  <c r="E187" i="5"/>
  <c r="E186" i="5"/>
  <c r="E175" i="5" s="1"/>
  <c r="E226" i="5" s="1"/>
  <c r="D21" i="10" s="1"/>
  <c r="E412" i="5"/>
  <c r="E638" i="5"/>
  <c r="E637" i="5"/>
  <c r="E626" i="5" s="1"/>
  <c r="E677" i="5" s="1"/>
  <c r="D69" i="10" s="1"/>
  <c r="E693" i="5"/>
  <c r="E682" i="5" s="1"/>
  <c r="E525" i="5"/>
  <c r="E524" i="5"/>
  <c r="E513" i="5" s="1"/>
  <c r="E564" i="5" s="1"/>
  <c r="D57" i="10" s="1"/>
  <c r="E468" i="5"/>
  <c r="E807" i="5"/>
  <c r="E806" i="5"/>
  <c r="E795" i="5" s="1"/>
  <c r="E846" i="5" s="1"/>
  <c r="D87" i="10" s="1"/>
  <c r="E750" i="5"/>
  <c r="E739" i="5" s="1"/>
  <c r="E790" i="5" s="1"/>
  <c r="D81" i="10" s="1"/>
  <c r="E356" i="5"/>
  <c r="E355" i="5"/>
  <c r="E344" i="5" s="1"/>
  <c r="E395" i="5" s="1"/>
  <c r="D39" i="10" s="1"/>
  <c r="E244" i="5"/>
  <c r="E243" i="5"/>
  <c r="E232" i="5" s="1"/>
  <c r="E283" i="5" s="1"/>
  <c r="D27" i="10" s="1"/>
  <c r="E300" i="5"/>
  <c r="E299" i="5"/>
  <c r="E288" i="5" s="1"/>
  <c r="E339" i="5" s="1"/>
  <c r="D33" i="10" s="1"/>
  <c r="O389" i="4"/>
  <c r="N507" i="4"/>
  <c r="O507" i="4"/>
  <c r="O499" i="4" s="1"/>
  <c r="Q507" i="4"/>
  <c r="Q499" i="4" s="1"/>
  <c r="P507" i="4"/>
  <c r="P499" i="4" s="1"/>
  <c r="E499" i="4"/>
  <c r="N825" i="4"/>
  <c r="P825" i="4"/>
  <c r="N771" i="4"/>
  <c r="N717" i="4"/>
  <c r="N553" i="4"/>
  <c r="N444" i="4"/>
  <c r="P335" i="4"/>
  <c r="E18" i="5"/>
  <c r="F862" i="15" l="1"/>
  <c r="E862" i="15" s="1"/>
  <c r="E863" i="15"/>
  <c r="F806" i="15"/>
  <c r="E806" i="15" s="1"/>
  <c r="E807" i="15"/>
  <c r="F750" i="15"/>
  <c r="E750" i="15" s="1"/>
  <c r="E739" i="15" s="1"/>
  <c r="E790" i="15" s="1"/>
  <c r="D83" i="10" s="1"/>
  <c r="E751" i="15"/>
  <c r="E863" i="5"/>
  <c r="E751" i="5"/>
  <c r="E694" i="15"/>
  <c r="E693" i="15"/>
  <c r="E682" i="15" s="1"/>
  <c r="E733" i="15" s="1"/>
  <c r="D77" i="10" s="1"/>
  <c r="F637" i="15"/>
  <c r="E637" i="15" s="1"/>
  <c r="E638" i="15"/>
  <c r="F580" i="15"/>
  <c r="E580" i="15" s="1"/>
  <c r="E581" i="15"/>
  <c r="F524" i="15"/>
  <c r="E524" i="15" s="1"/>
  <c r="E525" i="15"/>
  <c r="F467" i="15"/>
  <c r="E467" i="15" s="1"/>
  <c r="E456" i="15" s="1"/>
  <c r="E507" i="15" s="1"/>
  <c r="D53" i="10" s="1"/>
  <c r="E468" i="15"/>
  <c r="F411" i="15"/>
  <c r="E411" i="15" s="1"/>
  <c r="E400" i="15" s="1"/>
  <c r="E451" i="15" s="1"/>
  <c r="D47" i="10" s="1"/>
  <c r="E412" i="15"/>
  <c r="F355" i="15"/>
  <c r="E355" i="15" s="1"/>
  <c r="E356" i="15"/>
  <c r="F299" i="15"/>
  <c r="E299" i="15" s="1"/>
  <c r="E288" i="15" s="1"/>
  <c r="E339" i="15" s="1"/>
  <c r="D35" i="10" s="1"/>
  <c r="E300" i="15"/>
  <c r="F130" i="15"/>
  <c r="E130" i="15" s="1"/>
  <c r="E131" i="15"/>
  <c r="F73" i="15"/>
  <c r="E73" i="15" s="1"/>
  <c r="E74" i="15"/>
  <c r="E18" i="15"/>
  <c r="N608" i="4"/>
  <c r="N627" i="4"/>
  <c r="O627" i="4" s="1"/>
  <c r="E694" i="5"/>
  <c r="E131" i="5"/>
  <c r="E130" i="5"/>
  <c r="E119" i="5" s="1"/>
  <c r="E170" i="5" s="1"/>
  <c r="D15" i="10" s="1"/>
  <c r="N662" i="4"/>
  <c r="N681" i="4"/>
  <c r="O681" i="4" s="1"/>
  <c r="N499" i="4"/>
  <c r="N518" i="4"/>
  <c r="O518" i="4" s="1"/>
  <c r="N389" i="4"/>
  <c r="N408" i="4"/>
  <c r="N335" i="4"/>
  <c r="N354" i="4"/>
  <c r="N281" i="4"/>
  <c r="N300" i="4"/>
  <c r="O300" i="4" s="1"/>
  <c r="N227" i="4"/>
  <c r="N246" i="4"/>
  <c r="O246" i="4" s="1"/>
  <c r="N172" i="4"/>
  <c r="N191" i="4"/>
  <c r="O191" i="4" s="1"/>
  <c r="N118" i="4"/>
  <c r="N137" i="4"/>
  <c r="O137" i="4" s="1"/>
  <c r="O844" i="4"/>
  <c r="O463" i="4"/>
  <c r="E62" i="15"/>
  <c r="E113" i="15" s="1"/>
  <c r="D11" i="10" s="1"/>
  <c r="E513" i="15"/>
  <c r="E564" i="15" s="1"/>
  <c r="D59" i="10" s="1"/>
  <c r="E795" i="15"/>
  <c r="E846" i="15" s="1"/>
  <c r="D89" i="10" s="1"/>
  <c r="E750" i="13"/>
  <c r="E739" i="13" s="1"/>
  <c r="E790" i="13" s="1"/>
  <c r="D82" i="10" s="1"/>
  <c r="E751" i="13"/>
  <c r="E130" i="13"/>
  <c r="E119" i="13" s="1"/>
  <c r="E170" i="13" s="1"/>
  <c r="D16" i="10" s="1"/>
  <c r="E131" i="13"/>
  <c r="E580" i="13"/>
  <c r="E569" i="13" s="1"/>
  <c r="E620" i="13" s="1"/>
  <c r="D64" i="10" s="1"/>
  <c r="E581" i="13"/>
  <c r="E300" i="13"/>
  <c r="E299" i="13"/>
  <c r="E288" i="13" s="1"/>
  <c r="E339" i="13" s="1"/>
  <c r="D34" i="10" s="1"/>
  <c r="E851" i="15"/>
  <c r="E902" i="15" s="1"/>
  <c r="D95" i="10" s="1"/>
  <c r="E175" i="15"/>
  <c r="E226" i="15" s="1"/>
  <c r="D23" i="10" s="1"/>
  <c r="E525" i="13"/>
  <c r="E524" i="13"/>
  <c r="E513" i="13" s="1"/>
  <c r="E564" i="13" s="1"/>
  <c r="D58" i="10" s="1"/>
  <c r="E863" i="13"/>
  <c r="E862" i="13"/>
  <c r="E851" i="13" s="1"/>
  <c r="E902" i="13" s="1"/>
  <c r="D94" i="10" s="1"/>
  <c r="E468" i="13"/>
  <c r="E467" i="13"/>
  <c r="E456" i="13" s="1"/>
  <c r="E507" i="13" s="1"/>
  <c r="D52" i="10" s="1"/>
  <c r="E187" i="13"/>
  <c r="E186" i="13"/>
  <c r="E175" i="13" s="1"/>
  <c r="E226" i="13" s="1"/>
  <c r="D22" i="10" s="1"/>
  <c r="E355" i="13"/>
  <c r="E344" i="13" s="1"/>
  <c r="E395" i="13" s="1"/>
  <c r="D40" i="10" s="1"/>
  <c r="E356" i="13"/>
  <c r="E344" i="15"/>
  <c r="E395" i="15" s="1"/>
  <c r="D41" i="10" s="1"/>
  <c r="E232" i="15"/>
  <c r="E283" i="15" s="1"/>
  <c r="D29" i="10" s="1"/>
  <c r="E626" i="15"/>
  <c r="E677" i="15" s="1"/>
  <c r="D71" i="10" s="1"/>
  <c r="O572" i="4"/>
  <c r="E73" i="13"/>
  <c r="E62" i="13" s="1"/>
  <c r="E113" i="13" s="1"/>
  <c r="D10" i="10" s="1"/>
  <c r="E74" i="13"/>
  <c r="E693" i="13"/>
  <c r="E682" i="13" s="1"/>
  <c r="E733" i="13" s="1"/>
  <c r="D76" i="10" s="1"/>
  <c r="E694" i="13"/>
  <c r="E806" i="13"/>
  <c r="E795" i="13" s="1"/>
  <c r="E846" i="13" s="1"/>
  <c r="D88" i="10" s="1"/>
  <c r="E807" i="13"/>
  <c r="E243" i="13"/>
  <c r="E232" i="13" s="1"/>
  <c r="E283" i="13" s="1"/>
  <c r="D28" i="10" s="1"/>
  <c r="E244" i="13"/>
  <c r="E569" i="15"/>
  <c r="E620" i="15" s="1"/>
  <c r="D65" i="10" s="1"/>
  <c r="F17" i="15"/>
  <c r="E411" i="13"/>
  <c r="E400" i="13" s="1"/>
  <c r="E451" i="13" s="1"/>
  <c r="D46" i="10" s="1"/>
  <c r="E412" i="13"/>
  <c r="E637" i="13"/>
  <c r="E626" i="13" s="1"/>
  <c r="E677" i="13" s="1"/>
  <c r="D70" i="10" s="1"/>
  <c r="E638" i="13"/>
  <c r="E119" i="15"/>
  <c r="E170" i="15" s="1"/>
  <c r="D17" i="10" s="1"/>
  <c r="F17" i="13"/>
  <c r="E17" i="13" s="1"/>
  <c r="E6" i="13" s="1"/>
  <c r="E57" i="13" s="1"/>
  <c r="D4" i="10" s="1"/>
  <c r="E18" i="13"/>
  <c r="O790" i="4"/>
  <c r="O736" i="4"/>
  <c r="D72" i="10" l="1"/>
  <c r="E17" i="15"/>
  <c r="E6" i="15" s="1"/>
  <c r="E82" i="5"/>
  <c r="E76" i="5"/>
  <c r="P844" i="4"/>
  <c r="Q844" i="4" s="1"/>
  <c r="P790" i="4"/>
  <c r="Q790" i="4" s="1"/>
  <c r="F790" i="12" s="1"/>
  <c r="P736" i="4"/>
  <c r="Q736" i="4" s="1"/>
  <c r="F736" i="12" s="1"/>
  <c r="P681" i="4"/>
  <c r="Q681" i="4" s="1"/>
  <c r="P627" i="4"/>
  <c r="Q627" i="4" s="1"/>
  <c r="F627" i="12" s="1"/>
  <c r="P572" i="4"/>
  <c r="Q572" i="4" s="1"/>
  <c r="F572" i="12" s="1"/>
  <c r="P518" i="4"/>
  <c r="Q518" i="4" s="1"/>
  <c r="P463" i="4"/>
  <c r="Q463" i="4" s="1"/>
  <c r="F463" i="12" s="1"/>
  <c r="P300" i="4"/>
  <c r="Q300" i="4" s="1"/>
  <c r="F300" i="12" s="1"/>
  <c r="P246" i="4"/>
  <c r="Q246" i="4" s="1"/>
  <c r="F246" i="12" s="1"/>
  <c r="P191" i="4"/>
  <c r="Q191" i="4" s="1"/>
  <c r="F191" i="12" s="1"/>
  <c r="P137" i="4"/>
  <c r="Q137" i="4" s="1"/>
  <c r="F137" i="12" s="1"/>
  <c r="D42" i="10"/>
  <c r="D36" i="10"/>
  <c r="D30" i="10"/>
  <c r="O354" i="4"/>
  <c r="G790" i="12" l="1"/>
  <c r="H790" i="12" s="1"/>
  <c r="I790" i="12" s="1"/>
  <c r="J790" i="12" s="1"/>
  <c r="K790" i="12" s="1"/>
  <c r="L790" i="12" s="1"/>
  <c r="M790" i="12" s="1"/>
  <c r="O790" i="12" s="1"/>
  <c r="P790" i="12" s="1"/>
  <c r="Q790" i="12" s="1"/>
  <c r="F790" i="14" s="1"/>
  <c r="E790" i="4"/>
  <c r="G736" i="12"/>
  <c r="H736" i="12" s="1"/>
  <c r="I736" i="12" s="1"/>
  <c r="J736" i="12" s="1"/>
  <c r="K736" i="12" s="1"/>
  <c r="L736" i="12" s="1"/>
  <c r="M736" i="12" s="1"/>
  <c r="O736" i="12" s="1"/>
  <c r="P736" i="12" s="1"/>
  <c r="Q736" i="12" s="1"/>
  <c r="F736" i="14" s="1"/>
  <c r="E675" i="4"/>
  <c r="E673" i="4" s="1"/>
  <c r="P659" i="4" s="1"/>
  <c r="F681" i="12"/>
  <c r="E627" i="4"/>
  <c r="G627" i="12"/>
  <c r="H627" i="12" s="1"/>
  <c r="I627" i="12" s="1"/>
  <c r="J627" i="12" s="1"/>
  <c r="K627" i="12" s="1"/>
  <c r="L627" i="12" s="1"/>
  <c r="M627" i="12" s="1"/>
  <c r="O627" i="12" s="1"/>
  <c r="P627" i="12" s="1"/>
  <c r="Q627" i="12" s="1"/>
  <c r="F627" i="14" s="1"/>
  <c r="G572" i="12"/>
  <c r="H572" i="12" s="1"/>
  <c r="I572" i="12" s="1"/>
  <c r="J572" i="12" s="1"/>
  <c r="K572" i="12" s="1"/>
  <c r="L572" i="12" s="1"/>
  <c r="M572" i="12" s="1"/>
  <c r="O572" i="12" s="1"/>
  <c r="P572" i="12" s="1"/>
  <c r="Q572" i="12" s="1"/>
  <c r="F572" i="14" s="1"/>
  <c r="E512" i="4"/>
  <c r="E510" i="4" s="1"/>
  <c r="F518" i="12"/>
  <c r="E463" i="4"/>
  <c r="G463" i="12"/>
  <c r="H463" i="12" s="1"/>
  <c r="I463" i="12" s="1"/>
  <c r="J463" i="12" s="1"/>
  <c r="K463" i="12" s="1"/>
  <c r="L463" i="12" s="1"/>
  <c r="M463" i="12" s="1"/>
  <c r="O463" i="12" s="1"/>
  <c r="P463" i="12" s="1"/>
  <c r="Q463" i="12" s="1"/>
  <c r="F463" i="14" s="1"/>
  <c r="G300" i="12"/>
  <c r="H300" i="12" s="1"/>
  <c r="I300" i="12" s="1"/>
  <c r="J300" i="12" s="1"/>
  <c r="K300" i="12" s="1"/>
  <c r="L300" i="12" s="1"/>
  <c r="M300" i="12" s="1"/>
  <c r="O300" i="12" s="1"/>
  <c r="P300" i="12" s="1"/>
  <c r="Q300" i="12" s="1"/>
  <c r="F300" i="14" s="1"/>
  <c r="G246" i="12"/>
  <c r="H246" i="12" s="1"/>
  <c r="I246" i="12" s="1"/>
  <c r="J246" i="12" s="1"/>
  <c r="K246" i="12" s="1"/>
  <c r="L246" i="12" s="1"/>
  <c r="M246" i="12" s="1"/>
  <c r="O246" i="12" s="1"/>
  <c r="P246" i="12" s="1"/>
  <c r="Q246" i="12" s="1"/>
  <c r="F246" i="14" s="1"/>
  <c r="G191" i="12"/>
  <c r="H191" i="12" s="1"/>
  <c r="I191" i="12" s="1"/>
  <c r="J191" i="12" s="1"/>
  <c r="K191" i="12" s="1"/>
  <c r="L191" i="12" s="1"/>
  <c r="M191" i="12" s="1"/>
  <c r="O191" i="12" s="1"/>
  <c r="P191" i="12" s="1"/>
  <c r="Q191" i="12" s="1"/>
  <c r="F191" i="14" s="1"/>
  <c r="G137" i="12"/>
  <c r="H137" i="12" s="1"/>
  <c r="I137" i="12" s="1"/>
  <c r="J137" i="12" s="1"/>
  <c r="K137" i="12" s="1"/>
  <c r="L137" i="12" s="1"/>
  <c r="M137" i="12" s="1"/>
  <c r="O137" i="12" s="1"/>
  <c r="P137" i="12" s="1"/>
  <c r="Q137" i="12" s="1"/>
  <c r="F137" i="14" s="1"/>
  <c r="E838" i="4"/>
  <c r="E836" i="4" s="1"/>
  <c r="Q822" i="4" s="1"/>
  <c r="F844" i="12"/>
  <c r="O74" i="5"/>
  <c r="O73" i="5" s="1"/>
  <c r="P74" i="5"/>
  <c r="Q74" i="5"/>
  <c r="Q73" i="5" s="1"/>
  <c r="N74" i="5"/>
  <c r="D24" i="10"/>
  <c r="D66" i="10"/>
  <c r="D96" i="10"/>
  <c r="D90" i="10"/>
  <c r="E844" i="4"/>
  <c r="E784" i="4"/>
  <c r="E782" i="4" s="1"/>
  <c r="N768" i="4" s="1"/>
  <c r="E736" i="4"/>
  <c r="E730" i="4"/>
  <c r="E728" i="4" s="1"/>
  <c r="N714" i="4" s="1"/>
  <c r="E681" i="4"/>
  <c r="E621" i="4"/>
  <c r="E619" i="4" s="1"/>
  <c r="E572" i="4"/>
  <c r="E566" i="4"/>
  <c r="E564" i="4" s="1"/>
  <c r="P550" i="4" s="1"/>
  <c r="E518" i="4"/>
  <c r="P496" i="4"/>
  <c r="Q496" i="4"/>
  <c r="O496" i="4"/>
  <c r="N496" i="4"/>
  <c r="E457" i="4"/>
  <c r="E455" i="4" s="1"/>
  <c r="P354" i="4"/>
  <c r="Q354" i="4" s="1"/>
  <c r="E191" i="4"/>
  <c r="E300" i="4"/>
  <c r="E294" i="4"/>
  <c r="E292" i="4" s="1"/>
  <c r="P278" i="4" s="1"/>
  <c r="E246" i="4"/>
  <c r="E240" i="4"/>
  <c r="E238" i="4" s="1"/>
  <c r="P224" i="4" s="1"/>
  <c r="E185" i="4"/>
  <c r="E183" i="4" s="1"/>
  <c r="E131" i="4"/>
  <c r="E129" i="4" s="1"/>
  <c r="E137" i="4"/>
  <c r="D54" i="10"/>
  <c r="D60" i="10"/>
  <c r="D84" i="10"/>
  <c r="D18" i="10"/>
  <c r="N659" i="4" l="1"/>
  <c r="O659" i="4"/>
  <c r="Q659" i="4"/>
  <c r="E784" i="12"/>
  <c r="E782" i="12" s="1"/>
  <c r="E790" i="12"/>
  <c r="G790" i="14"/>
  <c r="H790" i="14" s="1"/>
  <c r="I790" i="14" s="1"/>
  <c r="J790" i="14" s="1"/>
  <c r="K790" i="14" s="1"/>
  <c r="E730" i="12"/>
  <c r="E728" i="12" s="1"/>
  <c r="E736" i="12"/>
  <c r="G736" i="14"/>
  <c r="H736" i="14" s="1"/>
  <c r="I736" i="14" s="1"/>
  <c r="J736" i="14" s="1"/>
  <c r="K736" i="14" s="1"/>
  <c r="G681" i="12"/>
  <c r="H681" i="12" s="1"/>
  <c r="I681" i="12" s="1"/>
  <c r="J681" i="12" s="1"/>
  <c r="K681" i="12" s="1"/>
  <c r="L681" i="12" s="1"/>
  <c r="M681" i="12" s="1"/>
  <c r="O681" i="12" s="1"/>
  <c r="P681" i="12" s="1"/>
  <c r="Q681" i="12" s="1"/>
  <c r="F681" i="14" s="1"/>
  <c r="E627" i="12"/>
  <c r="E621" i="12"/>
  <c r="E619" i="12" s="1"/>
  <c r="G627" i="14"/>
  <c r="H627" i="14" s="1"/>
  <c r="I627" i="14" s="1"/>
  <c r="J627" i="14" s="1"/>
  <c r="K627" i="14" s="1"/>
  <c r="O550" i="4"/>
  <c r="N550" i="4"/>
  <c r="E572" i="12"/>
  <c r="Q550" i="4"/>
  <c r="E566" i="12"/>
  <c r="E564" i="12" s="1"/>
  <c r="G572" i="14"/>
  <c r="H572" i="14" s="1"/>
  <c r="I572" i="14" s="1"/>
  <c r="J572" i="14" s="1"/>
  <c r="K572" i="14" s="1"/>
  <c r="E572" i="14" s="1"/>
  <c r="G518" i="12"/>
  <c r="H518" i="12" s="1"/>
  <c r="I518" i="12" s="1"/>
  <c r="J518" i="12" s="1"/>
  <c r="K518" i="12" s="1"/>
  <c r="L518" i="12" s="1"/>
  <c r="M518" i="12" s="1"/>
  <c r="O518" i="12" s="1"/>
  <c r="P518" i="12" s="1"/>
  <c r="Q518" i="12" s="1"/>
  <c r="F518" i="14" s="1"/>
  <c r="E463" i="12"/>
  <c r="E457" i="12"/>
  <c r="E455" i="12" s="1"/>
  <c r="G463" i="14"/>
  <c r="H463" i="14" s="1"/>
  <c r="I463" i="14" s="1"/>
  <c r="J463" i="14" s="1"/>
  <c r="K463" i="14" s="1"/>
  <c r="E457" i="14" s="1"/>
  <c r="E348" i="4"/>
  <c r="E346" i="4" s="1"/>
  <c r="Q332" i="4" s="1"/>
  <c r="F354" i="12"/>
  <c r="E300" i="12"/>
  <c r="E294" i="12"/>
  <c r="E292" i="12" s="1"/>
  <c r="G300" i="14"/>
  <c r="H300" i="14" s="1"/>
  <c r="I300" i="14" s="1"/>
  <c r="J300" i="14" s="1"/>
  <c r="K300" i="14" s="1"/>
  <c r="E294" i="14" s="1"/>
  <c r="E240" i="12"/>
  <c r="E238" i="12" s="1"/>
  <c r="E246" i="12"/>
  <c r="G246" i="14"/>
  <c r="H246" i="14" s="1"/>
  <c r="I246" i="14" s="1"/>
  <c r="J246" i="14" s="1"/>
  <c r="K246" i="14" s="1"/>
  <c r="E246" i="14" s="1"/>
  <c r="E185" i="12"/>
  <c r="E183" i="12" s="1"/>
  <c r="E191" i="12"/>
  <c r="G191" i="14"/>
  <c r="H191" i="14" s="1"/>
  <c r="I191" i="14" s="1"/>
  <c r="J191" i="14" s="1"/>
  <c r="K191" i="14" s="1"/>
  <c r="E131" i="12"/>
  <c r="E129" i="12" s="1"/>
  <c r="E137" i="12"/>
  <c r="G137" i="14"/>
  <c r="H137" i="14" s="1"/>
  <c r="I137" i="14" s="1"/>
  <c r="J137" i="14" s="1"/>
  <c r="K137" i="14" s="1"/>
  <c r="E131" i="14" s="1"/>
  <c r="O822" i="4"/>
  <c r="N822" i="4"/>
  <c r="P822" i="4"/>
  <c r="G844" i="12"/>
  <c r="H844" i="12" s="1"/>
  <c r="I844" i="12" s="1"/>
  <c r="J844" i="12" s="1"/>
  <c r="K844" i="12" s="1"/>
  <c r="L844" i="12" s="1"/>
  <c r="M844" i="12" s="1"/>
  <c r="O844" i="12" s="1"/>
  <c r="P844" i="12" s="1"/>
  <c r="Q844" i="12" s="1"/>
  <c r="F844" i="14" s="1"/>
  <c r="E74" i="5"/>
  <c r="N73" i="5"/>
  <c r="P768" i="4"/>
  <c r="Q768" i="4"/>
  <c r="O768" i="4"/>
  <c r="O714" i="4"/>
  <c r="Q714" i="4"/>
  <c r="P714" i="4"/>
  <c r="E354" i="4"/>
  <c r="Q441" i="4"/>
  <c r="O441" i="4"/>
  <c r="N441" i="4"/>
  <c r="P441" i="4"/>
  <c r="Q115" i="4"/>
  <c r="O115" i="4"/>
  <c r="P115" i="4"/>
  <c r="N115" i="4"/>
  <c r="O169" i="4"/>
  <c r="P169" i="4"/>
  <c r="Q169" i="4"/>
  <c r="N169" i="4"/>
  <c r="N278" i="4"/>
  <c r="Q278" i="4"/>
  <c r="O278" i="4"/>
  <c r="O224" i="4"/>
  <c r="Q224" i="4"/>
  <c r="N224" i="4"/>
  <c r="E621" i="14" l="1"/>
  <c r="E240" i="14"/>
  <c r="E790" i="14"/>
  <c r="E784" i="14"/>
  <c r="G768" i="12"/>
  <c r="F768" i="12"/>
  <c r="O768" i="12"/>
  <c r="M768" i="12"/>
  <c r="Q768" i="12"/>
  <c r="I768" i="12"/>
  <c r="H768" i="12"/>
  <c r="L768" i="12"/>
  <c r="P768" i="12"/>
  <c r="J768" i="12"/>
  <c r="K768" i="12"/>
  <c r="N768" i="12"/>
  <c r="E736" i="14"/>
  <c r="E730" i="14"/>
  <c r="H714" i="12"/>
  <c r="P714" i="12"/>
  <c r="Q714" i="12"/>
  <c r="L714" i="12"/>
  <c r="J714" i="12"/>
  <c r="O714" i="12"/>
  <c r="F714" i="12"/>
  <c r="G714" i="12"/>
  <c r="K714" i="12"/>
  <c r="I714" i="12"/>
  <c r="N714" i="12"/>
  <c r="M714" i="12"/>
  <c r="E675" i="12"/>
  <c r="E673" i="12" s="1"/>
  <c r="E681" i="12"/>
  <c r="G681" i="14"/>
  <c r="H681" i="14" s="1"/>
  <c r="I681" i="14" s="1"/>
  <c r="J681" i="14" s="1"/>
  <c r="K681" i="14" s="1"/>
  <c r="E681" i="14" s="1"/>
  <c r="E627" i="14"/>
  <c r="K605" i="12"/>
  <c r="J605" i="12"/>
  <c r="O605" i="12"/>
  <c r="M605" i="12"/>
  <c r="P605" i="12"/>
  <c r="I605" i="12"/>
  <c r="F605" i="12"/>
  <c r="N605" i="12"/>
  <c r="G605" i="12"/>
  <c r="L605" i="12"/>
  <c r="Q605" i="12"/>
  <c r="H605" i="12"/>
  <c r="O550" i="12"/>
  <c r="I550" i="12"/>
  <c r="K550" i="12"/>
  <c r="N550" i="12"/>
  <c r="F550" i="12"/>
  <c r="H550" i="12"/>
  <c r="M550" i="12"/>
  <c r="Q550" i="12"/>
  <c r="L550" i="12"/>
  <c r="P550" i="12"/>
  <c r="G550" i="12"/>
  <c r="J550" i="12"/>
  <c r="E566" i="14"/>
  <c r="E518" i="12"/>
  <c r="E512" i="12"/>
  <c r="E510" i="12" s="1"/>
  <c r="G518" i="14"/>
  <c r="H518" i="14" s="1"/>
  <c r="I518" i="14" s="1"/>
  <c r="J518" i="14" s="1"/>
  <c r="K518" i="14" s="1"/>
  <c r="E463" i="14"/>
  <c r="L441" i="12"/>
  <c r="I441" i="12"/>
  <c r="F441" i="12"/>
  <c r="M441" i="12"/>
  <c r="Q441" i="12"/>
  <c r="H441" i="12"/>
  <c r="N441" i="12"/>
  <c r="J441" i="12"/>
  <c r="O441" i="12"/>
  <c r="P441" i="12"/>
  <c r="G441" i="12"/>
  <c r="K441" i="12"/>
  <c r="P332" i="4"/>
  <c r="N332" i="4"/>
  <c r="O332" i="4"/>
  <c r="G354" i="12"/>
  <c r="H354" i="12" s="1"/>
  <c r="I354" i="12" s="1"/>
  <c r="J354" i="12" s="1"/>
  <c r="K354" i="12" s="1"/>
  <c r="L354" i="12" s="1"/>
  <c r="M354" i="12" s="1"/>
  <c r="O354" i="12" s="1"/>
  <c r="P354" i="12" s="1"/>
  <c r="Q354" i="12" s="1"/>
  <c r="F354" i="14" s="1"/>
  <c r="E300" i="14"/>
  <c r="I278" i="12"/>
  <c r="L278" i="12"/>
  <c r="Q278" i="12"/>
  <c r="M278" i="12"/>
  <c r="F278" i="12"/>
  <c r="N278" i="12"/>
  <c r="J278" i="12"/>
  <c r="G278" i="12"/>
  <c r="K278" i="12"/>
  <c r="O278" i="12"/>
  <c r="H278" i="12"/>
  <c r="P278" i="12"/>
  <c r="N224" i="12"/>
  <c r="Q224" i="12"/>
  <c r="J224" i="12"/>
  <c r="F224" i="12"/>
  <c r="L224" i="12"/>
  <c r="H224" i="12"/>
  <c r="O224" i="12"/>
  <c r="M224" i="12"/>
  <c r="G224" i="12"/>
  <c r="I224" i="12"/>
  <c r="K224" i="12"/>
  <c r="P224" i="12"/>
  <c r="E191" i="14"/>
  <c r="E185" i="14"/>
  <c r="E169" i="4"/>
  <c r="L169" i="12"/>
  <c r="O169" i="12"/>
  <c r="N169" i="12"/>
  <c r="Q169" i="12"/>
  <c r="K169" i="12"/>
  <c r="F169" i="12"/>
  <c r="I169" i="12"/>
  <c r="G169" i="12"/>
  <c r="P169" i="12"/>
  <c r="M169" i="12"/>
  <c r="H169" i="12"/>
  <c r="J169" i="12"/>
  <c r="E137" i="14"/>
  <c r="I115" i="12"/>
  <c r="Q115" i="12"/>
  <c r="K115" i="12"/>
  <c r="N115" i="12"/>
  <c r="F115" i="12"/>
  <c r="P115" i="12"/>
  <c r="J115" i="12"/>
  <c r="L115" i="12"/>
  <c r="O115" i="12"/>
  <c r="G115" i="12"/>
  <c r="H115" i="12"/>
  <c r="M115" i="12"/>
  <c r="E838" i="12"/>
  <c r="E836" i="12" s="1"/>
  <c r="E844" i="12"/>
  <c r="G844" i="14"/>
  <c r="H844" i="14" s="1"/>
  <c r="I844" i="14" s="1"/>
  <c r="J844" i="14" s="1"/>
  <c r="O408" i="4"/>
  <c r="N403" i="5"/>
  <c r="E655" i="14" l="1"/>
  <c r="C71" i="10" s="1"/>
  <c r="E165" i="14"/>
  <c r="C17" i="10" s="1"/>
  <c r="F822" i="12"/>
  <c r="N822" i="12"/>
  <c r="G822" i="12"/>
  <c r="O822" i="12"/>
  <c r="H822" i="12"/>
  <c r="P822" i="12"/>
  <c r="I822" i="12"/>
  <c r="Q822" i="12"/>
  <c r="J822" i="12"/>
  <c r="K822" i="12"/>
  <c r="L822" i="12"/>
  <c r="M822" i="12"/>
  <c r="E768" i="12"/>
  <c r="E818" i="12" s="1"/>
  <c r="C88" i="10" s="1"/>
  <c r="E714" i="12"/>
  <c r="E764" i="12" s="1"/>
  <c r="C82" i="10" s="1"/>
  <c r="E675" i="14"/>
  <c r="H659" i="12"/>
  <c r="J659" i="12"/>
  <c r="M659" i="12"/>
  <c r="O659" i="12"/>
  <c r="L659" i="12"/>
  <c r="I659" i="12"/>
  <c r="K659" i="12"/>
  <c r="N659" i="12"/>
  <c r="P659" i="12"/>
  <c r="F659" i="12"/>
  <c r="Q659" i="12"/>
  <c r="G659" i="12"/>
  <c r="E605" i="12"/>
  <c r="E655" i="12" s="1"/>
  <c r="C70" i="10" s="1"/>
  <c r="E550" i="12"/>
  <c r="E600" i="12" s="1"/>
  <c r="C64" i="10" s="1"/>
  <c r="E512" i="14"/>
  <c r="E518" i="14"/>
  <c r="H496" i="12"/>
  <c r="Q496" i="12"/>
  <c r="I496" i="12"/>
  <c r="M496" i="12"/>
  <c r="N496" i="12"/>
  <c r="J496" i="12"/>
  <c r="K496" i="12"/>
  <c r="P496" i="12"/>
  <c r="G496" i="12"/>
  <c r="O496" i="12"/>
  <c r="L496" i="12"/>
  <c r="F496" i="12"/>
  <c r="E491" i="14"/>
  <c r="C53" i="10" s="1"/>
  <c r="E441" i="12"/>
  <c r="E491" i="12" s="1"/>
  <c r="C52" i="10" s="1"/>
  <c r="E354" i="12"/>
  <c r="G354" i="14"/>
  <c r="H354" i="14" s="1"/>
  <c r="I354" i="14" s="1"/>
  <c r="J354" i="14" s="1"/>
  <c r="K354" i="14" s="1"/>
  <c r="E348" i="12"/>
  <c r="E346" i="12" s="1"/>
  <c r="E278" i="12"/>
  <c r="E328" i="12" s="1"/>
  <c r="C34" i="10" s="1"/>
  <c r="E328" i="14"/>
  <c r="C35" i="10" s="1"/>
  <c r="E224" i="12"/>
  <c r="E274" i="12" s="1"/>
  <c r="C28" i="10" s="1"/>
  <c r="E169" i="12"/>
  <c r="E219" i="12" s="1"/>
  <c r="C22" i="10" s="1"/>
  <c r="E115" i="12"/>
  <c r="E165" i="12" s="1"/>
  <c r="C16" i="10" s="1"/>
  <c r="K844" i="14"/>
  <c r="E838" i="14" s="1"/>
  <c r="N402" i="5"/>
  <c r="P408" i="4"/>
  <c r="O403" i="5"/>
  <c r="O402" i="5" s="1"/>
  <c r="O401" i="5" s="1"/>
  <c r="E274" i="14" l="1"/>
  <c r="C29" i="10" s="1"/>
  <c r="E764" i="14"/>
  <c r="C83" i="10" s="1"/>
  <c r="E818" i="14"/>
  <c r="C89" i="10" s="1"/>
  <c r="E659" i="12"/>
  <c r="E709" i="12" s="1"/>
  <c r="C76" i="10" s="1"/>
  <c r="E600" i="14"/>
  <c r="C65" i="10" s="1"/>
  <c r="E496" i="12"/>
  <c r="E546" i="12" s="1"/>
  <c r="C58" i="10" s="1"/>
  <c r="E354" i="14"/>
  <c r="M332" i="12"/>
  <c r="J332" i="12"/>
  <c r="I332" i="12"/>
  <c r="O332" i="12"/>
  <c r="L332" i="12"/>
  <c r="H332" i="12"/>
  <c r="N332" i="12"/>
  <c r="Q332" i="12"/>
  <c r="F332" i="12"/>
  <c r="G332" i="12"/>
  <c r="P332" i="12"/>
  <c r="K332" i="12"/>
  <c r="E348" i="14"/>
  <c r="E219" i="14"/>
  <c r="C23" i="10" s="1"/>
  <c r="E844" i="14"/>
  <c r="E822" i="12"/>
  <c r="E872" i="12" s="1"/>
  <c r="C94" i="10" s="1"/>
  <c r="N401" i="5"/>
  <c r="Q408" i="4"/>
  <c r="P403" i="5"/>
  <c r="E709" i="14" l="1"/>
  <c r="C77" i="10" s="1"/>
  <c r="E332" i="12"/>
  <c r="E382" i="12" s="1"/>
  <c r="C40" i="10" s="1"/>
  <c r="E872" i="14"/>
  <c r="C95" i="10" s="1"/>
  <c r="E546" i="14"/>
  <c r="C59" i="10" s="1"/>
  <c r="E402" i="4"/>
  <c r="E400" i="4" s="1"/>
  <c r="F408" i="12"/>
  <c r="P402" i="5"/>
  <c r="E408" i="4"/>
  <c r="G408" i="12" l="1"/>
  <c r="H408" i="12" s="1"/>
  <c r="I408" i="12" s="1"/>
  <c r="J408" i="12" s="1"/>
  <c r="K408" i="12" s="1"/>
  <c r="L408" i="12" s="1"/>
  <c r="M408" i="12" s="1"/>
  <c r="O408" i="12" s="1"/>
  <c r="P408" i="12" s="1"/>
  <c r="Q408" i="12" s="1"/>
  <c r="F408" i="14" s="1"/>
  <c r="E382" i="14"/>
  <c r="C41" i="10" s="1"/>
  <c r="N386" i="4"/>
  <c r="Q386" i="4"/>
  <c r="P386" i="4"/>
  <c r="O386" i="4"/>
  <c r="Q403" i="5"/>
  <c r="E403" i="5" s="1"/>
  <c r="P401" i="5"/>
  <c r="G408" i="14" l="1"/>
  <c r="H408" i="14" s="1"/>
  <c r="I408" i="14" s="1"/>
  <c r="J408" i="14" s="1"/>
  <c r="K408" i="14" s="1"/>
  <c r="E402" i="12"/>
  <c r="E400" i="12" s="1"/>
  <c r="E408" i="12"/>
  <c r="Q402" i="5"/>
  <c r="E402" i="5" s="1"/>
  <c r="J386" i="12" l="1"/>
  <c r="Q386" i="12"/>
  <c r="M386" i="12"/>
  <c r="I386" i="12"/>
  <c r="K386" i="12"/>
  <c r="F386" i="12"/>
  <c r="O386" i="12"/>
  <c r="N386" i="12"/>
  <c r="G386" i="12"/>
  <c r="H386" i="12"/>
  <c r="L386" i="12"/>
  <c r="P386" i="12"/>
  <c r="E408" i="14"/>
  <c r="E402" i="14"/>
  <c r="Q401" i="5"/>
  <c r="E401" i="5" s="1"/>
  <c r="E400" i="5" s="1"/>
  <c r="E451" i="5" s="1"/>
  <c r="D45" i="10" s="1"/>
  <c r="E386" i="12" l="1"/>
  <c r="E436" i="12" s="1"/>
  <c r="C46" i="10" s="1"/>
  <c r="D48" i="10"/>
  <c r="E436" i="14" l="1"/>
  <c r="C47" i="10" s="1"/>
  <c r="P11" i="4"/>
  <c r="O11" i="4"/>
  <c r="Q11" i="4"/>
  <c r="N11" i="4"/>
  <c r="N9" i="4" l="1"/>
  <c r="E11" i="4"/>
  <c r="E38" i="4" s="1"/>
  <c r="Q9" i="4"/>
  <c r="O9" i="4"/>
  <c r="P9" i="4"/>
  <c r="E32" i="4" l="1"/>
  <c r="E37" i="4"/>
  <c r="E36" i="4" s="1"/>
  <c r="E17" i="4"/>
  <c r="E18" i="4"/>
  <c r="E9" i="4"/>
  <c r="E16" i="4" l="1"/>
  <c r="P16" i="4" s="1"/>
  <c r="E8" i="4" l="1"/>
  <c r="Q16" i="4"/>
  <c r="Q8" i="4" s="1"/>
  <c r="O16" i="4"/>
  <c r="O8" i="4" s="1"/>
  <c r="N16" i="4"/>
  <c r="N27" i="4" s="1"/>
  <c r="P8" i="4"/>
  <c r="N8" i="4" l="1"/>
  <c r="O27" i="4"/>
  <c r="P27" i="4" s="1"/>
  <c r="Q27" i="4" s="1"/>
  <c r="F27" i="12" s="1"/>
  <c r="G27" i="12" l="1"/>
  <c r="H27" i="12" s="1"/>
  <c r="I27" i="12" s="1"/>
  <c r="J27" i="12" s="1"/>
  <c r="K27" i="12" s="1"/>
  <c r="L27" i="12" s="1"/>
  <c r="M27" i="12" s="1"/>
  <c r="O27" i="12" s="1"/>
  <c r="P27" i="12" s="1"/>
  <c r="Q27" i="12" s="1"/>
  <c r="F27" i="14" s="1"/>
  <c r="E27" i="4"/>
  <c r="E21" i="4"/>
  <c r="E19" i="4" s="1"/>
  <c r="E21" i="12" l="1"/>
  <c r="E19" i="12" s="1"/>
  <c r="E27" i="12"/>
  <c r="G27" i="14"/>
  <c r="H27" i="14" s="1"/>
  <c r="I27" i="14" s="1"/>
  <c r="J27" i="14" s="1"/>
  <c r="K27" i="14" s="1"/>
  <c r="E27" i="14" s="1"/>
  <c r="O605" i="4"/>
  <c r="Q605" i="4"/>
  <c r="P605" i="4"/>
  <c r="N605" i="4"/>
  <c r="P5" i="4"/>
  <c r="N5" i="4"/>
  <c r="Q5" i="4"/>
  <c r="O5" i="4"/>
  <c r="E21" i="14" l="1"/>
  <c r="F5" i="12"/>
  <c r="G5" i="12"/>
  <c r="H5" i="12"/>
  <c r="I5" i="12"/>
  <c r="K5" i="12"/>
  <c r="L5" i="12"/>
  <c r="N5" i="12"/>
  <c r="Q5" i="12"/>
  <c r="O5" i="12"/>
  <c r="J5" i="12"/>
  <c r="M5" i="12"/>
  <c r="P5" i="12"/>
  <c r="E768" i="4"/>
  <c r="E818" i="4" s="1"/>
  <c r="C87" i="10" s="1"/>
  <c r="E278" i="4"/>
  <c r="E328" i="4" s="1"/>
  <c r="E5" i="4"/>
  <c r="E55" i="4" s="1"/>
  <c r="C3" i="10" s="1"/>
  <c r="E714" i="4"/>
  <c r="E764" i="4" s="1"/>
  <c r="C81" i="10" s="1"/>
  <c r="E219" i="4"/>
  <c r="C21" i="10" s="1"/>
  <c r="E496" i="4"/>
  <c r="E546" i="4" s="1"/>
  <c r="C57" i="10" s="1"/>
  <c r="E441" i="4"/>
  <c r="E491" i="4" s="1"/>
  <c r="C51" i="10" s="1"/>
  <c r="E332" i="4"/>
  <c r="E382" i="4" s="1"/>
  <c r="C39" i="10" s="1"/>
  <c r="E224" i="4"/>
  <c r="E274" i="4" s="1"/>
  <c r="C27" i="10" s="1"/>
  <c r="E550" i="4"/>
  <c r="E600" i="4" s="1"/>
  <c r="C63" i="10" s="1"/>
  <c r="E605" i="4"/>
  <c r="E655" i="4" s="1"/>
  <c r="C69" i="10" s="1"/>
  <c r="E386" i="4"/>
  <c r="E436" i="4" s="1"/>
  <c r="C45" i="10" s="1"/>
  <c r="E659" i="4"/>
  <c r="E709" i="4" s="1"/>
  <c r="C75" i="10" s="1"/>
  <c r="E822" i="4"/>
  <c r="E872" i="4" s="1"/>
  <c r="C93" i="10" s="1"/>
  <c r="E115" i="4"/>
  <c r="E165" i="4" s="1"/>
  <c r="C15" i="10" s="1"/>
  <c r="E5" i="12" l="1"/>
  <c r="E55" i="12" s="1"/>
  <c r="C4" i="10" s="1"/>
  <c r="F34" i="10"/>
  <c r="C33" i="10"/>
  <c r="F35" i="10"/>
  <c r="F88" i="10"/>
  <c r="F89" i="10"/>
  <c r="F53" i="10"/>
  <c r="F52" i="10"/>
  <c r="F59" i="10"/>
  <c r="F58" i="10"/>
  <c r="F22" i="10"/>
  <c r="F23" i="10"/>
  <c r="F40" i="10"/>
  <c r="F41" i="10"/>
  <c r="F46" i="10"/>
  <c r="F47" i="10"/>
  <c r="F83" i="10"/>
  <c r="F82" i="10"/>
  <c r="F16" i="10"/>
  <c r="F64" i="10"/>
  <c r="F65" i="10"/>
  <c r="F71" i="10"/>
  <c r="F70" i="10"/>
  <c r="F28" i="10"/>
  <c r="F29" i="10"/>
  <c r="E55" i="14" l="1"/>
  <c r="C5" i="10" s="1"/>
  <c r="F94" i="10"/>
  <c r="C36" i="10"/>
  <c r="F33" i="10"/>
  <c r="F36" i="10" s="1"/>
  <c r="F17" i="10"/>
  <c r="F4" i="10"/>
  <c r="F95" i="10"/>
  <c r="C90" i="10" l="1"/>
  <c r="F87" i="10"/>
  <c r="F90" i="10" s="1"/>
  <c r="C78" i="10"/>
  <c r="F45" i="10"/>
  <c r="F48" i="10" s="1"/>
  <c r="C48" i="10"/>
  <c r="C42" i="10"/>
  <c r="F39" i="10"/>
  <c r="F42" i="10" s="1"/>
  <c r="C60" i="10"/>
  <c r="F57" i="10"/>
  <c r="F60" i="10" s="1"/>
  <c r="F51" i="10"/>
  <c r="F54" i="10" s="1"/>
  <c r="C54" i="10"/>
  <c r="C66" i="10"/>
  <c r="F63" i="10"/>
  <c r="F66" i="10" s="1"/>
  <c r="C24" i="10"/>
  <c r="F21" i="10"/>
  <c r="F24" i="10" s="1"/>
  <c r="F69" i="10"/>
  <c r="F72" i="10" s="1"/>
  <c r="C72" i="10"/>
  <c r="F15" i="10"/>
  <c r="F18" i="10" s="1"/>
  <c r="C18" i="10"/>
  <c r="C30" i="10"/>
  <c r="F27" i="10"/>
  <c r="F30" i="10" s="1"/>
  <c r="C84" i="10"/>
  <c r="F81" i="10"/>
  <c r="F84" i="10" s="1"/>
  <c r="F3" i="10"/>
  <c r="C6" i="10"/>
  <c r="F93" i="10"/>
  <c r="C96" i="10"/>
  <c r="F96" i="10" l="1"/>
  <c r="P68" i="5" l="1"/>
  <c r="O66" i="4"/>
  <c r="O64" i="4" s="1"/>
  <c r="Q66" i="4"/>
  <c r="Q64" i="4" s="1"/>
  <c r="P66" i="4"/>
  <c r="P64" i="4" s="1"/>
  <c r="N66" i="4"/>
  <c r="P64" i="5" l="1"/>
  <c r="P73" i="5"/>
  <c r="E73" i="5" s="1"/>
  <c r="E68" i="5"/>
  <c r="N64" i="4"/>
  <c r="E64" i="4" s="1"/>
  <c r="E73" i="4"/>
  <c r="E66" i="4"/>
  <c r="E93" i="4" s="1"/>
  <c r="E87" i="4" l="1"/>
  <c r="E92" i="4"/>
  <c r="E91" i="4" s="1"/>
  <c r="E72" i="4"/>
  <c r="P63" i="5"/>
  <c r="E63" i="5" s="1"/>
  <c r="E62" i="5" s="1"/>
  <c r="E113" i="5" s="1"/>
  <c r="D9" i="10" s="1"/>
  <c r="E64" i="5"/>
  <c r="E71" i="4" l="1"/>
  <c r="E63" i="4" s="1"/>
  <c r="O71" i="4" l="1"/>
  <c r="O63" i="4" s="1"/>
  <c r="P71" i="4"/>
  <c r="P63" i="4" s="1"/>
  <c r="N71" i="4"/>
  <c r="N82" i="4" s="1"/>
  <c r="Q71" i="4"/>
  <c r="Q63" i="4" s="1"/>
  <c r="O82" i="4" l="1"/>
  <c r="P82" i="4" s="1"/>
  <c r="Q82" i="4" s="1"/>
  <c r="F82" i="12" s="1"/>
  <c r="N63" i="4"/>
  <c r="D12" i="10"/>
  <c r="G82" i="12" l="1"/>
  <c r="H82" i="12" s="1"/>
  <c r="I82" i="12" s="1"/>
  <c r="J82" i="12" s="1"/>
  <c r="K82" i="12" s="1"/>
  <c r="L82" i="12" s="1"/>
  <c r="M82" i="12" s="1"/>
  <c r="O82" i="12" s="1"/>
  <c r="P82" i="12" s="1"/>
  <c r="Q82" i="12" s="1"/>
  <c r="F82" i="14" s="1"/>
  <c r="E76" i="4"/>
  <c r="E74" i="4" s="1"/>
  <c r="O60" i="4" s="1"/>
  <c r="E82" i="4"/>
  <c r="E82" i="12" l="1"/>
  <c r="E76" i="12"/>
  <c r="E74" i="12" s="1"/>
  <c r="G82" i="14"/>
  <c r="H82" i="14" s="1"/>
  <c r="I82" i="14" s="1"/>
  <c r="J82" i="14" s="1"/>
  <c r="K82" i="14" s="1"/>
  <c r="E82" i="14" s="1"/>
  <c r="P60" i="4"/>
  <c r="N60" i="4"/>
  <c r="Q60" i="4"/>
  <c r="E76" i="14" l="1"/>
  <c r="H60" i="12"/>
  <c r="J60" i="12"/>
  <c r="P60" i="12"/>
  <c r="K60" i="12"/>
  <c r="O60" i="12"/>
  <c r="Q60" i="12"/>
  <c r="I60" i="12"/>
  <c r="L60" i="12"/>
  <c r="F60" i="12"/>
  <c r="N60" i="12"/>
  <c r="M60" i="12"/>
  <c r="G60" i="12"/>
  <c r="E60" i="4"/>
  <c r="E110" i="4" s="1"/>
  <c r="C9" i="10" s="1"/>
  <c r="E60" i="12" l="1"/>
  <c r="E110" i="12" s="1"/>
  <c r="C10" i="10" s="1"/>
  <c r="F10" i="10" s="1"/>
  <c r="C102" i="10" l="1"/>
  <c r="E110" i="14"/>
  <c r="C11" i="10" s="1"/>
  <c r="C12" i="10" s="1"/>
  <c r="C101" i="10"/>
  <c r="F9" i="10"/>
  <c r="C103" i="10" l="1"/>
  <c r="C104" i="10" s="1"/>
  <c r="F11" i="10"/>
  <c r="F12" i="10" s="1"/>
  <c r="E714" i="5" l="1"/>
  <c r="E733" i="5" s="1"/>
  <c r="D75" i="10" s="1"/>
  <c r="D102" i="10" l="1"/>
  <c r="F102" i="10" s="1"/>
  <c r="F76" i="10"/>
  <c r="F77" i="10"/>
  <c r="D101" i="10" l="1"/>
  <c r="F75" i="10"/>
  <c r="D78" i="10"/>
  <c r="F78" i="10" l="1"/>
  <c r="F101" i="10"/>
  <c r="E38" i="15" l="1"/>
  <c r="E57" i="15" s="1"/>
  <c r="D5" i="10" s="1"/>
  <c r="D6" i="10" l="1"/>
  <c r="D103" i="10"/>
  <c r="F5" i="10"/>
  <c r="F6" i="10" s="1"/>
  <c r="F103" i="10" l="1"/>
  <c r="F104" i="10" s="1"/>
  <c r="C10" i="3" s="1"/>
  <c r="D104" i="10"/>
</calcChain>
</file>

<file path=xl/sharedStrings.xml><?xml version="1.0" encoding="utf-8"?>
<sst xmlns="http://schemas.openxmlformats.org/spreadsheetml/2006/main" count="26373" uniqueCount="397">
  <si>
    <t>Project Name</t>
  </si>
  <si>
    <t>Sectoral scope</t>
  </si>
  <si>
    <t>13 - Waste handling and disposal</t>
  </si>
  <si>
    <t>Methodology</t>
  </si>
  <si>
    <t>AM0080 - Mitigation of greenhouse gases emissions with treatment of wastewater in aerobic wastewater treatment plants (Version 01)</t>
  </si>
  <si>
    <t>Version</t>
  </si>
  <si>
    <t>Date</t>
  </si>
  <si>
    <t>Project Owner</t>
  </si>
  <si>
    <t>Parameter</t>
  </si>
  <si>
    <t>Data unit</t>
  </si>
  <si>
    <t>Details</t>
  </si>
  <si>
    <t>Average / Sum</t>
  </si>
  <si>
    <t>days/month</t>
  </si>
  <si>
    <r>
      <rPr>
        <b/>
        <sz val="12"/>
        <color theme="1"/>
        <rFont val="Calibri"/>
        <family val="2"/>
      </rPr>
      <t>BE</t>
    </r>
    <r>
      <rPr>
        <b/>
        <vertAlign val="subscript"/>
        <sz val="12"/>
        <color indexed="8"/>
        <rFont val="Calibri"/>
        <family val="2"/>
      </rPr>
      <t>CH4,ww,y</t>
    </r>
  </si>
  <si>
    <r>
      <rPr>
        <sz val="12"/>
        <rFont val="Calibri"/>
        <family val="2"/>
      </rPr>
      <t>tCO</t>
    </r>
    <r>
      <rPr>
        <vertAlign val="subscript"/>
        <sz val="12"/>
        <rFont val="Calibri"/>
        <family val="2"/>
      </rPr>
      <t>2</t>
    </r>
    <r>
      <rPr>
        <sz val="12"/>
        <rFont val="Calibri"/>
        <family val="2"/>
      </rPr>
      <t>e/year</t>
    </r>
  </si>
  <si>
    <r>
      <rPr>
        <sz val="12"/>
        <rFont val="Calibri"/>
        <family val="2"/>
      </rPr>
      <t>Methane emissions from anaerobic treatment of the wastewater in the baseline scenario in year</t>
    </r>
    <r>
      <rPr>
        <i/>
        <sz val="12"/>
        <rFont val="Calibri"/>
        <family val="2"/>
      </rPr>
      <t xml:space="preserve"> y</t>
    </r>
  </si>
  <si>
    <r>
      <rPr>
        <sz val="12"/>
        <color theme="1"/>
        <rFont val="Calibri"/>
        <family val="2"/>
      </rPr>
      <t>GWP</t>
    </r>
    <r>
      <rPr>
        <vertAlign val="subscript"/>
        <sz val="12"/>
        <color indexed="8"/>
        <rFont val="Calibri"/>
        <family val="2"/>
      </rPr>
      <t>CH4</t>
    </r>
  </si>
  <si>
    <t>Global Warming Potential of methane valid for the commitment period</t>
  </si>
  <si>
    <r>
      <rPr>
        <sz val="12"/>
        <color theme="1"/>
        <rFont val="Calibri"/>
        <family val="2"/>
      </rPr>
      <t>B</t>
    </r>
    <r>
      <rPr>
        <vertAlign val="subscript"/>
        <sz val="12"/>
        <color indexed="8"/>
        <rFont val="Calibri"/>
        <family val="2"/>
      </rPr>
      <t>0</t>
    </r>
  </si>
  <si>
    <r>
      <rPr>
        <sz val="12"/>
        <color theme="1"/>
        <rFont val="Calibri"/>
        <family val="2"/>
      </rPr>
      <t>tCH</t>
    </r>
    <r>
      <rPr>
        <vertAlign val="subscript"/>
        <sz val="12"/>
        <color theme="1"/>
        <rFont val="Calibri"/>
        <family val="2"/>
      </rPr>
      <t>4</t>
    </r>
    <r>
      <rPr>
        <sz val="12"/>
        <color theme="1"/>
        <rFont val="Calibri"/>
        <family val="2"/>
      </rPr>
      <t>/tCOD</t>
    </r>
  </si>
  <si>
    <r>
      <rPr>
        <sz val="12"/>
        <color theme="1"/>
        <rFont val="Calibri"/>
        <family val="2"/>
      </rPr>
      <t>Maximum methane producing capacity of wastewater, expressing the maximum amount of CH</t>
    </r>
    <r>
      <rPr>
        <vertAlign val="subscript"/>
        <sz val="12"/>
        <color theme="1"/>
        <rFont val="Calibri"/>
        <family val="2"/>
      </rPr>
      <t>4</t>
    </r>
    <r>
      <rPr>
        <sz val="12"/>
        <color theme="1"/>
        <rFont val="Calibri"/>
        <family val="2"/>
      </rPr>
      <t xml:space="preserve"> that can be produced from a given quantity of chemical oxygen demand</t>
    </r>
  </si>
  <si>
    <r>
      <rPr>
        <sz val="12"/>
        <color theme="1"/>
        <rFont val="Calibri"/>
        <family val="2"/>
      </rPr>
      <t>COD</t>
    </r>
    <r>
      <rPr>
        <vertAlign val="subscript"/>
        <sz val="12"/>
        <color indexed="8"/>
        <rFont val="Calibri"/>
        <family val="2"/>
      </rPr>
      <t>BL,ww,y</t>
    </r>
  </si>
  <si>
    <r>
      <rPr>
        <sz val="12"/>
        <rFont val="Calibri"/>
        <family val="2"/>
      </rPr>
      <t xml:space="preserve">Quantity of chemical oxygen demand that would have been treated in the baseline scenario in year </t>
    </r>
    <r>
      <rPr>
        <i/>
        <sz val="12"/>
        <rFont val="Calibri"/>
        <family val="2"/>
      </rPr>
      <t>y</t>
    </r>
  </si>
  <si>
    <r>
      <rPr>
        <sz val="12"/>
        <color theme="1"/>
        <rFont val="Calibri"/>
        <family val="2"/>
      </rPr>
      <t>COD</t>
    </r>
    <r>
      <rPr>
        <vertAlign val="subscript"/>
        <sz val="12"/>
        <color indexed="8"/>
        <rFont val="Calibri"/>
        <family val="2"/>
      </rPr>
      <t>PJ,ww,y</t>
    </r>
  </si>
  <si>
    <t>tCOD</t>
  </si>
  <si>
    <t>Quantity of wastewater that is treated in the aerobic wastewater plant in the project activity in a day</t>
  </si>
  <si>
    <r>
      <rPr>
        <sz val="12"/>
        <color theme="1"/>
        <rFont val="Calibri"/>
        <family val="2"/>
      </rPr>
      <t>Q</t>
    </r>
    <r>
      <rPr>
        <vertAlign val="subscript"/>
        <sz val="12"/>
        <color indexed="8"/>
        <rFont val="Calibri"/>
        <family val="2"/>
      </rPr>
      <t>PJ,ww,m</t>
    </r>
  </si>
  <si>
    <r>
      <rPr>
        <sz val="12"/>
        <color theme="1"/>
        <rFont val="Calibri"/>
        <family val="2"/>
      </rPr>
      <t>Quantity of wastewater that is treated in the aerobic wastewater plant in the project activity in month</t>
    </r>
    <r>
      <rPr>
        <i/>
        <sz val="12"/>
        <color indexed="8"/>
        <rFont val="Calibri"/>
        <family val="2"/>
      </rPr>
      <t xml:space="preserve"> m</t>
    </r>
  </si>
  <si>
    <t>Influent COD concentration</t>
  </si>
  <si>
    <t xml:space="preserve">Average Chemical oxygen demand rate (design value) in the wastewater that is sent to be treated in the aerobic wastewater treatment plant in the project activity </t>
  </si>
  <si>
    <t>Effluent COD concentration</t>
  </si>
  <si>
    <t xml:space="preserve">Average Chemical oxygen demand rate (design value) in the wastewater that has been treated in the aerobic wastewater treatment plant in the project activity </t>
  </si>
  <si>
    <r>
      <rPr>
        <sz val="12"/>
        <color theme="1"/>
        <rFont val="Calibri"/>
        <family val="2"/>
      </rPr>
      <t>w</t>
    </r>
    <r>
      <rPr>
        <vertAlign val="subscript"/>
        <sz val="12"/>
        <color indexed="8"/>
        <rFont val="Calibri"/>
        <family val="2"/>
      </rPr>
      <t>PJ,COD,ww,m</t>
    </r>
  </si>
  <si>
    <r>
      <rPr>
        <sz val="12"/>
        <rFont val="Calibri"/>
        <family val="2"/>
      </rPr>
      <t>tCOD/m</t>
    </r>
    <r>
      <rPr>
        <vertAlign val="superscript"/>
        <sz val="12"/>
        <rFont val="Calibri"/>
        <family val="2"/>
      </rPr>
      <t>3</t>
    </r>
  </si>
  <si>
    <r>
      <rPr>
        <sz val="12"/>
        <color theme="1"/>
        <rFont val="Calibri"/>
        <family val="2"/>
      </rPr>
      <t xml:space="preserve">Average Chemical Oxygen Demand in the wastewater that is treated in the aerobic wastewater treatment plant in the project activity in month </t>
    </r>
    <r>
      <rPr>
        <i/>
        <sz val="12"/>
        <color indexed="8"/>
        <rFont val="Calibri"/>
        <family val="2"/>
      </rPr>
      <t>m</t>
    </r>
  </si>
  <si>
    <r>
      <rPr>
        <sz val="12"/>
        <color theme="1"/>
        <rFont val="Calibri"/>
        <family val="2"/>
      </rPr>
      <t xml:space="preserve">Average Chemical Oxygen Demand in the treated wastewater in the aerobic wastewater treatment plant in the project activity in month </t>
    </r>
    <r>
      <rPr>
        <i/>
        <sz val="12"/>
        <color indexed="8"/>
        <rFont val="Calibri"/>
        <family val="2"/>
      </rPr>
      <t>m</t>
    </r>
  </si>
  <si>
    <r>
      <rPr>
        <sz val="12"/>
        <color theme="1"/>
        <rFont val="Calibri"/>
        <family val="2"/>
      </rPr>
      <t>AD</t>
    </r>
    <r>
      <rPr>
        <vertAlign val="subscript"/>
        <sz val="12"/>
        <color indexed="8"/>
        <rFont val="Calibri"/>
        <family val="2"/>
      </rPr>
      <t>BL</t>
    </r>
  </si>
  <si>
    <t>Fraction</t>
  </si>
  <si>
    <t>Effluent adjustment factor expressing the percentage of COD that is degraded in open lagoons in the baseline scenario</t>
  </si>
  <si>
    <r>
      <rPr>
        <sz val="12"/>
        <color theme="1"/>
        <rFont val="Calibri"/>
        <family val="2"/>
      </rPr>
      <t>COD</t>
    </r>
    <r>
      <rPr>
        <vertAlign val="subscript"/>
        <sz val="12"/>
        <color indexed="8"/>
        <rFont val="Calibri"/>
        <family val="2"/>
      </rPr>
      <t>BL,out,x</t>
    </r>
  </si>
  <si>
    <r>
      <rPr>
        <sz val="12"/>
        <color theme="1"/>
        <rFont val="Calibri"/>
        <family val="2"/>
      </rPr>
      <t xml:space="preserve">COD of the effluent of open lagoons in the baseline scenario in the period </t>
    </r>
    <r>
      <rPr>
        <i/>
        <sz val="12"/>
        <color indexed="8"/>
        <rFont val="Calibri"/>
        <family val="2"/>
      </rPr>
      <t>x</t>
    </r>
  </si>
  <si>
    <r>
      <rPr>
        <sz val="12"/>
        <color theme="1"/>
        <rFont val="Calibri"/>
        <family val="2"/>
      </rPr>
      <t>COD</t>
    </r>
    <r>
      <rPr>
        <vertAlign val="subscript"/>
        <sz val="12"/>
        <color indexed="8"/>
        <rFont val="Calibri"/>
        <family val="2"/>
      </rPr>
      <t>BL,in,x</t>
    </r>
  </si>
  <si>
    <r>
      <rPr>
        <sz val="12"/>
        <color theme="1"/>
        <rFont val="Calibri"/>
        <family val="2"/>
      </rPr>
      <t xml:space="preserve">COD directed to open lagoons in the baseline scenario in the period </t>
    </r>
    <r>
      <rPr>
        <i/>
        <sz val="12"/>
        <color indexed="8"/>
        <rFont val="Calibri"/>
        <family val="2"/>
      </rPr>
      <t>x</t>
    </r>
  </si>
  <si>
    <r>
      <rPr>
        <sz val="12"/>
        <rFont val="Calibri"/>
        <family val="2"/>
      </rPr>
      <t>MCF</t>
    </r>
    <r>
      <rPr>
        <vertAlign val="subscript"/>
        <sz val="12"/>
        <rFont val="Calibri"/>
        <family val="2"/>
      </rPr>
      <t>BL,ww,y</t>
    </r>
  </si>
  <si>
    <r>
      <rPr>
        <sz val="12"/>
        <rFont val="Calibri"/>
        <family val="2"/>
      </rPr>
      <t xml:space="preserve">Average baseline Methane Conversion Factor in year </t>
    </r>
    <r>
      <rPr>
        <i/>
        <sz val="12"/>
        <rFont val="Calibri"/>
        <family val="2"/>
      </rPr>
      <t>y</t>
    </r>
  </si>
  <si>
    <r>
      <rPr>
        <sz val="12"/>
        <rFont val="Calibri"/>
        <family val="2"/>
      </rPr>
      <t>f</t>
    </r>
    <r>
      <rPr>
        <vertAlign val="subscript"/>
        <sz val="12"/>
        <rFont val="Calibri"/>
        <family val="2"/>
      </rPr>
      <t>BL,d,y</t>
    </r>
  </si>
  <si>
    <t>Factor expressing the influence of the depth of the lagoon on methane generation</t>
  </si>
  <si>
    <r>
      <rPr>
        <sz val="12"/>
        <rFont val="Calibri"/>
        <family val="2"/>
      </rPr>
      <t>f</t>
    </r>
    <r>
      <rPr>
        <vertAlign val="subscript"/>
        <sz val="12"/>
        <rFont val="Calibri"/>
        <family val="2"/>
      </rPr>
      <t>BL,T,y</t>
    </r>
  </si>
  <si>
    <r>
      <rPr>
        <sz val="12"/>
        <rFont val="Calibri"/>
        <family val="2"/>
      </rPr>
      <t xml:space="preserve">Factor expressing the influence of the temperature on methane generation in year </t>
    </r>
    <r>
      <rPr>
        <i/>
        <sz val="12"/>
        <rFont val="Calibri"/>
        <family val="2"/>
      </rPr>
      <t>y</t>
    </r>
  </si>
  <si>
    <r>
      <rPr>
        <sz val="12"/>
        <rFont val="Calibri"/>
        <family val="2"/>
      </rPr>
      <t>f</t>
    </r>
    <r>
      <rPr>
        <vertAlign val="subscript"/>
        <sz val="12"/>
        <rFont val="Calibri"/>
        <family val="2"/>
      </rPr>
      <t>T,m</t>
    </r>
  </si>
  <si>
    <r>
      <rPr>
        <sz val="12"/>
        <rFont val="Calibri"/>
        <family val="2"/>
      </rPr>
      <t xml:space="preserve">Factor expressing the influence of the temperature on the methane generation in month </t>
    </r>
    <r>
      <rPr>
        <i/>
        <sz val="12"/>
        <rFont val="Calibri"/>
        <family val="2"/>
      </rPr>
      <t>m</t>
    </r>
  </si>
  <si>
    <t>E</t>
  </si>
  <si>
    <t>cal/mol</t>
  </si>
  <si>
    <t>Activation energy constant</t>
  </si>
  <si>
    <r>
      <rPr>
        <sz val="12"/>
        <rFont val="Calibri"/>
        <family val="2"/>
      </rPr>
      <t>T</t>
    </r>
    <r>
      <rPr>
        <vertAlign val="subscript"/>
        <sz val="12"/>
        <rFont val="Calibri"/>
        <family val="2"/>
      </rPr>
      <t>1</t>
    </r>
  </si>
  <si>
    <t>K</t>
  </si>
  <si>
    <t>-</t>
  </si>
  <si>
    <t>R</t>
  </si>
  <si>
    <t>cal/K.mol</t>
  </si>
  <si>
    <t>Ideal gas constant</t>
  </si>
  <si>
    <r>
      <rPr>
        <sz val="12"/>
        <rFont val="Calibri"/>
        <family val="2"/>
      </rPr>
      <t>T</t>
    </r>
    <r>
      <rPr>
        <vertAlign val="subscript"/>
        <sz val="12"/>
        <rFont val="Calibri"/>
        <family val="2"/>
      </rPr>
      <t>2,m</t>
    </r>
  </si>
  <si>
    <r>
      <rPr>
        <sz val="12"/>
        <rFont val="Calibri"/>
        <family val="2"/>
      </rPr>
      <t xml:space="preserve">Average temperature at the project in month </t>
    </r>
    <r>
      <rPr>
        <i/>
        <sz val="12"/>
        <rFont val="Calibri"/>
        <family val="2"/>
      </rPr>
      <t>m</t>
    </r>
  </si>
  <si>
    <r>
      <rPr>
        <sz val="12"/>
        <rFont val="Calibri"/>
        <family val="2"/>
      </rPr>
      <t>COD</t>
    </r>
    <r>
      <rPr>
        <vertAlign val="subscript"/>
        <sz val="12"/>
        <rFont val="Calibri"/>
        <family val="2"/>
      </rPr>
      <t>BL,available,m</t>
    </r>
  </si>
  <si>
    <r>
      <rPr>
        <sz val="12"/>
        <rFont val="Calibri"/>
        <family val="2"/>
      </rPr>
      <t xml:space="preserve">Quantity of chemical oxygen demand available for degradation in month </t>
    </r>
    <r>
      <rPr>
        <i/>
        <sz val="12"/>
        <rFont val="Calibri"/>
        <family val="2"/>
      </rPr>
      <t>m</t>
    </r>
  </si>
  <si>
    <t>2. Baseline emissions from treatment of sludge</t>
  </si>
  <si>
    <t>Value applied</t>
  </si>
  <si>
    <r>
      <rPr>
        <b/>
        <sz val="12"/>
        <color theme="1"/>
        <rFont val="Calibri"/>
        <family val="2"/>
      </rPr>
      <t>BE</t>
    </r>
    <r>
      <rPr>
        <b/>
        <vertAlign val="subscript"/>
        <sz val="12"/>
        <color indexed="8"/>
        <rFont val="Calibri"/>
        <family val="2"/>
      </rPr>
      <t>CH4,sl,y</t>
    </r>
  </si>
  <si>
    <r>
      <rPr>
        <sz val="12"/>
        <rFont val="Calibri"/>
        <family val="2"/>
      </rPr>
      <t>Methane emissions from treatment of sludge in the baseline scenario in year</t>
    </r>
    <r>
      <rPr>
        <i/>
        <sz val="12"/>
        <rFont val="Calibri"/>
        <family val="2"/>
      </rPr>
      <t xml:space="preserve"> y</t>
    </r>
  </si>
  <si>
    <t>The sludge is dried under controlled and aerobic conditions, and then disposed to a landfill</t>
  </si>
  <si>
    <r>
      <rPr>
        <sz val="12"/>
        <color theme="1"/>
        <rFont val="Calibri"/>
        <family val="2"/>
      </rPr>
      <t>Q</t>
    </r>
    <r>
      <rPr>
        <vertAlign val="subscript"/>
        <sz val="12"/>
        <color indexed="8"/>
        <rFont val="Calibri"/>
        <family val="2"/>
      </rPr>
      <t>BL,sl,y</t>
    </r>
  </si>
  <si>
    <t>tonnes/year</t>
  </si>
  <si>
    <r>
      <rPr>
        <sz val="12"/>
        <color theme="1"/>
        <rFont val="Calibri"/>
        <family val="2"/>
      </rPr>
      <t xml:space="preserve">Quantity of sludge that would have been produced and treated in the baseline scenario in year </t>
    </r>
    <r>
      <rPr>
        <i/>
        <sz val="12"/>
        <color indexed="8"/>
        <rFont val="Calibri"/>
        <family val="2"/>
      </rPr>
      <t>y</t>
    </r>
  </si>
  <si>
    <t>3. Baseline emissions from transportation of sludge</t>
  </si>
  <si>
    <r>
      <rPr>
        <b/>
        <sz val="12"/>
        <color theme="1"/>
        <rFont val="Calibri"/>
        <family val="2"/>
      </rPr>
      <t>BE</t>
    </r>
    <r>
      <rPr>
        <b/>
        <vertAlign val="subscript"/>
        <sz val="12"/>
        <color theme="1"/>
        <rFont val="Calibri"/>
        <family val="2"/>
      </rPr>
      <t>TR,sl,y</t>
    </r>
  </si>
  <si>
    <r>
      <rPr>
        <sz val="12"/>
        <color theme="1"/>
        <rFont val="Calibri"/>
        <family val="2"/>
      </rPr>
      <t>tCO</t>
    </r>
    <r>
      <rPr>
        <vertAlign val="sub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>/year</t>
    </r>
  </si>
  <si>
    <r>
      <rPr>
        <sz val="12"/>
        <color theme="1"/>
        <rFont val="Calibri"/>
        <family val="2"/>
      </rPr>
      <t>CO</t>
    </r>
    <r>
      <rPr>
        <vertAlign val="sub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 xml:space="preserve"> emissions associated with transportation of sludge in the baseline in year </t>
    </r>
    <r>
      <rPr>
        <i/>
        <sz val="12"/>
        <color theme="1"/>
        <rFont val="Calibri"/>
        <family val="2"/>
      </rPr>
      <t>y</t>
    </r>
  </si>
  <si>
    <t>trips</t>
  </si>
  <si>
    <r>
      <rPr>
        <sz val="12"/>
        <color theme="1"/>
        <rFont val="Calibri"/>
        <family val="2"/>
      </rPr>
      <t xml:space="preserve">Number of trips for transportation of the sludge that would have been produced in the baseline in year </t>
    </r>
    <r>
      <rPr>
        <i/>
        <sz val="12"/>
        <color theme="1"/>
        <rFont val="Calibri"/>
        <family val="2"/>
      </rPr>
      <t>y</t>
    </r>
  </si>
  <si>
    <t>tonnes</t>
  </si>
  <si>
    <r>
      <rPr>
        <sz val="12"/>
        <color theme="1"/>
        <rFont val="Calibri"/>
        <family val="2"/>
      </rPr>
      <t xml:space="preserve">Quantity of sludge that would have been produced and treated in the baseline in the year </t>
    </r>
    <r>
      <rPr>
        <i/>
        <sz val="12"/>
        <color theme="1"/>
        <rFont val="Calibri"/>
        <family val="2"/>
      </rPr>
      <t>y</t>
    </r>
  </si>
  <si>
    <t>tonnes/trip</t>
  </si>
  <si>
    <r>
      <rPr>
        <sz val="12"/>
        <color theme="1"/>
        <rFont val="Calibri"/>
        <family val="2"/>
      </rPr>
      <t xml:space="preserve">Average vehicular capacity of the transportation vehicle of type </t>
    </r>
    <r>
      <rPr>
        <i/>
        <sz val="12"/>
        <color theme="1"/>
        <rFont val="Calibri"/>
        <family val="2"/>
      </rPr>
      <t>i</t>
    </r>
  </si>
  <si>
    <t>km</t>
  </si>
  <si>
    <r>
      <rPr>
        <sz val="12"/>
        <color theme="1"/>
        <rFont val="Calibri"/>
        <family val="2"/>
      </rPr>
      <t xml:space="preserve">Average distance per trip, that would have been travelled by the transportation vehicle of type </t>
    </r>
    <r>
      <rPr>
        <i/>
        <sz val="12"/>
        <color theme="1"/>
        <rFont val="Calibri"/>
        <family val="2"/>
      </rPr>
      <t xml:space="preserve">i </t>
    </r>
    <r>
      <rPr>
        <sz val="12"/>
        <color theme="1"/>
        <rFont val="Calibri"/>
        <family val="2"/>
      </rPr>
      <t xml:space="preserve">for transportation of sludge in the baseline in year </t>
    </r>
    <r>
      <rPr>
        <i/>
        <sz val="12"/>
        <color theme="1"/>
        <rFont val="Calibri"/>
        <family val="2"/>
      </rPr>
      <t>y</t>
    </r>
  </si>
  <si>
    <t>Liter/km</t>
  </si>
  <si>
    <r>
      <rPr>
        <sz val="12"/>
        <color theme="1"/>
        <rFont val="Calibri"/>
        <family val="2"/>
      </rPr>
      <t xml:space="preserve">Specific fuel consumption of the transportation vehicle of type </t>
    </r>
    <r>
      <rPr>
        <i/>
        <sz val="12"/>
        <color theme="1"/>
        <rFont val="Calibri"/>
        <family val="2"/>
      </rPr>
      <t>i</t>
    </r>
    <r>
      <rPr>
        <sz val="12"/>
        <color theme="1"/>
        <rFont val="Calibri"/>
        <family val="2"/>
      </rPr>
      <t xml:space="preserve"> in the year </t>
    </r>
    <r>
      <rPr>
        <i/>
        <sz val="12"/>
        <color theme="1"/>
        <rFont val="Calibri"/>
        <family val="2"/>
      </rPr>
      <t>y</t>
    </r>
  </si>
  <si>
    <t>Density of diesel</t>
  </si>
  <si>
    <t>t/L</t>
  </si>
  <si>
    <t>TJ/tonne</t>
  </si>
  <si>
    <r>
      <rPr>
        <sz val="12"/>
        <color theme="1"/>
        <rFont val="Calibri"/>
        <family val="2"/>
      </rPr>
      <t xml:space="preserve">Net calorific value of the transportation fuel </t>
    </r>
    <r>
      <rPr>
        <i/>
        <sz val="12"/>
        <color theme="1"/>
        <rFont val="Calibri"/>
        <family val="2"/>
      </rPr>
      <t>j</t>
    </r>
    <r>
      <rPr>
        <sz val="12"/>
        <color theme="1"/>
        <rFont val="Calibri"/>
        <family val="2"/>
      </rPr>
      <t xml:space="preserve"> in the year </t>
    </r>
    <r>
      <rPr>
        <i/>
        <sz val="12"/>
        <color theme="1"/>
        <rFont val="Calibri"/>
        <family val="2"/>
      </rPr>
      <t>y</t>
    </r>
  </si>
  <si>
    <r>
      <rPr>
        <sz val="12"/>
        <color theme="1"/>
        <rFont val="Calibri"/>
        <family val="2"/>
      </rPr>
      <t>tCO</t>
    </r>
    <r>
      <rPr>
        <vertAlign val="sub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>/TJ</t>
    </r>
  </si>
  <si>
    <r>
      <rPr>
        <sz val="12"/>
        <color theme="1"/>
        <rFont val="Calibri"/>
        <family val="2"/>
      </rPr>
      <t>CO</t>
    </r>
    <r>
      <rPr>
        <vertAlign val="sub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 xml:space="preserve"> emission factor of the transportation fuel </t>
    </r>
    <r>
      <rPr>
        <i/>
        <sz val="12"/>
        <color theme="1"/>
        <rFont val="Calibri"/>
        <family val="2"/>
      </rPr>
      <t>j</t>
    </r>
    <r>
      <rPr>
        <sz val="12"/>
        <color theme="1"/>
        <rFont val="Calibri"/>
        <family val="2"/>
      </rPr>
      <t xml:space="preserve"> in the year </t>
    </r>
    <r>
      <rPr>
        <i/>
        <sz val="12"/>
        <color theme="1"/>
        <rFont val="Calibri"/>
        <family val="2"/>
      </rPr>
      <t>y</t>
    </r>
  </si>
  <si>
    <t>IPCC Vol2 Ch3 table 3.2.1</t>
  </si>
  <si>
    <t>4. Baseline emissions from consumption of electricity</t>
  </si>
  <si>
    <r>
      <rPr>
        <b/>
        <sz val="12"/>
        <color theme="1"/>
        <rFont val="Calibri"/>
        <family val="2"/>
      </rPr>
      <t>BE</t>
    </r>
    <r>
      <rPr>
        <b/>
        <vertAlign val="subscript"/>
        <sz val="12"/>
        <color theme="1"/>
        <rFont val="Calibri"/>
        <family val="2"/>
      </rPr>
      <t>EL,y</t>
    </r>
  </si>
  <si>
    <r>
      <rPr>
        <sz val="12"/>
        <color theme="1"/>
        <rFont val="Calibri"/>
        <family val="2"/>
      </rPr>
      <t xml:space="preserve"> tCO</t>
    </r>
    <r>
      <rPr>
        <vertAlign val="sub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>e/year</t>
    </r>
  </si>
  <si>
    <r>
      <rPr>
        <sz val="12"/>
        <color theme="1"/>
        <rFont val="Calibri"/>
        <family val="2"/>
      </rPr>
      <t>CO</t>
    </r>
    <r>
      <rPr>
        <vertAlign val="sub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 xml:space="preserve"> emissions associated with electricity generation that is displaced by the project activity and/or electricity consumption in the baseline scenario in year </t>
    </r>
    <r>
      <rPr>
        <i/>
        <sz val="12"/>
        <color theme="1"/>
        <rFont val="Calibri"/>
        <family val="2"/>
      </rPr>
      <t>y</t>
    </r>
  </si>
  <si>
    <t>No electricity consumed in the baseline senario</t>
  </si>
  <si>
    <t>5. Baseline emssions from consumption of heat</t>
  </si>
  <si>
    <r>
      <rPr>
        <b/>
        <sz val="12"/>
        <color theme="1"/>
        <rFont val="Calibri"/>
        <family val="2"/>
      </rPr>
      <t>BE</t>
    </r>
    <r>
      <rPr>
        <b/>
        <vertAlign val="subscript"/>
        <sz val="12"/>
        <color theme="1"/>
        <rFont val="Calibri"/>
        <family val="2"/>
      </rPr>
      <t>HG,y</t>
    </r>
  </si>
  <si>
    <r>
      <rPr>
        <sz val="12"/>
        <color theme="1"/>
        <rFont val="Calibri"/>
        <family val="2"/>
      </rPr>
      <t>CO</t>
    </r>
    <r>
      <rPr>
        <vertAlign val="sub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 xml:space="preserve"> emissions associated with fossil fuel combustion for heat production in the baseline scenario in year </t>
    </r>
    <r>
      <rPr>
        <i/>
        <sz val="12"/>
        <color theme="1"/>
        <rFont val="Calibri"/>
        <family val="2"/>
      </rPr>
      <t>y</t>
    </r>
  </si>
  <si>
    <t>No heat consumed in the baseline senario</t>
  </si>
  <si>
    <r>
      <rPr>
        <b/>
        <sz val="12"/>
        <color theme="1"/>
        <rFont val="Calibri"/>
        <family val="2"/>
      </rPr>
      <t>BE</t>
    </r>
    <r>
      <rPr>
        <b/>
        <vertAlign val="subscript"/>
        <sz val="12"/>
        <color theme="1"/>
        <rFont val="Calibri"/>
        <family val="2"/>
      </rPr>
      <t>y</t>
    </r>
  </si>
  <si>
    <r>
      <rPr>
        <sz val="12"/>
        <color theme="1"/>
        <rFont val="Calibri"/>
        <family val="2"/>
      </rPr>
      <t>tCO</t>
    </r>
    <r>
      <rPr>
        <vertAlign val="sub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>e/year</t>
    </r>
  </si>
  <si>
    <r>
      <rPr>
        <sz val="12"/>
        <color theme="1"/>
        <rFont val="Calibri"/>
        <family val="2"/>
      </rPr>
      <t>Baseline emissions in year</t>
    </r>
    <r>
      <rPr>
        <i/>
        <sz val="12"/>
        <color theme="1"/>
        <rFont val="Calibri"/>
        <family val="2"/>
      </rPr>
      <t xml:space="preserve"> y</t>
    </r>
  </si>
  <si>
    <t>1. Methane emissions from treatment of wastewater</t>
  </si>
  <si>
    <t>days / month</t>
  </si>
  <si>
    <r>
      <rPr>
        <b/>
        <sz val="12"/>
        <color theme="1"/>
        <rFont val="Calibri"/>
        <family val="2"/>
      </rPr>
      <t>PE</t>
    </r>
    <r>
      <rPr>
        <b/>
        <vertAlign val="subscript"/>
        <sz val="12"/>
        <color theme="1"/>
        <rFont val="Calibri"/>
        <family val="2"/>
      </rPr>
      <t>CH4,ww,y</t>
    </r>
  </si>
  <si>
    <r>
      <rPr>
        <sz val="12"/>
        <color theme="1"/>
        <rFont val="Calibri"/>
        <family val="2"/>
      </rPr>
      <t xml:space="preserve">Methane emissions from treatment of wastewater in the project activity in year </t>
    </r>
    <r>
      <rPr>
        <i/>
        <sz val="12"/>
        <color theme="1"/>
        <rFont val="Calibri"/>
        <family val="2"/>
      </rPr>
      <t>y</t>
    </r>
  </si>
  <si>
    <r>
      <rPr>
        <sz val="12"/>
        <color theme="1"/>
        <rFont val="Calibri"/>
        <family val="2"/>
      </rPr>
      <t>PE</t>
    </r>
    <r>
      <rPr>
        <vertAlign val="subscript"/>
        <sz val="12"/>
        <color theme="1"/>
        <rFont val="Calibri"/>
        <family val="2"/>
      </rPr>
      <t>CH4,wwtp,y</t>
    </r>
  </si>
  <si>
    <r>
      <rPr>
        <sz val="12"/>
        <color theme="1"/>
        <rFont val="Calibri"/>
        <family val="2"/>
      </rPr>
      <t xml:space="preserve">Methane emissions from the aerobic wastewater treatment plant in year </t>
    </r>
    <r>
      <rPr>
        <i/>
        <sz val="12"/>
        <color theme="1"/>
        <rFont val="Calibri"/>
        <family val="2"/>
      </rPr>
      <t>y</t>
    </r>
    <r>
      <rPr>
        <sz val="12"/>
        <color theme="1"/>
        <rFont val="Calibri"/>
        <family val="2"/>
      </rPr>
      <t xml:space="preserve"> due to inadequate operation and/or overloading</t>
    </r>
  </si>
  <si>
    <r>
      <rPr>
        <sz val="12"/>
        <color theme="1"/>
        <rFont val="Calibri"/>
        <family val="2"/>
      </rPr>
      <t>OR</t>
    </r>
    <r>
      <rPr>
        <vertAlign val="subscript"/>
        <sz val="12"/>
        <color theme="1"/>
        <rFont val="Calibri"/>
        <family val="2"/>
      </rPr>
      <t>i</t>
    </r>
  </si>
  <si>
    <r>
      <rPr>
        <sz val="12"/>
        <color theme="1"/>
        <rFont val="Calibri"/>
        <family val="2"/>
      </rPr>
      <t xml:space="preserve">Oxidation ration, representing the ratio between organic matter in the output and organic matter in the input of the aerobic wastewater treatment plant in day </t>
    </r>
    <r>
      <rPr>
        <i/>
        <sz val="12"/>
        <color theme="1"/>
        <rFont val="Calibri"/>
        <family val="2"/>
      </rPr>
      <t>i</t>
    </r>
    <r>
      <rPr>
        <sz val="12"/>
        <color theme="1"/>
        <rFont val="Calibri"/>
        <family val="2"/>
      </rPr>
      <t xml:space="preserve"> of year </t>
    </r>
    <r>
      <rPr>
        <i/>
        <sz val="12"/>
        <color theme="1"/>
        <rFont val="Calibri"/>
        <family val="2"/>
      </rPr>
      <t>y</t>
    </r>
  </si>
  <si>
    <r>
      <rPr>
        <sz val="12"/>
        <color theme="1"/>
        <rFont val="Calibri"/>
        <family val="2"/>
      </rPr>
      <t>COD</t>
    </r>
    <r>
      <rPr>
        <vertAlign val="subscript"/>
        <sz val="12"/>
        <color theme="1"/>
        <rFont val="Calibri"/>
        <family val="2"/>
      </rPr>
      <t>PJ,WW,i</t>
    </r>
  </si>
  <si>
    <r>
      <rPr>
        <sz val="12"/>
        <color theme="1"/>
        <rFont val="Calibri"/>
        <family val="2"/>
      </rPr>
      <t xml:space="preserve">Quantity of chemical oxygen demand that enters the aerobic wastewater treatment plant in the project activity in the day </t>
    </r>
    <r>
      <rPr>
        <i/>
        <sz val="12"/>
        <color theme="1"/>
        <rFont val="Calibri"/>
        <family val="2"/>
      </rPr>
      <t xml:space="preserve">i </t>
    </r>
    <r>
      <rPr>
        <sz val="12"/>
        <color theme="1"/>
        <rFont val="Calibri"/>
        <family val="2"/>
      </rPr>
      <t>of year y</t>
    </r>
  </si>
  <si>
    <r>
      <rPr>
        <sz val="12"/>
        <color theme="1"/>
        <rFont val="Calibri"/>
        <family val="2"/>
      </rPr>
      <t>Q</t>
    </r>
    <r>
      <rPr>
        <vertAlign val="subscript"/>
        <sz val="12"/>
        <color theme="1"/>
        <rFont val="Calibri"/>
        <family val="2"/>
      </rPr>
      <t>PJ,ww,i</t>
    </r>
  </si>
  <si>
    <r>
      <rPr>
        <sz val="12"/>
        <color theme="1"/>
        <rFont val="Calibri"/>
        <family val="2"/>
      </rPr>
      <t>m</t>
    </r>
    <r>
      <rPr>
        <vertAlign val="superscript"/>
        <sz val="12"/>
        <color theme="1"/>
        <rFont val="Calibri"/>
        <family val="2"/>
      </rPr>
      <t>3</t>
    </r>
  </si>
  <si>
    <r>
      <rPr>
        <sz val="12"/>
        <color theme="1"/>
        <rFont val="Calibri"/>
        <family val="2"/>
      </rPr>
      <t xml:space="preserve">Quantity of wastewater that is treated in the aerobic wastewater treatment plant in the project activity in day </t>
    </r>
    <r>
      <rPr>
        <i/>
        <sz val="12"/>
        <color theme="1"/>
        <rFont val="Calibri"/>
        <family val="2"/>
      </rPr>
      <t>i</t>
    </r>
    <r>
      <rPr>
        <sz val="12"/>
        <color theme="1"/>
        <rFont val="Calibri"/>
        <family val="2"/>
      </rPr>
      <t xml:space="preserve"> of year</t>
    </r>
    <r>
      <rPr>
        <i/>
        <sz val="12"/>
        <color theme="1"/>
        <rFont val="Calibri"/>
        <family val="2"/>
      </rPr>
      <t xml:space="preserve"> y</t>
    </r>
  </si>
  <si>
    <r>
      <rPr>
        <sz val="12"/>
        <color theme="1"/>
        <rFont val="Calibri"/>
        <family val="2"/>
      </rPr>
      <t>w</t>
    </r>
    <r>
      <rPr>
        <vertAlign val="subscript"/>
        <sz val="12"/>
        <color theme="1"/>
        <rFont val="Calibri"/>
        <family val="2"/>
      </rPr>
      <t>PJ,COD,ww,i</t>
    </r>
  </si>
  <si>
    <r>
      <rPr>
        <sz val="12"/>
        <color theme="1"/>
        <rFont val="Calibri"/>
        <family val="2"/>
      </rPr>
      <t>tCOD/m</t>
    </r>
    <r>
      <rPr>
        <vertAlign val="superscript"/>
        <sz val="12"/>
        <color theme="1"/>
        <rFont val="Calibri"/>
        <family val="2"/>
      </rPr>
      <t>3</t>
    </r>
  </si>
  <si>
    <r>
      <rPr>
        <sz val="12"/>
        <color theme="1"/>
        <rFont val="Calibri"/>
        <family val="2"/>
      </rPr>
      <t>Average chemical oxygen demand in the wastewater that is treated in the aerobic wastewater treatment plant in the project activity in day</t>
    </r>
    <r>
      <rPr>
        <i/>
        <sz val="12"/>
        <color theme="1"/>
        <rFont val="Calibri"/>
        <family val="2"/>
      </rPr>
      <t xml:space="preserve"> i</t>
    </r>
    <r>
      <rPr>
        <sz val="12"/>
        <color theme="1"/>
        <rFont val="Calibri"/>
        <family val="2"/>
      </rPr>
      <t xml:space="preserve"> of year </t>
    </r>
    <r>
      <rPr>
        <i/>
        <sz val="12"/>
        <color theme="1"/>
        <rFont val="Calibri"/>
        <family val="2"/>
      </rPr>
      <t>y</t>
    </r>
  </si>
  <si>
    <r>
      <rPr>
        <sz val="12"/>
        <color theme="1"/>
        <rFont val="Calibri"/>
        <family val="2"/>
      </rPr>
      <t>COD</t>
    </r>
    <r>
      <rPr>
        <vertAlign val="subscript"/>
        <sz val="12"/>
        <color theme="1"/>
        <rFont val="Calibri"/>
        <family val="2"/>
      </rPr>
      <t>PJ,effl,i</t>
    </r>
  </si>
  <si>
    <r>
      <rPr>
        <sz val="12"/>
        <color theme="1"/>
        <rFont val="Calibri"/>
        <family val="2"/>
      </rPr>
      <t>Quantity of chemical oxygen demand in the effluent of the wastewater treatment plant in the project activity in the day</t>
    </r>
    <r>
      <rPr>
        <i/>
        <sz val="12"/>
        <color theme="1"/>
        <rFont val="Calibri"/>
        <family val="2"/>
      </rPr>
      <t xml:space="preserve"> i</t>
    </r>
    <r>
      <rPr>
        <sz val="12"/>
        <color theme="1"/>
        <rFont val="Calibri"/>
        <family val="2"/>
      </rPr>
      <t xml:space="preserve"> of year </t>
    </r>
    <r>
      <rPr>
        <i/>
        <sz val="12"/>
        <color theme="1"/>
        <rFont val="Calibri"/>
        <family val="2"/>
      </rPr>
      <t>y</t>
    </r>
  </si>
  <si>
    <r>
      <rPr>
        <sz val="12"/>
        <color theme="1"/>
        <rFont val="Calibri"/>
        <family val="2"/>
      </rPr>
      <t>Q</t>
    </r>
    <r>
      <rPr>
        <vertAlign val="subscript"/>
        <sz val="12"/>
        <color theme="1"/>
        <rFont val="Calibri"/>
        <family val="2"/>
      </rPr>
      <t>PJ,effl,i</t>
    </r>
  </si>
  <si>
    <r>
      <rPr>
        <sz val="12"/>
        <color theme="1"/>
        <rFont val="Calibri"/>
        <family val="2"/>
      </rPr>
      <t>Quantity of effluent that leaves the aerobic wastewater treatment plant in the project activity in day</t>
    </r>
    <r>
      <rPr>
        <i/>
        <sz val="12"/>
        <color theme="1"/>
        <rFont val="Calibri"/>
        <family val="2"/>
      </rPr>
      <t xml:space="preserve"> i</t>
    </r>
    <r>
      <rPr>
        <sz val="12"/>
        <color theme="1"/>
        <rFont val="Calibri"/>
        <family val="2"/>
      </rPr>
      <t xml:space="preserve"> of year</t>
    </r>
    <r>
      <rPr>
        <i/>
        <sz val="12"/>
        <color theme="1"/>
        <rFont val="Calibri"/>
        <family val="2"/>
      </rPr>
      <t xml:space="preserve"> y</t>
    </r>
  </si>
  <si>
    <r>
      <rPr>
        <sz val="12"/>
        <color theme="1"/>
        <rFont val="Calibri"/>
        <family val="2"/>
      </rPr>
      <t>w</t>
    </r>
    <r>
      <rPr>
        <vertAlign val="subscript"/>
        <sz val="12"/>
        <color theme="1"/>
        <rFont val="Calibri"/>
        <family val="2"/>
      </rPr>
      <t>PJ,COD,effl,i</t>
    </r>
  </si>
  <si>
    <r>
      <rPr>
        <sz val="12"/>
        <color theme="1"/>
        <rFont val="Calibri"/>
        <family val="2"/>
      </rPr>
      <t xml:space="preserve">Average chemical oxygen demand in the effluent that leaves the treatment plant after secondary treatment in the project activity in day </t>
    </r>
    <r>
      <rPr>
        <i/>
        <sz val="12"/>
        <color theme="1"/>
        <rFont val="Calibri"/>
        <family val="2"/>
      </rPr>
      <t>i</t>
    </r>
    <r>
      <rPr>
        <sz val="12"/>
        <color theme="1"/>
        <rFont val="Calibri"/>
        <family val="2"/>
      </rPr>
      <t xml:space="preserve"> and month </t>
    </r>
    <r>
      <rPr>
        <i/>
        <sz val="12"/>
        <color theme="1"/>
        <rFont val="Calibri"/>
        <family val="2"/>
      </rPr>
      <t>m</t>
    </r>
  </si>
  <si>
    <r>
      <rPr>
        <sz val="12"/>
        <color theme="1"/>
        <rFont val="Calibri"/>
        <family val="2"/>
      </rPr>
      <t>GWP</t>
    </r>
    <r>
      <rPr>
        <vertAlign val="subscript"/>
        <sz val="12"/>
        <color theme="1"/>
        <rFont val="Calibri"/>
        <family val="2"/>
      </rPr>
      <t>CH4</t>
    </r>
  </si>
  <si>
    <r>
      <rPr>
        <sz val="12"/>
        <color theme="1"/>
        <rFont val="Calibri"/>
        <family val="2"/>
      </rPr>
      <t>tCO</t>
    </r>
    <r>
      <rPr>
        <vertAlign val="sub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>/tCH</t>
    </r>
    <r>
      <rPr>
        <vertAlign val="subscript"/>
        <sz val="12"/>
        <color theme="1"/>
        <rFont val="Calibri"/>
        <family val="2"/>
      </rPr>
      <t>4</t>
    </r>
  </si>
  <si>
    <t>IPCC Assessment Report - Climate Change 2013</t>
  </si>
  <si>
    <r>
      <rPr>
        <sz val="12"/>
        <color theme="1"/>
        <rFont val="Calibri"/>
        <family val="2"/>
      </rPr>
      <t>B</t>
    </r>
    <r>
      <rPr>
        <vertAlign val="subscript"/>
        <sz val="12"/>
        <color theme="1"/>
        <rFont val="Calibri"/>
        <family val="2"/>
      </rPr>
      <t>0</t>
    </r>
  </si>
  <si>
    <r>
      <rPr>
        <sz val="12"/>
        <color theme="1"/>
        <rFont val="Calibri"/>
        <family val="2"/>
      </rPr>
      <t>Maximum methane producing capacity of wastewater treated in the year y, expressing the maximum amount of CH</t>
    </r>
    <r>
      <rPr>
        <vertAlign val="subscript"/>
        <sz val="12"/>
        <color theme="1"/>
        <rFont val="Calibri"/>
        <family val="2"/>
      </rPr>
      <t>4</t>
    </r>
    <r>
      <rPr>
        <sz val="12"/>
        <color theme="1"/>
        <rFont val="Calibri"/>
        <family val="2"/>
      </rPr>
      <t xml:space="preserve"> that can be produced from a given quantity of chemical oxygen demand</t>
    </r>
  </si>
  <si>
    <r>
      <rPr>
        <sz val="12"/>
        <color theme="1"/>
        <rFont val="Calibri"/>
        <family val="2"/>
      </rPr>
      <t>PE</t>
    </r>
    <r>
      <rPr>
        <vertAlign val="subscript"/>
        <sz val="12"/>
        <color theme="1"/>
        <rFont val="Calibri"/>
        <family val="2"/>
      </rPr>
      <t>CH4,effl,y</t>
    </r>
  </si>
  <si>
    <r>
      <rPr>
        <sz val="12"/>
        <color theme="1"/>
        <rFont val="Calibri"/>
        <family val="2"/>
      </rPr>
      <t xml:space="preserve">Methane emissions due to the presence of degradable organic carbon in the effluent from the aerobic wastewater treatment plant in year </t>
    </r>
    <r>
      <rPr>
        <i/>
        <sz val="12"/>
        <color theme="1"/>
        <rFont val="Calibri"/>
        <family val="2"/>
      </rPr>
      <t>y</t>
    </r>
  </si>
  <si>
    <r>
      <rPr>
        <sz val="12"/>
        <color theme="1"/>
        <rFont val="Calibri"/>
        <family val="2"/>
      </rPr>
      <t>MCF</t>
    </r>
    <r>
      <rPr>
        <vertAlign val="subscript"/>
        <sz val="12"/>
        <color theme="1"/>
        <rFont val="Calibri"/>
        <family val="2"/>
      </rPr>
      <t>PJ,effl,y</t>
    </r>
  </si>
  <si>
    <r>
      <rPr>
        <sz val="12"/>
        <color theme="1"/>
        <rFont val="Calibri"/>
        <family val="2"/>
      </rPr>
      <t>Average methane conversion factor in year</t>
    </r>
    <r>
      <rPr>
        <i/>
        <sz val="12"/>
        <color theme="1"/>
        <rFont val="Calibri"/>
        <family val="2"/>
      </rPr>
      <t xml:space="preserve"> y</t>
    </r>
  </si>
  <si>
    <r>
      <rPr>
        <sz val="12"/>
        <color theme="1"/>
        <rFont val="Calibri"/>
        <family val="2"/>
      </rPr>
      <t>f</t>
    </r>
    <r>
      <rPr>
        <vertAlign val="subscript"/>
        <sz val="12"/>
        <color theme="1"/>
        <rFont val="Calibri"/>
        <family val="2"/>
      </rPr>
      <t>PJ,d,y</t>
    </r>
  </si>
  <si>
    <r>
      <rPr>
        <sz val="12"/>
        <color theme="1"/>
        <rFont val="Calibri"/>
        <family val="2"/>
      </rPr>
      <t>f</t>
    </r>
    <r>
      <rPr>
        <vertAlign val="subscript"/>
        <sz val="12"/>
        <color theme="1"/>
        <rFont val="Calibri"/>
        <family val="2"/>
      </rPr>
      <t>PJ,T,y</t>
    </r>
  </si>
  <si>
    <r>
      <rPr>
        <sz val="12"/>
        <color theme="1"/>
        <rFont val="Calibri"/>
        <family val="2"/>
      </rPr>
      <t xml:space="preserve">Factor expressing the influence of the temperature on methane generation in year </t>
    </r>
    <r>
      <rPr>
        <i/>
        <sz val="12"/>
        <color theme="1"/>
        <rFont val="Calibri"/>
        <family val="2"/>
      </rPr>
      <t>y</t>
    </r>
  </si>
  <si>
    <r>
      <rPr>
        <sz val="12"/>
        <color theme="1"/>
        <rFont val="Calibri"/>
        <family val="2"/>
      </rPr>
      <t>f</t>
    </r>
    <r>
      <rPr>
        <vertAlign val="subscript"/>
        <sz val="12"/>
        <color theme="1"/>
        <rFont val="Calibri"/>
        <family val="2"/>
      </rPr>
      <t>T,m</t>
    </r>
  </si>
  <si>
    <r>
      <rPr>
        <sz val="12"/>
        <color theme="1"/>
        <rFont val="Calibri"/>
        <family val="2"/>
      </rPr>
      <t xml:space="preserve">Factor expressing the influence of the temperature on the methane generation in month </t>
    </r>
    <r>
      <rPr>
        <i/>
        <sz val="12"/>
        <color theme="1"/>
        <rFont val="Calibri"/>
        <family val="2"/>
      </rPr>
      <t>m</t>
    </r>
  </si>
  <si>
    <r>
      <rPr>
        <sz val="12"/>
        <color theme="1"/>
        <rFont val="Calibri"/>
        <family val="2"/>
      </rPr>
      <t>T</t>
    </r>
    <r>
      <rPr>
        <vertAlign val="subscript"/>
        <sz val="12"/>
        <color theme="1"/>
        <rFont val="Calibri"/>
        <family val="2"/>
      </rPr>
      <t>1</t>
    </r>
  </si>
  <si>
    <r>
      <rPr>
        <sz val="12"/>
        <color theme="1"/>
        <rFont val="Calibri"/>
        <family val="2"/>
      </rPr>
      <t>T</t>
    </r>
    <r>
      <rPr>
        <vertAlign val="subscript"/>
        <sz val="12"/>
        <color theme="1"/>
        <rFont val="Calibri"/>
        <family val="2"/>
      </rPr>
      <t>2,m</t>
    </r>
  </si>
  <si>
    <r>
      <rPr>
        <sz val="12"/>
        <color theme="1"/>
        <rFont val="Calibri"/>
        <family val="2"/>
      </rPr>
      <t xml:space="preserve">Average temperature at the project in month </t>
    </r>
    <r>
      <rPr>
        <i/>
        <sz val="12"/>
        <color theme="1"/>
        <rFont val="Calibri"/>
        <family val="2"/>
      </rPr>
      <t>m</t>
    </r>
  </si>
  <si>
    <r>
      <rPr>
        <sz val="12"/>
        <color theme="1"/>
        <rFont val="Calibri"/>
        <family val="2"/>
      </rPr>
      <t>COD</t>
    </r>
    <r>
      <rPr>
        <vertAlign val="subscript"/>
        <sz val="12"/>
        <color theme="1"/>
        <rFont val="Calibri"/>
        <family val="2"/>
      </rPr>
      <t>PL,available,m</t>
    </r>
  </si>
  <si>
    <r>
      <rPr>
        <sz val="12"/>
        <color theme="1"/>
        <rFont val="Calibri"/>
        <family val="2"/>
      </rPr>
      <t xml:space="preserve">Quantity of chemical oxygen demand in the effluent from the aerobic wastewater treatment plant available for degradation in month </t>
    </r>
    <r>
      <rPr>
        <i/>
        <sz val="12"/>
        <color theme="1"/>
        <rFont val="Calibri"/>
        <family val="2"/>
      </rPr>
      <t>m</t>
    </r>
  </si>
  <si>
    <t>2. Methane emissions from treatment of sludge</t>
  </si>
  <si>
    <r>
      <rPr>
        <b/>
        <sz val="12"/>
        <color theme="1"/>
        <rFont val="Calibri"/>
        <family val="2"/>
      </rPr>
      <t>PE</t>
    </r>
    <r>
      <rPr>
        <b/>
        <vertAlign val="subscript"/>
        <sz val="12"/>
        <color theme="1"/>
        <rFont val="Calibri"/>
        <family val="2"/>
      </rPr>
      <t>CH4,sl,y</t>
    </r>
  </si>
  <si>
    <r>
      <rPr>
        <sz val="12"/>
        <color theme="1"/>
        <rFont val="Calibri"/>
        <family val="2"/>
      </rPr>
      <t xml:space="preserve">Methane emissions from treatment of sludge in the project activity in year </t>
    </r>
    <r>
      <rPr>
        <i/>
        <sz val="12"/>
        <color theme="1"/>
        <rFont val="Calibri"/>
        <family val="2"/>
      </rPr>
      <t>y</t>
    </r>
  </si>
  <si>
    <r>
      <rPr>
        <b/>
        <sz val="12"/>
        <color theme="1"/>
        <rFont val="Calibri"/>
        <family val="2"/>
      </rPr>
      <t>3. N</t>
    </r>
    <r>
      <rPr>
        <b/>
        <vertAlign val="subscript"/>
        <sz val="12"/>
        <color theme="1"/>
        <rFont val="Calibri"/>
        <family val="2"/>
      </rPr>
      <t>2</t>
    </r>
    <r>
      <rPr>
        <b/>
        <sz val="12"/>
        <color theme="1"/>
        <rFont val="Calibri"/>
        <family val="2"/>
      </rPr>
      <t>O emissions from treatment of sludge</t>
    </r>
  </si>
  <si>
    <r>
      <rPr>
        <b/>
        <sz val="12"/>
        <color theme="1"/>
        <rFont val="Calibri"/>
        <family val="2"/>
      </rPr>
      <t>PE</t>
    </r>
    <r>
      <rPr>
        <b/>
        <vertAlign val="subscript"/>
        <sz val="12"/>
        <color theme="1"/>
        <rFont val="Calibri"/>
        <family val="2"/>
      </rPr>
      <t>N2O,sl,y</t>
    </r>
  </si>
  <si>
    <r>
      <rPr>
        <sz val="12"/>
        <color theme="1"/>
        <rFont val="Calibri"/>
        <family val="2"/>
      </rPr>
      <t>N</t>
    </r>
    <r>
      <rPr>
        <vertAlign val="sub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 xml:space="preserve">O emissions from treatment of sludge in the project activity in year </t>
    </r>
    <r>
      <rPr>
        <i/>
        <sz val="12"/>
        <color theme="1"/>
        <rFont val="Calibri"/>
        <family val="2"/>
      </rPr>
      <t>y</t>
    </r>
  </si>
  <si>
    <t>4. Project emissions from electricity consumption and combustion of fossil fuels</t>
  </si>
  <si>
    <r>
      <rPr>
        <b/>
        <sz val="12"/>
        <color theme="1"/>
        <rFont val="Calibri"/>
        <family val="2"/>
      </rPr>
      <t>PE</t>
    </r>
    <r>
      <rPr>
        <b/>
        <vertAlign val="subscript"/>
        <sz val="12"/>
        <color theme="1"/>
        <rFont val="Calibri"/>
        <family val="2"/>
      </rPr>
      <t>EC,y</t>
    </r>
  </si>
  <si>
    <r>
      <rPr>
        <sz val="12"/>
        <color theme="1"/>
        <rFont val="Calibri"/>
        <family val="2"/>
      </rPr>
      <t xml:space="preserve">Project emissions from electricity consumption in year </t>
    </r>
    <r>
      <rPr>
        <i/>
        <sz val="12"/>
        <color theme="1"/>
        <rFont val="Calibri"/>
        <family val="2"/>
      </rPr>
      <t>y</t>
    </r>
  </si>
  <si>
    <t>Tool 05 Equation 1</t>
  </si>
  <si>
    <r>
      <rPr>
        <sz val="12"/>
        <color theme="1"/>
        <rFont val="Calibri"/>
        <family val="2"/>
      </rPr>
      <t>EC</t>
    </r>
    <r>
      <rPr>
        <vertAlign val="subscript"/>
        <sz val="12"/>
        <color theme="1"/>
        <rFont val="Calibri"/>
        <family val="2"/>
      </rPr>
      <t>PJ,j,y</t>
    </r>
  </si>
  <si>
    <t>MWh</t>
  </si>
  <si>
    <r>
      <rPr>
        <sz val="12"/>
        <color theme="1"/>
        <rFont val="Calibri"/>
        <family val="2"/>
      </rPr>
      <t xml:space="preserve">Quantity of electricity consumed by the project electricity consumption source </t>
    </r>
    <r>
      <rPr>
        <i/>
        <sz val="12"/>
        <color theme="1"/>
        <rFont val="Calibri"/>
        <family val="2"/>
      </rPr>
      <t>j</t>
    </r>
    <r>
      <rPr>
        <sz val="12"/>
        <color theme="1"/>
        <rFont val="Calibri"/>
        <family val="2"/>
      </rPr>
      <t xml:space="preserve"> in year </t>
    </r>
    <r>
      <rPr>
        <i/>
        <sz val="12"/>
        <color theme="1"/>
        <rFont val="Calibri"/>
        <family val="2"/>
      </rPr>
      <t>y</t>
    </r>
  </si>
  <si>
    <r>
      <rPr>
        <sz val="12"/>
        <color theme="1"/>
        <rFont val="Calibri"/>
        <family val="2"/>
      </rPr>
      <t>TDL</t>
    </r>
    <r>
      <rPr>
        <vertAlign val="subscript"/>
        <sz val="12"/>
        <color theme="1"/>
        <rFont val="Calibri"/>
        <family val="2"/>
      </rPr>
      <t>j,y</t>
    </r>
    <r>
      <rPr>
        <sz val="12"/>
        <color theme="1"/>
        <rFont val="Calibri"/>
        <family val="2"/>
      </rPr>
      <t> </t>
    </r>
  </si>
  <si>
    <t>ratio</t>
  </si>
  <si>
    <r>
      <rPr>
        <sz val="12"/>
        <color theme="1"/>
        <rFont val="Calibri"/>
        <family val="2"/>
      </rPr>
      <t xml:space="preserve">Average technical transmission and distribution losses for providing electricity to source </t>
    </r>
    <r>
      <rPr>
        <i/>
        <sz val="12"/>
        <color theme="1"/>
        <rFont val="Calibri"/>
        <family val="2"/>
      </rPr>
      <t>j</t>
    </r>
    <r>
      <rPr>
        <sz val="12"/>
        <color theme="1"/>
        <rFont val="Calibri"/>
        <family val="2"/>
      </rPr>
      <t xml:space="preserve"> in year </t>
    </r>
    <r>
      <rPr>
        <i/>
        <sz val="12"/>
        <color theme="1"/>
        <rFont val="Calibri"/>
        <family val="2"/>
      </rPr>
      <t>y</t>
    </r>
  </si>
  <si>
    <t>Tool 05 P15</t>
  </si>
  <si>
    <r>
      <rPr>
        <sz val="12"/>
        <color theme="1"/>
        <rFont val="Calibri"/>
        <family val="2"/>
      </rPr>
      <t>EF</t>
    </r>
    <r>
      <rPr>
        <vertAlign val="subscript"/>
        <sz val="12"/>
        <color theme="1"/>
        <rFont val="Calibri"/>
        <family val="2"/>
      </rPr>
      <t>EF,j,y</t>
    </r>
  </si>
  <si>
    <r>
      <rPr>
        <sz val="12"/>
        <color theme="1"/>
        <rFont val="Calibri"/>
        <family val="2"/>
      </rPr>
      <t>tCO</t>
    </r>
    <r>
      <rPr>
        <vertAlign val="sub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>/MWh</t>
    </r>
  </si>
  <si>
    <r>
      <rPr>
        <sz val="12"/>
        <color theme="1"/>
        <rFont val="Calibri"/>
        <family val="2"/>
      </rPr>
      <t xml:space="preserve">Emission factor for electricity generation for source </t>
    </r>
    <r>
      <rPr>
        <i/>
        <sz val="12"/>
        <color theme="1"/>
        <rFont val="Calibri"/>
        <family val="2"/>
      </rPr>
      <t>j</t>
    </r>
    <r>
      <rPr>
        <sz val="12"/>
        <color theme="1"/>
        <rFont val="Calibri"/>
        <family val="2"/>
      </rPr>
      <t xml:space="preserve"> in year </t>
    </r>
    <r>
      <rPr>
        <i/>
        <sz val="12"/>
        <color theme="1"/>
        <rFont val="Calibri"/>
        <family val="2"/>
      </rPr>
      <t>y</t>
    </r>
  </si>
  <si>
    <t>https://www.mee.gov.cn/ywgz/ydqhbh/wsqtkz/202012/W020201229610353340851.pdf</t>
  </si>
  <si>
    <r>
      <rPr>
        <b/>
        <sz val="12"/>
        <color theme="1"/>
        <rFont val="Calibri"/>
        <family val="2"/>
      </rPr>
      <t>PE</t>
    </r>
    <r>
      <rPr>
        <b/>
        <vertAlign val="subscript"/>
        <sz val="12"/>
        <color theme="1"/>
        <rFont val="Calibri"/>
        <family val="2"/>
      </rPr>
      <t>FC,y</t>
    </r>
  </si>
  <si>
    <r>
      <rPr>
        <sz val="12"/>
        <color theme="1"/>
        <rFont val="Calibri"/>
        <family val="2"/>
      </rPr>
      <t>Project emissions from fossil fuel consumption in year</t>
    </r>
    <r>
      <rPr>
        <i/>
        <sz val="12"/>
        <color theme="1"/>
        <rFont val="Calibri"/>
        <family val="2"/>
      </rPr>
      <t xml:space="preserve"> y</t>
    </r>
  </si>
  <si>
    <t>No fossil fuel will be used in the project activity</t>
  </si>
  <si>
    <t>5. Project emissions from transportation of sludge</t>
  </si>
  <si>
    <r>
      <rPr>
        <b/>
        <sz val="12"/>
        <color theme="1"/>
        <rFont val="Calibri"/>
        <family val="2"/>
      </rPr>
      <t>PE</t>
    </r>
    <r>
      <rPr>
        <b/>
        <vertAlign val="subscript"/>
        <sz val="12"/>
        <color theme="1"/>
        <rFont val="Calibri"/>
        <family val="2"/>
      </rPr>
      <t>TR,sl,y</t>
    </r>
  </si>
  <si>
    <r>
      <rPr>
        <sz val="12"/>
        <color theme="1"/>
        <rFont val="Calibri"/>
        <family val="2"/>
      </rPr>
      <t>CO</t>
    </r>
    <r>
      <rPr>
        <vertAlign val="sub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 xml:space="preserve"> emissions associated with transportation of sludge in the project activity in year </t>
    </r>
    <r>
      <rPr>
        <i/>
        <sz val="12"/>
        <color theme="1"/>
        <rFont val="Calibri"/>
        <family val="2"/>
      </rPr>
      <t>y</t>
    </r>
  </si>
  <si>
    <r>
      <rPr>
        <sz val="12"/>
        <color theme="1"/>
        <rFont val="Calibri"/>
        <family val="2"/>
      </rPr>
      <t>N</t>
    </r>
    <r>
      <rPr>
        <vertAlign val="subscript"/>
        <sz val="12"/>
        <color theme="1"/>
        <rFont val="Calibri"/>
        <family val="2"/>
      </rPr>
      <t>PJ,i,y</t>
    </r>
  </si>
  <si>
    <r>
      <rPr>
        <sz val="12"/>
        <color theme="1"/>
        <rFont val="Calibri"/>
        <family val="2"/>
      </rPr>
      <t xml:space="preserve">Number of trips for transportation of the sludge that would have been produced in the project activity in year </t>
    </r>
    <r>
      <rPr>
        <i/>
        <sz val="12"/>
        <color theme="1"/>
        <rFont val="Calibri"/>
        <family val="2"/>
      </rPr>
      <t>y</t>
    </r>
  </si>
  <si>
    <r>
      <rPr>
        <sz val="12"/>
        <color theme="1"/>
        <rFont val="Calibri"/>
        <family val="2"/>
      </rPr>
      <t>Q</t>
    </r>
    <r>
      <rPr>
        <vertAlign val="subscript"/>
        <sz val="12"/>
        <color theme="1"/>
        <rFont val="Calibri"/>
        <family val="2"/>
      </rPr>
      <t>PJ,sl,y</t>
    </r>
  </si>
  <si>
    <r>
      <rPr>
        <sz val="12"/>
        <color theme="1"/>
        <rFont val="Calibri"/>
        <family val="2"/>
      </rPr>
      <t xml:space="preserve">Quantity of sludge that would have been produced and treated in the project activity in the year </t>
    </r>
    <r>
      <rPr>
        <i/>
        <sz val="12"/>
        <color theme="1"/>
        <rFont val="Calibri"/>
        <family val="2"/>
      </rPr>
      <t>y</t>
    </r>
  </si>
  <si>
    <r>
      <rPr>
        <sz val="12"/>
        <color theme="1"/>
        <rFont val="Calibri"/>
        <family val="2"/>
      </rPr>
      <t>q</t>
    </r>
    <r>
      <rPr>
        <vertAlign val="subscript"/>
        <sz val="12"/>
        <color theme="1"/>
        <rFont val="Calibri"/>
        <family val="2"/>
      </rPr>
      <t>PJ,i</t>
    </r>
  </si>
  <si>
    <r>
      <rPr>
        <sz val="12"/>
        <color theme="1"/>
        <rFont val="Calibri"/>
        <family val="2"/>
      </rPr>
      <t>D</t>
    </r>
    <r>
      <rPr>
        <vertAlign val="subscript"/>
        <sz val="12"/>
        <color theme="1"/>
        <rFont val="Calibri"/>
        <family val="2"/>
      </rPr>
      <t>PJ,i,y</t>
    </r>
  </si>
  <si>
    <r>
      <rPr>
        <sz val="12"/>
        <color theme="1"/>
        <rFont val="Calibri"/>
        <family val="2"/>
      </rPr>
      <t xml:space="preserve">Average distance per trip, that would have been travelled by the transportation vehicle of type </t>
    </r>
    <r>
      <rPr>
        <i/>
        <sz val="12"/>
        <color theme="1"/>
        <rFont val="Calibri"/>
        <family val="2"/>
      </rPr>
      <t xml:space="preserve">i </t>
    </r>
    <r>
      <rPr>
        <sz val="12"/>
        <color theme="1"/>
        <rFont val="Calibri"/>
        <family val="2"/>
      </rPr>
      <t xml:space="preserve">for transportation of sludge in the project activity in year </t>
    </r>
    <r>
      <rPr>
        <i/>
        <sz val="12"/>
        <color theme="1"/>
        <rFont val="Calibri"/>
        <family val="2"/>
      </rPr>
      <t>y</t>
    </r>
  </si>
  <si>
    <r>
      <rPr>
        <sz val="12"/>
        <color theme="1"/>
        <rFont val="Calibri"/>
        <family val="2"/>
      </rPr>
      <t>F</t>
    </r>
    <r>
      <rPr>
        <vertAlign val="subscript"/>
        <sz val="12"/>
        <color theme="1"/>
        <rFont val="Calibri"/>
        <family val="2"/>
      </rPr>
      <t>PJ,i,y</t>
    </r>
  </si>
  <si>
    <r>
      <rPr>
        <sz val="12"/>
        <color theme="1"/>
        <rFont val="Calibri"/>
        <family val="2"/>
      </rPr>
      <t>NCV</t>
    </r>
    <r>
      <rPr>
        <vertAlign val="subscript"/>
        <sz val="12"/>
        <color theme="1"/>
        <rFont val="Calibri"/>
        <family val="2"/>
      </rPr>
      <t>PJ,j,y</t>
    </r>
  </si>
  <si>
    <r>
      <rPr>
        <sz val="12"/>
        <color theme="1"/>
        <rFont val="Calibri"/>
        <family val="2"/>
      </rPr>
      <t>EF</t>
    </r>
    <r>
      <rPr>
        <vertAlign val="subscript"/>
        <sz val="12"/>
        <color theme="1"/>
        <rFont val="Calibri"/>
        <family val="2"/>
      </rPr>
      <t>PJ,j,y</t>
    </r>
  </si>
  <si>
    <r>
      <rPr>
        <b/>
        <sz val="12"/>
        <color theme="1"/>
        <rFont val="Calibri"/>
        <family val="2"/>
      </rPr>
      <t>PE</t>
    </r>
    <r>
      <rPr>
        <b/>
        <vertAlign val="subscript"/>
        <sz val="12"/>
        <color theme="1"/>
        <rFont val="Calibri"/>
        <family val="2"/>
      </rPr>
      <t>y</t>
    </r>
  </si>
  <si>
    <r>
      <rPr>
        <sz val="12"/>
        <color theme="1"/>
        <rFont val="Calibri"/>
        <family val="2"/>
      </rPr>
      <t>Project emissions in year</t>
    </r>
    <r>
      <rPr>
        <i/>
        <sz val="12"/>
        <color theme="1"/>
        <rFont val="Calibri"/>
        <family val="2"/>
      </rPr>
      <t xml:space="preserve"> y</t>
    </r>
  </si>
  <si>
    <t>Year</t>
  </si>
  <si>
    <r>
      <rPr>
        <b/>
        <sz val="12"/>
        <color theme="1"/>
        <rFont val="Calibri"/>
        <family val="2"/>
      </rPr>
      <t>BE</t>
    </r>
    <r>
      <rPr>
        <b/>
        <vertAlign val="subscript"/>
        <sz val="12"/>
        <color theme="1"/>
        <rFont val="Calibri"/>
        <family val="2"/>
      </rPr>
      <t>y</t>
    </r>
    <r>
      <rPr>
        <b/>
        <sz val="12"/>
        <color theme="1"/>
        <rFont val="Calibri"/>
        <family val="2"/>
      </rPr>
      <t xml:space="preserve"> (t CO</t>
    </r>
    <r>
      <rPr>
        <b/>
        <vertAlign val="subscript"/>
        <sz val="12"/>
        <color indexed="8"/>
        <rFont val="Calibri"/>
        <family val="2"/>
      </rPr>
      <t>2</t>
    </r>
    <r>
      <rPr>
        <b/>
        <sz val="12"/>
        <color indexed="8"/>
        <rFont val="Calibri"/>
        <family val="2"/>
      </rPr>
      <t>e)</t>
    </r>
  </si>
  <si>
    <r>
      <rPr>
        <b/>
        <sz val="12"/>
        <color theme="1"/>
        <rFont val="Calibri"/>
        <family val="2"/>
      </rPr>
      <t>PEy (t CO</t>
    </r>
    <r>
      <rPr>
        <b/>
        <vertAlign val="subscript"/>
        <sz val="12"/>
        <color indexed="8"/>
        <rFont val="Calibri"/>
        <family val="2"/>
      </rPr>
      <t>2</t>
    </r>
    <r>
      <rPr>
        <b/>
        <sz val="12"/>
        <color indexed="8"/>
        <rFont val="Calibri"/>
        <family val="2"/>
      </rPr>
      <t>e)</t>
    </r>
  </si>
  <si>
    <r>
      <rPr>
        <b/>
        <sz val="12"/>
        <color theme="1"/>
        <rFont val="Calibri"/>
        <family val="2"/>
      </rPr>
      <t>LE</t>
    </r>
    <r>
      <rPr>
        <b/>
        <vertAlign val="subscript"/>
        <sz val="12"/>
        <color theme="1"/>
        <rFont val="Calibri"/>
        <family val="2"/>
      </rPr>
      <t>y</t>
    </r>
    <r>
      <rPr>
        <b/>
        <sz val="12"/>
        <color theme="1"/>
        <rFont val="Calibri"/>
        <family val="2"/>
      </rPr>
      <t xml:space="preserve"> (t CO</t>
    </r>
    <r>
      <rPr>
        <b/>
        <vertAlign val="subscript"/>
        <sz val="12"/>
        <color indexed="8"/>
        <rFont val="Calibri"/>
        <family val="2"/>
      </rPr>
      <t>2</t>
    </r>
    <r>
      <rPr>
        <b/>
        <sz val="12"/>
        <color indexed="8"/>
        <rFont val="Calibri"/>
        <family val="2"/>
      </rPr>
      <t>e)</t>
    </r>
  </si>
  <si>
    <r>
      <rPr>
        <b/>
        <sz val="12"/>
        <color theme="1"/>
        <rFont val="Calibri"/>
        <family val="2"/>
      </rPr>
      <t>ER</t>
    </r>
    <r>
      <rPr>
        <b/>
        <vertAlign val="subscript"/>
        <sz val="12"/>
        <color theme="1"/>
        <rFont val="Calibri"/>
        <family val="2"/>
      </rPr>
      <t>y</t>
    </r>
    <r>
      <rPr>
        <b/>
        <sz val="12"/>
        <color theme="1"/>
        <rFont val="Calibri"/>
        <family val="2"/>
      </rPr>
      <t xml:space="preserve"> (t CO</t>
    </r>
    <r>
      <rPr>
        <b/>
        <vertAlign val="subscript"/>
        <sz val="12"/>
        <color indexed="8"/>
        <rFont val="Calibri"/>
        <family val="2"/>
      </rPr>
      <t>2</t>
    </r>
    <r>
      <rPr>
        <b/>
        <sz val="12"/>
        <color indexed="8"/>
        <rFont val="Calibri"/>
        <family val="2"/>
      </rPr>
      <t>e)</t>
    </r>
  </si>
  <si>
    <r>
      <rPr>
        <b/>
        <sz val="12"/>
        <color theme="1"/>
        <rFont val="Calibri"/>
        <family val="2"/>
      </rPr>
      <t>Total (t CO</t>
    </r>
    <r>
      <rPr>
        <b/>
        <vertAlign val="subscript"/>
        <sz val="12"/>
        <color indexed="8"/>
        <rFont val="Calibri"/>
        <family val="2"/>
      </rPr>
      <t>2</t>
    </r>
    <r>
      <rPr>
        <b/>
        <sz val="12"/>
        <color indexed="8"/>
        <rFont val="Calibri"/>
        <family val="2"/>
      </rPr>
      <t>e)</t>
    </r>
  </si>
  <si>
    <r>
      <t xml:space="preserve">Quantity of Chemical Oxygen Demand that is treated in the aerobic wastewater treatment plant in the project activity in year </t>
    </r>
    <r>
      <rPr>
        <i/>
        <sz val="12"/>
        <color indexed="8"/>
        <rFont val="Calibri"/>
        <family val="2"/>
      </rPr>
      <t>y</t>
    </r>
    <phoneticPr fontId="24" type="noConversion"/>
  </si>
  <si>
    <r>
      <t>m</t>
    </r>
    <r>
      <rPr>
        <vertAlign val="superscript"/>
        <sz val="12"/>
        <rFont val="Calibri"/>
        <family val="2"/>
      </rPr>
      <t>3/</t>
    </r>
    <r>
      <rPr>
        <sz val="12"/>
        <rFont val="Calibri"/>
        <family val="2"/>
      </rPr>
      <t>d</t>
    </r>
    <phoneticPr fontId="24" type="noConversion"/>
  </si>
  <si>
    <r>
      <t>tCO</t>
    </r>
    <r>
      <rPr>
        <vertAlign val="subscript"/>
        <sz val="12"/>
        <rFont val="Calibri"/>
        <family val="2"/>
      </rPr>
      <t>2</t>
    </r>
    <r>
      <rPr>
        <sz val="12"/>
        <rFont val="Calibri"/>
        <family val="2"/>
      </rPr>
      <t>/tCH</t>
    </r>
    <r>
      <rPr>
        <vertAlign val="subscript"/>
        <sz val="12"/>
        <rFont val="Calibri"/>
        <family val="2"/>
      </rPr>
      <t>4</t>
    </r>
    <phoneticPr fontId="24" type="noConversion"/>
  </si>
  <si>
    <r>
      <t>tCH</t>
    </r>
    <r>
      <rPr>
        <vertAlign val="subscript"/>
        <sz val="12"/>
        <color theme="1"/>
        <rFont val="Calibri"/>
        <family val="2"/>
      </rPr>
      <t>4</t>
    </r>
    <r>
      <rPr>
        <sz val="12"/>
        <color theme="1"/>
        <rFont val="Calibri"/>
        <family val="2"/>
      </rPr>
      <t>/tCOD</t>
    </r>
    <phoneticPr fontId="24" type="noConversion"/>
  </si>
  <si>
    <t>tCOD/year</t>
    <phoneticPr fontId="24" type="noConversion"/>
  </si>
  <si>
    <t>tCOD</t>
    <phoneticPr fontId="24" type="noConversion"/>
  </si>
  <si>
    <t>tCOD/y</t>
    <phoneticPr fontId="24" type="noConversion"/>
  </si>
  <si>
    <r>
      <t>m</t>
    </r>
    <r>
      <rPr>
        <vertAlign val="superscript"/>
        <sz val="12"/>
        <rFont val="Calibri"/>
        <family val="2"/>
      </rPr>
      <t>3</t>
    </r>
    <phoneticPr fontId="24" type="noConversion"/>
  </si>
  <si>
    <t>mg/L</t>
    <phoneticPr fontId="24" type="noConversion"/>
  </si>
  <si>
    <r>
      <t>tCOD/m</t>
    </r>
    <r>
      <rPr>
        <vertAlign val="superscript"/>
        <sz val="12"/>
        <rFont val="Calibri"/>
        <family val="2"/>
      </rPr>
      <t>3</t>
    </r>
    <phoneticPr fontId="24" type="noConversion"/>
  </si>
  <si>
    <t>Fraction</t>
    <phoneticPr fontId="24" type="noConversion"/>
  </si>
  <si>
    <t>cal/mol</t>
    <phoneticPr fontId="24" type="noConversion"/>
  </si>
  <si>
    <t>K</t>
    <phoneticPr fontId="24" type="noConversion"/>
  </si>
  <si>
    <t>cal/K.mol</t>
    <phoneticPr fontId="24" type="noConversion"/>
  </si>
  <si>
    <t>IPCC Fifth Assessment Report - Climate Change 2014</t>
    <phoneticPr fontId="24" type="noConversion"/>
  </si>
  <si>
    <t>Multiply daily discharge by days in month</t>
    <phoneticPr fontId="24" type="noConversion"/>
  </si>
  <si>
    <r>
      <t>N</t>
    </r>
    <r>
      <rPr>
        <vertAlign val="subscript"/>
        <sz val="12"/>
        <color theme="1"/>
        <rFont val="Calibri"/>
        <family val="2"/>
      </rPr>
      <t>BL,i,y</t>
    </r>
    <phoneticPr fontId="24" type="noConversion"/>
  </si>
  <si>
    <r>
      <t>Q</t>
    </r>
    <r>
      <rPr>
        <vertAlign val="subscript"/>
        <sz val="12"/>
        <color theme="1"/>
        <rFont val="Calibri"/>
        <family val="2"/>
      </rPr>
      <t>BL,sl,y</t>
    </r>
    <phoneticPr fontId="24" type="noConversion"/>
  </si>
  <si>
    <r>
      <t>q</t>
    </r>
    <r>
      <rPr>
        <vertAlign val="subscript"/>
        <sz val="12"/>
        <color theme="1"/>
        <rFont val="Calibri"/>
        <family val="2"/>
      </rPr>
      <t>BL,i</t>
    </r>
    <phoneticPr fontId="24" type="noConversion"/>
  </si>
  <si>
    <r>
      <t>D</t>
    </r>
    <r>
      <rPr>
        <vertAlign val="subscript"/>
        <sz val="12"/>
        <color theme="1"/>
        <rFont val="Calibri"/>
        <family val="2"/>
      </rPr>
      <t>BL,i,y</t>
    </r>
    <phoneticPr fontId="24" type="noConversion"/>
  </si>
  <si>
    <r>
      <t>F</t>
    </r>
    <r>
      <rPr>
        <vertAlign val="subscript"/>
        <sz val="12"/>
        <color theme="1"/>
        <rFont val="Calibri"/>
        <family val="2"/>
      </rPr>
      <t>BL,i,y</t>
    </r>
    <phoneticPr fontId="24" type="noConversion"/>
  </si>
  <si>
    <t>Density of diesel</t>
    <phoneticPr fontId="24" type="noConversion"/>
  </si>
  <si>
    <r>
      <t>NCV</t>
    </r>
    <r>
      <rPr>
        <vertAlign val="subscript"/>
        <sz val="12"/>
        <color theme="1"/>
        <rFont val="Calibri"/>
        <family val="2"/>
      </rPr>
      <t>BL,j,y</t>
    </r>
    <phoneticPr fontId="24" type="noConversion"/>
  </si>
  <si>
    <r>
      <t>EF</t>
    </r>
    <r>
      <rPr>
        <vertAlign val="subscript"/>
        <sz val="12"/>
        <color theme="1"/>
        <rFont val="Calibri"/>
        <family val="2"/>
      </rPr>
      <t>BL,j,y</t>
    </r>
    <phoneticPr fontId="24" type="noConversion"/>
  </si>
  <si>
    <t>Page15, https://www.ndrc.gov.cn/xxgk/zcfb/tz/201511/W020190905506438255108.pdf</t>
    <phoneticPr fontId="24" type="noConversion"/>
  </si>
  <si>
    <t>01/01/2021-31/12/2021</t>
    <phoneticPr fontId="24" type="noConversion"/>
  </si>
  <si>
    <t>Fraction</t>
    <phoneticPr fontId="24" type="noConversion"/>
  </si>
  <si>
    <t>Yunshui Wastewater Treatment Plant Project in Guangdong Province</t>
  </si>
  <si>
    <t>Yunshui Guangdong Environmental Protection Co., Ltd.</t>
  </si>
  <si>
    <t>1.Xuwen County</t>
    <phoneticPr fontId="24" type="noConversion"/>
  </si>
  <si>
    <t>2. Xinyi City</t>
    <phoneticPr fontId="24" type="noConversion"/>
  </si>
  <si>
    <t>2.1 Xinyi City Dinbao Town wastewater treatment Plant</t>
    <phoneticPr fontId="24" type="noConversion"/>
  </si>
  <si>
    <t>2.2 Xinyi City Qianpai Town wastewater treatment Plant</t>
    <phoneticPr fontId="24" type="noConversion"/>
  </si>
  <si>
    <t>3. Jieyang City</t>
    <phoneticPr fontId="24" type="noConversion"/>
  </si>
  <si>
    <t>3.3 Shangsha Town wastewater Treatment Plant, Jiexi County, Jieyang City</t>
    <phoneticPr fontId="24" type="noConversion"/>
  </si>
  <si>
    <t>4. Luoding City (Luoding Fourth Domestic wastewater Treatment Plant)</t>
    <phoneticPr fontId="24" type="noConversion"/>
  </si>
  <si>
    <t>5. Qingyuan</t>
    <phoneticPr fontId="24" type="noConversion"/>
  </si>
  <si>
    <t>5.1 Shitan Town wastewater Treatment Plant</t>
    <phoneticPr fontId="24" type="noConversion"/>
  </si>
  <si>
    <t>5.2 Litan Town wastewater Treatment Plant</t>
    <phoneticPr fontId="24" type="noConversion"/>
  </si>
  <si>
    <t>6. Yingde city</t>
    <phoneticPr fontId="24" type="noConversion"/>
  </si>
  <si>
    <t>6.1 jiulong Town wastewater Treatment Plant</t>
    <phoneticPr fontId="24" type="noConversion"/>
  </si>
  <si>
    <t>6.2 Shakou Town wastewater Treatment Plant</t>
    <phoneticPr fontId="24" type="noConversion"/>
  </si>
  <si>
    <t>7. Shanwei city</t>
  </si>
  <si>
    <t>7.1 Bomei Town wastewater Treatment Plant</t>
    <phoneticPr fontId="24" type="noConversion"/>
  </si>
  <si>
    <t>3.4 Baita Town wastewater Treatment Plant, Jiedong District, Jieyang City</t>
    <phoneticPr fontId="24" type="noConversion"/>
  </si>
  <si>
    <t>1.1 Xiaqiao Town wastewater Treatment Plant</t>
    <phoneticPr fontId="24" type="noConversion"/>
  </si>
  <si>
    <t>1.2 Qujie Town wastewater Treatment Plant</t>
    <phoneticPr fontId="24" type="noConversion"/>
  </si>
  <si>
    <t>7.3 Chikeng Town wastewater Treatment Plant</t>
    <phoneticPr fontId="24" type="noConversion"/>
  </si>
  <si>
    <r>
      <t xml:space="preserve">Quantity of wastewater that is treated in the aerobic wastewater treatment plant in the project activity in day </t>
    </r>
    <r>
      <rPr>
        <i/>
        <sz val="12"/>
        <color theme="1"/>
        <rFont val="Calibri"/>
        <family val="2"/>
      </rPr>
      <t>i</t>
    </r>
    <r>
      <rPr>
        <sz val="12"/>
        <color theme="1"/>
        <rFont val="Calibri"/>
        <family val="2"/>
      </rPr>
      <t xml:space="preserve"> of year</t>
    </r>
    <r>
      <rPr>
        <i/>
        <sz val="12"/>
        <color theme="1"/>
        <rFont val="Calibri"/>
        <family val="2"/>
      </rPr>
      <t xml:space="preserve"> y</t>
    </r>
    <phoneticPr fontId="24" type="noConversion"/>
  </si>
  <si>
    <r>
      <t>COD</t>
    </r>
    <r>
      <rPr>
        <vertAlign val="subscript"/>
        <sz val="12"/>
        <color theme="1"/>
        <rFont val="Calibri"/>
        <family val="2"/>
      </rPr>
      <t>PJ,WW,i</t>
    </r>
    <phoneticPr fontId="24" type="noConversion"/>
  </si>
  <si>
    <r>
      <t>Q</t>
    </r>
    <r>
      <rPr>
        <vertAlign val="subscript"/>
        <sz val="12"/>
        <color theme="1"/>
        <rFont val="Calibri"/>
        <family val="2"/>
      </rPr>
      <t>PJ,effl,i</t>
    </r>
    <phoneticPr fontId="24" type="noConversion"/>
  </si>
  <si>
    <t>3.1 Xianqiao South Wastewater Treatment Plant, Rongcheng District, Jieyang City</t>
    <phoneticPr fontId="24" type="noConversion"/>
  </si>
  <si>
    <t>Qujie Town wastewater Treatment Plant</t>
    <phoneticPr fontId="24" type="noConversion"/>
  </si>
  <si>
    <t>Xinyi City Dinbao Town wastewater treatment Plant</t>
    <phoneticPr fontId="24" type="noConversion"/>
  </si>
  <si>
    <t>Xinyi City Qianpai Town wastewater treatment Plant</t>
    <phoneticPr fontId="24" type="noConversion"/>
  </si>
  <si>
    <t>Xianqiao South Wastewater Treatment Plant</t>
    <phoneticPr fontId="24" type="noConversion"/>
  </si>
  <si>
    <t>3.2 Qiankeng Town North wastewater Plant, Jiexi County, Jieyang City</t>
    <phoneticPr fontId="24" type="noConversion"/>
  </si>
  <si>
    <t>Qiankeng Town North wastewater Plant</t>
    <phoneticPr fontId="24" type="noConversion"/>
  </si>
  <si>
    <t>Shangsha Town wastewater Treatment Plant</t>
    <phoneticPr fontId="24" type="noConversion"/>
  </si>
  <si>
    <t>Baita Town wastewater Treatment Plant</t>
    <phoneticPr fontId="24" type="noConversion"/>
  </si>
  <si>
    <t>Luoding Fourth Domestic wastewater Treatment Plant</t>
    <phoneticPr fontId="24" type="noConversion"/>
  </si>
  <si>
    <t>Shitan Town wastewater Treatment Plant</t>
    <phoneticPr fontId="24" type="noConversion"/>
  </si>
  <si>
    <t>Litan Town wastewater Treatment Plant</t>
    <phoneticPr fontId="24" type="noConversion"/>
  </si>
  <si>
    <t>jiulong Town wastewater Treatment Plant</t>
    <phoneticPr fontId="24" type="noConversion"/>
  </si>
  <si>
    <t>Shakou Town wastewater Treatment Plant</t>
    <phoneticPr fontId="24" type="noConversion"/>
  </si>
  <si>
    <t>7.2 Nantang Town wastewater Treatment Plant</t>
    <phoneticPr fontId="24" type="noConversion"/>
  </si>
  <si>
    <t>Nantang Town wastewater Treatment Plant</t>
    <phoneticPr fontId="24" type="noConversion"/>
  </si>
  <si>
    <t>Chikeng Town wastewater Treatment Plant</t>
    <phoneticPr fontId="24" type="noConversion"/>
  </si>
  <si>
    <t>Xiaqiao Town wastewater Treatment Plant</t>
    <phoneticPr fontId="24" type="noConversion"/>
  </si>
  <si>
    <t>03/09/2020-31/12/2020</t>
    <phoneticPr fontId="24" type="noConversion"/>
  </si>
  <si>
    <t>05/09/2020-31/12/2020</t>
    <phoneticPr fontId="24" type="noConversion"/>
  </si>
  <si>
    <t>08/09/2020-31/12/2020</t>
    <phoneticPr fontId="24" type="noConversion"/>
  </si>
  <si>
    <t>06/09/2020-31/12/2020</t>
    <phoneticPr fontId="24" type="noConversion"/>
  </si>
  <si>
    <t>13/09/2020-31/12/2020</t>
    <phoneticPr fontId="24" type="noConversion"/>
  </si>
  <si>
    <t>10/09/2020-31/12/2020</t>
    <phoneticPr fontId="24" type="noConversion"/>
  </si>
  <si>
    <t>14/09/2020-31/12/2020</t>
    <phoneticPr fontId="24" type="noConversion"/>
  </si>
  <si>
    <t>15/09/2020-31/12/2020</t>
    <phoneticPr fontId="24" type="noConversion"/>
  </si>
  <si>
    <t>09/09/2020-31/12/2020</t>
    <phoneticPr fontId="24" type="noConversion"/>
  </si>
  <si>
    <t>12/09/2020-31/12/2020</t>
    <phoneticPr fontId="24" type="noConversion"/>
  </si>
  <si>
    <t>11/09/2020-31/12/2020</t>
    <phoneticPr fontId="24" type="noConversion"/>
  </si>
  <si>
    <t>18/09/2020-31/12/2020</t>
    <phoneticPr fontId="24" type="noConversion"/>
  </si>
  <si>
    <t>20/09/2020-31/12/2020</t>
    <phoneticPr fontId="24" type="noConversion"/>
  </si>
  <si>
    <t>Total Emission Reduction</t>
    <phoneticPr fontId="24" type="noConversion"/>
  </si>
  <si>
    <t xml:space="preserve"> Bomei Town wastewater Treatment Plant</t>
    <phoneticPr fontId="24" type="noConversion"/>
  </si>
  <si>
    <t>7.2 Nantang Town wastewater Treatment Plant</t>
    <phoneticPr fontId="24" type="noConversion"/>
  </si>
  <si>
    <r>
      <t>Quantity of effluent that leaves the aerobic wastewater treatment plant in the project activity in day</t>
    </r>
    <r>
      <rPr>
        <i/>
        <sz val="12"/>
        <color theme="1"/>
        <rFont val="Calibri"/>
        <family val="2"/>
      </rPr>
      <t xml:space="preserve"> i</t>
    </r>
    <r>
      <rPr>
        <sz val="12"/>
        <color theme="1"/>
        <rFont val="Calibri"/>
        <family val="2"/>
      </rPr>
      <t xml:space="preserve"> of year</t>
    </r>
    <r>
      <rPr>
        <i/>
        <sz val="12"/>
        <color theme="1"/>
        <rFont val="Calibri"/>
        <family val="2"/>
      </rPr>
      <t xml:space="preserve"> y</t>
    </r>
    <phoneticPr fontId="24" type="noConversion"/>
  </si>
  <si>
    <t>Data monitored in 2020</t>
    <phoneticPr fontId="24" type="noConversion"/>
  </si>
  <si>
    <t>Parameter</t>
    <phoneticPr fontId="36" type="noConversion"/>
  </si>
  <si>
    <t>Influent COD concentration (mg/L)</t>
    <phoneticPr fontId="36" type="noConversion"/>
  </si>
  <si>
    <t>Effluent COD concentration (mg/L)</t>
    <phoneticPr fontId="36" type="noConversion"/>
  </si>
  <si>
    <r>
      <t>Influent flow(m</t>
    </r>
    <r>
      <rPr>
        <vertAlign val="superscript"/>
        <sz val="12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>/d)</t>
    </r>
    <phoneticPr fontId="36" type="noConversion"/>
  </si>
  <si>
    <t>Effluent flow (m3/d)</t>
    <phoneticPr fontId="36" type="noConversion"/>
  </si>
  <si>
    <t>Quantity of sludge(t/m)</t>
    <phoneticPr fontId="36" type="noConversion"/>
  </si>
  <si>
    <t>Electricity consumption/KWh</t>
    <phoneticPr fontId="24" type="noConversion"/>
  </si>
  <si>
    <t>Data monitored in 2021</t>
    <phoneticPr fontId="24" type="noConversion"/>
  </si>
  <si>
    <t>Data monitored in 2022</t>
    <phoneticPr fontId="24" type="noConversion"/>
  </si>
  <si>
    <t>Xianqiao South Wastewater Treatment Plant</t>
  </si>
  <si>
    <r>
      <t>Influent flow(m</t>
    </r>
    <r>
      <rPr>
        <vertAlign val="superscript"/>
        <sz val="12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>/h)</t>
    </r>
    <phoneticPr fontId="36" type="noConversion"/>
  </si>
  <si>
    <t>Effluent flow (m3/h)</t>
    <phoneticPr fontId="36" type="noConversion"/>
  </si>
  <si>
    <r>
      <t>EC</t>
    </r>
    <r>
      <rPr>
        <vertAlign val="subscript"/>
        <sz val="12"/>
        <color theme="1"/>
        <rFont val="Calibri"/>
        <family val="2"/>
      </rPr>
      <t>PJ,j,y</t>
    </r>
    <phoneticPr fontId="24" type="noConversion"/>
  </si>
  <si>
    <t>MWh</t>
    <phoneticPr fontId="24" type="noConversion"/>
  </si>
  <si>
    <t>—</t>
    <phoneticPr fontId="24" type="noConversion"/>
  </si>
  <si>
    <t>01/10/2020-31/10/2020</t>
  </si>
  <si>
    <t>01/11/2020-30/11/2020</t>
  </si>
  <si>
    <t>01/12/2020-31/12/2020</t>
  </si>
  <si>
    <t>05/09/2020-30/09/2020</t>
    <phoneticPr fontId="24" type="noConversion"/>
  </si>
  <si>
    <t>—</t>
  </si>
  <si>
    <t>—</t>
    <phoneticPr fontId="24" type="noConversion"/>
  </si>
  <si>
    <t>08/09/2020-30/09/2020</t>
    <phoneticPr fontId="24" type="noConversion"/>
  </si>
  <si>
    <t>03/09/2020-30/09/2020</t>
    <phoneticPr fontId="24" type="noConversion"/>
  </si>
  <si>
    <t>06/09/2020-30/09/2020</t>
    <phoneticPr fontId="24" type="noConversion"/>
  </si>
  <si>
    <t>13/09/2020-30/09/2020</t>
    <phoneticPr fontId="24" type="noConversion"/>
  </si>
  <si>
    <t>10/09/2020-30/09/2020</t>
    <phoneticPr fontId="24" type="noConversion"/>
  </si>
  <si>
    <t>14/09/2020-30/09/2020</t>
    <phoneticPr fontId="24" type="noConversion"/>
  </si>
  <si>
    <t>15/09/2020-30/09/2020</t>
    <phoneticPr fontId="24" type="noConversion"/>
  </si>
  <si>
    <t>09/09/2020-30/09/2020</t>
    <phoneticPr fontId="24" type="noConversion"/>
  </si>
  <si>
    <t>12/09/2020-30/09/2020</t>
    <phoneticPr fontId="24" type="noConversion"/>
  </si>
  <si>
    <t>11/09/2020-30/09/2020</t>
    <phoneticPr fontId="24" type="noConversion"/>
  </si>
  <si>
    <t>18/09/2020-30/09/2020</t>
    <phoneticPr fontId="24" type="noConversion"/>
  </si>
  <si>
    <t>20/09/2020-30/09/2020</t>
    <phoneticPr fontId="24" type="noConversion"/>
  </si>
  <si>
    <t>—</t>
    <phoneticPr fontId="24" type="noConversion"/>
  </si>
  <si>
    <t>01/01/2021-31/01/2021</t>
  </si>
  <si>
    <t>01/02/2021-28/02/2021</t>
  </si>
  <si>
    <t>01/03/2020-31/03/2020</t>
  </si>
  <si>
    <t>01/04/2020-30/04/2020</t>
  </si>
  <si>
    <t>01/05/2020-31/05/2020</t>
  </si>
  <si>
    <t>01/06/2020-30/06/2020</t>
  </si>
  <si>
    <t>01/07/2020-31/07/2020</t>
  </si>
  <si>
    <t>01/08/2020-31/08/2020</t>
  </si>
  <si>
    <t>01/09/2020-30/09/2020</t>
  </si>
  <si>
    <r>
      <t>COD</t>
    </r>
    <r>
      <rPr>
        <vertAlign val="subscript"/>
        <sz val="12"/>
        <color theme="1"/>
        <rFont val="Calibri"/>
        <family val="2"/>
      </rPr>
      <t>PL,available,m</t>
    </r>
    <phoneticPr fontId="24" type="noConversion"/>
  </si>
  <si>
    <t>01/01/2022-31/01/2022</t>
    <phoneticPr fontId="24" type="noConversion"/>
  </si>
  <si>
    <t>01/02/2022-28/02/2022</t>
    <phoneticPr fontId="24" type="noConversion"/>
  </si>
  <si>
    <t>01/03/2022-31/03/2022</t>
    <phoneticPr fontId="24" type="noConversion"/>
  </si>
  <si>
    <t>01/04/2022-30/04/2022</t>
    <phoneticPr fontId="24" type="noConversion"/>
  </si>
  <si>
    <t>01/05/2022-31/05/2022</t>
    <phoneticPr fontId="24" type="noConversion"/>
  </si>
  <si>
    <t>Emissions reduction</t>
    <phoneticPr fontId="24" type="noConversion"/>
  </si>
  <si>
    <t>Monitoring period</t>
    <phoneticPr fontId="24" type="noConversion"/>
  </si>
  <si>
    <t>01/06/2022-30/06/2022</t>
    <phoneticPr fontId="24" type="noConversion"/>
  </si>
  <si>
    <t>01/01/2022-30/06/2022</t>
    <phoneticPr fontId="24" type="noConversion"/>
  </si>
  <si>
    <t>COD operation statistics of wastewater from Yunshui wastewater treatment plant project in Guangdong Province</t>
  </si>
  <si>
    <t>COD operation statistics of wastewater from Yunshui wastewater treatment plant project in Guangdong Province</t>
    <phoneticPr fontId="24" type="noConversion"/>
  </si>
  <si>
    <t>Flow rate operation statistics of wastewater from Yunshui wastewater treatment plant project in Guangdong Province</t>
    <phoneticPr fontId="24" type="noConversion"/>
  </si>
  <si>
    <t xml:space="preserve"> Influent flow</t>
    <phoneticPr fontId="24" type="noConversion"/>
  </si>
  <si>
    <t>Influent flow</t>
    <phoneticPr fontId="24" type="noConversion"/>
  </si>
  <si>
    <t>Flow rate operation statistics of wastewater from Yunshui wastewater treatment plant project in Guangdong Province</t>
  </si>
  <si>
    <t>Flow rate operation statistics of wastewater from Yunshui wastewater treatment plant project in Guangdong Province</t>
    <phoneticPr fontId="24" type="noConversion"/>
  </si>
  <si>
    <r>
      <t>Convert the influent COD concentration in mg/l to tCOD/m</t>
    </r>
    <r>
      <rPr>
        <vertAlign val="superscript"/>
        <sz val="12"/>
        <color theme="1"/>
        <rFont val="Calibri"/>
        <family val="2"/>
      </rPr>
      <t>3</t>
    </r>
    <phoneticPr fontId="24" type="noConversion"/>
  </si>
  <si>
    <r>
      <t>Convert the effluent COD concentration in mg/l to tCOD/m</t>
    </r>
    <r>
      <rPr>
        <vertAlign val="superscript"/>
        <sz val="12"/>
        <color theme="1"/>
        <rFont val="Calibri"/>
        <family val="2"/>
      </rPr>
      <t>3</t>
    </r>
  </si>
  <si>
    <t>Source</t>
  </si>
  <si>
    <t>Source</t>
    <phoneticPr fontId="24" type="noConversion"/>
  </si>
  <si>
    <t xml:space="preserve">Source </t>
    <phoneticPr fontId="24" type="noConversion"/>
  </si>
  <si>
    <t>Electricity bill</t>
  </si>
  <si>
    <t>Electricity bill</t>
    <phoneticPr fontId="24" type="noConversion"/>
  </si>
  <si>
    <t>Sludge statistics of wastewater from Yunshui wastewater treatment plant project in Guangdong Province</t>
  </si>
  <si>
    <t>Sludge statistics of wastewater from Yunshui wastewater treatment plant project in Guangdong Province</t>
    <phoneticPr fontId="24" type="noConversion"/>
  </si>
  <si>
    <r>
      <t xml:space="preserve">Quantity of wastewater that is treated in the aerobic wastewater treatment plant in the project activity in day </t>
    </r>
    <r>
      <rPr>
        <i/>
        <sz val="12"/>
        <color theme="1"/>
        <rFont val="Calibri"/>
        <family val="2"/>
      </rPr>
      <t>i</t>
    </r>
    <r>
      <rPr>
        <sz val="12"/>
        <color theme="1"/>
        <rFont val="Calibri"/>
        <family val="2"/>
      </rPr>
      <t xml:space="preserve"> of year</t>
    </r>
    <r>
      <rPr>
        <i/>
        <sz val="12"/>
        <color theme="1"/>
        <rFont val="Calibri"/>
        <family val="2"/>
      </rPr>
      <t xml:space="preserve"> y</t>
    </r>
    <phoneticPr fontId="24" type="noConversion"/>
  </si>
  <si>
    <t>03/09/2020-30/06/2022</t>
    <phoneticPr fontId="24" type="noConversion"/>
  </si>
  <si>
    <r>
      <t>MCF</t>
    </r>
    <r>
      <rPr>
        <vertAlign val="subscript"/>
        <sz val="12"/>
        <color theme="1"/>
        <rFont val="Calibri"/>
        <family val="2"/>
      </rPr>
      <t>PJ,effl,y</t>
    </r>
    <phoneticPr fontId="24" type="noConversion"/>
  </si>
  <si>
    <t>Influent COD concentration</t>
    <phoneticPr fontId="24" type="noConversion"/>
  </si>
  <si>
    <t>Historical data on site in the FSR</t>
  </si>
  <si>
    <t>Historical data on site in the FSR (It was calculated with conservative value)</t>
    <phoneticPr fontId="24" type="noConversion"/>
  </si>
  <si>
    <t>Historical data on site in baseline survey report</t>
    <phoneticPr fontId="24" type="noConversion"/>
  </si>
  <si>
    <t>Historical data on site in baseline survey report</t>
  </si>
  <si>
    <r>
      <t xml:space="preserve">As per baseline survey report, historical data available on-site was also from the Table 1 in Guidelines for Accounting Methods and Reporting of Greenhouse Gas Emissions of Transportation Enterprises (Diesel, </t>
    </r>
    <r>
      <rPr>
        <sz val="12"/>
        <color theme="1"/>
        <rFont val="宋体"/>
        <family val="3"/>
        <charset val="134"/>
      </rPr>
      <t>＞</t>
    </r>
    <r>
      <rPr>
        <sz val="12"/>
        <color theme="1"/>
        <rFont val="Calibri"/>
        <family val="2"/>
      </rPr>
      <t xml:space="preserve">4 tonne </t>
    </r>
    <r>
      <rPr>
        <sz val="12"/>
        <color theme="1"/>
        <rFont val="宋体"/>
        <family val="3"/>
        <charset val="134"/>
      </rPr>
      <t>＜</t>
    </r>
    <r>
      <rPr>
        <sz val="12"/>
        <color theme="1"/>
        <rFont val="Calibri"/>
        <family val="2"/>
      </rPr>
      <t>8 tonne)  (https://www.ndrc.gov.cn/xxgk/zcfb/tz/201511/W020190905506438255108.pdf)</t>
    </r>
    <phoneticPr fontId="24" type="noConversion"/>
  </si>
  <si>
    <t>As per baseline survey report, historical data available on-sit was also from Page15 in Guidelines for Accounting Methods and Reporting of Greenhouse Gas Emissions of Transportation Enterprises (https://www.ndrc.gov.cn/xxgk/zcfb/tz/201511/W020190905506438255108.pdf)</t>
    <phoneticPr fontId="24" type="noConversion"/>
  </si>
  <si>
    <t xml:space="preserve">As per baseline survey report, historical data available on-sit was also from Table 2 in Guidelines for Accounting Methods and Reporting of Greenhouse Gas Emissions of Transportation Enterprises (Diesel) (https://www.ndrc.gov.cn/xxgk/zcfb/tz/201511/W020190905506438255108.pdf)  </t>
    <phoneticPr fontId="24" type="noConversion"/>
  </si>
  <si>
    <t>As per baseline survey report, historical data available on-sit was also from Table 3.2.1 of Chapter 3 in Volume 2 of IPCC</t>
    <phoneticPr fontId="24" type="noConversion"/>
  </si>
  <si>
    <t xml:space="preserve">Table 2 in Guidelines for Accounting Methods and Reporting of Greenhouse Gas Emissions of Transportation Enterprises (Diesel) (https://www.ndrc.gov.cn/xxgk/zcfb/tz/201511/W020190905506438255108.pdf)  </t>
  </si>
  <si>
    <t xml:space="preserve">Table 2 in Guidelines for Accounting Methods and Reporting of Greenhouse Gas Emissions of Transportation Enterprises (Diesel) (https://www.ndrc.gov.cn/xxgk/zcfb/tz/201511/W020190905506438255108.pdf)  </t>
    <phoneticPr fontId="24" type="noConversion"/>
  </si>
  <si>
    <t>Page15, https://www.ndrc.gov.cn/xxgk/zcfb/tz/201511/W020190905506438255108.pdf</t>
  </si>
  <si>
    <t>https://www.tianqi24.com/historycity/</t>
  </si>
  <si>
    <t>https://www.tianqi24.com/historycity/</t>
    <phoneticPr fontId="24" type="noConversion"/>
  </si>
  <si>
    <t>https://www.tianqi24.com/historycity/</t>
    <phoneticPr fontId="24" type="noConversion"/>
  </si>
  <si>
    <t>Source from fuel consumption record book of sludge transport vehicle， cross-checked with the Table 1 in Guidelines for Accounting Methods and Reporting of Greenhouse Gas Emissions of Transportation Enterprises (Diesel ＞4 tonne ＜8 tonne), the larger value was used for calculation</t>
  </si>
  <si>
    <r>
      <t>Source from fuel consumption record book of sludge transport vehicle</t>
    </r>
    <r>
      <rPr>
        <sz val="12"/>
        <color theme="1"/>
        <rFont val="宋体"/>
        <family val="3"/>
        <charset val="134"/>
      </rPr>
      <t>，</t>
    </r>
    <r>
      <rPr>
        <sz val="12"/>
        <color theme="1"/>
        <rFont val="Calibri"/>
        <family val="2"/>
      </rPr>
      <t xml:space="preserve"> cross-checked with the Table 1 in Guidelines for Accounting Methods and Reporting of Greenhouse Gas Emissions of Transportation Enterprises (Diesel </t>
    </r>
    <r>
      <rPr>
        <sz val="12"/>
        <color theme="1"/>
        <rFont val="宋体"/>
        <family val="3"/>
        <charset val="134"/>
      </rPr>
      <t>＞</t>
    </r>
    <r>
      <rPr>
        <sz val="12"/>
        <color theme="1"/>
        <rFont val="Calibri"/>
        <family val="2"/>
      </rPr>
      <t xml:space="preserve">4 tonne </t>
    </r>
    <r>
      <rPr>
        <sz val="12"/>
        <color theme="1"/>
        <rFont val="宋体"/>
        <family val="3"/>
        <charset val="134"/>
      </rPr>
      <t>＜</t>
    </r>
    <r>
      <rPr>
        <sz val="12"/>
        <color theme="1"/>
        <rFont val="Calibri"/>
        <family val="2"/>
      </rPr>
      <t>8 tonne), the larger value was used for calculation</t>
    </r>
    <phoneticPr fontId="24" type="noConversion"/>
  </si>
  <si>
    <t>The distance of sludge transportation between the wastewater treatment plants and landfills was determined by online On-Board Diagnostics installed in sludge transport vehicle, and it was cross-check with the Sludge Disposal Letter issued by the Guangdong Housing and Urban-Rural Development Bureau. Finally, the larger value was selected because the calculation result is more conservative.</t>
  </si>
  <si>
    <t>AM0080 Version 01 Equation 6</t>
  </si>
  <si>
    <t>AM0080 Version 01 Equation 2</t>
  </si>
  <si>
    <t>AM0080 Version 01 Equation 4</t>
  </si>
  <si>
    <t>AM0080 Version 01 Equation 5</t>
  </si>
  <si>
    <t>AM0080 Version 01 Equation 7</t>
  </si>
  <si>
    <t>AM0080 Version 01 p.29 (Depth＞5 m)</t>
  </si>
  <si>
    <t>AM0080 Version 01 Equation 8</t>
  </si>
  <si>
    <t>AM0080 Version 01 Equation 9</t>
  </si>
  <si>
    <t>AM0080 Version 01</t>
  </si>
  <si>
    <t>AM0080 Version 01 Equation 10</t>
  </si>
  <si>
    <t>AM0080 Version 01 Equation 16</t>
  </si>
  <si>
    <t>AM0080 Version 01 Equation 17</t>
  </si>
  <si>
    <t>AM0080 Version 01 Equation 1</t>
  </si>
  <si>
    <t>AM0080 Version 01 Equation 19</t>
  </si>
  <si>
    <t>AM0080 Version 01 Equation 20</t>
  </si>
  <si>
    <t>AM0080 Version 01 Equation 22</t>
  </si>
  <si>
    <t>AM0080 Version 01 Equation 21</t>
  </si>
  <si>
    <t>AM0080 Version 01 Equation 23</t>
  </si>
  <si>
    <t>AM0080 Version 01 Equation 24</t>
  </si>
  <si>
    <t>AM0080 Version 01. p.29 (Depth＜1 m)</t>
  </si>
  <si>
    <t>AM0080 Version 01 Equation 25</t>
  </si>
  <si>
    <t>AM0080 Version 01 p.11</t>
  </si>
  <si>
    <t>AM0080 Version 01 Equation 26</t>
  </si>
  <si>
    <t>AM0080 Version 01 Equation 33</t>
  </si>
  <si>
    <t>AM0080 Version 01 Equation 34</t>
  </si>
  <si>
    <t>AM0080 Version 01 Equation 18</t>
  </si>
  <si>
    <t>Table 6.2 Volume 5 Chapter 6 of IPCC 2019 and &amp; AM0080 Version 01 p.28</t>
  </si>
  <si>
    <t>18/02/2023</t>
    <phoneticPr fontId="24" type="noConversion"/>
  </si>
  <si>
    <t>03</t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</si>
</sst>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176" formatCode="0.00_ "/>
    <numFmt numFmtId="177" formatCode="#,##0.000000"/>
    <numFmt numFmtId="178" formatCode="_-* #,##0.00\ _€_-;\-* #,##0.00\ _€_-;_-* &quot;-&quot;??\ _€_-;_-@_-"/>
    <numFmt numFmtId="179" formatCode="#,##0_ "/>
    <numFmt numFmtId="180" formatCode="0.000000"/>
    <numFmt numFmtId="181" formatCode="0.0000"/>
    <numFmt numFmtId="182" formatCode="#,##0.00_ ;\-#,##0.00\ "/>
    <numFmt numFmtId="183" formatCode="0.0000_ "/>
    <numFmt numFmtId="184" formatCode="0.00000_ "/>
    <numFmt numFmtId="185" formatCode="#,##0_ ;\-#,##0\ "/>
    <numFmt numFmtId="186" formatCode="0.000"/>
    <numFmt numFmtId="187" formatCode="#,##0.00_ "/>
    <numFmt numFmtId="188" formatCode="0.0"/>
    <numFmt numFmtId="189" formatCode="#,##0.0000000"/>
    <numFmt numFmtId="190" formatCode="#,##0.000"/>
    <numFmt numFmtId="191" formatCode="#,##0.0_ ;\-#,##0.0\ "/>
    <numFmt numFmtId="192" formatCode="#,##0.0"/>
    <numFmt numFmtId="193" formatCode="0.0000000"/>
    <numFmt numFmtId="194" formatCode="#,##0.000_ ;\-#,##0.000\ "/>
  </numFmts>
  <fonts count="45" x14ac:knownFonts="1">
    <font>
      <sz val="10"/>
      <color theme="1"/>
      <name val="Tw Cen MT"/>
      <charset val="134"/>
    </font>
    <font>
      <sz val="10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8"/>
      <name val="Calibri"/>
      <family val="2"/>
    </font>
    <font>
      <b/>
      <sz val="8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sz val="8"/>
      <color theme="1"/>
      <name val="Calibri"/>
      <family val="2"/>
    </font>
    <font>
      <b/>
      <sz val="8"/>
      <color theme="1"/>
      <name val="Calibri"/>
      <family val="2"/>
    </font>
    <font>
      <b/>
      <vertAlign val="subscript"/>
      <sz val="12"/>
      <color theme="1"/>
      <name val="Calibri"/>
      <family val="2"/>
    </font>
    <font>
      <b/>
      <vertAlign val="subscript"/>
      <sz val="12"/>
      <color indexed="8"/>
      <name val="Calibri"/>
      <family val="2"/>
    </font>
    <font>
      <b/>
      <sz val="12"/>
      <color indexed="8"/>
      <name val="Calibri"/>
      <family val="2"/>
    </font>
    <font>
      <vertAlign val="subscript"/>
      <sz val="12"/>
      <color theme="1"/>
      <name val="Calibri"/>
      <family val="2"/>
    </font>
    <font>
      <i/>
      <sz val="12"/>
      <color theme="1"/>
      <name val="Calibri"/>
      <family val="2"/>
    </font>
    <font>
      <vertAlign val="superscript"/>
      <sz val="12"/>
      <color theme="1"/>
      <name val="Calibri"/>
      <family val="2"/>
    </font>
    <font>
      <sz val="12"/>
      <color theme="1"/>
      <name val="宋体"/>
      <family val="3"/>
      <charset val="134"/>
    </font>
    <font>
      <vertAlign val="subscript"/>
      <sz val="12"/>
      <name val="Calibri"/>
      <family val="2"/>
    </font>
    <font>
      <i/>
      <sz val="12"/>
      <name val="Calibri"/>
      <family val="2"/>
    </font>
    <font>
      <vertAlign val="subscript"/>
      <sz val="12"/>
      <color indexed="8"/>
      <name val="Calibri"/>
      <family val="2"/>
    </font>
    <font>
      <i/>
      <sz val="12"/>
      <color indexed="8"/>
      <name val="Calibri"/>
      <family val="2"/>
    </font>
    <font>
      <vertAlign val="superscript"/>
      <sz val="12"/>
      <name val="Calibri"/>
      <family val="2"/>
    </font>
    <font>
      <sz val="10"/>
      <color theme="1"/>
      <name val="Tw Cen MT"/>
      <family val="2"/>
    </font>
    <font>
      <sz val="9"/>
      <name val="Tw Cen MT"/>
      <family val="2"/>
    </font>
    <font>
      <b/>
      <sz val="18"/>
      <color rgb="FFFF0000"/>
      <name val="Times New Roman"/>
      <family val="1"/>
    </font>
    <font>
      <b/>
      <sz val="12"/>
      <color rgb="FFFF0000"/>
      <name val="Calibri"/>
      <family val="2"/>
    </font>
    <font>
      <b/>
      <sz val="16"/>
      <color theme="3" tint="0.39997558519241921"/>
      <name val="Calibri"/>
      <family val="2"/>
    </font>
    <font>
      <b/>
      <sz val="20"/>
      <color rgb="FFFF0000"/>
      <name val="Calibri"/>
      <family val="2"/>
    </font>
    <font>
      <sz val="20"/>
      <color rgb="FFFF0000"/>
      <name val="Calibri"/>
      <family val="2"/>
    </font>
    <font>
      <b/>
      <sz val="16"/>
      <color theme="4"/>
      <name val="Calibri"/>
      <family val="2"/>
    </font>
    <font>
      <b/>
      <sz val="20"/>
      <color theme="4"/>
      <name val="Calibri"/>
      <family val="2"/>
    </font>
    <font>
      <b/>
      <sz val="10"/>
      <color theme="1"/>
      <name val="Calibri"/>
      <family val="2"/>
    </font>
    <font>
      <b/>
      <sz val="12"/>
      <color theme="1"/>
      <name val="Times New Roman"/>
      <family val="1"/>
    </font>
    <font>
      <sz val="12"/>
      <color theme="1"/>
      <name val="Tw Cen MT"/>
      <family val="2"/>
    </font>
    <font>
      <sz val="12"/>
      <color theme="1"/>
      <name val="Times New Roman"/>
      <family val="1"/>
    </font>
    <font>
      <sz val="9"/>
      <name val="宋体"/>
      <family val="3"/>
      <charset val="134"/>
      <scheme val="minor"/>
    </font>
    <font>
      <vertAlign val="superscript"/>
      <sz val="12"/>
      <color theme="1"/>
      <name val="Times New Roman"/>
      <family val="1"/>
    </font>
    <font>
      <sz val="18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宋体"/>
      <family val="2"/>
      <charset val="134"/>
      <scheme val="minor"/>
    </font>
    <font>
      <u/>
      <sz val="10"/>
      <color theme="10"/>
      <name val="Tw Cen MT"/>
      <family val="2"/>
    </font>
    <font>
      <sz val="10"/>
      <name val="Tw Cen MT"/>
      <family val="2"/>
    </font>
    <font>
      <sz val="12"/>
      <name val="Tw Cen MT"/>
      <family val="2"/>
    </font>
    <font>
      <sz val="12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145481734672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6">
    <xf numFmtId="0" fontId="0" fillId="0" borderId="0"/>
    <xf numFmtId="178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23" fillId="0" borderId="0"/>
    <xf numFmtId="0" fontId="40" fillId="0" borderId="0">
      <alignment vertical="center"/>
    </xf>
    <xf numFmtId="0" fontId="41" fillId="0" borderId="0" applyNumberFormat="0" applyFill="0" applyBorder="0" applyAlignment="0" applyProtection="0"/>
  </cellStyleXfs>
  <cellXfs count="221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3" fontId="2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3" fontId="2" fillId="0" borderId="1" xfId="0" applyNumberFormat="1" applyFont="1" applyBorder="1" applyAlignment="1">
      <alignment horizont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justify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79" fontId="3" fillId="0" borderId="1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1" xfId="1" applyNumberFormat="1" applyFont="1" applyFill="1" applyBorder="1" applyAlignment="1">
      <alignment horizontal="center" vertical="center" wrapText="1"/>
    </xf>
    <xf numFmtId="177" fontId="2" fillId="0" borderId="1" xfId="1" applyNumberFormat="1" applyFont="1" applyFill="1" applyBorder="1" applyAlignment="1">
      <alignment horizontal="center" vertical="center" wrapText="1"/>
    </xf>
    <xf numFmtId="177" fontId="2" fillId="0" borderId="1" xfId="0" applyNumberFormat="1" applyFont="1" applyBorder="1" applyAlignment="1">
      <alignment horizontal="center" vertical="center" wrapText="1"/>
    </xf>
    <xf numFmtId="180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181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182" fontId="2" fillId="0" borderId="1" xfId="1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182" fontId="2" fillId="0" borderId="0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6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wrapText="1"/>
    </xf>
    <xf numFmtId="182" fontId="3" fillId="0" borderId="1" xfId="0" applyNumberFormat="1" applyFont="1" applyBorder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9" fontId="2" fillId="0" borderId="1" xfId="2" applyFont="1" applyFill="1" applyBorder="1" applyAlignment="1">
      <alignment horizontal="center" vertical="center" wrapText="1"/>
    </xf>
    <xf numFmtId="183" fontId="2" fillId="0" borderId="1" xfId="0" applyNumberFormat="1" applyFont="1" applyBorder="1" applyAlignment="1">
      <alignment horizontal="center" vertical="center" wrapText="1"/>
    </xf>
    <xf numFmtId="184" fontId="2" fillId="0" borderId="0" xfId="0" applyNumberFormat="1" applyFont="1" applyAlignment="1">
      <alignment horizontal="center" vertical="center" wrapText="1"/>
    </xf>
    <xf numFmtId="185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185" fontId="3" fillId="0" borderId="0" xfId="0" applyNumberFormat="1" applyFont="1" applyAlignment="1">
      <alignment horizontal="center" vertical="center" wrapText="1"/>
    </xf>
    <xf numFmtId="182" fontId="3" fillId="0" borderId="1" xfId="1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182" fontId="2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center" wrapText="1"/>
    </xf>
    <xf numFmtId="0" fontId="3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185" fontId="7" fillId="0" borderId="1" xfId="0" applyNumberFormat="1" applyFont="1" applyBorder="1" applyAlignment="1">
      <alignment horizontal="center" vertical="center" wrapText="1"/>
    </xf>
    <xf numFmtId="185" fontId="8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horizontal="center" vertical="center" wrapText="1"/>
    </xf>
    <xf numFmtId="185" fontId="2" fillId="0" borderId="1" xfId="1" applyNumberFormat="1" applyFont="1" applyFill="1" applyBorder="1" applyAlignment="1">
      <alignment horizontal="center" vertical="center" wrapText="1"/>
    </xf>
    <xf numFmtId="185" fontId="8" fillId="0" borderId="1" xfId="1" applyNumberFormat="1" applyFont="1" applyFill="1" applyBorder="1" applyAlignment="1">
      <alignment horizontal="center" vertical="center" wrapText="1"/>
    </xf>
    <xf numFmtId="177" fontId="8" fillId="0" borderId="1" xfId="1" applyNumberFormat="1" applyFont="1" applyFill="1" applyBorder="1" applyAlignment="1">
      <alignment horizontal="center" vertical="center" wrapText="1"/>
    </xf>
    <xf numFmtId="186" fontId="2" fillId="0" borderId="1" xfId="0" applyNumberFormat="1" applyFont="1" applyBorder="1" applyAlignment="1">
      <alignment horizontal="center" vertical="center" wrapText="1"/>
    </xf>
    <xf numFmtId="185" fontId="2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wrapText="1"/>
    </xf>
    <xf numFmtId="181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182" fontId="8" fillId="0" borderId="1" xfId="1" applyNumberFormat="1" applyFont="1" applyFill="1" applyBorder="1" applyAlignment="1">
      <alignment horizontal="center" vertical="center" wrapText="1"/>
    </xf>
    <xf numFmtId="185" fontId="7" fillId="0" borderId="1" xfId="1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8" fillId="0" borderId="0" xfId="0" applyFont="1" applyAlignment="1">
      <alignment vertical="center" wrapText="1"/>
    </xf>
    <xf numFmtId="0" fontId="9" fillId="0" borderId="0" xfId="0" applyFont="1"/>
    <xf numFmtId="0" fontId="9" fillId="3" borderId="0" xfId="0" applyFont="1" applyFill="1"/>
    <xf numFmtId="0" fontId="9" fillId="4" borderId="0" xfId="0" applyFont="1" applyFill="1"/>
    <xf numFmtId="0" fontId="3" fillId="0" borderId="6" xfId="0" applyFont="1" applyBorder="1"/>
    <xf numFmtId="0" fontId="2" fillId="0" borderId="7" xfId="0" applyFont="1" applyBorder="1"/>
    <xf numFmtId="0" fontId="3" fillId="0" borderId="8" xfId="0" applyFont="1" applyBorder="1"/>
    <xf numFmtId="0" fontId="2" fillId="0" borderId="9" xfId="0" applyFont="1" applyBorder="1"/>
    <xf numFmtId="0" fontId="2" fillId="0" borderId="9" xfId="0" applyFont="1" applyBorder="1" applyAlignment="1">
      <alignment horizontal="left" wrapText="1"/>
    </xf>
    <xf numFmtId="0" fontId="8" fillId="0" borderId="9" xfId="0" applyFont="1" applyBorder="1" applyAlignment="1">
      <alignment horizontal="left"/>
    </xf>
    <xf numFmtId="0" fontId="3" fillId="0" borderId="10" xfId="0" applyFont="1" applyBorder="1"/>
    <xf numFmtId="3" fontId="2" fillId="0" borderId="11" xfId="0" applyNumberFormat="1" applyFont="1" applyBorder="1" applyAlignment="1">
      <alignment horizontal="left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justify" vertical="center" wrapText="1"/>
    </xf>
    <xf numFmtId="0" fontId="7" fillId="0" borderId="12" xfId="0" applyFont="1" applyBorder="1" applyAlignment="1">
      <alignment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justify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justify" vertical="center" wrapText="1"/>
    </xf>
    <xf numFmtId="0" fontId="8" fillId="0" borderId="13" xfId="0" applyFont="1" applyBorder="1" applyAlignment="1">
      <alignment horizontal="justify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187" fontId="2" fillId="0" borderId="0" xfId="0" applyNumberFormat="1" applyFont="1" applyAlignment="1">
      <alignment horizontal="center" vertical="center" wrapText="1"/>
    </xf>
    <xf numFmtId="179" fontId="3" fillId="0" borderId="0" xfId="0" applyNumberFormat="1" applyFont="1" applyAlignment="1">
      <alignment horizontal="center" vertical="center" wrapText="1"/>
    </xf>
    <xf numFmtId="0" fontId="3" fillId="0" borderId="13" xfId="0" applyFont="1" applyBorder="1" applyAlignment="1">
      <alignment vertical="center" wrapText="1"/>
    </xf>
    <xf numFmtId="179" fontId="3" fillId="0" borderId="1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2" fillId="0" borderId="0" xfId="0" applyFont="1"/>
    <xf numFmtId="3" fontId="1" fillId="0" borderId="0" xfId="0" applyNumberFormat="1" applyFont="1"/>
    <xf numFmtId="0" fontId="2" fillId="7" borderId="0" xfId="0" applyFont="1" applyFill="1" applyAlignment="1">
      <alignment vertical="center" wrapText="1"/>
    </xf>
    <xf numFmtId="0" fontId="9" fillId="7" borderId="0" xfId="0" applyFont="1" applyFill="1" applyAlignment="1">
      <alignment vertical="center" wrapText="1"/>
    </xf>
    <xf numFmtId="0" fontId="34" fillId="0" borderId="0" xfId="0" applyFont="1"/>
    <xf numFmtId="0" fontId="35" fillId="0" borderId="1" xfId="0" applyFont="1" applyBorder="1" applyAlignment="1">
      <alignment horizontal="center"/>
    </xf>
    <xf numFmtId="188" fontId="35" fillId="0" borderId="1" xfId="0" applyNumberFormat="1" applyFont="1" applyBorder="1" applyAlignment="1">
      <alignment horizontal="center"/>
    </xf>
    <xf numFmtId="17" fontId="35" fillId="0" borderId="1" xfId="0" applyNumberFormat="1" applyFont="1" applyBorder="1" applyAlignment="1">
      <alignment horizontal="center"/>
    </xf>
    <xf numFmtId="1" fontId="35" fillId="0" borderId="1" xfId="0" applyNumberFormat="1" applyFont="1" applyBorder="1" applyAlignment="1">
      <alignment horizontal="center"/>
    </xf>
    <xf numFmtId="2" fontId="35" fillId="0" borderId="1" xfId="0" applyNumberFormat="1" applyFont="1" applyBorder="1" applyAlignment="1">
      <alignment horizontal="center"/>
    </xf>
    <xf numFmtId="0" fontId="34" fillId="0" borderId="0" xfId="0" applyFont="1" applyAlignment="1">
      <alignment horizontal="center"/>
    </xf>
    <xf numFmtId="188" fontId="39" fillId="0" borderId="1" xfId="0" applyNumberFormat="1" applyFont="1" applyBorder="1" applyAlignment="1">
      <alignment horizontal="center" vertical="center"/>
    </xf>
    <xf numFmtId="186" fontId="35" fillId="0" borderId="1" xfId="0" applyNumberFormat="1" applyFont="1" applyBorder="1" applyAlignment="1">
      <alignment horizontal="center"/>
    </xf>
    <xf numFmtId="1" fontId="35" fillId="0" borderId="0" xfId="0" applyNumberFormat="1" applyFont="1" applyAlignment="1">
      <alignment horizontal="center"/>
    </xf>
    <xf numFmtId="186" fontId="35" fillId="0" borderId="5" xfId="0" applyNumberFormat="1" applyFont="1" applyBorder="1" applyAlignment="1">
      <alignment horizontal="center"/>
    </xf>
    <xf numFmtId="188" fontId="35" fillId="0" borderId="1" xfId="0" applyNumberFormat="1" applyFont="1" applyBorder="1" applyAlignment="1">
      <alignment horizontal="center" vertical="center"/>
    </xf>
    <xf numFmtId="189" fontId="2" fillId="0" borderId="1" xfId="1" applyNumberFormat="1" applyFont="1" applyFill="1" applyBorder="1" applyAlignment="1">
      <alignment horizontal="center" vertical="center" wrapText="1"/>
    </xf>
    <xf numFmtId="190" fontId="2" fillId="0" borderId="1" xfId="0" applyNumberFormat="1" applyFont="1" applyBorder="1" applyAlignment="1">
      <alignment horizontal="center" vertical="center" wrapText="1"/>
    </xf>
    <xf numFmtId="189" fontId="8" fillId="0" borderId="1" xfId="1" applyNumberFormat="1" applyFont="1" applyFill="1" applyBorder="1" applyAlignment="1">
      <alignment horizontal="center" vertical="center" wrapText="1"/>
    </xf>
    <xf numFmtId="192" fontId="2" fillId="0" borderId="1" xfId="0" applyNumberFormat="1" applyFont="1" applyBorder="1" applyAlignment="1">
      <alignment horizontal="center" vertical="center" wrapText="1"/>
    </xf>
    <xf numFmtId="192" fontId="2" fillId="0" borderId="1" xfId="1" applyNumberFormat="1" applyFont="1" applyFill="1" applyBorder="1" applyAlignment="1">
      <alignment horizontal="center" vertical="center" wrapText="1"/>
    </xf>
    <xf numFmtId="191" fontId="8" fillId="0" borderId="1" xfId="1" applyNumberFormat="1" applyFont="1" applyFill="1" applyBorder="1" applyAlignment="1">
      <alignment horizontal="center" vertical="center" wrapText="1"/>
    </xf>
    <xf numFmtId="191" fontId="2" fillId="0" borderId="1" xfId="1" applyNumberFormat="1" applyFont="1" applyFill="1" applyBorder="1" applyAlignment="1">
      <alignment horizontal="center" vertical="center" wrapText="1"/>
    </xf>
    <xf numFmtId="190" fontId="8" fillId="0" borderId="1" xfId="0" applyNumberFormat="1" applyFont="1" applyBorder="1" applyAlignment="1">
      <alignment horizontal="center" vertical="center" wrapText="1"/>
    </xf>
    <xf numFmtId="192" fontId="8" fillId="0" borderId="1" xfId="0" applyNumberFormat="1" applyFont="1" applyBorder="1" applyAlignment="1">
      <alignment horizontal="center" vertical="center" wrapText="1"/>
    </xf>
    <xf numFmtId="190" fontId="2" fillId="0" borderId="1" xfId="1" applyNumberFormat="1" applyFont="1" applyFill="1" applyBorder="1" applyAlignment="1">
      <alignment horizontal="center" vertical="center" wrapText="1"/>
    </xf>
    <xf numFmtId="189" fontId="2" fillId="0" borderId="1" xfId="0" applyNumberFormat="1" applyFont="1" applyBorder="1" applyAlignment="1">
      <alignment horizontal="center" vertical="center" wrapText="1"/>
    </xf>
    <xf numFmtId="193" fontId="2" fillId="0" borderId="1" xfId="0" applyNumberFormat="1" applyFont="1" applyBorder="1" applyAlignment="1">
      <alignment horizontal="center" vertical="center" wrapText="1"/>
    </xf>
    <xf numFmtId="0" fontId="3" fillId="0" borderId="14" xfId="0" applyFont="1" applyBorder="1"/>
    <xf numFmtId="0" fontId="2" fillId="0" borderId="15" xfId="0" applyFont="1" applyBorder="1"/>
    <xf numFmtId="49" fontId="8" fillId="0" borderId="9" xfId="0" applyNumberFormat="1" applyFont="1" applyBorder="1" applyAlignment="1">
      <alignment horizontal="left"/>
    </xf>
    <xf numFmtId="14" fontId="2" fillId="0" borderId="0" xfId="0" applyNumberFormat="1" applyFont="1"/>
    <xf numFmtId="182" fontId="8" fillId="0" borderId="1" xfId="0" applyNumberFormat="1" applyFont="1" applyBorder="1" applyAlignment="1">
      <alignment horizontal="center" vertical="center" wrapText="1"/>
    </xf>
    <xf numFmtId="188" fontId="35" fillId="0" borderId="1" xfId="3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0" xfId="0" applyNumberFormat="1"/>
    <xf numFmtId="2" fontId="34" fillId="0" borderId="0" xfId="0" applyNumberFormat="1" applyFont="1"/>
    <xf numFmtId="2" fontId="35" fillId="0" borderId="0" xfId="0" applyNumberFormat="1" applyFont="1" applyAlignment="1">
      <alignment horizontal="center"/>
    </xf>
    <xf numFmtId="0" fontId="41" fillId="0" borderId="1" xfId="5" applyFill="1" applyBorder="1" applyAlignment="1">
      <alignment horizontal="justify" vertical="center" wrapText="1"/>
    </xf>
    <xf numFmtId="0" fontId="41" fillId="0" borderId="1" xfId="5" applyFill="1" applyBorder="1" applyAlignment="1">
      <alignment horizontal="left" vertical="center" wrapText="1"/>
    </xf>
    <xf numFmtId="0" fontId="42" fillId="0" borderId="0" xfId="0" applyFont="1"/>
    <xf numFmtId="0" fontId="43" fillId="0" borderId="0" xfId="0" applyFont="1"/>
    <xf numFmtId="0" fontId="44" fillId="0" borderId="1" xfId="0" applyFont="1" applyBorder="1" applyAlignment="1">
      <alignment horizontal="center"/>
    </xf>
    <xf numFmtId="2" fontId="43" fillId="0" borderId="0" xfId="0" applyNumberFormat="1" applyFont="1" applyAlignment="1">
      <alignment horizontal="center"/>
    </xf>
    <xf numFmtId="2" fontId="44" fillId="0" borderId="1" xfId="0" applyNumberFormat="1" applyFont="1" applyBorder="1" applyAlignment="1">
      <alignment horizontal="center"/>
    </xf>
    <xf numFmtId="0" fontId="43" fillId="0" borderId="0" xfId="0" applyFont="1" applyAlignment="1">
      <alignment horizontal="center"/>
    </xf>
    <xf numFmtId="0" fontId="42" fillId="0" borderId="0" xfId="0" applyFont="1" applyAlignment="1">
      <alignment horizontal="center"/>
    </xf>
    <xf numFmtId="2" fontId="42" fillId="0" borderId="0" xfId="0" applyNumberFormat="1" applyFont="1" applyAlignment="1">
      <alignment horizontal="center"/>
    </xf>
    <xf numFmtId="194" fontId="2" fillId="0" borderId="1" xfId="0" applyNumberFormat="1" applyFont="1" applyBorder="1" applyAlignment="1">
      <alignment horizontal="center" vertical="center" wrapText="1"/>
    </xf>
    <xf numFmtId="0" fontId="33" fillId="0" borderId="3" xfId="0" applyFont="1" applyBorder="1" applyAlignment="1">
      <alignment horizontal="center" vertical="center"/>
    </xf>
    <xf numFmtId="0" fontId="33" fillId="0" borderId="2" xfId="0" applyFont="1" applyBorder="1" applyAlignment="1">
      <alignment horizontal="center" vertical="center"/>
    </xf>
    <xf numFmtId="0" fontId="38" fillId="8" borderId="1" xfId="0" applyFont="1" applyFill="1" applyBorder="1" applyAlignment="1">
      <alignment horizontal="left" vertical="center"/>
    </xf>
    <xf numFmtId="0" fontId="38" fillId="8" borderId="0" xfId="0" applyFont="1" applyFill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181" fontId="8" fillId="0" borderId="5" xfId="0" applyNumberFormat="1" applyFont="1" applyBorder="1" applyAlignment="1">
      <alignment horizontal="center" vertical="center" wrapText="1"/>
    </xf>
    <xf numFmtId="181" fontId="8" fillId="0" borderId="2" xfId="0" applyNumberFormat="1" applyFont="1" applyBorder="1" applyAlignment="1">
      <alignment horizontal="center" vertical="center" wrapText="1"/>
    </xf>
    <xf numFmtId="181" fontId="8" fillId="0" borderId="4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left" vertical="center" wrapText="1"/>
    </xf>
    <xf numFmtId="0" fontId="29" fillId="0" borderId="1" xfId="0" applyFont="1" applyBorder="1" applyAlignment="1">
      <alignment horizontal="left" vertical="center" wrapText="1"/>
    </xf>
    <xf numFmtId="0" fontId="30" fillId="0" borderId="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0" fillId="0" borderId="5" xfId="0" applyFont="1" applyBorder="1" applyAlignment="1">
      <alignment horizontal="left" vertical="center" wrapText="1"/>
    </xf>
    <xf numFmtId="0" fontId="30" fillId="0" borderId="2" xfId="0" applyFont="1" applyBorder="1" applyAlignment="1">
      <alignment horizontal="left" vertical="center" wrapText="1"/>
    </xf>
    <xf numFmtId="0" fontId="30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181" fontId="8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 wrapText="1"/>
    </xf>
    <xf numFmtId="0" fontId="31" fillId="0" borderId="1" xfId="0" applyFont="1" applyBorder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0" fontId="26" fillId="0" borderId="0" xfId="0" applyFont="1" applyAlignment="1">
      <alignment horizontal="left" vertical="center" wrapText="1"/>
    </xf>
    <xf numFmtId="0" fontId="27" fillId="0" borderId="1" xfId="0" applyFont="1" applyBorder="1" applyAlignment="1">
      <alignment horizontal="left" vertical="center" wrapText="1"/>
    </xf>
    <xf numFmtId="0" fontId="27" fillId="0" borderId="1" xfId="0" applyFont="1" applyBorder="1" applyAlignment="1">
      <alignment horizontal="justify" vertical="center" wrapText="1"/>
    </xf>
    <xf numFmtId="0" fontId="28" fillId="0" borderId="5" xfId="0" applyFont="1" applyBorder="1" applyAlignment="1">
      <alignment horizontal="left" vertical="center" wrapText="1"/>
    </xf>
    <xf numFmtId="0" fontId="28" fillId="0" borderId="2" xfId="0" applyFont="1" applyBorder="1" applyAlignment="1">
      <alignment horizontal="left" vertical="center" wrapText="1"/>
    </xf>
    <xf numFmtId="0" fontId="28" fillId="0" borderId="4" xfId="0" applyFont="1" applyBorder="1" applyAlignment="1">
      <alignment horizontal="left" vertical="center" wrapText="1"/>
    </xf>
    <xf numFmtId="188" fontId="8" fillId="0" borderId="5" xfId="0" applyNumberFormat="1" applyFont="1" applyBorder="1" applyAlignment="1">
      <alignment horizontal="center" vertical="center" wrapText="1"/>
    </xf>
    <xf numFmtId="188" fontId="8" fillId="0" borderId="2" xfId="0" applyNumberFormat="1" applyFont="1" applyBorder="1" applyAlignment="1">
      <alignment horizontal="center" vertical="center" wrapText="1"/>
    </xf>
    <xf numFmtId="188" fontId="8" fillId="0" borderId="4" xfId="0" applyNumberFormat="1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2" fontId="8" fillId="0" borderId="5" xfId="0" applyNumberFormat="1" applyFont="1" applyBorder="1" applyAlignment="1">
      <alignment horizontal="center" vertical="center" wrapText="1"/>
    </xf>
    <xf numFmtId="2" fontId="8" fillId="0" borderId="2" xfId="0" applyNumberFormat="1" applyFont="1" applyBorder="1" applyAlignment="1">
      <alignment horizontal="center" vertical="center" wrapText="1"/>
    </xf>
    <xf numFmtId="2" fontId="8" fillId="0" borderId="4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81" fontId="2" fillId="0" borderId="1" xfId="0" applyNumberFormat="1" applyFont="1" applyBorder="1" applyAlignment="1">
      <alignment horizontal="center" vertical="center" wrapText="1"/>
    </xf>
    <xf numFmtId="0" fontId="30" fillId="7" borderId="5" xfId="0" applyFont="1" applyFill="1" applyBorder="1" applyAlignment="1">
      <alignment horizontal="left" vertical="center" wrapText="1"/>
    </xf>
    <xf numFmtId="0" fontId="30" fillId="7" borderId="2" xfId="0" applyFont="1" applyFill="1" applyBorder="1" applyAlignment="1">
      <alignment horizontal="left" vertical="center" wrapText="1"/>
    </xf>
    <xf numFmtId="0" fontId="30" fillId="7" borderId="4" xfId="0" applyFont="1" applyFill="1" applyBorder="1" applyAlignment="1">
      <alignment horizontal="left" vertical="center" wrapText="1"/>
    </xf>
    <xf numFmtId="0" fontId="30" fillId="7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8" fillId="7" borderId="5" xfId="0" applyFont="1" applyFill="1" applyBorder="1" applyAlignment="1">
      <alignment horizontal="left" vertical="center" wrapText="1"/>
    </xf>
    <xf numFmtId="0" fontId="28" fillId="7" borderId="2" xfId="0" applyFont="1" applyFill="1" applyBorder="1" applyAlignment="1">
      <alignment horizontal="left" vertical="center" wrapText="1"/>
    </xf>
    <xf numFmtId="0" fontId="28" fillId="7" borderId="4" xfId="0" applyFont="1" applyFill="1" applyBorder="1" applyAlignment="1">
      <alignment horizontal="left" vertical="center" wrapText="1"/>
    </xf>
    <xf numFmtId="0" fontId="28" fillId="7" borderId="1" xfId="0" applyFont="1" applyFill="1" applyBorder="1" applyAlignment="1">
      <alignment horizontal="left" vertical="center" wrapText="1"/>
    </xf>
    <xf numFmtId="0" fontId="29" fillId="7" borderId="1" xfId="0" applyFont="1" applyFill="1" applyBorder="1" applyAlignment="1">
      <alignment horizontal="left" vertical="center" wrapText="1"/>
    </xf>
    <xf numFmtId="0" fontId="31" fillId="7" borderId="1" xfId="0" applyFont="1" applyFill="1" applyBorder="1" applyAlignment="1">
      <alignment horizontal="left" vertical="center" wrapText="1"/>
    </xf>
    <xf numFmtId="0" fontId="25" fillId="7" borderId="0" xfId="0" applyFont="1" applyFill="1" applyAlignment="1">
      <alignment horizontal="left" vertical="center" wrapText="1"/>
    </xf>
    <xf numFmtId="0" fontId="26" fillId="7" borderId="0" xfId="0" applyFont="1" applyFill="1" applyAlignment="1">
      <alignment horizontal="left" vertical="center" wrapText="1"/>
    </xf>
    <xf numFmtId="0" fontId="27" fillId="7" borderId="1" xfId="0" applyFont="1" applyFill="1" applyBorder="1" applyAlignment="1">
      <alignment horizontal="left" vertical="center" wrapText="1"/>
    </xf>
    <xf numFmtId="0" fontId="27" fillId="7" borderId="1" xfId="0" applyFont="1" applyFill="1" applyBorder="1" applyAlignment="1">
      <alignment horizontal="justify" vertical="center" wrapText="1"/>
    </xf>
    <xf numFmtId="0" fontId="3" fillId="5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6">
    <cellStyle name="百分比" xfId="2" builtinId="5"/>
    <cellStyle name="常规" xfId="0" builtinId="0"/>
    <cellStyle name="常规 2" xfId="3" xr:uid="{87502DD5-9041-4429-88C9-F97FCDFD7673}"/>
    <cellStyle name="常规 3" xfId="4" xr:uid="{44F3AA95-9AFC-4800-B3E0-6615B83C7151}"/>
    <cellStyle name="超链接" xfId="5" builtinId="8"/>
    <cellStyle name="千位分隔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tianqi24.com/historycity/" TargetMode="External"/><Relationship Id="rId13" Type="http://schemas.openxmlformats.org/officeDocument/2006/relationships/hyperlink" Target="https://www.tianqi24.com/historycity/" TargetMode="External"/><Relationship Id="rId3" Type="http://schemas.openxmlformats.org/officeDocument/2006/relationships/hyperlink" Target="https://www.tianqi24.com/historycity/" TargetMode="External"/><Relationship Id="rId7" Type="http://schemas.openxmlformats.org/officeDocument/2006/relationships/hyperlink" Target="https://www.tianqi24.com/historycity/" TargetMode="External"/><Relationship Id="rId12" Type="http://schemas.openxmlformats.org/officeDocument/2006/relationships/hyperlink" Target="https://www.tianqi24.com/historycity/" TargetMode="External"/><Relationship Id="rId17" Type="http://schemas.openxmlformats.org/officeDocument/2006/relationships/printerSettings" Target="../printerSettings/printerSettings3.bin"/><Relationship Id="rId2" Type="http://schemas.openxmlformats.org/officeDocument/2006/relationships/hyperlink" Target="https://www.tianqi24.com/historycity/" TargetMode="External"/><Relationship Id="rId16" Type="http://schemas.openxmlformats.org/officeDocument/2006/relationships/hyperlink" Target="https://www.tianqi24.com/historycity/" TargetMode="External"/><Relationship Id="rId1" Type="http://schemas.openxmlformats.org/officeDocument/2006/relationships/hyperlink" Target="https://www.tianqi24.com/historycity/" TargetMode="External"/><Relationship Id="rId6" Type="http://schemas.openxmlformats.org/officeDocument/2006/relationships/hyperlink" Target="https://www.tianqi24.com/historycity/" TargetMode="External"/><Relationship Id="rId11" Type="http://schemas.openxmlformats.org/officeDocument/2006/relationships/hyperlink" Target="https://www.tianqi24.com/historycity/" TargetMode="External"/><Relationship Id="rId5" Type="http://schemas.openxmlformats.org/officeDocument/2006/relationships/hyperlink" Target="https://www.tianqi24.com/historycity/" TargetMode="External"/><Relationship Id="rId15" Type="http://schemas.openxmlformats.org/officeDocument/2006/relationships/hyperlink" Target="https://www.tianqi24.com/historycity/" TargetMode="External"/><Relationship Id="rId10" Type="http://schemas.openxmlformats.org/officeDocument/2006/relationships/hyperlink" Target="https://www.tianqi24.com/historycity/" TargetMode="External"/><Relationship Id="rId4" Type="http://schemas.openxmlformats.org/officeDocument/2006/relationships/hyperlink" Target="https://www.tianqi24.com/historycity/" TargetMode="External"/><Relationship Id="rId9" Type="http://schemas.openxmlformats.org/officeDocument/2006/relationships/hyperlink" Target="https://www.tianqi24.com/historycity/" TargetMode="External"/><Relationship Id="rId14" Type="http://schemas.openxmlformats.org/officeDocument/2006/relationships/hyperlink" Target="https://www.tianqi24.com/historycity/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tianqi24.com/historycity/" TargetMode="External"/><Relationship Id="rId13" Type="http://schemas.openxmlformats.org/officeDocument/2006/relationships/hyperlink" Target="https://www.tianqi24.com/historycity/" TargetMode="External"/><Relationship Id="rId3" Type="http://schemas.openxmlformats.org/officeDocument/2006/relationships/hyperlink" Target="https://www.tianqi24.com/historycity/" TargetMode="External"/><Relationship Id="rId7" Type="http://schemas.openxmlformats.org/officeDocument/2006/relationships/hyperlink" Target="https://www.tianqi24.com/historycity/" TargetMode="External"/><Relationship Id="rId12" Type="http://schemas.openxmlformats.org/officeDocument/2006/relationships/hyperlink" Target="https://www.tianqi24.com/historycity/" TargetMode="External"/><Relationship Id="rId17" Type="http://schemas.openxmlformats.org/officeDocument/2006/relationships/printerSettings" Target="../printerSettings/printerSettings4.bin"/><Relationship Id="rId2" Type="http://schemas.openxmlformats.org/officeDocument/2006/relationships/hyperlink" Target="https://www.tianqi24.com/historycity/" TargetMode="External"/><Relationship Id="rId16" Type="http://schemas.openxmlformats.org/officeDocument/2006/relationships/hyperlink" Target="https://www.tianqi24.com/historycity/" TargetMode="External"/><Relationship Id="rId1" Type="http://schemas.openxmlformats.org/officeDocument/2006/relationships/hyperlink" Target="https://www.tianqi24.com/historycity/" TargetMode="External"/><Relationship Id="rId6" Type="http://schemas.openxmlformats.org/officeDocument/2006/relationships/hyperlink" Target="https://www.tianqi24.com/historycity/" TargetMode="External"/><Relationship Id="rId11" Type="http://schemas.openxmlformats.org/officeDocument/2006/relationships/hyperlink" Target="https://www.tianqi24.com/historycity/" TargetMode="External"/><Relationship Id="rId5" Type="http://schemas.openxmlformats.org/officeDocument/2006/relationships/hyperlink" Target="https://www.tianqi24.com/historycity/" TargetMode="External"/><Relationship Id="rId15" Type="http://schemas.openxmlformats.org/officeDocument/2006/relationships/hyperlink" Target="https://www.tianqi24.com/historycity/" TargetMode="External"/><Relationship Id="rId10" Type="http://schemas.openxmlformats.org/officeDocument/2006/relationships/hyperlink" Target="https://www.tianqi24.com/historycity/" TargetMode="External"/><Relationship Id="rId4" Type="http://schemas.openxmlformats.org/officeDocument/2006/relationships/hyperlink" Target="https://www.tianqi24.com/historycity/" TargetMode="External"/><Relationship Id="rId9" Type="http://schemas.openxmlformats.org/officeDocument/2006/relationships/hyperlink" Target="https://www.tianqi24.com/historycity/" TargetMode="External"/><Relationship Id="rId14" Type="http://schemas.openxmlformats.org/officeDocument/2006/relationships/hyperlink" Target="https://www.tianqi24.com/historycity/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tianqi24.com/historycity/" TargetMode="External"/><Relationship Id="rId13" Type="http://schemas.openxmlformats.org/officeDocument/2006/relationships/hyperlink" Target="https://www.tianqi24.com/historycity/" TargetMode="External"/><Relationship Id="rId3" Type="http://schemas.openxmlformats.org/officeDocument/2006/relationships/hyperlink" Target="https://www.tianqi24.com/historycity/" TargetMode="External"/><Relationship Id="rId7" Type="http://schemas.openxmlformats.org/officeDocument/2006/relationships/hyperlink" Target="https://www.tianqi24.com/historycity/" TargetMode="External"/><Relationship Id="rId12" Type="http://schemas.openxmlformats.org/officeDocument/2006/relationships/hyperlink" Target="https://www.tianqi24.com/historycity/" TargetMode="External"/><Relationship Id="rId17" Type="http://schemas.openxmlformats.org/officeDocument/2006/relationships/printerSettings" Target="../printerSettings/printerSettings5.bin"/><Relationship Id="rId2" Type="http://schemas.openxmlformats.org/officeDocument/2006/relationships/hyperlink" Target="https://www.tianqi24.com/historycity/" TargetMode="External"/><Relationship Id="rId16" Type="http://schemas.openxmlformats.org/officeDocument/2006/relationships/hyperlink" Target="https://www.tianqi24.com/historycity/" TargetMode="External"/><Relationship Id="rId1" Type="http://schemas.openxmlformats.org/officeDocument/2006/relationships/hyperlink" Target="https://www.tianqi24.com/historycity/" TargetMode="External"/><Relationship Id="rId6" Type="http://schemas.openxmlformats.org/officeDocument/2006/relationships/hyperlink" Target="https://www.tianqi24.com/historycity/" TargetMode="External"/><Relationship Id="rId11" Type="http://schemas.openxmlformats.org/officeDocument/2006/relationships/hyperlink" Target="https://www.tianqi24.com/historycity/" TargetMode="External"/><Relationship Id="rId5" Type="http://schemas.openxmlformats.org/officeDocument/2006/relationships/hyperlink" Target="https://www.tianqi24.com/historycity/" TargetMode="External"/><Relationship Id="rId15" Type="http://schemas.openxmlformats.org/officeDocument/2006/relationships/hyperlink" Target="https://www.tianqi24.com/historycity/" TargetMode="External"/><Relationship Id="rId10" Type="http://schemas.openxmlformats.org/officeDocument/2006/relationships/hyperlink" Target="https://www.tianqi24.com/historycity/" TargetMode="External"/><Relationship Id="rId4" Type="http://schemas.openxmlformats.org/officeDocument/2006/relationships/hyperlink" Target="https://www.tianqi24.com/historycity/" TargetMode="External"/><Relationship Id="rId9" Type="http://schemas.openxmlformats.org/officeDocument/2006/relationships/hyperlink" Target="https://www.tianqi24.com/historycity/" TargetMode="External"/><Relationship Id="rId14" Type="http://schemas.openxmlformats.org/officeDocument/2006/relationships/hyperlink" Target="https://www.tianqi24.com/historycity/" TargetMode="Externa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mee.gov.cn/ywgz/ydqhbh/wsqtkz/202012/W020201229610353340851.pdf" TargetMode="External"/><Relationship Id="rId18" Type="http://schemas.openxmlformats.org/officeDocument/2006/relationships/hyperlink" Target="https://www.tianqi24.com/historycity/" TargetMode="External"/><Relationship Id="rId26" Type="http://schemas.openxmlformats.org/officeDocument/2006/relationships/hyperlink" Target="https://www.tianqi24.com/historycity/" TargetMode="External"/><Relationship Id="rId39" Type="http://schemas.openxmlformats.org/officeDocument/2006/relationships/hyperlink" Target="https://baike.baidu.com/item/%E6%9F%B4%E6%B2%B9%E5%AF%86%E5%BA%A6/298487" TargetMode="External"/><Relationship Id="rId3" Type="http://schemas.openxmlformats.org/officeDocument/2006/relationships/hyperlink" Target="https://www.mee.gov.cn/ywgz/ydqhbh/wsqtkz/202012/W020201229610353340851.pdf" TargetMode="External"/><Relationship Id="rId21" Type="http://schemas.openxmlformats.org/officeDocument/2006/relationships/hyperlink" Target="https://www.mee.gov.cn/ywgz/ydqhbh/wsqtkz/202012/W020201229610353340851.pdf" TargetMode="External"/><Relationship Id="rId34" Type="http://schemas.openxmlformats.org/officeDocument/2006/relationships/hyperlink" Target="https://baike.baidu.com/item/%E6%9F%B4%E6%B2%B9%E5%AF%86%E5%BA%A6/298487" TargetMode="External"/><Relationship Id="rId42" Type="http://schemas.openxmlformats.org/officeDocument/2006/relationships/hyperlink" Target="https://baike.baidu.com/item/%E6%9F%B4%E6%B2%B9%E5%AF%86%E5%BA%A6/298487" TargetMode="External"/><Relationship Id="rId47" Type="http://schemas.openxmlformats.org/officeDocument/2006/relationships/hyperlink" Target="https://baike.baidu.com/item/%E6%9F%B4%E6%B2%B9%E5%AF%86%E5%BA%A6/298487" TargetMode="External"/><Relationship Id="rId7" Type="http://schemas.openxmlformats.org/officeDocument/2006/relationships/hyperlink" Target="https://www.mee.gov.cn/ywgz/ydqhbh/wsqtkz/202012/W020201229610353340851.pdf" TargetMode="External"/><Relationship Id="rId12" Type="http://schemas.openxmlformats.org/officeDocument/2006/relationships/hyperlink" Target="https://www.tianqi24.com/historycity/" TargetMode="External"/><Relationship Id="rId17" Type="http://schemas.openxmlformats.org/officeDocument/2006/relationships/hyperlink" Target="https://www.mee.gov.cn/ywgz/ydqhbh/wsqtkz/202012/W020201229610353340851.pdf" TargetMode="External"/><Relationship Id="rId25" Type="http://schemas.openxmlformats.org/officeDocument/2006/relationships/hyperlink" Target="https://www.mee.gov.cn/ywgz/ydqhbh/wsqtkz/202012/W020201229610353340851.pdf" TargetMode="External"/><Relationship Id="rId33" Type="http://schemas.openxmlformats.org/officeDocument/2006/relationships/hyperlink" Target="https://www.mee.gov.cn/ywgz/ydqhbh/wsqtkz/202012/W020201229610353340851.pdf" TargetMode="External"/><Relationship Id="rId38" Type="http://schemas.openxmlformats.org/officeDocument/2006/relationships/hyperlink" Target="https://baike.baidu.com/item/%E6%9F%B4%E6%B2%B9%E5%AF%86%E5%BA%A6/298487" TargetMode="External"/><Relationship Id="rId46" Type="http://schemas.openxmlformats.org/officeDocument/2006/relationships/hyperlink" Target="https://baike.baidu.com/item/%E6%9F%B4%E6%B2%B9%E5%AF%86%E5%BA%A6/298487" TargetMode="External"/><Relationship Id="rId2" Type="http://schemas.openxmlformats.org/officeDocument/2006/relationships/hyperlink" Target="https://www.tianqi24.com/historycity/" TargetMode="External"/><Relationship Id="rId16" Type="http://schemas.openxmlformats.org/officeDocument/2006/relationships/hyperlink" Target="https://www.tianqi24.com/historycity/" TargetMode="External"/><Relationship Id="rId20" Type="http://schemas.openxmlformats.org/officeDocument/2006/relationships/hyperlink" Target="https://www.tianqi24.com/historycity/" TargetMode="External"/><Relationship Id="rId29" Type="http://schemas.openxmlformats.org/officeDocument/2006/relationships/hyperlink" Target="https://www.mee.gov.cn/ywgz/ydqhbh/wsqtkz/202012/W020201229610353340851.pdf" TargetMode="External"/><Relationship Id="rId41" Type="http://schemas.openxmlformats.org/officeDocument/2006/relationships/hyperlink" Target="https://baike.baidu.com/item/%E6%9F%B4%E6%B2%B9%E5%AF%86%E5%BA%A6/298487" TargetMode="External"/><Relationship Id="rId1" Type="http://schemas.openxmlformats.org/officeDocument/2006/relationships/hyperlink" Target="https://baike.baidu.com/item/%E6%9F%B4%E6%B2%B9%E5%AF%86%E5%BA%A6/298487" TargetMode="External"/><Relationship Id="rId6" Type="http://schemas.openxmlformats.org/officeDocument/2006/relationships/hyperlink" Target="https://www.tianqi24.com/historycity/" TargetMode="External"/><Relationship Id="rId11" Type="http://schemas.openxmlformats.org/officeDocument/2006/relationships/hyperlink" Target="https://www.mee.gov.cn/ywgz/ydqhbh/wsqtkz/202012/W020201229610353340851.pdf" TargetMode="External"/><Relationship Id="rId24" Type="http://schemas.openxmlformats.org/officeDocument/2006/relationships/hyperlink" Target="https://www.tianqi24.com/historycity/" TargetMode="External"/><Relationship Id="rId32" Type="http://schemas.openxmlformats.org/officeDocument/2006/relationships/hyperlink" Target="https://www.tianqi24.com/historycity/" TargetMode="External"/><Relationship Id="rId37" Type="http://schemas.openxmlformats.org/officeDocument/2006/relationships/hyperlink" Target="https://baike.baidu.com/item/%E6%9F%B4%E6%B2%B9%E5%AF%86%E5%BA%A6/298487" TargetMode="External"/><Relationship Id="rId40" Type="http://schemas.openxmlformats.org/officeDocument/2006/relationships/hyperlink" Target="https://baike.baidu.com/item/%E6%9F%B4%E6%B2%B9%E5%AF%86%E5%BA%A6/298487" TargetMode="External"/><Relationship Id="rId45" Type="http://schemas.openxmlformats.org/officeDocument/2006/relationships/hyperlink" Target="https://baike.baidu.com/item/%E6%9F%B4%E6%B2%B9%E5%AF%86%E5%BA%A6/298487" TargetMode="External"/><Relationship Id="rId5" Type="http://schemas.openxmlformats.org/officeDocument/2006/relationships/hyperlink" Target="https://www.mee.gov.cn/ywgz/ydqhbh/wsqtkz/202012/W020201229610353340851.pdf" TargetMode="External"/><Relationship Id="rId15" Type="http://schemas.openxmlformats.org/officeDocument/2006/relationships/hyperlink" Target="https://www.mee.gov.cn/ywgz/ydqhbh/wsqtkz/202012/W020201229610353340851.pdf" TargetMode="External"/><Relationship Id="rId23" Type="http://schemas.openxmlformats.org/officeDocument/2006/relationships/hyperlink" Target="https://www.mee.gov.cn/ywgz/ydqhbh/wsqtkz/202012/W020201229610353340851.pdf" TargetMode="External"/><Relationship Id="rId28" Type="http://schemas.openxmlformats.org/officeDocument/2006/relationships/hyperlink" Target="https://www.tianqi24.com/historycity/" TargetMode="External"/><Relationship Id="rId36" Type="http://schemas.openxmlformats.org/officeDocument/2006/relationships/hyperlink" Target="https://baike.baidu.com/item/%E6%9F%B4%E6%B2%B9%E5%AF%86%E5%BA%A6/298487" TargetMode="External"/><Relationship Id="rId49" Type="http://schemas.openxmlformats.org/officeDocument/2006/relationships/printerSettings" Target="../printerSettings/printerSettings6.bin"/><Relationship Id="rId10" Type="http://schemas.openxmlformats.org/officeDocument/2006/relationships/hyperlink" Target="https://www.tianqi24.com/historycity/" TargetMode="External"/><Relationship Id="rId19" Type="http://schemas.openxmlformats.org/officeDocument/2006/relationships/hyperlink" Target="https://www.mee.gov.cn/ywgz/ydqhbh/wsqtkz/202012/W020201229610353340851.pdf" TargetMode="External"/><Relationship Id="rId31" Type="http://schemas.openxmlformats.org/officeDocument/2006/relationships/hyperlink" Target="https://www.mee.gov.cn/ywgz/ydqhbh/wsqtkz/202012/W020201229610353340851.pdf" TargetMode="External"/><Relationship Id="rId44" Type="http://schemas.openxmlformats.org/officeDocument/2006/relationships/hyperlink" Target="https://baike.baidu.com/item/%E6%9F%B4%E6%B2%B9%E5%AF%86%E5%BA%A6/298487" TargetMode="External"/><Relationship Id="rId4" Type="http://schemas.openxmlformats.org/officeDocument/2006/relationships/hyperlink" Target="https://www.tianqi24.com/historycity/" TargetMode="External"/><Relationship Id="rId9" Type="http://schemas.openxmlformats.org/officeDocument/2006/relationships/hyperlink" Target="https://www.mee.gov.cn/ywgz/ydqhbh/wsqtkz/202012/W020201229610353340851.pdf" TargetMode="External"/><Relationship Id="rId14" Type="http://schemas.openxmlformats.org/officeDocument/2006/relationships/hyperlink" Target="https://www.tianqi24.com/historycity/" TargetMode="External"/><Relationship Id="rId22" Type="http://schemas.openxmlformats.org/officeDocument/2006/relationships/hyperlink" Target="https://www.tianqi24.com/historycity/" TargetMode="External"/><Relationship Id="rId27" Type="http://schemas.openxmlformats.org/officeDocument/2006/relationships/hyperlink" Target="https://www.mee.gov.cn/ywgz/ydqhbh/wsqtkz/202012/W020201229610353340851.pdf" TargetMode="External"/><Relationship Id="rId30" Type="http://schemas.openxmlformats.org/officeDocument/2006/relationships/hyperlink" Target="https://www.tianqi24.com/historycity/" TargetMode="External"/><Relationship Id="rId35" Type="http://schemas.openxmlformats.org/officeDocument/2006/relationships/hyperlink" Target="https://baike.baidu.com/item/%E6%9F%B4%E6%B2%B9%E5%AF%86%E5%BA%A6/298487" TargetMode="External"/><Relationship Id="rId43" Type="http://schemas.openxmlformats.org/officeDocument/2006/relationships/hyperlink" Target="https://baike.baidu.com/item/%E6%9F%B4%E6%B2%B9%E5%AF%86%E5%BA%A6/298487" TargetMode="External"/><Relationship Id="rId48" Type="http://schemas.openxmlformats.org/officeDocument/2006/relationships/hyperlink" Target="https://baike.baidu.com/item/%E6%9F%B4%E6%B2%B9%E5%AF%86%E5%BA%A6/298487" TargetMode="External"/><Relationship Id="rId8" Type="http://schemas.openxmlformats.org/officeDocument/2006/relationships/hyperlink" Target="https://www.tianqi24.com/historycity/" TargetMode="External"/></Relationships>
</file>

<file path=xl/worksheets/_rels/sheet7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mee.gov.cn/ywgz/ydqhbh/wsqtkz/202012/W020201229610353340851.pdf" TargetMode="External"/><Relationship Id="rId18" Type="http://schemas.openxmlformats.org/officeDocument/2006/relationships/hyperlink" Target="https://www.tianqi24.com/historycity/" TargetMode="External"/><Relationship Id="rId26" Type="http://schemas.openxmlformats.org/officeDocument/2006/relationships/hyperlink" Target="https://www.tianqi24.com/historycity/" TargetMode="External"/><Relationship Id="rId39" Type="http://schemas.openxmlformats.org/officeDocument/2006/relationships/hyperlink" Target="https://baike.baidu.com/item/%E6%9F%B4%E6%B2%B9%E5%AF%86%E5%BA%A6/298487" TargetMode="External"/><Relationship Id="rId3" Type="http://schemas.openxmlformats.org/officeDocument/2006/relationships/hyperlink" Target="https://www.mee.gov.cn/ywgz/ydqhbh/wsqtkz/202012/W020201229610353340851.pdf" TargetMode="External"/><Relationship Id="rId21" Type="http://schemas.openxmlformats.org/officeDocument/2006/relationships/hyperlink" Target="https://www.mee.gov.cn/ywgz/ydqhbh/wsqtkz/202012/W020201229610353340851.pdf" TargetMode="External"/><Relationship Id="rId34" Type="http://schemas.openxmlformats.org/officeDocument/2006/relationships/hyperlink" Target="https://baike.baidu.com/item/%E6%9F%B4%E6%B2%B9%E5%AF%86%E5%BA%A6/298487" TargetMode="External"/><Relationship Id="rId42" Type="http://schemas.openxmlformats.org/officeDocument/2006/relationships/hyperlink" Target="https://baike.baidu.com/item/%E6%9F%B4%E6%B2%B9%E5%AF%86%E5%BA%A6/298487" TargetMode="External"/><Relationship Id="rId47" Type="http://schemas.openxmlformats.org/officeDocument/2006/relationships/hyperlink" Target="https://baike.baidu.com/item/%E6%9F%B4%E6%B2%B9%E5%AF%86%E5%BA%A6/298487" TargetMode="External"/><Relationship Id="rId7" Type="http://schemas.openxmlformats.org/officeDocument/2006/relationships/hyperlink" Target="https://www.mee.gov.cn/ywgz/ydqhbh/wsqtkz/202012/W020201229610353340851.pdf" TargetMode="External"/><Relationship Id="rId12" Type="http://schemas.openxmlformats.org/officeDocument/2006/relationships/hyperlink" Target="https://www.tianqi24.com/historycity/" TargetMode="External"/><Relationship Id="rId17" Type="http://schemas.openxmlformats.org/officeDocument/2006/relationships/hyperlink" Target="https://www.mee.gov.cn/ywgz/ydqhbh/wsqtkz/202012/W020201229610353340851.pdf" TargetMode="External"/><Relationship Id="rId25" Type="http://schemas.openxmlformats.org/officeDocument/2006/relationships/hyperlink" Target="https://www.mee.gov.cn/ywgz/ydqhbh/wsqtkz/202012/W020201229610353340851.pdf" TargetMode="External"/><Relationship Id="rId33" Type="http://schemas.openxmlformats.org/officeDocument/2006/relationships/hyperlink" Target="https://baike.baidu.com/item/%E6%9F%B4%E6%B2%B9%E5%AF%86%E5%BA%A6/298487" TargetMode="External"/><Relationship Id="rId38" Type="http://schemas.openxmlformats.org/officeDocument/2006/relationships/hyperlink" Target="https://baike.baidu.com/item/%E6%9F%B4%E6%B2%B9%E5%AF%86%E5%BA%A6/298487" TargetMode="External"/><Relationship Id="rId46" Type="http://schemas.openxmlformats.org/officeDocument/2006/relationships/hyperlink" Target="https://baike.baidu.com/item/%E6%9F%B4%E6%B2%B9%E5%AF%86%E5%BA%A6/298487" TargetMode="External"/><Relationship Id="rId2" Type="http://schemas.openxmlformats.org/officeDocument/2006/relationships/hyperlink" Target="https://www.tianqi24.com/historycity/" TargetMode="External"/><Relationship Id="rId16" Type="http://schemas.openxmlformats.org/officeDocument/2006/relationships/hyperlink" Target="https://www.tianqi24.com/historycity/" TargetMode="External"/><Relationship Id="rId20" Type="http://schemas.openxmlformats.org/officeDocument/2006/relationships/hyperlink" Target="https://www.tianqi24.com/historycity/" TargetMode="External"/><Relationship Id="rId29" Type="http://schemas.openxmlformats.org/officeDocument/2006/relationships/hyperlink" Target="https://www.mee.gov.cn/ywgz/ydqhbh/wsqtkz/202012/W020201229610353340851.pdf" TargetMode="External"/><Relationship Id="rId41" Type="http://schemas.openxmlformats.org/officeDocument/2006/relationships/hyperlink" Target="https://baike.baidu.com/item/%E6%9F%B4%E6%B2%B9%E5%AF%86%E5%BA%A6/298487" TargetMode="External"/><Relationship Id="rId1" Type="http://schemas.openxmlformats.org/officeDocument/2006/relationships/hyperlink" Target="https://www.mee.gov.cn/ywgz/ydqhbh/wsqtkz/202012/W020201229610353340851.pdf" TargetMode="External"/><Relationship Id="rId6" Type="http://schemas.openxmlformats.org/officeDocument/2006/relationships/hyperlink" Target="https://www.tianqi24.com/historycity/" TargetMode="External"/><Relationship Id="rId11" Type="http://schemas.openxmlformats.org/officeDocument/2006/relationships/hyperlink" Target="https://www.mee.gov.cn/ywgz/ydqhbh/wsqtkz/202012/W020201229610353340851.pdf" TargetMode="External"/><Relationship Id="rId24" Type="http://schemas.openxmlformats.org/officeDocument/2006/relationships/hyperlink" Target="https://www.tianqi24.com/historycity/" TargetMode="External"/><Relationship Id="rId32" Type="http://schemas.openxmlformats.org/officeDocument/2006/relationships/hyperlink" Target="https://baike.baidu.com/item/%E6%9F%B4%E6%B2%B9%E5%AF%86%E5%BA%A6/298487" TargetMode="External"/><Relationship Id="rId37" Type="http://schemas.openxmlformats.org/officeDocument/2006/relationships/hyperlink" Target="https://baike.baidu.com/item/%E6%9F%B4%E6%B2%B9%E5%AF%86%E5%BA%A6/298487" TargetMode="External"/><Relationship Id="rId40" Type="http://schemas.openxmlformats.org/officeDocument/2006/relationships/hyperlink" Target="https://baike.baidu.com/item/%E6%9F%B4%E6%B2%B9%E5%AF%86%E5%BA%A6/298487" TargetMode="External"/><Relationship Id="rId45" Type="http://schemas.openxmlformats.org/officeDocument/2006/relationships/hyperlink" Target="https://baike.baidu.com/item/%E6%9F%B4%E6%B2%B9%E5%AF%86%E5%BA%A6/298487" TargetMode="External"/><Relationship Id="rId5" Type="http://schemas.openxmlformats.org/officeDocument/2006/relationships/hyperlink" Target="https://www.mee.gov.cn/ywgz/ydqhbh/wsqtkz/202012/W020201229610353340851.pdf" TargetMode="External"/><Relationship Id="rId15" Type="http://schemas.openxmlformats.org/officeDocument/2006/relationships/hyperlink" Target="https://www.mee.gov.cn/ywgz/ydqhbh/wsqtkz/202012/W020201229610353340851.pdf" TargetMode="External"/><Relationship Id="rId23" Type="http://schemas.openxmlformats.org/officeDocument/2006/relationships/hyperlink" Target="https://www.mee.gov.cn/ywgz/ydqhbh/wsqtkz/202012/W020201229610353340851.pdf" TargetMode="External"/><Relationship Id="rId28" Type="http://schemas.openxmlformats.org/officeDocument/2006/relationships/hyperlink" Target="https://www.tianqi24.com/historycity/" TargetMode="External"/><Relationship Id="rId36" Type="http://schemas.openxmlformats.org/officeDocument/2006/relationships/hyperlink" Target="https://baike.baidu.com/item/%E6%9F%B4%E6%B2%B9%E5%AF%86%E5%BA%A6/298487" TargetMode="External"/><Relationship Id="rId49" Type="http://schemas.openxmlformats.org/officeDocument/2006/relationships/printerSettings" Target="../printerSettings/printerSettings7.bin"/><Relationship Id="rId10" Type="http://schemas.openxmlformats.org/officeDocument/2006/relationships/hyperlink" Target="https://www.tianqi24.com/historycity/" TargetMode="External"/><Relationship Id="rId19" Type="http://schemas.openxmlformats.org/officeDocument/2006/relationships/hyperlink" Target="https://www.mee.gov.cn/ywgz/ydqhbh/wsqtkz/202012/W020201229610353340851.pdf" TargetMode="External"/><Relationship Id="rId31" Type="http://schemas.openxmlformats.org/officeDocument/2006/relationships/hyperlink" Target="https://www.mee.gov.cn/ywgz/ydqhbh/wsqtkz/202012/W020201229610353340851.pdf" TargetMode="External"/><Relationship Id="rId44" Type="http://schemas.openxmlformats.org/officeDocument/2006/relationships/hyperlink" Target="https://baike.baidu.com/item/%E6%9F%B4%E6%B2%B9%E5%AF%86%E5%BA%A6/298487" TargetMode="External"/><Relationship Id="rId4" Type="http://schemas.openxmlformats.org/officeDocument/2006/relationships/hyperlink" Target="https://www.tianqi24.com/historycity/" TargetMode="External"/><Relationship Id="rId9" Type="http://schemas.openxmlformats.org/officeDocument/2006/relationships/hyperlink" Target="https://www.mee.gov.cn/ywgz/ydqhbh/wsqtkz/202012/W020201229610353340851.pdf" TargetMode="External"/><Relationship Id="rId14" Type="http://schemas.openxmlformats.org/officeDocument/2006/relationships/hyperlink" Target="https://www.tianqi24.com/historycity/" TargetMode="External"/><Relationship Id="rId22" Type="http://schemas.openxmlformats.org/officeDocument/2006/relationships/hyperlink" Target="https://www.tianqi24.com/historycity/" TargetMode="External"/><Relationship Id="rId27" Type="http://schemas.openxmlformats.org/officeDocument/2006/relationships/hyperlink" Target="https://www.mee.gov.cn/ywgz/ydqhbh/wsqtkz/202012/W020201229610353340851.pdf" TargetMode="External"/><Relationship Id="rId30" Type="http://schemas.openxmlformats.org/officeDocument/2006/relationships/hyperlink" Target="https://www.tianqi24.com/historycity/" TargetMode="External"/><Relationship Id="rId35" Type="http://schemas.openxmlformats.org/officeDocument/2006/relationships/hyperlink" Target="https://baike.baidu.com/item/%E6%9F%B4%E6%B2%B9%E5%AF%86%E5%BA%A6/298487" TargetMode="External"/><Relationship Id="rId43" Type="http://schemas.openxmlformats.org/officeDocument/2006/relationships/hyperlink" Target="https://baike.baidu.com/item/%E6%9F%B4%E6%B2%B9%E5%AF%86%E5%BA%A6/298487" TargetMode="External"/><Relationship Id="rId48" Type="http://schemas.openxmlformats.org/officeDocument/2006/relationships/hyperlink" Target="https://www.tianqi24.com/historycity/" TargetMode="External"/><Relationship Id="rId8" Type="http://schemas.openxmlformats.org/officeDocument/2006/relationships/hyperlink" Target="https://www.tianqi24.com/historycity/" TargetMode="External"/></Relationships>
</file>

<file path=xl/worksheets/_rels/sheet8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mee.gov.cn/ywgz/ydqhbh/wsqtkz/202012/W020201229610353340851.pdf" TargetMode="External"/><Relationship Id="rId18" Type="http://schemas.openxmlformats.org/officeDocument/2006/relationships/hyperlink" Target="https://www.tianqi24.com/historycity/" TargetMode="External"/><Relationship Id="rId26" Type="http://schemas.openxmlformats.org/officeDocument/2006/relationships/hyperlink" Target="https://www.tianqi24.com/historycity/" TargetMode="External"/><Relationship Id="rId39" Type="http://schemas.openxmlformats.org/officeDocument/2006/relationships/hyperlink" Target="https://baike.baidu.com/item/%E6%9F%B4%E6%B2%B9%E5%AF%86%E5%BA%A6/298487" TargetMode="External"/><Relationship Id="rId3" Type="http://schemas.openxmlformats.org/officeDocument/2006/relationships/hyperlink" Target="https://baike.baidu.com/item/%E6%9F%B4%E6%B2%B9%E5%AF%86%E5%BA%A6/298487" TargetMode="External"/><Relationship Id="rId21" Type="http://schemas.openxmlformats.org/officeDocument/2006/relationships/hyperlink" Target="https://www.mee.gov.cn/ywgz/ydqhbh/wsqtkz/202012/W020201229610353340851.pdf" TargetMode="External"/><Relationship Id="rId34" Type="http://schemas.openxmlformats.org/officeDocument/2006/relationships/hyperlink" Target="https://baike.baidu.com/item/%E6%9F%B4%E6%B2%B9%E5%AF%86%E5%BA%A6/298487" TargetMode="External"/><Relationship Id="rId42" Type="http://schemas.openxmlformats.org/officeDocument/2006/relationships/hyperlink" Target="https://baike.baidu.com/item/%E6%9F%B4%E6%B2%B9%E5%AF%86%E5%BA%A6/298487" TargetMode="External"/><Relationship Id="rId47" Type="http://schemas.openxmlformats.org/officeDocument/2006/relationships/hyperlink" Target="https://baike.baidu.com/item/%E6%9F%B4%E6%B2%B9%E5%AF%86%E5%BA%A6/298487" TargetMode="External"/><Relationship Id="rId7" Type="http://schemas.openxmlformats.org/officeDocument/2006/relationships/hyperlink" Target="https://www.mee.gov.cn/ywgz/ydqhbh/wsqtkz/202012/W020201229610353340851.pdf" TargetMode="External"/><Relationship Id="rId12" Type="http://schemas.openxmlformats.org/officeDocument/2006/relationships/hyperlink" Target="https://www.tianqi24.com/historycity/" TargetMode="External"/><Relationship Id="rId17" Type="http://schemas.openxmlformats.org/officeDocument/2006/relationships/hyperlink" Target="https://www.mee.gov.cn/ywgz/ydqhbh/wsqtkz/202012/W020201229610353340851.pdf" TargetMode="External"/><Relationship Id="rId25" Type="http://schemas.openxmlformats.org/officeDocument/2006/relationships/hyperlink" Target="https://www.mee.gov.cn/ywgz/ydqhbh/wsqtkz/202012/W020201229610353340851.pdf" TargetMode="External"/><Relationship Id="rId33" Type="http://schemas.openxmlformats.org/officeDocument/2006/relationships/hyperlink" Target="https://www.mee.gov.cn/ywgz/ydqhbh/wsqtkz/202012/W020201229610353340851.pdf" TargetMode="External"/><Relationship Id="rId38" Type="http://schemas.openxmlformats.org/officeDocument/2006/relationships/hyperlink" Target="https://baike.baidu.com/item/%E6%9F%B4%E6%B2%B9%E5%AF%86%E5%BA%A6/298487" TargetMode="External"/><Relationship Id="rId46" Type="http://schemas.openxmlformats.org/officeDocument/2006/relationships/hyperlink" Target="https://baike.baidu.com/item/%E6%9F%B4%E6%B2%B9%E5%AF%86%E5%BA%A6/298487" TargetMode="External"/><Relationship Id="rId2" Type="http://schemas.openxmlformats.org/officeDocument/2006/relationships/hyperlink" Target="https://www.mee.gov.cn/ywgz/ydqhbh/wsqtkz/202012/W020201229610353340851.pdf" TargetMode="External"/><Relationship Id="rId16" Type="http://schemas.openxmlformats.org/officeDocument/2006/relationships/hyperlink" Target="https://www.tianqi24.com/historycity/" TargetMode="External"/><Relationship Id="rId20" Type="http://schemas.openxmlformats.org/officeDocument/2006/relationships/hyperlink" Target="https://www.tianqi24.com/historycity/" TargetMode="External"/><Relationship Id="rId29" Type="http://schemas.openxmlformats.org/officeDocument/2006/relationships/hyperlink" Target="https://www.mee.gov.cn/ywgz/ydqhbh/wsqtkz/202012/W020201229610353340851.pdf" TargetMode="External"/><Relationship Id="rId41" Type="http://schemas.openxmlformats.org/officeDocument/2006/relationships/hyperlink" Target="https://baike.baidu.com/item/%E6%9F%B4%E6%B2%B9%E5%AF%86%E5%BA%A6/298487" TargetMode="External"/><Relationship Id="rId1" Type="http://schemas.openxmlformats.org/officeDocument/2006/relationships/hyperlink" Target="https://www.tianqi24.com/historycity/" TargetMode="External"/><Relationship Id="rId6" Type="http://schemas.openxmlformats.org/officeDocument/2006/relationships/hyperlink" Target="https://www.tianqi24.com/historycity/" TargetMode="External"/><Relationship Id="rId11" Type="http://schemas.openxmlformats.org/officeDocument/2006/relationships/hyperlink" Target="https://www.mee.gov.cn/ywgz/ydqhbh/wsqtkz/202012/W020201229610353340851.pdf" TargetMode="External"/><Relationship Id="rId24" Type="http://schemas.openxmlformats.org/officeDocument/2006/relationships/hyperlink" Target="https://www.tianqi24.com/historycity/" TargetMode="External"/><Relationship Id="rId32" Type="http://schemas.openxmlformats.org/officeDocument/2006/relationships/hyperlink" Target="https://www.tianqi24.com/historycity/" TargetMode="External"/><Relationship Id="rId37" Type="http://schemas.openxmlformats.org/officeDocument/2006/relationships/hyperlink" Target="https://baike.baidu.com/item/%E6%9F%B4%E6%B2%B9%E5%AF%86%E5%BA%A6/298487" TargetMode="External"/><Relationship Id="rId40" Type="http://schemas.openxmlformats.org/officeDocument/2006/relationships/hyperlink" Target="https://baike.baidu.com/item/%E6%9F%B4%E6%B2%B9%E5%AF%86%E5%BA%A6/298487" TargetMode="External"/><Relationship Id="rId45" Type="http://schemas.openxmlformats.org/officeDocument/2006/relationships/hyperlink" Target="https://baike.baidu.com/item/%E6%9F%B4%E6%B2%B9%E5%AF%86%E5%BA%A6/298487" TargetMode="External"/><Relationship Id="rId5" Type="http://schemas.openxmlformats.org/officeDocument/2006/relationships/hyperlink" Target="https://www.mee.gov.cn/ywgz/ydqhbh/wsqtkz/202012/W020201229610353340851.pdf" TargetMode="External"/><Relationship Id="rId15" Type="http://schemas.openxmlformats.org/officeDocument/2006/relationships/hyperlink" Target="https://www.mee.gov.cn/ywgz/ydqhbh/wsqtkz/202012/W020201229610353340851.pdf" TargetMode="External"/><Relationship Id="rId23" Type="http://schemas.openxmlformats.org/officeDocument/2006/relationships/hyperlink" Target="https://www.mee.gov.cn/ywgz/ydqhbh/wsqtkz/202012/W020201229610353340851.pdf" TargetMode="External"/><Relationship Id="rId28" Type="http://schemas.openxmlformats.org/officeDocument/2006/relationships/hyperlink" Target="https://www.tianqi24.com/historycity/" TargetMode="External"/><Relationship Id="rId36" Type="http://schemas.openxmlformats.org/officeDocument/2006/relationships/hyperlink" Target="https://baike.baidu.com/item/%E6%9F%B4%E6%B2%B9%E5%AF%86%E5%BA%A6/298487" TargetMode="External"/><Relationship Id="rId49" Type="http://schemas.openxmlformats.org/officeDocument/2006/relationships/printerSettings" Target="../printerSettings/printerSettings8.bin"/><Relationship Id="rId10" Type="http://schemas.openxmlformats.org/officeDocument/2006/relationships/hyperlink" Target="https://www.tianqi24.com/historycity/" TargetMode="External"/><Relationship Id="rId19" Type="http://schemas.openxmlformats.org/officeDocument/2006/relationships/hyperlink" Target="https://www.mee.gov.cn/ywgz/ydqhbh/wsqtkz/202012/W020201229610353340851.pdf" TargetMode="External"/><Relationship Id="rId31" Type="http://schemas.openxmlformats.org/officeDocument/2006/relationships/hyperlink" Target="https://www.mee.gov.cn/ywgz/ydqhbh/wsqtkz/202012/W020201229610353340851.pdf" TargetMode="External"/><Relationship Id="rId44" Type="http://schemas.openxmlformats.org/officeDocument/2006/relationships/hyperlink" Target="https://baike.baidu.com/item/%E6%9F%B4%E6%B2%B9%E5%AF%86%E5%BA%A6/298487" TargetMode="External"/><Relationship Id="rId4" Type="http://schemas.openxmlformats.org/officeDocument/2006/relationships/hyperlink" Target="https://www.tianqi24.com/historycity/" TargetMode="External"/><Relationship Id="rId9" Type="http://schemas.openxmlformats.org/officeDocument/2006/relationships/hyperlink" Target="https://www.mee.gov.cn/ywgz/ydqhbh/wsqtkz/202012/W020201229610353340851.pdf" TargetMode="External"/><Relationship Id="rId14" Type="http://schemas.openxmlformats.org/officeDocument/2006/relationships/hyperlink" Target="https://www.tianqi24.com/historycity/" TargetMode="External"/><Relationship Id="rId22" Type="http://schemas.openxmlformats.org/officeDocument/2006/relationships/hyperlink" Target="https://www.tianqi24.com/historycity/" TargetMode="External"/><Relationship Id="rId27" Type="http://schemas.openxmlformats.org/officeDocument/2006/relationships/hyperlink" Target="https://www.mee.gov.cn/ywgz/ydqhbh/wsqtkz/202012/W020201229610353340851.pdf" TargetMode="External"/><Relationship Id="rId30" Type="http://schemas.openxmlformats.org/officeDocument/2006/relationships/hyperlink" Target="https://www.tianqi24.com/historycity/" TargetMode="External"/><Relationship Id="rId35" Type="http://schemas.openxmlformats.org/officeDocument/2006/relationships/hyperlink" Target="https://baike.baidu.com/item/%E6%9F%B4%E6%B2%B9%E5%AF%86%E5%BA%A6/298487" TargetMode="External"/><Relationship Id="rId43" Type="http://schemas.openxmlformats.org/officeDocument/2006/relationships/hyperlink" Target="https://baike.baidu.com/item/%E6%9F%B4%E6%B2%B9%E5%AF%86%E5%BA%A6/298487" TargetMode="External"/><Relationship Id="rId48" Type="http://schemas.openxmlformats.org/officeDocument/2006/relationships/hyperlink" Target="https://baike.baidu.com/item/%E6%9F%B4%E6%B2%B9%E5%AF%86%E5%BA%A6/298487" TargetMode="External"/><Relationship Id="rId8" Type="http://schemas.openxmlformats.org/officeDocument/2006/relationships/hyperlink" Target="https://www.tianqi24.com/historycity/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V626"/>
  <sheetViews>
    <sheetView zoomScale="110" zoomScaleNormal="110" workbookViewId="0">
      <selection activeCell="C24" sqref="C24"/>
    </sheetView>
  </sheetViews>
  <sheetFormatPr defaultColWidth="11.44140625" defaultRowHeight="10.199999999999999" x14ac:dyDescent="0.2"/>
  <cols>
    <col min="1" max="1" width="7.109375" style="79" customWidth="1"/>
    <col min="2" max="2" width="43.21875" style="79" customWidth="1"/>
    <col min="3" max="3" width="95.44140625" style="79" customWidth="1"/>
    <col min="4" max="334" width="11.44140625" style="79"/>
    <col min="335" max="16384" width="11.44140625" style="81"/>
  </cols>
  <sheetData>
    <row r="1" spans="2:3" s="79" customFormat="1" x14ac:dyDescent="0.2"/>
    <row r="2" spans="2:3" s="79" customFormat="1" ht="10.8" thickBot="1" x14ac:dyDescent="0.25"/>
    <row r="3" spans="2:3" s="79" customFormat="1" ht="15.6" x14ac:dyDescent="0.3">
      <c r="B3" s="82" t="s">
        <v>0</v>
      </c>
      <c r="C3" s="83" t="s">
        <v>218</v>
      </c>
    </row>
    <row r="4" spans="2:3" s="79" customFormat="1" ht="15.6" x14ac:dyDescent="0.3">
      <c r="B4" s="84" t="s">
        <v>1</v>
      </c>
      <c r="C4" s="85" t="s">
        <v>2</v>
      </c>
    </row>
    <row r="5" spans="2:3" s="79" customFormat="1" ht="31.2" x14ac:dyDescent="0.3">
      <c r="B5" s="84" t="s">
        <v>3</v>
      </c>
      <c r="C5" s="86" t="s">
        <v>4</v>
      </c>
    </row>
    <row r="6" spans="2:3" s="79" customFormat="1" ht="15.6" x14ac:dyDescent="0.3">
      <c r="B6" s="84" t="s">
        <v>5</v>
      </c>
      <c r="C6" s="134" t="s">
        <v>396</v>
      </c>
    </row>
    <row r="7" spans="2:3" s="79" customFormat="1" ht="15.6" x14ac:dyDescent="0.3">
      <c r="B7" s="84" t="s">
        <v>6</v>
      </c>
      <c r="C7" s="87" t="s">
        <v>395</v>
      </c>
    </row>
    <row r="8" spans="2:3" s="79" customFormat="1" ht="15.6" x14ac:dyDescent="0.3">
      <c r="B8" s="84" t="s">
        <v>7</v>
      </c>
      <c r="C8" s="85" t="s">
        <v>219</v>
      </c>
    </row>
    <row r="9" spans="2:3" s="79" customFormat="1" ht="15.6" x14ac:dyDescent="0.3">
      <c r="B9" s="132" t="s">
        <v>328</v>
      </c>
      <c r="C9" s="133" t="s">
        <v>348</v>
      </c>
    </row>
    <row r="10" spans="2:3" s="79" customFormat="1" ht="16.2" thickBot="1" x14ac:dyDescent="0.35">
      <c r="B10" s="88" t="s">
        <v>327</v>
      </c>
      <c r="C10" s="89">
        <f>'Emission Reductions'!F104</f>
        <v>110002</v>
      </c>
    </row>
    <row r="11" spans="2:3" s="79" customFormat="1" x14ac:dyDescent="0.2"/>
    <row r="12" spans="2:3" s="79" customFormat="1" x14ac:dyDescent="0.2"/>
    <row r="13" spans="2:3" s="79" customFormat="1" x14ac:dyDescent="0.2"/>
    <row r="14" spans="2:3" s="79" customFormat="1" x14ac:dyDescent="0.2"/>
    <row r="15" spans="2:3" s="79" customFormat="1" x14ac:dyDescent="0.2"/>
    <row r="16" spans="2:3" s="79" customFormat="1" x14ac:dyDescent="0.2"/>
    <row r="17" s="79" customFormat="1" x14ac:dyDescent="0.2"/>
    <row r="18" s="79" customFormat="1" x14ac:dyDescent="0.2"/>
    <row r="19" s="79" customFormat="1" x14ac:dyDescent="0.2"/>
    <row r="20" s="79" customFormat="1" x14ac:dyDescent="0.2"/>
    <row r="21" s="79" customFormat="1" x14ac:dyDescent="0.2"/>
    <row r="22" s="79" customFormat="1" x14ac:dyDescent="0.2"/>
    <row r="23" s="79" customFormat="1" x14ac:dyDescent="0.2"/>
    <row r="24" s="79" customFormat="1" x14ac:dyDescent="0.2"/>
    <row r="25" s="79" customFormat="1" x14ac:dyDescent="0.2"/>
    <row r="26" s="79" customFormat="1" x14ac:dyDescent="0.2"/>
    <row r="27" s="79" customFormat="1" x14ac:dyDescent="0.2"/>
    <row r="28" s="79" customFormat="1" x14ac:dyDescent="0.2"/>
    <row r="29" s="79" customFormat="1" x14ac:dyDescent="0.2"/>
    <row r="30" s="79" customFormat="1" x14ac:dyDescent="0.2"/>
    <row r="31" s="79" customFormat="1" x14ac:dyDescent="0.2"/>
    <row r="32" s="79" customFormat="1" x14ac:dyDescent="0.2"/>
    <row r="33" s="79" customFormat="1" x14ac:dyDescent="0.2"/>
    <row r="34" s="79" customFormat="1" x14ac:dyDescent="0.2"/>
    <row r="35" s="79" customFormat="1" x14ac:dyDescent="0.2"/>
    <row r="36" s="79" customFormat="1" x14ac:dyDescent="0.2"/>
    <row r="37" s="79" customFormat="1" x14ac:dyDescent="0.2"/>
    <row r="38" s="79" customFormat="1" x14ac:dyDescent="0.2"/>
    <row r="39" s="79" customFormat="1" x14ac:dyDescent="0.2"/>
    <row r="40" s="79" customFormat="1" x14ac:dyDescent="0.2"/>
    <row r="41" s="79" customFormat="1" x14ac:dyDescent="0.2"/>
    <row r="42" s="79" customFormat="1" x14ac:dyDescent="0.2"/>
    <row r="43" s="79" customFormat="1" x14ac:dyDescent="0.2"/>
    <row r="44" s="79" customFormat="1" x14ac:dyDescent="0.2"/>
    <row r="45" s="79" customFormat="1" x14ac:dyDescent="0.2"/>
    <row r="46" s="79" customFormat="1" x14ac:dyDescent="0.2"/>
    <row r="47" s="79" customFormat="1" x14ac:dyDescent="0.2"/>
    <row r="48" s="79" customFormat="1" x14ac:dyDescent="0.2"/>
    <row r="49" s="79" customFormat="1" x14ac:dyDescent="0.2"/>
    <row r="50" s="79" customFormat="1" x14ac:dyDescent="0.2"/>
    <row r="51" s="79" customFormat="1" x14ac:dyDescent="0.2"/>
    <row r="52" s="79" customFormat="1" x14ac:dyDescent="0.2"/>
    <row r="53" s="79" customFormat="1" x14ac:dyDescent="0.2"/>
    <row r="54" s="79" customFormat="1" x14ac:dyDescent="0.2"/>
    <row r="55" s="79" customFormat="1" x14ac:dyDescent="0.2"/>
    <row r="56" s="79" customFormat="1" x14ac:dyDescent="0.2"/>
    <row r="57" s="79" customFormat="1" x14ac:dyDescent="0.2"/>
    <row r="58" s="79" customFormat="1" x14ac:dyDescent="0.2"/>
    <row r="59" s="79" customFormat="1" x14ac:dyDescent="0.2"/>
    <row r="60" s="79" customFormat="1" x14ac:dyDescent="0.2"/>
    <row r="61" s="79" customFormat="1" x14ac:dyDescent="0.2"/>
    <row r="62" s="79" customFormat="1" x14ac:dyDescent="0.2"/>
    <row r="63" s="79" customFormat="1" x14ac:dyDescent="0.2"/>
    <row r="64" s="79" customFormat="1" x14ac:dyDescent="0.2"/>
    <row r="65" s="79" customFormat="1" x14ac:dyDescent="0.2"/>
    <row r="66" s="79" customFormat="1" x14ac:dyDescent="0.2"/>
    <row r="67" s="79" customFormat="1" x14ac:dyDescent="0.2"/>
    <row r="68" s="79" customFormat="1" x14ac:dyDescent="0.2"/>
    <row r="69" s="79" customFormat="1" x14ac:dyDescent="0.2"/>
    <row r="70" s="79" customFormat="1" x14ac:dyDescent="0.2"/>
    <row r="71" s="79" customFormat="1" x14ac:dyDescent="0.2"/>
    <row r="72" s="79" customFormat="1" x14ac:dyDescent="0.2"/>
    <row r="73" s="79" customFormat="1" x14ac:dyDescent="0.2"/>
    <row r="74" s="79" customFormat="1" x14ac:dyDescent="0.2"/>
    <row r="75" s="79" customFormat="1" x14ac:dyDescent="0.2"/>
    <row r="76" s="79" customFormat="1" x14ac:dyDescent="0.2"/>
    <row r="77" s="79" customFormat="1" x14ac:dyDescent="0.2"/>
    <row r="78" s="79" customFormat="1" x14ac:dyDescent="0.2"/>
    <row r="79" s="79" customFormat="1" x14ac:dyDescent="0.2"/>
    <row r="80" s="79" customFormat="1" x14ac:dyDescent="0.2"/>
    <row r="81" s="79" customFormat="1" x14ac:dyDescent="0.2"/>
    <row r="82" s="79" customFormat="1" x14ac:dyDescent="0.2"/>
    <row r="83" s="79" customFormat="1" x14ac:dyDescent="0.2"/>
    <row r="84" s="79" customFormat="1" x14ac:dyDescent="0.2"/>
    <row r="85" s="79" customFormat="1" x14ac:dyDescent="0.2"/>
    <row r="86" s="79" customFormat="1" x14ac:dyDescent="0.2"/>
    <row r="87" s="79" customFormat="1" x14ac:dyDescent="0.2"/>
    <row r="88" s="79" customFormat="1" x14ac:dyDescent="0.2"/>
    <row r="89" s="79" customFormat="1" x14ac:dyDescent="0.2"/>
    <row r="90" s="79" customFormat="1" x14ac:dyDescent="0.2"/>
    <row r="91" s="79" customFormat="1" x14ac:dyDescent="0.2"/>
    <row r="92" s="79" customFormat="1" x14ac:dyDescent="0.2"/>
    <row r="93" s="79" customFormat="1" x14ac:dyDescent="0.2"/>
    <row r="94" s="79" customFormat="1" x14ac:dyDescent="0.2"/>
    <row r="95" s="79" customFormat="1" x14ac:dyDescent="0.2"/>
    <row r="96" s="79" customFormat="1" x14ac:dyDescent="0.2"/>
    <row r="97" s="79" customFormat="1" x14ac:dyDescent="0.2"/>
    <row r="98" s="79" customFormat="1" x14ac:dyDescent="0.2"/>
    <row r="99" s="79" customFormat="1" x14ac:dyDescent="0.2"/>
    <row r="100" s="79" customFormat="1" x14ac:dyDescent="0.2"/>
    <row r="101" s="79" customFormat="1" x14ac:dyDescent="0.2"/>
    <row r="102" s="79" customFormat="1" x14ac:dyDescent="0.2"/>
    <row r="103" s="79" customFormat="1" x14ac:dyDescent="0.2"/>
    <row r="104" s="79" customFormat="1" x14ac:dyDescent="0.2"/>
    <row r="105" s="79" customFormat="1" x14ac:dyDescent="0.2"/>
    <row r="106" s="79" customFormat="1" x14ac:dyDescent="0.2"/>
    <row r="107" s="79" customFormat="1" x14ac:dyDescent="0.2"/>
    <row r="108" s="79" customFormat="1" x14ac:dyDescent="0.2"/>
    <row r="109" s="79" customFormat="1" x14ac:dyDescent="0.2"/>
    <row r="110" s="79" customFormat="1" x14ac:dyDescent="0.2"/>
    <row r="111" s="79" customFormat="1" x14ac:dyDescent="0.2"/>
    <row r="112" s="79" customFormat="1" x14ac:dyDescent="0.2"/>
    <row r="113" s="79" customFormat="1" x14ac:dyDescent="0.2"/>
    <row r="114" s="79" customFormat="1" x14ac:dyDescent="0.2"/>
    <row r="115" s="79" customFormat="1" x14ac:dyDescent="0.2"/>
    <row r="116" s="79" customFormat="1" x14ac:dyDescent="0.2"/>
    <row r="117" s="79" customFormat="1" x14ac:dyDescent="0.2"/>
    <row r="118" s="79" customFormat="1" x14ac:dyDescent="0.2"/>
    <row r="119" s="79" customFormat="1" x14ac:dyDescent="0.2"/>
    <row r="120" s="79" customFormat="1" x14ac:dyDescent="0.2"/>
    <row r="121" s="79" customFormat="1" x14ac:dyDescent="0.2"/>
    <row r="122" s="79" customFormat="1" x14ac:dyDescent="0.2"/>
    <row r="123" s="79" customFormat="1" x14ac:dyDescent="0.2"/>
    <row r="124" s="79" customFormat="1" x14ac:dyDescent="0.2"/>
    <row r="125" s="79" customFormat="1" x14ac:dyDescent="0.2"/>
    <row r="126" s="79" customFormat="1" x14ac:dyDescent="0.2"/>
    <row r="127" s="79" customFormat="1" x14ac:dyDescent="0.2"/>
    <row r="128" s="79" customFormat="1" x14ac:dyDescent="0.2"/>
    <row r="129" s="79" customFormat="1" x14ac:dyDescent="0.2"/>
    <row r="130" s="79" customFormat="1" x14ac:dyDescent="0.2"/>
    <row r="131" s="79" customFormat="1" x14ac:dyDescent="0.2"/>
    <row r="132" s="79" customFormat="1" x14ac:dyDescent="0.2"/>
    <row r="133" s="79" customFormat="1" x14ac:dyDescent="0.2"/>
    <row r="134" s="79" customFormat="1" x14ac:dyDescent="0.2"/>
    <row r="135" s="79" customFormat="1" x14ac:dyDescent="0.2"/>
    <row r="136" s="79" customFormat="1" x14ac:dyDescent="0.2"/>
    <row r="137" s="79" customFormat="1" x14ac:dyDescent="0.2"/>
    <row r="138" s="79" customFormat="1" x14ac:dyDescent="0.2"/>
    <row r="139" s="79" customFormat="1" x14ac:dyDescent="0.2"/>
    <row r="140" s="79" customFormat="1" x14ac:dyDescent="0.2"/>
    <row r="141" s="79" customFormat="1" x14ac:dyDescent="0.2"/>
    <row r="142" s="79" customFormat="1" x14ac:dyDescent="0.2"/>
    <row r="143" s="79" customFormat="1" x14ac:dyDescent="0.2"/>
    <row r="144" s="79" customFormat="1" x14ac:dyDescent="0.2"/>
    <row r="145" s="79" customFormat="1" x14ac:dyDescent="0.2"/>
    <row r="146" s="79" customFormat="1" x14ac:dyDescent="0.2"/>
    <row r="147" s="79" customFormat="1" x14ac:dyDescent="0.2"/>
    <row r="148" s="79" customFormat="1" x14ac:dyDescent="0.2"/>
    <row r="149" s="79" customFormat="1" x14ac:dyDescent="0.2"/>
    <row r="150" s="79" customFormat="1" x14ac:dyDescent="0.2"/>
    <row r="151" s="79" customFormat="1" x14ac:dyDescent="0.2"/>
    <row r="152" s="79" customFormat="1" x14ac:dyDescent="0.2"/>
    <row r="153" s="79" customFormat="1" x14ac:dyDescent="0.2"/>
    <row r="154" s="79" customFormat="1" x14ac:dyDescent="0.2"/>
    <row r="155" s="79" customFormat="1" x14ac:dyDescent="0.2"/>
    <row r="156" s="79" customFormat="1" x14ac:dyDescent="0.2"/>
    <row r="157" s="79" customFormat="1" x14ac:dyDescent="0.2"/>
    <row r="158" s="79" customFormat="1" x14ac:dyDescent="0.2"/>
    <row r="159" s="79" customFormat="1" x14ac:dyDescent="0.2"/>
    <row r="160" s="79" customFormat="1" x14ac:dyDescent="0.2"/>
    <row r="161" s="79" customFormat="1" x14ac:dyDescent="0.2"/>
    <row r="162" s="79" customFormat="1" x14ac:dyDescent="0.2"/>
    <row r="163" s="79" customFormat="1" x14ac:dyDescent="0.2"/>
    <row r="164" s="79" customFormat="1" x14ac:dyDescent="0.2"/>
    <row r="165" s="79" customFormat="1" x14ac:dyDescent="0.2"/>
    <row r="166" s="79" customFormat="1" x14ac:dyDescent="0.2"/>
    <row r="167" s="79" customFormat="1" x14ac:dyDescent="0.2"/>
    <row r="168" s="79" customFormat="1" x14ac:dyDescent="0.2"/>
    <row r="169" s="79" customFormat="1" x14ac:dyDescent="0.2"/>
    <row r="170" s="79" customFormat="1" x14ac:dyDescent="0.2"/>
    <row r="171" s="79" customFormat="1" x14ac:dyDescent="0.2"/>
    <row r="172" s="79" customFormat="1" x14ac:dyDescent="0.2"/>
    <row r="173" s="79" customFormat="1" x14ac:dyDescent="0.2"/>
    <row r="174" s="79" customFormat="1" x14ac:dyDescent="0.2"/>
    <row r="175" s="79" customFormat="1" x14ac:dyDescent="0.2"/>
    <row r="176" s="79" customFormat="1" x14ac:dyDescent="0.2"/>
    <row r="177" s="79" customFormat="1" x14ac:dyDescent="0.2"/>
    <row r="178" s="79" customFormat="1" x14ac:dyDescent="0.2"/>
    <row r="179" s="79" customFormat="1" x14ac:dyDescent="0.2"/>
    <row r="180" s="79" customFormat="1" x14ac:dyDescent="0.2"/>
    <row r="181" s="79" customFormat="1" x14ac:dyDescent="0.2"/>
    <row r="182" s="79" customFormat="1" x14ac:dyDescent="0.2"/>
    <row r="183" s="79" customFormat="1" x14ac:dyDescent="0.2"/>
    <row r="184" s="79" customFormat="1" x14ac:dyDescent="0.2"/>
    <row r="185" s="79" customFormat="1" x14ac:dyDescent="0.2"/>
    <row r="186" s="79" customFormat="1" x14ac:dyDescent="0.2"/>
    <row r="187" s="79" customFormat="1" x14ac:dyDescent="0.2"/>
    <row r="188" s="79" customFormat="1" x14ac:dyDescent="0.2"/>
    <row r="189" s="79" customFormat="1" x14ac:dyDescent="0.2"/>
    <row r="190" s="79" customFormat="1" x14ac:dyDescent="0.2"/>
    <row r="191" s="79" customFormat="1" x14ac:dyDescent="0.2"/>
    <row r="192" s="79" customFormat="1" x14ac:dyDescent="0.2"/>
    <row r="193" s="79" customFormat="1" x14ac:dyDescent="0.2"/>
    <row r="194" s="79" customFormat="1" x14ac:dyDescent="0.2"/>
    <row r="195" s="79" customFormat="1" x14ac:dyDescent="0.2"/>
    <row r="196" s="79" customFormat="1" x14ac:dyDescent="0.2"/>
    <row r="197" s="79" customFormat="1" x14ac:dyDescent="0.2"/>
    <row r="198" s="79" customFormat="1" x14ac:dyDescent="0.2"/>
    <row r="199" s="79" customFormat="1" x14ac:dyDescent="0.2"/>
    <row r="200" s="79" customFormat="1" x14ac:dyDescent="0.2"/>
    <row r="201" s="79" customFormat="1" x14ac:dyDescent="0.2"/>
    <row r="202" s="79" customFormat="1" x14ac:dyDescent="0.2"/>
    <row r="203" s="79" customFormat="1" x14ac:dyDescent="0.2"/>
    <row r="204" s="79" customFormat="1" x14ac:dyDescent="0.2"/>
    <row r="205" s="79" customFormat="1" x14ac:dyDescent="0.2"/>
    <row r="206" s="79" customFormat="1" x14ac:dyDescent="0.2"/>
    <row r="207" s="79" customFormat="1" x14ac:dyDescent="0.2"/>
    <row r="208" s="79" customFormat="1" x14ac:dyDescent="0.2"/>
    <row r="209" s="79" customFormat="1" x14ac:dyDescent="0.2"/>
    <row r="210" s="79" customFormat="1" x14ac:dyDescent="0.2"/>
    <row r="211" s="79" customFormat="1" x14ac:dyDescent="0.2"/>
    <row r="212" s="79" customFormat="1" x14ac:dyDescent="0.2"/>
    <row r="213" s="79" customFormat="1" x14ac:dyDescent="0.2"/>
    <row r="214" s="79" customFormat="1" x14ac:dyDescent="0.2"/>
    <row r="215" s="79" customFormat="1" x14ac:dyDescent="0.2"/>
    <row r="216" s="79" customFormat="1" x14ac:dyDescent="0.2"/>
    <row r="217" s="79" customFormat="1" x14ac:dyDescent="0.2"/>
    <row r="218" s="79" customFormat="1" x14ac:dyDescent="0.2"/>
    <row r="219" s="79" customFormat="1" x14ac:dyDescent="0.2"/>
    <row r="220" s="79" customFormat="1" x14ac:dyDescent="0.2"/>
    <row r="221" s="79" customFormat="1" x14ac:dyDescent="0.2"/>
    <row r="222" s="79" customFormat="1" x14ac:dyDescent="0.2"/>
    <row r="223" s="79" customFormat="1" x14ac:dyDescent="0.2"/>
    <row r="224" s="79" customFormat="1" x14ac:dyDescent="0.2"/>
    <row r="225" s="79" customFormat="1" x14ac:dyDescent="0.2"/>
    <row r="226" s="79" customFormat="1" x14ac:dyDescent="0.2"/>
    <row r="227" s="79" customFormat="1" x14ac:dyDescent="0.2"/>
    <row r="228" s="79" customFormat="1" x14ac:dyDescent="0.2"/>
    <row r="229" s="79" customFormat="1" x14ac:dyDescent="0.2"/>
    <row r="230" s="79" customFormat="1" x14ac:dyDescent="0.2"/>
    <row r="231" s="79" customFormat="1" x14ac:dyDescent="0.2"/>
    <row r="232" s="79" customFormat="1" x14ac:dyDescent="0.2"/>
    <row r="233" s="79" customFormat="1" x14ac:dyDescent="0.2"/>
    <row r="234" s="79" customFormat="1" x14ac:dyDescent="0.2"/>
    <row r="235" s="79" customFormat="1" x14ac:dyDescent="0.2"/>
    <row r="236" s="79" customFormat="1" x14ac:dyDescent="0.2"/>
    <row r="237" s="79" customFormat="1" x14ac:dyDescent="0.2"/>
    <row r="238" s="79" customFormat="1" x14ac:dyDescent="0.2"/>
    <row r="239" s="79" customFormat="1" x14ac:dyDescent="0.2"/>
    <row r="240" s="79" customFormat="1" x14ac:dyDescent="0.2"/>
    <row r="241" s="79" customFormat="1" x14ac:dyDescent="0.2"/>
    <row r="242" s="79" customFormat="1" x14ac:dyDescent="0.2"/>
    <row r="243" s="79" customFormat="1" x14ac:dyDescent="0.2"/>
    <row r="244" s="79" customFormat="1" x14ac:dyDescent="0.2"/>
    <row r="245" s="79" customFormat="1" x14ac:dyDescent="0.2"/>
    <row r="246" s="79" customFormat="1" x14ac:dyDescent="0.2"/>
    <row r="247" s="79" customFormat="1" x14ac:dyDescent="0.2"/>
    <row r="248" s="79" customFormat="1" x14ac:dyDescent="0.2"/>
    <row r="249" s="79" customFormat="1" x14ac:dyDescent="0.2"/>
    <row r="250" s="79" customFormat="1" x14ac:dyDescent="0.2"/>
    <row r="251" s="79" customFormat="1" x14ac:dyDescent="0.2"/>
    <row r="252" s="79" customFormat="1" x14ac:dyDescent="0.2"/>
    <row r="253" s="79" customFormat="1" x14ac:dyDescent="0.2"/>
    <row r="254" s="79" customFormat="1" x14ac:dyDescent="0.2"/>
    <row r="255" s="79" customFormat="1" x14ac:dyDescent="0.2"/>
    <row r="256" s="79" customFormat="1" x14ac:dyDescent="0.2"/>
    <row r="257" s="79" customFormat="1" x14ac:dyDescent="0.2"/>
    <row r="258" s="79" customFormat="1" x14ac:dyDescent="0.2"/>
    <row r="259" s="79" customFormat="1" x14ac:dyDescent="0.2"/>
    <row r="260" s="79" customFormat="1" x14ac:dyDescent="0.2"/>
    <row r="261" s="79" customFormat="1" x14ac:dyDescent="0.2"/>
    <row r="262" s="79" customFormat="1" x14ac:dyDescent="0.2"/>
    <row r="263" s="79" customFormat="1" x14ac:dyDescent="0.2"/>
    <row r="264" s="79" customFormat="1" x14ac:dyDescent="0.2"/>
    <row r="265" s="79" customFormat="1" x14ac:dyDescent="0.2"/>
    <row r="266" s="79" customFormat="1" x14ac:dyDescent="0.2"/>
    <row r="267" s="79" customFormat="1" x14ac:dyDescent="0.2"/>
    <row r="268" s="79" customFormat="1" x14ac:dyDescent="0.2"/>
    <row r="269" s="79" customFormat="1" x14ac:dyDescent="0.2"/>
    <row r="270" s="79" customFormat="1" x14ac:dyDescent="0.2"/>
    <row r="271" s="79" customFormat="1" x14ac:dyDescent="0.2"/>
    <row r="272" s="79" customFormat="1" x14ac:dyDescent="0.2"/>
    <row r="273" s="79" customFormat="1" x14ac:dyDescent="0.2"/>
    <row r="274" s="79" customFormat="1" x14ac:dyDescent="0.2"/>
    <row r="275" s="79" customFormat="1" x14ac:dyDescent="0.2"/>
    <row r="276" s="79" customFormat="1" x14ac:dyDescent="0.2"/>
    <row r="277" s="79" customFormat="1" x14ac:dyDescent="0.2"/>
    <row r="278" s="79" customFormat="1" x14ac:dyDescent="0.2"/>
    <row r="279" s="79" customFormat="1" x14ac:dyDescent="0.2"/>
    <row r="280" s="79" customFormat="1" x14ac:dyDescent="0.2"/>
    <row r="281" s="79" customFormat="1" x14ac:dyDescent="0.2"/>
    <row r="282" s="79" customFormat="1" x14ac:dyDescent="0.2"/>
    <row r="283" s="79" customFormat="1" x14ac:dyDescent="0.2"/>
    <row r="284" s="79" customFormat="1" x14ac:dyDescent="0.2"/>
    <row r="285" s="79" customFormat="1" x14ac:dyDescent="0.2"/>
    <row r="286" s="79" customFormat="1" x14ac:dyDescent="0.2"/>
    <row r="287" s="79" customFormat="1" x14ac:dyDescent="0.2"/>
    <row r="288" s="79" customFormat="1" x14ac:dyDescent="0.2"/>
    <row r="289" s="79" customFormat="1" x14ac:dyDescent="0.2"/>
    <row r="290" s="79" customFormat="1" x14ac:dyDescent="0.2"/>
    <row r="291" s="79" customFormat="1" x14ac:dyDescent="0.2"/>
    <row r="292" s="79" customFormat="1" x14ac:dyDescent="0.2"/>
    <row r="293" s="79" customFormat="1" x14ac:dyDescent="0.2"/>
    <row r="294" s="79" customFormat="1" x14ac:dyDescent="0.2"/>
    <row r="295" s="79" customFormat="1" x14ac:dyDescent="0.2"/>
    <row r="296" s="79" customFormat="1" x14ac:dyDescent="0.2"/>
    <row r="297" s="79" customFormat="1" x14ac:dyDescent="0.2"/>
    <row r="298" s="79" customFormat="1" x14ac:dyDescent="0.2"/>
    <row r="299" s="79" customFormat="1" x14ac:dyDescent="0.2"/>
    <row r="300" s="79" customFormat="1" x14ac:dyDescent="0.2"/>
    <row r="301" s="79" customFormat="1" x14ac:dyDescent="0.2"/>
    <row r="302" s="79" customFormat="1" x14ac:dyDescent="0.2"/>
    <row r="303" s="79" customFormat="1" x14ac:dyDescent="0.2"/>
    <row r="304" s="79" customFormat="1" x14ac:dyDescent="0.2"/>
    <row r="305" s="79" customFormat="1" x14ac:dyDescent="0.2"/>
    <row r="306" s="79" customFormat="1" x14ac:dyDescent="0.2"/>
    <row r="307" s="79" customFormat="1" x14ac:dyDescent="0.2"/>
    <row r="308" s="79" customFormat="1" x14ac:dyDescent="0.2"/>
    <row r="309" s="79" customFormat="1" x14ac:dyDescent="0.2"/>
    <row r="310" s="79" customFormat="1" x14ac:dyDescent="0.2"/>
    <row r="311" s="79" customFormat="1" x14ac:dyDescent="0.2"/>
    <row r="312" s="79" customFormat="1" x14ac:dyDescent="0.2"/>
    <row r="313" s="79" customFormat="1" x14ac:dyDescent="0.2"/>
    <row r="314" s="79" customFormat="1" x14ac:dyDescent="0.2"/>
    <row r="315" s="79" customFormat="1" x14ac:dyDescent="0.2"/>
    <row r="316" s="79" customFormat="1" x14ac:dyDescent="0.2"/>
    <row r="317" s="79" customFormat="1" x14ac:dyDescent="0.2"/>
    <row r="318" s="79" customFormat="1" x14ac:dyDescent="0.2"/>
    <row r="319" s="79" customFormat="1" x14ac:dyDescent="0.2"/>
    <row r="320" s="79" customFormat="1" x14ac:dyDescent="0.2"/>
    <row r="321" s="79" customFormat="1" x14ac:dyDescent="0.2"/>
    <row r="322" s="79" customFormat="1" x14ac:dyDescent="0.2"/>
    <row r="323" s="79" customFormat="1" x14ac:dyDescent="0.2"/>
    <row r="324" s="79" customFormat="1" x14ac:dyDescent="0.2"/>
    <row r="325" s="79" customFormat="1" x14ac:dyDescent="0.2"/>
    <row r="326" s="79" customFormat="1" x14ac:dyDescent="0.2"/>
    <row r="327" s="79" customFormat="1" x14ac:dyDescent="0.2"/>
    <row r="328" s="79" customFormat="1" x14ac:dyDescent="0.2"/>
    <row r="329" s="79" customFormat="1" x14ac:dyDescent="0.2"/>
    <row r="330" s="79" customFormat="1" x14ac:dyDescent="0.2"/>
    <row r="331" s="79" customFormat="1" x14ac:dyDescent="0.2"/>
    <row r="332" s="79" customFormat="1" x14ac:dyDescent="0.2"/>
    <row r="333" s="79" customFormat="1" x14ac:dyDescent="0.2"/>
    <row r="334" s="79" customFormat="1" x14ac:dyDescent="0.2"/>
    <row r="335" s="79" customFormat="1" x14ac:dyDescent="0.2"/>
    <row r="336" s="79" customFormat="1" x14ac:dyDescent="0.2"/>
    <row r="337" s="79" customFormat="1" x14ac:dyDescent="0.2"/>
    <row r="338" s="79" customFormat="1" x14ac:dyDescent="0.2"/>
    <row r="339" s="79" customFormat="1" x14ac:dyDescent="0.2"/>
    <row r="340" s="79" customFormat="1" x14ac:dyDescent="0.2"/>
    <row r="341" s="79" customFormat="1" x14ac:dyDescent="0.2"/>
    <row r="342" s="79" customFormat="1" x14ac:dyDescent="0.2"/>
    <row r="343" s="79" customFormat="1" x14ac:dyDescent="0.2"/>
    <row r="344" s="79" customFormat="1" x14ac:dyDescent="0.2"/>
    <row r="345" s="79" customFormat="1" x14ac:dyDescent="0.2"/>
    <row r="346" s="79" customFormat="1" x14ac:dyDescent="0.2"/>
    <row r="347" s="79" customFormat="1" x14ac:dyDescent="0.2"/>
    <row r="348" s="79" customFormat="1" x14ac:dyDescent="0.2"/>
    <row r="349" s="79" customFormat="1" x14ac:dyDescent="0.2"/>
    <row r="350" s="79" customFormat="1" x14ac:dyDescent="0.2"/>
    <row r="351" s="79" customFormat="1" x14ac:dyDescent="0.2"/>
    <row r="352" s="79" customFormat="1" x14ac:dyDescent="0.2"/>
    <row r="353" s="79" customFormat="1" x14ac:dyDescent="0.2"/>
    <row r="354" s="79" customFormat="1" x14ac:dyDescent="0.2"/>
    <row r="355" s="79" customFormat="1" x14ac:dyDescent="0.2"/>
    <row r="356" s="79" customFormat="1" x14ac:dyDescent="0.2"/>
    <row r="357" s="79" customFormat="1" x14ac:dyDescent="0.2"/>
    <row r="358" s="79" customFormat="1" x14ac:dyDescent="0.2"/>
    <row r="359" s="79" customFormat="1" x14ac:dyDescent="0.2"/>
    <row r="360" s="79" customFormat="1" x14ac:dyDescent="0.2"/>
    <row r="361" s="79" customFormat="1" x14ac:dyDescent="0.2"/>
    <row r="362" s="79" customFormat="1" x14ac:dyDescent="0.2"/>
    <row r="363" s="79" customFormat="1" x14ac:dyDescent="0.2"/>
    <row r="364" s="79" customFormat="1" x14ac:dyDescent="0.2"/>
    <row r="365" s="79" customFormat="1" x14ac:dyDescent="0.2"/>
    <row r="366" s="79" customFormat="1" x14ac:dyDescent="0.2"/>
    <row r="367" s="79" customFormat="1" x14ac:dyDescent="0.2"/>
    <row r="368" s="79" customFormat="1" x14ac:dyDescent="0.2"/>
    <row r="369" s="79" customFormat="1" x14ac:dyDescent="0.2"/>
    <row r="370" s="79" customFormat="1" x14ac:dyDescent="0.2"/>
    <row r="371" s="79" customFormat="1" x14ac:dyDescent="0.2"/>
    <row r="372" s="79" customFormat="1" x14ac:dyDescent="0.2"/>
    <row r="373" s="79" customFormat="1" x14ac:dyDescent="0.2"/>
    <row r="374" s="79" customFormat="1" x14ac:dyDescent="0.2"/>
    <row r="375" s="79" customFormat="1" x14ac:dyDescent="0.2"/>
    <row r="376" s="79" customFormat="1" x14ac:dyDescent="0.2"/>
    <row r="377" s="79" customFormat="1" x14ac:dyDescent="0.2"/>
    <row r="378" s="79" customFormat="1" x14ac:dyDescent="0.2"/>
    <row r="379" s="79" customFormat="1" x14ac:dyDescent="0.2"/>
    <row r="380" s="79" customFormat="1" x14ac:dyDescent="0.2"/>
    <row r="381" s="79" customFormat="1" x14ac:dyDescent="0.2"/>
    <row r="382" s="79" customFormat="1" x14ac:dyDescent="0.2"/>
    <row r="383" s="79" customFormat="1" x14ac:dyDescent="0.2"/>
    <row r="384" s="79" customFormat="1" x14ac:dyDescent="0.2"/>
    <row r="385" s="79" customFormat="1" x14ac:dyDescent="0.2"/>
    <row r="386" s="79" customFormat="1" x14ac:dyDescent="0.2"/>
    <row r="387" s="79" customFormat="1" x14ac:dyDescent="0.2"/>
    <row r="388" s="79" customFormat="1" x14ac:dyDescent="0.2"/>
    <row r="389" s="79" customFormat="1" x14ac:dyDescent="0.2"/>
    <row r="390" s="79" customFormat="1" x14ac:dyDescent="0.2"/>
    <row r="391" s="79" customFormat="1" x14ac:dyDescent="0.2"/>
    <row r="392" s="79" customFormat="1" x14ac:dyDescent="0.2"/>
    <row r="393" s="79" customFormat="1" x14ac:dyDescent="0.2"/>
    <row r="394" s="79" customFormat="1" x14ac:dyDescent="0.2"/>
    <row r="395" s="79" customFormat="1" x14ac:dyDescent="0.2"/>
    <row r="396" s="79" customFormat="1" x14ac:dyDescent="0.2"/>
    <row r="397" s="79" customFormat="1" x14ac:dyDescent="0.2"/>
    <row r="398" s="79" customFormat="1" x14ac:dyDescent="0.2"/>
    <row r="399" s="79" customFormat="1" x14ac:dyDescent="0.2"/>
    <row r="400" s="79" customFormat="1" x14ac:dyDescent="0.2"/>
    <row r="401" s="79" customFormat="1" x14ac:dyDescent="0.2"/>
    <row r="402" s="79" customFormat="1" x14ac:dyDescent="0.2"/>
    <row r="403" s="79" customFormat="1" x14ac:dyDescent="0.2"/>
    <row r="404" s="79" customFormat="1" x14ac:dyDescent="0.2"/>
    <row r="405" s="79" customFormat="1" x14ac:dyDescent="0.2"/>
    <row r="406" s="79" customFormat="1" x14ac:dyDescent="0.2"/>
    <row r="407" s="79" customFormat="1" x14ac:dyDescent="0.2"/>
    <row r="408" s="79" customFormat="1" x14ac:dyDescent="0.2"/>
    <row r="409" s="79" customFormat="1" x14ac:dyDescent="0.2"/>
    <row r="410" s="79" customFormat="1" x14ac:dyDescent="0.2"/>
    <row r="411" s="79" customFormat="1" x14ac:dyDescent="0.2"/>
    <row r="412" s="79" customFormat="1" x14ac:dyDescent="0.2"/>
    <row r="413" s="79" customFormat="1" x14ac:dyDescent="0.2"/>
    <row r="414" s="79" customFormat="1" x14ac:dyDescent="0.2"/>
    <row r="415" s="79" customFormat="1" x14ac:dyDescent="0.2"/>
    <row r="416" s="79" customFormat="1" x14ac:dyDescent="0.2"/>
    <row r="417" s="79" customFormat="1" x14ac:dyDescent="0.2"/>
    <row r="418" s="79" customFormat="1" x14ac:dyDescent="0.2"/>
    <row r="419" s="79" customFormat="1" x14ac:dyDescent="0.2"/>
    <row r="420" s="79" customFormat="1" x14ac:dyDescent="0.2"/>
    <row r="421" s="79" customFormat="1" x14ac:dyDescent="0.2"/>
    <row r="422" s="79" customFormat="1" x14ac:dyDescent="0.2"/>
    <row r="423" s="79" customFormat="1" x14ac:dyDescent="0.2"/>
    <row r="424" s="79" customFormat="1" x14ac:dyDescent="0.2"/>
    <row r="425" s="79" customFormat="1" x14ac:dyDescent="0.2"/>
    <row r="426" s="79" customFormat="1" x14ac:dyDescent="0.2"/>
    <row r="427" s="79" customFormat="1" x14ac:dyDescent="0.2"/>
    <row r="428" s="79" customFormat="1" x14ac:dyDescent="0.2"/>
    <row r="429" s="79" customFormat="1" x14ac:dyDescent="0.2"/>
    <row r="430" s="79" customFormat="1" x14ac:dyDescent="0.2"/>
    <row r="431" s="79" customFormat="1" x14ac:dyDescent="0.2"/>
    <row r="432" s="79" customFormat="1" x14ac:dyDescent="0.2"/>
    <row r="433" s="79" customFormat="1" x14ac:dyDescent="0.2"/>
    <row r="434" s="79" customFormat="1" x14ac:dyDescent="0.2"/>
    <row r="435" s="79" customFormat="1" x14ac:dyDescent="0.2"/>
    <row r="436" s="79" customFormat="1" x14ac:dyDescent="0.2"/>
    <row r="437" s="79" customFormat="1" x14ac:dyDescent="0.2"/>
    <row r="438" s="79" customFormat="1" x14ac:dyDescent="0.2"/>
    <row r="439" s="79" customFormat="1" x14ac:dyDescent="0.2"/>
    <row r="440" s="79" customFormat="1" x14ac:dyDescent="0.2"/>
    <row r="441" s="79" customFormat="1" x14ac:dyDescent="0.2"/>
    <row r="442" s="79" customFormat="1" x14ac:dyDescent="0.2"/>
    <row r="443" s="79" customFormat="1" x14ac:dyDescent="0.2"/>
    <row r="444" s="79" customFormat="1" x14ac:dyDescent="0.2"/>
    <row r="445" s="79" customFormat="1" x14ac:dyDescent="0.2"/>
    <row r="446" s="79" customFormat="1" x14ac:dyDescent="0.2"/>
    <row r="447" s="79" customFormat="1" x14ac:dyDescent="0.2"/>
    <row r="448" s="79" customFormat="1" x14ac:dyDescent="0.2"/>
    <row r="449" s="79" customFormat="1" x14ac:dyDescent="0.2"/>
    <row r="450" s="79" customFormat="1" x14ac:dyDescent="0.2"/>
    <row r="451" s="79" customFormat="1" x14ac:dyDescent="0.2"/>
    <row r="452" s="79" customFormat="1" x14ac:dyDescent="0.2"/>
    <row r="453" s="79" customFormat="1" x14ac:dyDescent="0.2"/>
    <row r="454" s="79" customFormat="1" x14ac:dyDescent="0.2"/>
    <row r="455" s="79" customFormat="1" x14ac:dyDescent="0.2"/>
    <row r="456" s="79" customFormat="1" x14ac:dyDescent="0.2"/>
    <row r="457" s="79" customFormat="1" x14ac:dyDescent="0.2"/>
    <row r="458" s="79" customFormat="1" x14ac:dyDescent="0.2"/>
    <row r="459" s="79" customFormat="1" x14ac:dyDescent="0.2"/>
    <row r="460" s="79" customFormat="1" x14ac:dyDescent="0.2"/>
    <row r="461" s="79" customFormat="1" x14ac:dyDescent="0.2"/>
    <row r="462" s="79" customFormat="1" x14ac:dyDescent="0.2"/>
    <row r="463" s="79" customFormat="1" x14ac:dyDescent="0.2"/>
    <row r="464" s="79" customFormat="1" x14ac:dyDescent="0.2"/>
    <row r="465" s="79" customFormat="1" x14ac:dyDescent="0.2"/>
    <row r="466" s="79" customFormat="1" x14ac:dyDescent="0.2"/>
    <row r="467" s="79" customFormat="1" x14ac:dyDescent="0.2"/>
    <row r="468" s="79" customFormat="1" x14ac:dyDescent="0.2"/>
    <row r="469" s="79" customFormat="1" x14ac:dyDescent="0.2"/>
    <row r="470" s="79" customFormat="1" x14ac:dyDescent="0.2"/>
    <row r="471" s="79" customFormat="1" x14ac:dyDescent="0.2"/>
    <row r="472" s="79" customFormat="1" x14ac:dyDescent="0.2"/>
    <row r="473" s="79" customFormat="1" x14ac:dyDescent="0.2"/>
    <row r="474" s="79" customFormat="1" x14ac:dyDescent="0.2"/>
    <row r="475" s="79" customFormat="1" x14ac:dyDescent="0.2"/>
    <row r="476" s="79" customFormat="1" x14ac:dyDescent="0.2"/>
    <row r="477" s="79" customFormat="1" x14ac:dyDescent="0.2"/>
    <row r="478" s="79" customFormat="1" x14ac:dyDescent="0.2"/>
    <row r="479" s="79" customFormat="1" x14ac:dyDescent="0.2"/>
    <row r="480" s="79" customFormat="1" x14ac:dyDescent="0.2"/>
    <row r="481" s="79" customFormat="1" x14ac:dyDescent="0.2"/>
    <row r="482" s="79" customFormat="1" x14ac:dyDescent="0.2"/>
    <row r="483" s="79" customFormat="1" x14ac:dyDescent="0.2"/>
    <row r="484" s="79" customFormat="1" x14ac:dyDescent="0.2"/>
    <row r="485" s="79" customFormat="1" x14ac:dyDescent="0.2"/>
    <row r="486" s="79" customFormat="1" x14ac:dyDescent="0.2"/>
    <row r="487" s="79" customFormat="1" x14ac:dyDescent="0.2"/>
    <row r="488" s="79" customFormat="1" x14ac:dyDescent="0.2"/>
    <row r="489" s="79" customFormat="1" x14ac:dyDescent="0.2"/>
    <row r="490" s="79" customFormat="1" x14ac:dyDescent="0.2"/>
    <row r="491" s="79" customFormat="1" x14ac:dyDescent="0.2"/>
    <row r="492" s="79" customFormat="1" x14ac:dyDescent="0.2"/>
    <row r="493" s="79" customFormat="1" x14ac:dyDescent="0.2"/>
    <row r="494" s="79" customFormat="1" x14ac:dyDescent="0.2"/>
    <row r="495" s="79" customFormat="1" x14ac:dyDescent="0.2"/>
    <row r="496" s="79" customFormat="1" x14ac:dyDescent="0.2"/>
    <row r="497" s="79" customFormat="1" x14ac:dyDescent="0.2"/>
    <row r="498" s="79" customFormat="1" x14ac:dyDescent="0.2"/>
    <row r="499" s="79" customFormat="1" x14ac:dyDescent="0.2"/>
    <row r="500" s="79" customFormat="1" x14ac:dyDescent="0.2"/>
    <row r="501" s="79" customFormat="1" x14ac:dyDescent="0.2"/>
    <row r="502" s="79" customFormat="1" x14ac:dyDescent="0.2"/>
    <row r="503" s="79" customFormat="1" x14ac:dyDescent="0.2"/>
    <row r="504" s="79" customFormat="1" x14ac:dyDescent="0.2"/>
    <row r="505" s="79" customFormat="1" x14ac:dyDescent="0.2"/>
    <row r="506" s="79" customFormat="1" x14ac:dyDescent="0.2"/>
    <row r="507" s="79" customFormat="1" x14ac:dyDescent="0.2"/>
    <row r="508" s="79" customFormat="1" x14ac:dyDescent="0.2"/>
    <row r="509" s="79" customFormat="1" x14ac:dyDescent="0.2"/>
    <row r="510" s="79" customFormat="1" x14ac:dyDescent="0.2"/>
    <row r="511" s="79" customFormat="1" x14ac:dyDescent="0.2"/>
    <row r="512" s="79" customFormat="1" x14ac:dyDescent="0.2"/>
    <row r="513" s="79" customFormat="1" x14ac:dyDescent="0.2"/>
    <row r="514" s="79" customFormat="1" x14ac:dyDescent="0.2"/>
    <row r="515" s="79" customFormat="1" x14ac:dyDescent="0.2"/>
    <row r="516" s="79" customFormat="1" x14ac:dyDescent="0.2"/>
    <row r="517" s="79" customFormat="1" x14ac:dyDescent="0.2"/>
    <row r="518" s="79" customFormat="1" x14ac:dyDescent="0.2"/>
    <row r="519" s="79" customFormat="1" x14ac:dyDescent="0.2"/>
    <row r="520" s="79" customFormat="1" x14ac:dyDescent="0.2"/>
    <row r="521" s="79" customFormat="1" x14ac:dyDescent="0.2"/>
    <row r="522" s="79" customFormat="1" x14ac:dyDescent="0.2"/>
    <row r="523" s="79" customFormat="1" x14ac:dyDescent="0.2"/>
    <row r="524" s="79" customFormat="1" x14ac:dyDescent="0.2"/>
    <row r="525" s="79" customFormat="1" x14ac:dyDescent="0.2"/>
    <row r="526" s="79" customFormat="1" x14ac:dyDescent="0.2"/>
    <row r="527" s="79" customFormat="1" x14ac:dyDescent="0.2"/>
    <row r="528" s="79" customFormat="1" x14ac:dyDescent="0.2"/>
    <row r="529" s="79" customFormat="1" x14ac:dyDescent="0.2"/>
    <row r="530" s="79" customFormat="1" x14ac:dyDescent="0.2"/>
    <row r="531" s="79" customFormat="1" x14ac:dyDescent="0.2"/>
    <row r="532" s="79" customFormat="1" x14ac:dyDescent="0.2"/>
    <row r="533" s="79" customFormat="1" x14ac:dyDescent="0.2"/>
    <row r="534" s="79" customFormat="1" x14ac:dyDescent="0.2"/>
    <row r="535" s="79" customFormat="1" x14ac:dyDescent="0.2"/>
    <row r="536" s="79" customFormat="1" x14ac:dyDescent="0.2"/>
    <row r="537" s="79" customFormat="1" x14ac:dyDescent="0.2"/>
    <row r="538" s="79" customFormat="1" x14ac:dyDescent="0.2"/>
    <row r="539" s="79" customFormat="1" x14ac:dyDescent="0.2"/>
    <row r="540" s="79" customFormat="1" x14ac:dyDescent="0.2"/>
    <row r="541" s="79" customFormat="1" x14ac:dyDescent="0.2"/>
    <row r="542" s="79" customFormat="1" x14ac:dyDescent="0.2"/>
    <row r="543" s="79" customFormat="1" x14ac:dyDescent="0.2"/>
    <row r="544" s="79" customFormat="1" x14ac:dyDescent="0.2"/>
    <row r="545" s="79" customFormat="1" x14ac:dyDescent="0.2"/>
    <row r="546" s="79" customFormat="1" x14ac:dyDescent="0.2"/>
    <row r="547" s="79" customFormat="1" x14ac:dyDescent="0.2"/>
    <row r="548" s="79" customFormat="1" x14ac:dyDescent="0.2"/>
    <row r="549" s="79" customFormat="1" x14ac:dyDescent="0.2"/>
    <row r="550" s="79" customFormat="1" x14ac:dyDescent="0.2"/>
    <row r="551" s="79" customFormat="1" x14ac:dyDescent="0.2"/>
    <row r="552" s="79" customFormat="1" x14ac:dyDescent="0.2"/>
    <row r="553" s="79" customFormat="1" x14ac:dyDescent="0.2"/>
    <row r="554" s="79" customFormat="1" x14ac:dyDescent="0.2"/>
    <row r="555" s="79" customFormat="1" x14ac:dyDescent="0.2"/>
    <row r="556" s="79" customFormat="1" x14ac:dyDescent="0.2"/>
    <row r="557" s="79" customFormat="1" x14ac:dyDescent="0.2"/>
    <row r="558" s="79" customFormat="1" x14ac:dyDescent="0.2"/>
    <row r="559" s="79" customFormat="1" x14ac:dyDescent="0.2"/>
    <row r="560" s="79" customFormat="1" x14ac:dyDescent="0.2"/>
    <row r="561" s="79" customFormat="1" x14ac:dyDescent="0.2"/>
    <row r="562" s="79" customFormat="1" x14ac:dyDescent="0.2"/>
    <row r="563" s="79" customFormat="1" x14ac:dyDescent="0.2"/>
    <row r="564" s="79" customFormat="1" x14ac:dyDescent="0.2"/>
    <row r="565" s="79" customFormat="1" x14ac:dyDescent="0.2"/>
    <row r="566" s="79" customFormat="1" x14ac:dyDescent="0.2"/>
    <row r="567" s="79" customFormat="1" x14ac:dyDescent="0.2"/>
    <row r="568" s="79" customFormat="1" x14ac:dyDescent="0.2"/>
    <row r="569" s="79" customFormat="1" x14ac:dyDescent="0.2"/>
    <row r="570" s="79" customFormat="1" x14ac:dyDescent="0.2"/>
    <row r="571" s="79" customFormat="1" x14ac:dyDescent="0.2"/>
    <row r="572" s="79" customFormat="1" x14ac:dyDescent="0.2"/>
    <row r="573" s="79" customFormat="1" x14ac:dyDescent="0.2"/>
    <row r="574" s="79" customFormat="1" x14ac:dyDescent="0.2"/>
    <row r="575" s="79" customFormat="1" x14ac:dyDescent="0.2"/>
    <row r="576" s="79" customFormat="1" x14ac:dyDescent="0.2"/>
    <row r="577" s="79" customFormat="1" x14ac:dyDescent="0.2"/>
    <row r="578" s="79" customFormat="1" x14ac:dyDescent="0.2"/>
    <row r="579" s="79" customFormat="1" x14ac:dyDescent="0.2"/>
    <row r="580" s="79" customFormat="1" x14ac:dyDescent="0.2"/>
    <row r="581" s="79" customFormat="1" x14ac:dyDescent="0.2"/>
    <row r="582" s="79" customFormat="1" x14ac:dyDescent="0.2"/>
    <row r="583" s="79" customFormat="1" x14ac:dyDescent="0.2"/>
    <row r="584" s="79" customFormat="1" x14ac:dyDescent="0.2"/>
    <row r="585" s="79" customFormat="1" x14ac:dyDescent="0.2"/>
    <row r="586" s="79" customFormat="1" x14ac:dyDescent="0.2"/>
    <row r="587" s="79" customFormat="1" x14ac:dyDescent="0.2"/>
    <row r="588" s="79" customFormat="1" x14ac:dyDescent="0.2"/>
    <row r="589" s="79" customFormat="1" x14ac:dyDescent="0.2"/>
    <row r="590" s="79" customFormat="1" x14ac:dyDescent="0.2"/>
    <row r="591" s="79" customFormat="1" x14ac:dyDescent="0.2"/>
    <row r="592" s="79" customFormat="1" x14ac:dyDescent="0.2"/>
    <row r="593" s="79" customFormat="1" x14ac:dyDescent="0.2"/>
    <row r="594" s="79" customFormat="1" x14ac:dyDescent="0.2"/>
    <row r="595" s="79" customFormat="1" x14ac:dyDescent="0.2"/>
    <row r="596" s="79" customFormat="1" x14ac:dyDescent="0.2"/>
    <row r="597" s="79" customFormat="1" x14ac:dyDescent="0.2"/>
    <row r="598" s="79" customFormat="1" x14ac:dyDescent="0.2"/>
    <row r="599" s="79" customFormat="1" x14ac:dyDescent="0.2"/>
    <row r="600" s="79" customFormat="1" x14ac:dyDescent="0.2"/>
    <row r="601" s="79" customFormat="1" x14ac:dyDescent="0.2"/>
    <row r="602" s="79" customFormat="1" x14ac:dyDescent="0.2"/>
    <row r="603" s="79" customFormat="1" x14ac:dyDescent="0.2"/>
    <row r="604" s="79" customFormat="1" x14ac:dyDescent="0.2"/>
    <row r="605" s="79" customFormat="1" x14ac:dyDescent="0.2"/>
    <row r="606" s="79" customFormat="1" x14ac:dyDescent="0.2"/>
    <row r="607" s="79" customFormat="1" x14ac:dyDescent="0.2"/>
    <row r="608" s="79" customFormat="1" x14ac:dyDescent="0.2"/>
    <row r="609" spans="1:334" s="79" customFormat="1" x14ac:dyDescent="0.2"/>
    <row r="610" spans="1:334" s="79" customFormat="1" x14ac:dyDescent="0.2"/>
    <row r="611" spans="1:334" s="79" customFormat="1" x14ac:dyDescent="0.2"/>
    <row r="612" spans="1:334" s="79" customFormat="1" x14ac:dyDescent="0.2"/>
    <row r="613" spans="1:334" s="79" customFormat="1" x14ac:dyDescent="0.2"/>
    <row r="614" spans="1:334" s="79" customFormat="1" x14ac:dyDescent="0.2"/>
    <row r="615" spans="1:334" s="79" customFormat="1" x14ac:dyDescent="0.2"/>
    <row r="616" spans="1:334" s="79" customFormat="1" x14ac:dyDescent="0.2"/>
    <row r="617" spans="1:334" s="79" customFormat="1" x14ac:dyDescent="0.2"/>
    <row r="618" spans="1:334" s="79" customFormat="1" x14ac:dyDescent="0.2"/>
    <row r="619" spans="1:334" s="79" customFormat="1" x14ac:dyDescent="0.2"/>
    <row r="620" spans="1:334" s="79" customFormat="1" x14ac:dyDescent="0.2"/>
    <row r="621" spans="1:334" s="79" customFormat="1" x14ac:dyDescent="0.2"/>
    <row r="622" spans="1:334" s="79" customFormat="1" x14ac:dyDescent="0.2"/>
    <row r="623" spans="1:334" s="79" customFormat="1" x14ac:dyDescent="0.2"/>
    <row r="624" spans="1:334" s="80" customFormat="1" x14ac:dyDescent="0.2">
      <c r="A624" s="79"/>
      <c r="B624" s="79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  <c r="AA624" s="79"/>
      <c r="AB624" s="79"/>
      <c r="AC624" s="79"/>
      <c r="AD624" s="79"/>
      <c r="AE624" s="79"/>
      <c r="AF624" s="79"/>
      <c r="AG624" s="79"/>
      <c r="AH624" s="79"/>
      <c r="AI624" s="79"/>
      <c r="AJ624" s="79"/>
      <c r="AK624" s="79"/>
      <c r="AL624" s="79"/>
      <c r="AM624" s="79"/>
      <c r="AN624" s="79"/>
      <c r="AO624" s="79"/>
      <c r="AP624" s="79"/>
      <c r="AQ624" s="79"/>
      <c r="AR624" s="79"/>
      <c r="AS624" s="79"/>
      <c r="AT624" s="79"/>
      <c r="AU624" s="79"/>
      <c r="AV624" s="79"/>
      <c r="AW624" s="79"/>
      <c r="AX624" s="79"/>
      <c r="AY624" s="79"/>
      <c r="AZ624" s="79"/>
      <c r="BA624" s="79"/>
      <c r="BB624" s="79"/>
      <c r="BC624" s="79"/>
      <c r="BD624" s="79"/>
      <c r="BE624" s="79"/>
      <c r="BF624" s="79"/>
      <c r="BG624" s="79"/>
      <c r="BH624" s="79"/>
      <c r="BI624" s="79"/>
      <c r="BJ624" s="79"/>
      <c r="BK624" s="79"/>
      <c r="BL624" s="79"/>
      <c r="BM624" s="79"/>
      <c r="BN624" s="79"/>
      <c r="BO624" s="79"/>
      <c r="BP624" s="79"/>
      <c r="BQ624" s="79"/>
      <c r="BR624" s="79"/>
      <c r="BS624" s="79"/>
      <c r="BT624" s="79"/>
      <c r="BU624" s="79"/>
      <c r="BV624" s="79"/>
      <c r="BW624" s="79"/>
      <c r="BX624" s="79"/>
      <c r="BY624" s="79"/>
      <c r="BZ624" s="79"/>
      <c r="CA624" s="79"/>
      <c r="CB624" s="79"/>
      <c r="CC624" s="79"/>
      <c r="CD624" s="79"/>
      <c r="CE624" s="79"/>
      <c r="CF624" s="79"/>
      <c r="CG624" s="79"/>
      <c r="CH624" s="79"/>
      <c r="CI624" s="79"/>
      <c r="CJ624" s="79"/>
      <c r="CK624" s="79"/>
      <c r="CL624" s="79"/>
      <c r="CM624" s="79"/>
      <c r="CN624" s="79"/>
      <c r="CO624" s="79"/>
      <c r="CP624" s="79"/>
      <c r="CQ624" s="79"/>
      <c r="CR624" s="79"/>
      <c r="CS624" s="79"/>
      <c r="CT624" s="79"/>
      <c r="CU624" s="79"/>
      <c r="CV624" s="79"/>
      <c r="CW624" s="79"/>
      <c r="CX624" s="79"/>
      <c r="CY624" s="79"/>
      <c r="CZ624" s="79"/>
      <c r="DA624" s="79"/>
      <c r="DB624" s="79"/>
      <c r="DC624" s="79"/>
      <c r="DD624" s="79"/>
      <c r="DE624" s="79"/>
      <c r="DF624" s="79"/>
      <c r="DG624" s="79"/>
      <c r="DH624" s="79"/>
      <c r="DI624" s="79"/>
      <c r="DJ624" s="79"/>
      <c r="DK624" s="79"/>
      <c r="DL624" s="79"/>
      <c r="DM624" s="79"/>
      <c r="DN624" s="79"/>
      <c r="DO624" s="79"/>
      <c r="DP624" s="79"/>
      <c r="DQ624" s="79"/>
      <c r="DR624" s="79"/>
      <c r="DS624" s="79"/>
      <c r="DT624" s="79"/>
      <c r="DU624" s="79"/>
      <c r="DV624" s="79"/>
      <c r="DW624" s="79"/>
      <c r="DX624" s="79"/>
      <c r="DY624" s="79"/>
      <c r="DZ624" s="79"/>
      <c r="EA624" s="79"/>
      <c r="EB624" s="79"/>
      <c r="EC624" s="79"/>
      <c r="ED624" s="79"/>
      <c r="EE624" s="79"/>
      <c r="EF624" s="79"/>
      <c r="EG624" s="79"/>
      <c r="EH624" s="79"/>
      <c r="EI624" s="79"/>
      <c r="EJ624" s="79"/>
      <c r="EK624" s="79"/>
      <c r="EL624" s="79"/>
      <c r="EM624" s="79"/>
      <c r="EN624" s="79"/>
      <c r="EO624" s="79"/>
      <c r="EP624" s="79"/>
      <c r="EQ624" s="79"/>
      <c r="ER624" s="79"/>
      <c r="ES624" s="79"/>
      <c r="ET624" s="79"/>
      <c r="EU624" s="79"/>
      <c r="EV624" s="79"/>
      <c r="EW624" s="79"/>
      <c r="EX624" s="79"/>
      <c r="EY624" s="79"/>
      <c r="EZ624" s="79"/>
      <c r="FA624" s="79"/>
      <c r="FB624" s="79"/>
      <c r="FC624" s="79"/>
      <c r="FD624" s="79"/>
      <c r="FE624" s="79"/>
      <c r="FF624" s="79"/>
      <c r="FG624" s="79"/>
      <c r="FH624" s="79"/>
      <c r="FI624" s="79"/>
      <c r="FJ624" s="79"/>
      <c r="FK624" s="79"/>
      <c r="FL624" s="79"/>
      <c r="FM624" s="79"/>
      <c r="FN624" s="79"/>
      <c r="FO624" s="79"/>
      <c r="FP624" s="79"/>
      <c r="FQ624" s="79"/>
      <c r="FR624" s="79"/>
      <c r="FS624" s="79"/>
      <c r="FT624" s="79"/>
      <c r="FU624" s="79"/>
      <c r="FV624" s="79"/>
      <c r="FW624" s="79"/>
      <c r="FX624" s="79"/>
      <c r="FY624" s="79"/>
      <c r="FZ624" s="79"/>
      <c r="GA624" s="79"/>
      <c r="GB624" s="79"/>
      <c r="GC624" s="79"/>
      <c r="GD624" s="79"/>
      <c r="GE624" s="79"/>
      <c r="GF624" s="79"/>
      <c r="GG624" s="79"/>
      <c r="GH624" s="79"/>
      <c r="GI624" s="79"/>
      <c r="GJ624" s="79"/>
      <c r="GK624" s="79"/>
      <c r="GL624" s="79"/>
      <c r="GM624" s="79"/>
      <c r="GN624" s="79"/>
      <c r="GO624" s="79"/>
      <c r="GP624" s="79"/>
      <c r="GQ624" s="79"/>
      <c r="GR624" s="79"/>
      <c r="GS624" s="79"/>
      <c r="GT624" s="79"/>
      <c r="GU624" s="79"/>
      <c r="GV624" s="79"/>
      <c r="GW624" s="79"/>
      <c r="GX624" s="79"/>
      <c r="GY624" s="79"/>
      <c r="GZ624" s="79"/>
      <c r="HA624" s="79"/>
      <c r="HB624" s="79"/>
      <c r="HC624" s="79"/>
      <c r="HD624" s="79"/>
      <c r="HE624" s="79"/>
      <c r="HF624" s="79"/>
      <c r="HG624" s="79"/>
      <c r="HH624" s="79"/>
      <c r="HI624" s="79"/>
      <c r="HJ624" s="79"/>
      <c r="HK624" s="79"/>
      <c r="HL624" s="79"/>
      <c r="HM624" s="79"/>
      <c r="HN624" s="79"/>
      <c r="HO624" s="79"/>
      <c r="HP624" s="79"/>
      <c r="HQ624" s="79"/>
      <c r="HR624" s="79"/>
      <c r="HS624" s="79"/>
      <c r="HT624" s="79"/>
      <c r="HU624" s="79"/>
      <c r="HV624" s="79"/>
      <c r="HW624" s="79"/>
      <c r="HX624" s="79"/>
      <c r="HY624" s="79"/>
      <c r="HZ624" s="79"/>
      <c r="IA624" s="79"/>
      <c r="IB624" s="79"/>
      <c r="IC624" s="79"/>
      <c r="ID624" s="79"/>
      <c r="IE624" s="79"/>
      <c r="IF624" s="79"/>
      <c r="IG624" s="79"/>
      <c r="IH624" s="79"/>
      <c r="II624" s="79"/>
      <c r="IJ624" s="79"/>
      <c r="IK624" s="79"/>
      <c r="IL624" s="79"/>
      <c r="IM624" s="79"/>
      <c r="IN624" s="79"/>
      <c r="IO624" s="79"/>
      <c r="IP624" s="79"/>
      <c r="IQ624" s="79"/>
      <c r="IR624" s="79"/>
      <c r="IS624" s="79"/>
      <c r="IT624" s="79"/>
      <c r="IU624" s="79"/>
      <c r="IV624" s="79"/>
      <c r="IW624" s="79"/>
      <c r="IX624" s="79"/>
      <c r="IY624" s="79"/>
      <c r="IZ624" s="79"/>
      <c r="JA624" s="79"/>
      <c r="JB624" s="79"/>
      <c r="JC624" s="79"/>
      <c r="JD624" s="79"/>
      <c r="JE624" s="79"/>
      <c r="JF624" s="79"/>
      <c r="JG624" s="79"/>
      <c r="JH624" s="79"/>
      <c r="JI624" s="79"/>
      <c r="JJ624" s="79"/>
      <c r="JK624" s="79"/>
      <c r="JL624" s="79"/>
      <c r="JM624" s="79"/>
      <c r="JN624" s="79"/>
      <c r="JO624" s="79"/>
      <c r="JP624" s="79"/>
      <c r="JQ624" s="79"/>
      <c r="JR624" s="79"/>
      <c r="JS624" s="79"/>
      <c r="JT624" s="79"/>
      <c r="JU624" s="79"/>
      <c r="JV624" s="79"/>
      <c r="JW624" s="79"/>
      <c r="JX624" s="79"/>
      <c r="JY624" s="79"/>
      <c r="JZ624" s="79"/>
      <c r="KA624" s="79"/>
      <c r="KB624" s="79"/>
      <c r="KC624" s="79"/>
      <c r="KD624" s="79"/>
      <c r="KE624" s="79"/>
      <c r="KF624" s="79"/>
      <c r="KG624" s="79"/>
      <c r="KH624" s="79"/>
      <c r="KI624" s="79"/>
      <c r="KJ624" s="79"/>
      <c r="KK624" s="79"/>
      <c r="KL624" s="79"/>
      <c r="KM624" s="79"/>
      <c r="KN624" s="79"/>
      <c r="KO624" s="79"/>
      <c r="KP624" s="79"/>
      <c r="KQ624" s="79"/>
      <c r="KR624" s="79"/>
      <c r="KS624" s="79"/>
      <c r="KT624" s="79"/>
      <c r="KU624" s="79"/>
      <c r="KV624" s="79"/>
      <c r="KW624" s="79"/>
      <c r="KX624" s="79"/>
      <c r="KY624" s="79"/>
      <c r="KZ624" s="79"/>
      <c r="LA624" s="79"/>
      <c r="LB624" s="79"/>
      <c r="LC624" s="79"/>
      <c r="LD624" s="79"/>
      <c r="LE624" s="79"/>
      <c r="LF624" s="79"/>
      <c r="LG624" s="79"/>
      <c r="LH624" s="79"/>
      <c r="LI624" s="79"/>
      <c r="LJ624" s="79"/>
      <c r="LK624" s="79"/>
      <c r="LL624" s="79"/>
      <c r="LM624" s="79"/>
      <c r="LN624" s="79"/>
      <c r="LO624" s="79"/>
      <c r="LP624" s="79"/>
      <c r="LQ624" s="79"/>
      <c r="LR624" s="79"/>
      <c r="LS624" s="79"/>
      <c r="LT624" s="79"/>
      <c r="LU624" s="79"/>
      <c r="LV624" s="79"/>
    </row>
    <row r="625" spans="1:334" s="80" customFormat="1" x14ac:dyDescent="0.2">
      <c r="A625" s="79"/>
      <c r="B625" s="79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  <c r="AA625" s="79"/>
      <c r="AB625" s="79"/>
      <c r="AC625" s="79"/>
      <c r="AD625" s="79"/>
      <c r="AE625" s="79"/>
      <c r="AF625" s="79"/>
      <c r="AG625" s="79"/>
      <c r="AH625" s="79"/>
      <c r="AI625" s="79"/>
      <c r="AJ625" s="79"/>
      <c r="AK625" s="79"/>
      <c r="AL625" s="79"/>
      <c r="AM625" s="79"/>
      <c r="AN625" s="79"/>
      <c r="AO625" s="79"/>
      <c r="AP625" s="79"/>
      <c r="AQ625" s="79"/>
      <c r="AR625" s="79"/>
      <c r="AS625" s="79"/>
      <c r="AT625" s="79"/>
      <c r="AU625" s="79"/>
      <c r="AV625" s="79"/>
      <c r="AW625" s="79"/>
      <c r="AX625" s="79"/>
      <c r="AY625" s="79"/>
      <c r="AZ625" s="79"/>
      <c r="BA625" s="79"/>
      <c r="BB625" s="79"/>
      <c r="BC625" s="79"/>
      <c r="BD625" s="79"/>
      <c r="BE625" s="79"/>
      <c r="BF625" s="79"/>
      <c r="BG625" s="79"/>
      <c r="BH625" s="79"/>
      <c r="BI625" s="79"/>
      <c r="BJ625" s="79"/>
      <c r="BK625" s="79"/>
      <c r="BL625" s="79"/>
      <c r="BM625" s="79"/>
      <c r="BN625" s="79"/>
      <c r="BO625" s="79"/>
      <c r="BP625" s="79"/>
      <c r="BQ625" s="79"/>
      <c r="BR625" s="79"/>
      <c r="BS625" s="79"/>
      <c r="BT625" s="79"/>
      <c r="BU625" s="79"/>
      <c r="BV625" s="79"/>
      <c r="BW625" s="79"/>
      <c r="BX625" s="79"/>
      <c r="BY625" s="79"/>
      <c r="BZ625" s="79"/>
      <c r="CA625" s="79"/>
      <c r="CB625" s="79"/>
      <c r="CC625" s="79"/>
      <c r="CD625" s="79"/>
      <c r="CE625" s="79"/>
      <c r="CF625" s="79"/>
      <c r="CG625" s="79"/>
      <c r="CH625" s="79"/>
      <c r="CI625" s="79"/>
      <c r="CJ625" s="79"/>
      <c r="CK625" s="79"/>
      <c r="CL625" s="79"/>
      <c r="CM625" s="79"/>
      <c r="CN625" s="79"/>
      <c r="CO625" s="79"/>
      <c r="CP625" s="79"/>
      <c r="CQ625" s="79"/>
      <c r="CR625" s="79"/>
      <c r="CS625" s="79"/>
      <c r="CT625" s="79"/>
      <c r="CU625" s="79"/>
      <c r="CV625" s="79"/>
      <c r="CW625" s="79"/>
      <c r="CX625" s="79"/>
      <c r="CY625" s="79"/>
      <c r="CZ625" s="79"/>
      <c r="DA625" s="79"/>
      <c r="DB625" s="79"/>
      <c r="DC625" s="79"/>
      <c r="DD625" s="79"/>
      <c r="DE625" s="79"/>
      <c r="DF625" s="79"/>
      <c r="DG625" s="79"/>
      <c r="DH625" s="79"/>
      <c r="DI625" s="79"/>
      <c r="DJ625" s="79"/>
      <c r="DK625" s="79"/>
      <c r="DL625" s="79"/>
      <c r="DM625" s="79"/>
      <c r="DN625" s="79"/>
      <c r="DO625" s="79"/>
      <c r="DP625" s="79"/>
      <c r="DQ625" s="79"/>
      <c r="DR625" s="79"/>
      <c r="DS625" s="79"/>
      <c r="DT625" s="79"/>
      <c r="DU625" s="79"/>
      <c r="DV625" s="79"/>
      <c r="DW625" s="79"/>
      <c r="DX625" s="79"/>
      <c r="DY625" s="79"/>
      <c r="DZ625" s="79"/>
      <c r="EA625" s="79"/>
      <c r="EB625" s="79"/>
      <c r="EC625" s="79"/>
      <c r="ED625" s="79"/>
      <c r="EE625" s="79"/>
      <c r="EF625" s="79"/>
      <c r="EG625" s="79"/>
      <c r="EH625" s="79"/>
      <c r="EI625" s="79"/>
      <c r="EJ625" s="79"/>
      <c r="EK625" s="79"/>
      <c r="EL625" s="79"/>
      <c r="EM625" s="79"/>
      <c r="EN625" s="79"/>
      <c r="EO625" s="79"/>
      <c r="EP625" s="79"/>
      <c r="EQ625" s="79"/>
      <c r="ER625" s="79"/>
      <c r="ES625" s="79"/>
      <c r="ET625" s="79"/>
      <c r="EU625" s="79"/>
      <c r="EV625" s="79"/>
      <c r="EW625" s="79"/>
      <c r="EX625" s="79"/>
      <c r="EY625" s="79"/>
      <c r="EZ625" s="79"/>
      <c r="FA625" s="79"/>
      <c r="FB625" s="79"/>
      <c r="FC625" s="79"/>
      <c r="FD625" s="79"/>
      <c r="FE625" s="79"/>
      <c r="FF625" s="79"/>
      <c r="FG625" s="79"/>
      <c r="FH625" s="79"/>
      <c r="FI625" s="79"/>
      <c r="FJ625" s="79"/>
      <c r="FK625" s="79"/>
      <c r="FL625" s="79"/>
      <c r="FM625" s="79"/>
      <c r="FN625" s="79"/>
      <c r="FO625" s="79"/>
      <c r="FP625" s="79"/>
      <c r="FQ625" s="79"/>
      <c r="FR625" s="79"/>
      <c r="FS625" s="79"/>
      <c r="FT625" s="79"/>
      <c r="FU625" s="79"/>
      <c r="FV625" s="79"/>
      <c r="FW625" s="79"/>
      <c r="FX625" s="79"/>
      <c r="FY625" s="79"/>
      <c r="FZ625" s="79"/>
      <c r="GA625" s="79"/>
      <c r="GB625" s="79"/>
      <c r="GC625" s="79"/>
      <c r="GD625" s="79"/>
      <c r="GE625" s="79"/>
      <c r="GF625" s="79"/>
      <c r="GG625" s="79"/>
      <c r="GH625" s="79"/>
      <c r="GI625" s="79"/>
      <c r="GJ625" s="79"/>
      <c r="GK625" s="79"/>
      <c r="GL625" s="79"/>
      <c r="GM625" s="79"/>
      <c r="GN625" s="79"/>
      <c r="GO625" s="79"/>
      <c r="GP625" s="79"/>
      <c r="GQ625" s="79"/>
      <c r="GR625" s="79"/>
      <c r="GS625" s="79"/>
      <c r="GT625" s="79"/>
      <c r="GU625" s="79"/>
      <c r="GV625" s="79"/>
      <c r="GW625" s="79"/>
      <c r="GX625" s="79"/>
      <c r="GY625" s="79"/>
      <c r="GZ625" s="79"/>
      <c r="HA625" s="79"/>
      <c r="HB625" s="79"/>
      <c r="HC625" s="79"/>
      <c r="HD625" s="79"/>
      <c r="HE625" s="79"/>
      <c r="HF625" s="79"/>
      <c r="HG625" s="79"/>
      <c r="HH625" s="79"/>
      <c r="HI625" s="79"/>
      <c r="HJ625" s="79"/>
      <c r="HK625" s="79"/>
      <c r="HL625" s="79"/>
      <c r="HM625" s="79"/>
      <c r="HN625" s="79"/>
      <c r="HO625" s="79"/>
      <c r="HP625" s="79"/>
      <c r="HQ625" s="79"/>
      <c r="HR625" s="79"/>
      <c r="HS625" s="79"/>
      <c r="HT625" s="79"/>
      <c r="HU625" s="79"/>
      <c r="HV625" s="79"/>
      <c r="HW625" s="79"/>
      <c r="HX625" s="79"/>
      <c r="HY625" s="79"/>
      <c r="HZ625" s="79"/>
      <c r="IA625" s="79"/>
      <c r="IB625" s="79"/>
      <c r="IC625" s="79"/>
      <c r="ID625" s="79"/>
      <c r="IE625" s="79"/>
      <c r="IF625" s="79"/>
      <c r="IG625" s="79"/>
      <c r="IH625" s="79"/>
      <c r="II625" s="79"/>
      <c r="IJ625" s="79"/>
      <c r="IK625" s="79"/>
      <c r="IL625" s="79"/>
      <c r="IM625" s="79"/>
      <c r="IN625" s="79"/>
      <c r="IO625" s="79"/>
      <c r="IP625" s="79"/>
      <c r="IQ625" s="79"/>
      <c r="IR625" s="79"/>
      <c r="IS625" s="79"/>
      <c r="IT625" s="79"/>
      <c r="IU625" s="79"/>
      <c r="IV625" s="79"/>
      <c r="IW625" s="79"/>
      <c r="IX625" s="79"/>
      <c r="IY625" s="79"/>
      <c r="IZ625" s="79"/>
      <c r="JA625" s="79"/>
      <c r="JB625" s="79"/>
      <c r="JC625" s="79"/>
      <c r="JD625" s="79"/>
      <c r="JE625" s="79"/>
      <c r="JF625" s="79"/>
      <c r="JG625" s="79"/>
      <c r="JH625" s="79"/>
      <c r="JI625" s="79"/>
      <c r="JJ625" s="79"/>
      <c r="JK625" s="79"/>
      <c r="JL625" s="79"/>
      <c r="JM625" s="79"/>
      <c r="JN625" s="79"/>
      <c r="JO625" s="79"/>
      <c r="JP625" s="79"/>
      <c r="JQ625" s="79"/>
      <c r="JR625" s="79"/>
      <c r="JS625" s="79"/>
      <c r="JT625" s="79"/>
      <c r="JU625" s="79"/>
      <c r="JV625" s="79"/>
      <c r="JW625" s="79"/>
      <c r="JX625" s="79"/>
      <c r="JY625" s="79"/>
      <c r="JZ625" s="79"/>
      <c r="KA625" s="79"/>
      <c r="KB625" s="79"/>
      <c r="KC625" s="79"/>
      <c r="KD625" s="79"/>
      <c r="KE625" s="79"/>
      <c r="KF625" s="79"/>
      <c r="KG625" s="79"/>
      <c r="KH625" s="79"/>
      <c r="KI625" s="79"/>
      <c r="KJ625" s="79"/>
      <c r="KK625" s="79"/>
      <c r="KL625" s="79"/>
      <c r="KM625" s="79"/>
      <c r="KN625" s="79"/>
      <c r="KO625" s="79"/>
      <c r="KP625" s="79"/>
      <c r="KQ625" s="79"/>
      <c r="KR625" s="79"/>
      <c r="KS625" s="79"/>
      <c r="KT625" s="79"/>
      <c r="KU625" s="79"/>
      <c r="KV625" s="79"/>
      <c r="KW625" s="79"/>
      <c r="KX625" s="79"/>
      <c r="KY625" s="79"/>
      <c r="KZ625" s="79"/>
      <c r="LA625" s="79"/>
      <c r="LB625" s="79"/>
      <c r="LC625" s="79"/>
      <c r="LD625" s="79"/>
      <c r="LE625" s="79"/>
      <c r="LF625" s="79"/>
      <c r="LG625" s="79"/>
      <c r="LH625" s="79"/>
      <c r="LI625" s="79"/>
      <c r="LJ625" s="79"/>
      <c r="LK625" s="79"/>
      <c r="LL625" s="79"/>
      <c r="LM625" s="79"/>
      <c r="LN625" s="79"/>
      <c r="LO625" s="79"/>
      <c r="LP625" s="79"/>
      <c r="LQ625" s="79"/>
      <c r="LR625" s="79"/>
      <c r="LS625" s="79"/>
      <c r="LT625" s="79"/>
      <c r="LU625" s="79"/>
      <c r="LV625" s="79"/>
    </row>
    <row r="626" spans="1:334" s="80" customFormat="1" x14ac:dyDescent="0.2">
      <c r="A626" s="79"/>
      <c r="B626" s="79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  <c r="AA626" s="79"/>
      <c r="AB626" s="79"/>
      <c r="AC626" s="79"/>
      <c r="AD626" s="79"/>
      <c r="AE626" s="79"/>
      <c r="AF626" s="79"/>
      <c r="AG626" s="79"/>
      <c r="AH626" s="79"/>
      <c r="AI626" s="79"/>
      <c r="AJ626" s="79"/>
      <c r="AK626" s="79"/>
      <c r="AL626" s="79"/>
      <c r="AM626" s="79"/>
      <c r="AN626" s="79"/>
      <c r="AO626" s="79"/>
      <c r="AP626" s="79"/>
      <c r="AQ626" s="79"/>
      <c r="AR626" s="79"/>
      <c r="AS626" s="79"/>
      <c r="AT626" s="79"/>
      <c r="AU626" s="79"/>
      <c r="AV626" s="79"/>
      <c r="AW626" s="79"/>
      <c r="AX626" s="79"/>
      <c r="AY626" s="79"/>
      <c r="AZ626" s="79"/>
      <c r="BA626" s="79"/>
      <c r="BB626" s="79"/>
      <c r="BC626" s="79"/>
      <c r="BD626" s="79"/>
      <c r="BE626" s="79"/>
      <c r="BF626" s="79"/>
      <c r="BG626" s="79"/>
      <c r="BH626" s="79"/>
      <c r="BI626" s="79"/>
      <c r="BJ626" s="79"/>
      <c r="BK626" s="79"/>
      <c r="BL626" s="79"/>
      <c r="BM626" s="79"/>
      <c r="BN626" s="79"/>
      <c r="BO626" s="79"/>
      <c r="BP626" s="79"/>
      <c r="BQ626" s="79"/>
      <c r="BR626" s="79"/>
      <c r="BS626" s="79"/>
      <c r="BT626" s="79"/>
      <c r="BU626" s="79"/>
      <c r="BV626" s="79"/>
      <c r="BW626" s="79"/>
      <c r="BX626" s="79"/>
      <c r="BY626" s="79"/>
      <c r="BZ626" s="79"/>
      <c r="CA626" s="79"/>
      <c r="CB626" s="79"/>
      <c r="CC626" s="79"/>
      <c r="CD626" s="79"/>
      <c r="CE626" s="79"/>
      <c r="CF626" s="79"/>
      <c r="CG626" s="79"/>
      <c r="CH626" s="79"/>
      <c r="CI626" s="79"/>
      <c r="CJ626" s="79"/>
      <c r="CK626" s="79"/>
      <c r="CL626" s="79"/>
      <c r="CM626" s="79"/>
      <c r="CN626" s="79"/>
      <c r="CO626" s="79"/>
      <c r="CP626" s="79"/>
      <c r="CQ626" s="79"/>
      <c r="CR626" s="79"/>
      <c r="CS626" s="79"/>
      <c r="CT626" s="79"/>
      <c r="CU626" s="79"/>
      <c r="CV626" s="79"/>
      <c r="CW626" s="79"/>
      <c r="CX626" s="79"/>
      <c r="CY626" s="79"/>
      <c r="CZ626" s="79"/>
      <c r="DA626" s="79"/>
      <c r="DB626" s="79"/>
      <c r="DC626" s="79"/>
      <c r="DD626" s="79"/>
      <c r="DE626" s="79"/>
      <c r="DF626" s="79"/>
      <c r="DG626" s="79"/>
      <c r="DH626" s="79"/>
      <c r="DI626" s="79"/>
      <c r="DJ626" s="79"/>
      <c r="DK626" s="79"/>
      <c r="DL626" s="79"/>
      <c r="DM626" s="79"/>
      <c r="DN626" s="79"/>
      <c r="DO626" s="79"/>
      <c r="DP626" s="79"/>
      <c r="DQ626" s="79"/>
      <c r="DR626" s="79"/>
      <c r="DS626" s="79"/>
      <c r="DT626" s="79"/>
      <c r="DU626" s="79"/>
      <c r="DV626" s="79"/>
      <c r="DW626" s="79"/>
      <c r="DX626" s="79"/>
      <c r="DY626" s="79"/>
      <c r="DZ626" s="79"/>
      <c r="EA626" s="79"/>
      <c r="EB626" s="79"/>
      <c r="EC626" s="79"/>
      <c r="ED626" s="79"/>
      <c r="EE626" s="79"/>
      <c r="EF626" s="79"/>
      <c r="EG626" s="79"/>
      <c r="EH626" s="79"/>
      <c r="EI626" s="79"/>
      <c r="EJ626" s="79"/>
      <c r="EK626" s="79"/>
      <c r="EL626" s="79"/>
      <c r="EM626" s="79"/>
      <c r="EN626" s="79"/>
      <c r="EO626" s="79"/>
      <c r="EP626" s="79"/>
      <c r="EQ626" s="79"/>
      <c r="ER626" s="79"/>
      <c r="ES626" s="79"/>
      <c r="ET626" s="79"/>
      <c r="EU626" s="79"/>
      <c r="EV626" s="79"/>
      <c r="EW626" s="79"/>
      <c r="EX626" s="79"/>
      <c r="EY626" s="79"/>
      <c r="EZ626" s="79"/>
      <c r="FA626" s="79"/>
      <c r="FB626" s="79"/>
      <c r="FC626" s="79"/>
      <c r="FD626" s="79"/>
      <c r="FE626" s="79"/>
      <c r="FF626" s="79"/>
      <c r="FG626" s="79"/>
      <c r="FH626" s="79"/>
      <c r="FI626" s="79"/>
      <c r="FJ626" s="79"/>
      <c r="FK626" s="79"/>
      <c r="FL626" s="79"/>
      <c r="FM626" s="79"/>
      <c r="FN626" s="79"/>
      <c r="FO626" s="79"/>
      <c r="FP626" s="79"/>
      <c r="FQ626" s="79"/>
      <c r="FR626" s="79"/>
      <c r="FS626" s="79"/>
      <c r="FT626" s="79"/>
      <c r="FU626" s="79"/>
      <c r="FV626" s="79"/>
      <c r="FW626" s="79"/>
      <c r="FX626" s="79"/>
      <c r="FY626" s="79"/>
      <c r="FZ626" s="79"/>
      <c r="GA626" s="79"/>
      <c r="GB626" s="79"/>
      <c r="GC626" s="79"/>
      <c r="GD626" s="79"/>
      <c r="GE626" s="79"/>
      <c r="GF626" s="79"/>
      <c r="GG626" s="79"/>
      <c r="GH626" s="79"/>
      <c r="GI626" s="79"/>
      <c r="GJ626" s="79"/>
      <c r="GK626" s="79"/>
      <c r="GL626" s="79"/>
      <c r="GM626" s="79"/>
      <c r="GN626" s="79"/>
      <c r="GO626" s="79"/>
      <c r="GP626" s="79"/>
      <c r="GQ626" s="79"/>
      <c r="GR626" s="79"/>
      <c r="GS626" s="79"/>
      <c r="GT626" s="79"/>
      <c r="GU626" s="79"/>
      <c r="GV626" s="79"/>
      <c r="GW626" s="79"/>
      <c r="GX626" s="79"/>
      <c r="GY626" s="79"/>
      <c r="GZ626" s="79"/>
      <c r="HA626" s="79"/>
      <c r="HB626" s="79"/>
      <c r="HC626" s="79"/>
      <c r="HD626" s="79"/>
      <c r="HE626" s="79"/>
      <c r="HF626" s="79"/>
      <c r="HG626" s="79"/>
      <c r="HH626" s="79"/>
      <c r="HI626" s="79"/>
      <c r="HJ626" s="79"/>
      <c r="HK626" s="79"/>
      <c r="HL626" s="79"/>
      <c r="HM626" s="79"/>
      <c r="HN626" s="79"/>
      <c r="HO626" s="79"/>
      <c r="HP626" s="79"/>
      <c r="HQ626" s="79"/>
      <c r="HR626" s="79"/>
      <c r="HS626" s="79"/>
      <c r="HT626" s="79"/>
      <c r="HU626" s="79"/>
      <c r="HV626" s="79"/>
      <c r="HW626" s="79"/>
      <c r="HX626" s="79"/>
      <c r="HY626" s="79"/>
      <c r="HZ626" s="79"/>
      <c r="IA626" s="79"/>
      <c r="IB626" s="79"/>
      <c r="IC626" s="79"/>
      <c r="ID626" s="79"/>
      <c r="IE626" s="79"/>
      <c r="IF626" s="79"/>
      <c r="IG626" s="79"/>
      <c r="IH626" s="79"/>
      <c r="II626" s="79"/>
      <c r="IJ626" s="79"/>
      <c r="IK626" s="79"/>
      <c r="IL626" s="79"/>
      <c r="IM626" s="79"/>
      <c r="IN626" s="79"/>
      <c r="IO626" s="79"/>
      <c r="IP626" s="79"/>
      <c r="IQ626" s="79"/>
      <c r="IR626" s="79"/>
      <c r="IS626" s="79"/>
      <c r="IT626" s="79"/>
      <c r="IU626" s="79"/>
      <c r="IV626" s="79"/>
      <c r="IW626" s="79"/>
      <c r="IX626" s="79"/>
      <c r="IY626" s="79"/>
      <c r="IZ626" s="79"/>
      <c r="JA626" s="79"/>
      <c r="JB626" s="79"/>
      <c r="JC626" s="79"/>
      <c r="JD626" s="79"/>
      <c r="JE626" s="79"/>
      <c r="JF626" s="79"/>
      <c r="JG626" s="79"/>
      <c r="JH626" s="79"/>
      <c r="JI626" s="79"/>
      <c r="JJ626" s="79"/>
      <c r="JK626" s="79"/>
      <c r="JL626" s="79"/>
      <c r="JM626" s="79"/>
      <c r="JN626" s="79"/>
      <c r="JO626" s="79"/>
      <c r="JP626" s="79"/>
      <c r="JQ626" s="79"/>
      <c r="JR626" s="79"/>
      <c r="JS626" s="79"/>
      <c r="JT626" s="79"/>
      <c r="JU626" s="79"/>
      <c r="JV626" s="79"/>
      <c r="JW626" s="79"/>
      <c r="JX626" s="79"/>
      <c r="JY626" s="79"/>
      <c r="JZ626" s="79"/>
      <c r="KA626" s="79"/>
      <c r="KB626" s="79"/>
      <c r="KC626" s="79"/>
      <c r="KD626" s="79"/>
      <c r="KE626" s="79"/>
      <c r="KF626" s="79"/>
      <c r="KG626" s="79"/>
      <c r="KH626" s="79"/>
      <c r="KI626" s="79"/>
      <c r="KJ626" s="79"/>
      <c r="KK626" s="79"/>
      <c r="KL626" s="79"/>
      <c r="KM626" s="79"/>
      <c r="KN626" s="79"/>
      <c r="KO626" s="79"/>
      <c r="KP626" s="79"/>
      <c r="KQ626" s="79"/>
      <c r="KR626" s="79"/>
      <c r="KS626" s="79"/>
      <c r="KT626" s="79"/>
      <c r="KU626" s="79"/>
      <c r="KV626" s="79"/>
      <c r="KW626" s="79"/>
      <c r="KX626" s="79"/>
      <c r="KY626" s="79"/>
      <c r="KZ626" s="79"/>
      <c r="LA626" s="79"/>
      <c r="LB626" s="79"/>
      <c r="LC626" s="79"/>
      <c r="LD626" s="79"/>
      <c r="LE626" s="79"/>
      <c r="LF626" s="79"/>
      <c r="LG626" s="79"/>
      <c r="LH626" s="79"/>
      <c r="LI626" s="79"/>
      <c r="LJ626" s="79"/>
      <c r="LK626" s="79"/>
      <c r="LL626" s="79"/>
      <c r="LM626" s="79"/>
      <c r="LN626" s="79"/>
      <c r="LO626" s="79"/>
      <c r="LP626" s="79"/>
      <c r="LQ626" s="79"/>
      <c r="LR626" s="79"/>
      <c r="LS626" s="79"/>
      <c r="LT626" s="79"/>
      <c r="LU626" s="79"/>
      <c r="LV626" s="79"/>
    </row>
  </sheetData>
  <phoneticPr fontId="2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D631A-6EC8-4906-A492-A7FA497A1583}">
  <dimension ref="B2:L497"/>
  <sheetViews>
    <sheetView topLeftCell="A10" zoomScale="70" zoomScaleNormal="70" workbookViewId="0">
      <selection activeCell="G45" sqref="G45"/>
    </sheetView>
  </sheetViews>
  <sheetFormatPr defaultRowHeight="13.2" x14ac:dyDescent="0.25"/>
  <cols>
    <col min="2" max="2" width="19" customWidth="1"/>
    <col min="3" max="3" width="33" customWidth="1"/>
    <col min="4" max="4" width="32.5546875" customWidth="1"/>
    <col min="5" max="5" width="22.77734375" customWidth="1"/>
    <col min="6" max="8" width="22.33203125" customWidth="1"/>
    <col min="9" max="9" width="26.21875" style="140" customWidth="1"/>
    <col min="10" max="10" width="29.6640625" style="145" customWidth="1"/>
    <col min="12" max="12" width="15.88671875" style="138" customWidth="1"/>
  </cols>
  <sheetData>
    <row r="2" spans="2:12" ht="31.8" customHeight="1" x14ac:dyDescent="0.25">
      <c r="B2" s="156" t="s">
        <v>259</v>
      </c>
      <c r="C2" s="156"/>
      <c r="D2" s="156"/>
      <c r="E2" s="156"/>
    </row>
    <row r="3" spans="2:12" ht="15.6" x14ac:dyDescent="0.3">
      <c r="B3" s="154" t="s">
        <v>277</v>
      </c>
      <c r="C3" s="154"/>
      <c r="D3" s="154"/>
      <c r="E3" s="108"/>
      <c r="F3" s="108"/>
      <c r="G3" s="108"/>
      <c r="H3" s="108"/>
      <c r="I3" s="141"/>
      <c r="J3" s="146"/>
    </row>
    <row r="4" spans="2:12" ht="18.600000000000001" x14ac:dyDescent="0.3">
      <c r="B4" s="109" t="s">
        <v>278</v>
      </c>
      <c r="C4" s="110" t="s">
        <v>279</v>
      </c>
      <c r="D4" s="109" t="s">
        <v>280</v>
      </c>
      <c r="E4" s="109" t="s">
        <v>288</v>
      </c>
      <c r="F4" s="109" t="s">
        <v>289</v>
      </c>
      <c r="G4" s="109" t="s">
        <v>281</v>
      </c>
      <c r="H4" s="109" t="s">
        <v>282</v>
      </c>
      <c r="I4" s="113" t="s">
        <v>283</v>
      </c>
      <c r="J4" s="147" t="s">
        <v>284</v>
      </c>
    </row>
    <row r="5" spans="2:12" ht="15.6" x14ac:dyDescent="0.3">
      <c r="B5" s="111">
        <v>44075</v>
      </c>
      <c r="C5" s="110">
        <v>425.57179487179496</v>
      </c>
      <c r="D5" s="110">
        <v>20.3160256410256</v>
      </c>
      <c r="E5" s="116">
        <v>161.58306249999998</v>
      </c>
      <c r="F5" s="116">
        <v>156.9724358974359</v>
      </c>
      <c r="G5" s="116">
        <f>E5*24</f>
        <v>3877.9934999999996</v>
      </c>
      <c r="H5" s="116">
        <f>F5*24</f>
        <v>3767.3384615384616</v>
      </c>
      <c r="I5" s="113">
        <v>67.48</v>
      </c>
      <c r="J5" s="147">
        <v>47176.03</v>
      </c>
      <c r="L5" s="139"/>
    </row>
    <row r="6" spans="2:12" ht="15.6" x14ac:dyDescent="0.3">
      <c r="B6" s="111">
        <v>44105</v>
      </c>
      <c r="C6" s="110">
        <v>426.08655913978498</v>
      </c>
      <c r="D6" s="110">
        <v>19.950537634408605</v>
      </c>
      <c r="E6" s="116">
        <v>161.56952956989247</v>
      </c>
      <c r="F6" s="116">
        <v>156.97343279569893</v>
      </c>
      <c r="G6" s="116">
        <f t="shared" ref="G6:G8" si="0">E6*24</f>
        <v>3877.6687096774194</v>
      </c>
      <c r="H6" s="116">
        <f t="shared" ref="H6:H8" si="1">F6*24</f>
        <v>3767.362387096774</v>
      </c>
      <c r="I6" s="113">
        <v>79.597999999999999</v>
      </c>
      <c r="J6" s="147">
        <v>52260.31</v>
      </c>
      <c r="L6" s="139"/>
    </row>
    <row r="7" spans="2:12" ht="15.6" x14ac:dyDescent="0.3">
      <c r="B7" s="111">
        <v>44136</v>
      </c>
      <c r="C7" s="110">
        <v>426.18611111111113</v>
      </c>
      <c r="D7" s="110">
        <v>19.722777777777768</v>
      </c>
      <c r="E7" s="116">
        <v>161.59854305555555</v>
      </c>
      <c r="F7" s="116">
        <v>156.93033055555554</v>
      </c>
      <c r="G7" s="116">
        <f t="shared" si="0"/>
        <v>3878.3650333333335</v>
      </c>
      <c r="H7" s="116">
        <f t="shared" si="1"/>
        <v>3766.327933333333</v>
      </c>
      <c r="I7" s="113">
        <v>78.210999999999999</v>
      </c>
      <c r="J7" s="147">
        <v>51655.78</v>
      </c>
      <c r="L7" s="139"/>
    </row>
    <row r="8" spans="2:12" ht="15.6" x14ac:dyDescent="0.3">
      <c r="B8" s="111">
        <v>44166</v>
      </c>
      <c r="C8" s="110">
        <v>426.28198924731174</v>
      </c>
      <c r="D8" s="110">
        <v>19.76048387096774</v>
      </c>
      <c r="E8" s="116">
        <v>161.59822849462364</v>
      </c>
      <c r="F8" s="116">
        <v>156.93568010752693</v>
      </c>
      <c r="G8" s="116">
        <f t="shared" si="0"/>
        <v>3878.3574838709674</v>
      </c>
      <c r="H8" s="116">
        <f t="shared" si="1"/>
        <v>3766.4563225806464</v>
      </c>
      <c r="I8" s="113">
        <v>81.820999999999998</v>
      </c>
      <c r="J8" s="147">
        <v>51784.28</v>
      </c>
      <c r="L8" s="139"/>
    </row>
    <row r="9" spans="2:12" ht="15.6" x14ac:dyDescent="0.3">
      <c r="B9" s="155" t="s">
        <v>285</v>
      </c>
      <c r="C9" s="155"/>
      <c r="D9" s="155"/>
      <c r="E9" s="108"/>
      <c r="F9" s="108"/>
      <c r="G9" s="108"/>
      <c r="H9" s="108"/>
      <c r="I9" s="141"/>
      <c r="J9" s="148"/>
      <c r="L9" s="139"/>
    </row>
    <row r="10" spans="2:12" ht="18.600000000000001" x14ac:dyDescent="0.3">
      <c r="B10" s="109" t="s">
        <v>278</v>
      </c>
      <c r="C10" s="110" t="s">
        <v>279</v>
      </c>
      <c r="D10" s="109" t="s">
        <v>280</v>
      </c>
      <c r="E10" s="109" t="s">
        <v>288</v>
      </c>
      <c r="F10" s="109" t="s">
        <v>289</v>
      </c>
      <c r="G10" s="109" t="s">
        <v>281</v>
      </c>
      <c r="H10" s="109" t="s">
        <v>282</v>
      </c>
      <c r="I10" s="113" t="s">
        <v>283</v>
      </c>
      <c r="J10" s="147" t="s">
        <v>284</v>
      </c>
      <c r="L10" s="139"/>
    </row>
    <row r="11" spans="2:12" ht="15.6" x14ac:dyDescent="0.3">
      <c r="B11" s="111">
        <v>44197</v>
      </c>
      <c r="C11" s="110">
        <v>426.26989247311826</v>
      </c>
      <c r="D11" s="110">
        <v>19.842741935483868</v>
      </c>
      <c r="E11" s="116">
        <v>161.59540188172042</v>
      </c>
      <c r="F11" s="116">
        <v>156.98142741935484</v>
      </c>
      <c r="G11" s="116">
        <f>E11*24</f>
        <v>3878.2896451612901</v>
      </c>
      <c r="H11" s="116">
        <f>F11*24</f>
        <v>3767.554258064516</v>
      </c>
      <c r="I11" s="113">
        <v>80.75200000000001</v>
      </c>
      <c r="J11" s="147">
        <v>51671.81</v>
      </c>
      <c r="L11" s="139"/>
    </row>
    <row r="12" spans="2:12" ht="15.6" x14ac:dyDescent="0.3">
      <c r="B12" s="111">
        <v>44228</v>
      </c>
      <c r="C12" s="110">
        <v>426.05654761904754</v>
      </c>
      <c r="D12" s="110">
        <v>19.510119047619042</v>
      </c>
      <c r="E12" s="116">
        <v>161.68219047619047</v>
      </c>
      <c r="F12" s="116">
        <v>156.90265773809523</v>
      </c>
      <c r="G12" s="116">
        <f t="shared" ref="G12:H22" si="2">E12*24</f>
        <v>3880.3725714285711</v>
      </c>
      <c r="H12" s="116">
        <f t="shared" si="2"/>
        <v>3765.6637857142855</v>
      </c>
      <c r="I12" s="113">
        <v>70.891999999999996</v>
      </c>
      <c r="J12" s="147">
        <v>51979.92</v>
      </c>
      <c r="L12" s="139"/>
    </row>
    <row r="13" spans="2:12" ht="15.6" x14ac:dyDescent="0.3">
      <c r="B13" s="111">
        <v>44256</v>
      </c>
      <c r="C13" s="110">
        <v>426.25430107526881</v>
      </c>
      <c r="D13" s="110">
        <v>19.966129032258067</v>
      </c>
      <c r="E13" s="116">
        <v>161.62293548387095</v>
      </c>
      <c r="F13" s="116">
        <v>156.95703763440858</v>
      </c>
      <c r="G13" s="116">
        <f t="shared" si="2"/>
        <v>3878.9504516129027</v>
      </c>
      <c r="H13" s="116">
        <f t="shared" si="2"/>
        <v>3766.9689032258057</v>
      </c>
      <c r="I13" s="113">
        <v>79.836999999999989</v>
      </c>
      <c r="J13" s="149">
        <v>51985.1</v>
      </c>
      <c r="L13" s="139"/>
    </row>
    <row r="14" spans="2:12" ht="15.6" x14ac:dyDescent="0.3">
      <c r="B14" s="111">
        <v>44287</v>
      </c>
      <c r="C14" s="110">
        <v>426.29568965517257</v>
      </c>
      <c r="D14" s="110">
        <v>19.570689655172412</v>
      </c>
      <c r="E14" s="116">
        <v>161.60026805555557</v>
      </c>
      <c r="F14" s="116">
        <v>157.04327777777775</v>
      </c>
      <c r="G14" s="116">
        <f t="shared" si="2"/>
        <v>3878.4064333333336</v>
      </c>
      <c r="H14" s="116">
        <f t="shared" si="2"/>
        <v>3769.0386666666659</v>
      </c>
      <c r="I14" s="113">
        <v>76.606999999999985</v>
      </c>
      <c r="J14" s="147">
        <v>51747.97</v>
      </c>
      <c r="L14" s="139"/>
    </row>
    <row r="15" spans="2:12" ht="15.6" x14ac:dyDescent="0.3">
      <c r="B15" s="111">
        <v>44317</v>
      </c>
      <c r="C15" s="110">
        <v>425.98360215053776</v>
      </c>
      <c r="D15" s="110">
        <v>19.611290322580651</v>
      </c>
      <c r="E15" s="116">
        <v>181.46661962365593</v>
      </c>
      <c r="F15" s="116">
        <v>176.69053494623657</v>
      </c>
      <c r="G15" s="116">
        <f t="shared" si="2"/>
        <v>4355.1988709677426</v>
      </c>
      <c r="H15" s="116">
        <f t="shared" si="2"/>
        <v>4240.5728387096779</v>
      </c>
      <c r="I15" s="113">
        <v>79.735000000000014</v>
      </c>
      <c r="J15" s="147">
        <v>52318.06</v>
      </c>
      <c r="L15" s="139"/>
    </row>
    <row r="16" spans="2:12" ht="15.6" x14ac:dyDescent="0.3">
      <c r="B16" s="111">
        <v>44348</v>
      </c>
      <c r="C16" s="110">
        <v>407.83805555555557</v>
      </c>
      <c r="D16" s="110">
        <v>20.001666666666669</v>
      </c>
      <c r="E16" s="116">
        <v>181.6441916666667</v>
      </c>
      <c r="F16" s="116">
        <v>176.7645263888889</v>
      </c>
      <c r="G16" s="116">
        <f t="shared" si="2"/>
        <v>4359.4606000000003</v>
      </c>
      <c r="H16" s="116">
        <f t="shared" si="2"/>
        <v>4242.3486333333331</v>
      </c>
      <c r="I16" s="113">
        <v>78.498000000000019</v>
      </c>
      <c r="J16" s="147">
        <v>52510.33</v>
      </c>
      <c r="L16" s="139"/>
    </row>
    <row r="17" spans="2:12" ht="15.6" x14ac:dyDescent="0.3">
      <c r="B17" s="111">
        <v>44378</v>
      </c>
      <c r="C17" s="110">
        <v>407.67580645161291</v>
      </c>
      <c r="D17" s="110">
        <v>19.933870967741932</v>
      </c>
      <c r="E17" s="116">
        <v>181.61869758064512</v>
      </c>
      <c r="F17" s="116">
        <v>176.77991801075271</v>
      </c>
      <c r="G17" s="116">
        <f t="shared" si="2"/>
        <v>4358.8487419354824</v>
      </c>
      <c r="H17" s="116">
        <f t="shared" si="2"/>
        <v>4242.7180322580653</v>
      </c>
      <c r="I17" s="113">
        <v>78.970999999999975</v>
      </c>
      <c r="J17" s="147">
        <v>52475.43</v>
      </c>
      <c r="L17" s="139"/>
    </row>
    <row r="18" spans="2:12" ht="15.6" x14ac:dyDescent="0.3">
      <c r="B18" s="111">
        <v>44409</v>
      </c>
      <c r="C18" s="110">
        <v>407.42392473118275</v>
      </c>
      <c r="D18" s="110">
        <v>19.453494623655907</v>
      </c>
      <c r="E18" s="116">
        <v>181.66136290322578</v>
      </c>
      <c r="F18" s="116">
        <v>176.75444892473115</v>
      </c>
      <c r="G18" s="116">
        <f t="shared" si="2"/>
        <v>4359.8727096774182</v>
      </c>
      <c r="H18" s="116">
        <f t="shared" si="2"/>
        <v>4242.1067741935476</v>
      </c>
      <c r="I18" s="113">
        <v>80.368999999999986</v>
      </c>
      <c r="J18" s="147">
        <v>52297.49</v>
      </c>
      <c r="L18" s="139"/>
    </row>
    <row r="19" spans="2:12" ht="15.6" x14ac:dyDescent="0.3">
      <c r="B19" s="111">
        <v>44440</v>
      </c>
      <c r="C19" s="110">
        <v>426.02250000000004</v>
      </c>
      <c r="D19" s="110">
        <v>19.938611111111111</v>
      </c>
      <c r="E19" s="116">
        <v>181.56433333333334</v>
      </c>
      <c r="F19" s="116">
        <v>176.74947499999999</v>
      </c>
      <c r="G19" s="116">
        <f t="shared" si="2"/>
        <v>4357.5439999999999</v>
      </c>
      <c r="H19" s="116">
        <f t="shared" si="2"/>
        <v>4241.9874</v>
      </c>
      <c r="I19" s="113">
        <v>77.116</v>
      </c>
      <c r="J19" s="147">
        <v>52324.639999999999</v>
      </c>
      <c r="L19" s="139"/>
    </row>
    <row r="20" spans="2:12" ht="15.6" x14ac:dyDescent="0.3">
      <c r="B20" s="111">
        <v>44470</v>
      </c>
      <c r="C20" s="110">
        <v>425.64919354838707</v>
      </c>
      <c r="D20" s="110">
        <v>19.725537634408603</v>
      </c>
      <c r="E20" s="116">
        <v>181.62194220430109</v>
      </c>
      <c r="F20" s="116">
        <v>176.73456451612904</v>
      </c>
      <c r="G20" s="116">
        <f t="shared" si="2"/>
        <v>4358.9266129032258</v>
      </c>
      <c r="H20" s="116">
        <f t="shared" si="2"/>
        <v>4241.6295483870972</v>
      </c>
      <c r="I20" s="113">
        <v>80.539000000000016</v>
      </c>
      <c r="J20" s="147">
        <v>52349.39</v>
      </c>
      <c r="L20" s="139"/>
    </row>
    <row r="21" spans="2:12" ht="15.6" x14ac:dyDescent="0.3">
      <c r="B21" s="111">
        <v>44501</v>
      </c>
      <c r="C21" s="110">
        <v>425.94777777777784</v>
      </c>
      <c r="D21" s="110">
        <v>19.734166666666663</v>
      </c>
      <c r="E21" s="116">
        <v>161.61169444444442</v>
      </c>
      <c r="F21" s="116">
        <v>156.96107916666668</v>
      </c>
      <c r="G21" s="116">
        <f t="shared" si="2"/>
        <v>3878.6806666666662</v>
      </c>
      <c r="H21" s="116">
        <f t="shared" si="2"/>
        <v>3767.0659000000005</v>
      </c>
      <c r="I21" s="113">
        <v>79.289000000000001</v>
      </c>
      <c r="J21" s="147">
        <v>51665.09</v>
      </c>
      <c r="L21" s="139"/>
    </row>
    <row r="22" spans="2:12" ht="15.6" x14ac:dyDescent="0.3">
      <c r="B22" s="111">
        <v>44531</v>
      </c>
      <c r="C22" s="110">
        <v>425.97204301075266</v>
      </c>
      <c r="D22" s="110">
        <v>19.311559139784944</v>
      </c>
      <c r="E22" s="116">
        <v>161.57796639784945</v>
      </c>
      <c r="F22" s="116">
        <v>156.98270161290318</v>
      </c>
      <c r="G22" s="116">
        <f t="shared" si="2"/>
        <v>3877.8711935483871</v>
      </c>
      <c r="H22" s="116">
        <f t="shared" si="2"/>
        <v>3767.5848387096767</v>
      </c>
      <c r="I22" s="113">
        <v>80.323999999999998</v>
      </c>
      <c r="J22" s="147">
        <v>51836.42</v>
      </c>
      <c r="L22" s="139"/>
    </row>
    <row r="23" spans="2:12" ht="15.6" x14ac:dyDescent="0.3">
      <c r="B23" s="114"/>
      <c r="C23" s="108"/>
      <c r="D23" s="108"/>
      <c r="E23" s="108"/>
      <c r="F23" s="108"/>
      <c r="G23" s="108"/>
      <c r="H23" s="108"/>
      <c r="I23" s="141"/>
      <c r="J23" s="150"/>
      <c r="L23" s="139"/>
    </row>
    <row r="24" spans="2:12" ht="15.6" x14ac:dyDescent="0.3">
      <c r="B24" s="155" t="s">
        <v>286</v>
      </c>
      <c r="C24" s="155"/>
      <c r="D24" s="155"/>
      <c r="E24" s="108"/>
      <c r="F24" s="108"/>
      <c r="G24" s="108"/>
      <c r="H24" s="108"/>
      <c r="I24" s="141"/>
      <c r="J24" s="146"/>
      <c r="L24" s="139"/>
    </row>
    <row r="25" spans="2:12" ht="18.600000000000001" x14ac:dyDescent="0.3">
      <c r="B25" s="109" t="s">
        <v>278</v>
      </c>
      <c r="C25" s="110" t="s">
        <v>279</v>
      </c>
      <c r="D25" s="109" t="s">
        <v>280</v>
      </c>
      <c r="E25" s="109" t="s">
        <v>288</v>
      </c>
      <c r="F25" s="109" t="s">
        <v>289</v>
      </c>
      <c r="G25" s="109" t="s">
        <v>281</v>
      </c>
      <c r="H25" s="109" t="s">
        <v>282</v>
      </c>
      <c r="I25" s="113" t="s">
        <v>283</v>
      </c>
      <c r="J25" s="147" t="s">
        <v>284</v>
      </c>
      <c r="L25" s="139"/>
    </row>
    <row r="26" spans="2:12" ht="15.6" x14ac:dyDescent="0.3">
      <c r="B26" s="111">
        <v>44197</v>
      </c>
      <c r="C26" s="110">
        <v>425.78118279569895</v>
      </c>
      <c r="D26" s="110">
        <v>19.599999999999998</v>
      </c>
      <c r="E26" s="116">
        <v>161.57518279569894</v>
      </c>
      <c r="F26" s="116">
        <v>156.99000134408601</v>
      </c>
      <c r="G26" s="116">
        <f>E26*24</f>
        <v>3877.8043870967745</v>
      </c>
      <c r="H26" s="116">
        <f>F26*24</f>
        <v>3767.7600322580643</v>
      </c>
      <c r="I26" s="113">
        <v>79.427000000000007</v>
      </c>
      <c r="J26" s="147">
        <v>51675.94</v>
      </c>
      <c r="L26" s="139"/>
    </row>
    <row r="27" spans="2:12" ht="15.6" x14ac:dyDescent="0.3">
      <c r="B27" s="111">
        <v>44228</v>
      </c>
      <c r="C27" s="110">
        <v>425.67678571428576</v>
      </c>
      <c r="D27" s="110">
        <v>20.265773809523811</v>
      </c>
      <c r="E27" s="116">
        <v>161.62453273809524</v>
      </c>
      <c r="F27" s="116">
        <v>156.95784374999999</v>
      </c>
      <c r="G27" s="116">
        <f t="shared" ref="G27:H30" si="3">E27*24</f>
        <v>3878.9887857142858</v>
      </c>
      <c r="H27" s="116">
        <f t="shared" si="3"/>
        <v>3766.9882499999999</v>
      </c>
      <c r="I27" s="113">
        <v>72.544000000000011</v>
      </c>
      <c r="J27" s="147">
        <v>51845.67</v>
      </c>
      <c r="L27" s="139"/>
    </row>
    <row r="28" spans="2:12" ht="15.6" x14ac:dyDescent="0.3">
      <c r="B28" s="111">
        <v>44256</v>
      </c>
      <c r="C28" s="110">
        <v>426.12473118279576</v>
      </c>
      <c r="D28" s="110">
        <v>19.893548387096775</v>
      </c>
      <c r="E28" s="116">
        <v>161.61668413978495</v>
      </c>
      <c r="F28" s="116">
        <v>156.91836021505375</v>
      </c>
      <c r="G28" s="116">
        <f t="shared" si="3"/>
        <v>3878.8004193548386</v>
      </c>
      <c r="H28" s="116">
        <f t="shared" si="3"/>
        <v>3766.0406451612898</v>
      </c>
      <c r="I28" s="113">
        <v>79.254999999999995</v>
      </c>
      <c r="J28" s="147">
        <v>51988.51</v>
      </c>
      <c r="L28" s="139"/>
    </row>
    <row r="29" spans="2:12" ht="15.6" x14ac:dyDescent="0.3">
      <c r="B29" s="111">
        <v>44287</v>
      </c>
      <c r="C29" s="110">
        <v>425.74666666666661</v>
      </c>
      <c r="D29" s="110">
        <v>19.806944444444447</v>
      </c>
      <c r="E29" s="116">
        <v>161.60913055555557</v>
      </c>
      <c r="F29" s="116">
        <v>157.00417638888891</v>
      </c>
      <c r="G29" s="116">
        <f t="shared" si="3"/>
        <v>3878.6191333333336</v>
      </c>
      <c r="H29" s="116">
        <f t="shared" si="3"/>
        <v>3768.1002333333336</v>
      </c>
      <c r="I29" s="113">
        <v>77.712999999999965</v>
      </c>
      <c r="J29" s="149">
        <v>51768</v>
      </c>
      <c r="L29" s="139"/>
    </row>
    <row r="30" spans="2:12" ht="15.6" x14ac:dyDescent="0.3">
      <c r="B30" s="111">
        <v>44317</v>
      </c>
      <c r="C30" s="110">
        <v>425.96666666666664</v>
      </c>
      <c r="D30" s="110">
        <v>19.866129032258065</v>
      </c>
      <c r="E30" s="116">
        <v>181.61161962365597</v>
      </c>
      <c r="F30" s="116">
        <v>176.77722715053764</v>
      </c>
      <c r="G30" s="116">
        <f t="shared" si="3"/>
        <v>4358.678870967743</v>
      </c>
      <c r="H30" s="116">
        <f t="shared" si="3"/>
        <v>4242.6534516129032</v>
      </c>
      <c r="I30" s="113">
        <v>78.399000000000015</v>
      </c>
      <c r="J30" s="149">
        <v>52396.6</v>
      </c>
      <c r="L30" s="139"/>
    </row>
    <row r="31" spans="2:12" ht="15.6" x14ac:dyDescent="0.3">
      <c r="B31" s="111">
        <v>44348</v>
      </c>
      <c r="C31" s="110">
        <v>407.47055555555568</v>
      </c>
      <c r="D31" s="110">
        <v>19.826944444444443</v>
      </c>
      <c r="E31" s="116">
        <v>181.63872500000005</v>
      </c>
      <c r="F31" s="116">
        <v>176.8026444444445</v>
      </c>
      <c r="G31" s="116">
        <f t="shared" ref="G31" si="4">E31*24</f>
        <v>4359.3294000000014</v>
      </c>
      <c r="H31" s="116">
        <f t="shared" ref="H31" si="5">F31*24</f>
        <v>4243.2634666666681</v>
      </c>
      <c r="I31" s="113">
        <v>68.155999999999992</v>
      </c>
      <c r="J31" s="149">
        <v>52408.51</v>
      </c>
      <c r="L31" s="139"/>
    </row>
    <row r="32" spans="2:12" x14ac:dyDescent="0.25">
      <c r="J32" s="151"/>
    </row>
    <row r="33" spans="2:12" ht="31.8" customHeight="1" x14ac:dyDescent="0.25">
      <c r="B33" s="156" t="s">
        <v>243</v>
      </c>
      <c r="C33" s="156"/>
      <c r="D33" s="156"/>
      <c r="E33" s="156"/>
    </row>
    <row r="34" spans="2:12" ht="15.6" x14ac:dyDescent="0.3">
      <c r="B34" s="154" t="s">
        <v>277</v>
      </c>
      <c r="C34" s="154"/>
      <c r="D34" s="154"/>
      <c r="E34" s="108"/>
      <c r="F34" s="108"/>
      <c r="G34" s="108"/>
      <c r="H34" s="108"/>
      <c r="I34" s="141"/>
      <c r="J34" s="146"/>
    </row>
    <row r="35" spans="2:12" ht="18.600000000000001" x14ac:dyDescent="0.3">
      <c r="B35" s="109" t="s">
        <v>278</v>
      </c>
      <c r="C35" s="110" t="s">
        <v>279</v>
      </c>
      <c r="D35" s="109" t="s">
        <v>280</v>
      </c>
      <c r="E35" s="109" t="s">
        <v>288</v>
      </c>
      <c r="F35" s="109" t="s">
        <v>289</v>
      </c>
      <c r="G35" s="109" t="s">
        <v>281</v>
      </c>
      <c r="H35" s="109" t="s">
        <v>282</v>
      </c>
      <c r="I35" s="113" t="s">
        <v>283</v>
      </c>
      <c r="J35" s="147" t="s">
        <v>284</v>
      </c>
    </row>
    <row r="36" spans="2:12" ht="15.6" x14ac:dyDescent="0.3">
      <c r="B36" s="111">
        <v>44075</v>
      </c>
      <c r="C36" s="110">
        <v>468.11376811594209</v>
      </c>
      <c r="D36" s="110">
        <v>22.591304347826082</v>
      </c>
      <c r="E36" s="116">
        <v>243.38102717391305</v>
      </c>
      <c r="F36" s="116">
        <v>236.80390579710144</v>
      </c>
      <c r="G36" s="116">
        <f>E36*24</f>
        <v>5841.1446521739135</v>
      </c>
      <c r="H36" s="116">
        <f>F36*24</f>
        <v>5683.2937391304349</v>
      </c>
      <c r="I36" s="113">
        <v>48.035999999999994</v>
      </c>
      <c r="J36" s="147">
        <v>41629.08</v>
      </c>
      <c r="L36" s="139"/>
    </row>
    <row r="37" spans="2:12" ht="15.6" x14ac:dyDescent="0.3">
      <c r="B37" s="111">
        <v>44105</v>
      </c>
      <c r="C37" s="110">
        <v>468.57204301075262</v>
      </c>
      <c r="D37" s="110">
        <v>22.20779569892473</v>
      </c>
      <c r="E37" s="116">
        <v>243.38929032258068</v>
      </c>
      <c r="F37" s="116">
        <v>236.81651344086021</v>
      </c>
      <c r="G37" s="116">
        <f t="shared" ref="G37:H39" si="6">E37*24</f>
        <v>5841.3429677419363</v>
      </c>
      <c r="H37" s="116">
        <f t="shared" si="6"/>
        <v>5683.5963225806445</v>
      </c>
      <c r="I37" s="113">
        <v>63.937000000000012</v>
      </c>
      <c r="J37" s="147">
        <v>66548.44</v>
      </c>
      <c r="L37" s="139"/>
    </row>
    <row r="38" spans="2:12" ht="15.6" x14ac:dyDescent="0.3">
      <c r="B38" s="111">
        <v>44136</v>
      </c>
      <c r="C38" s="110">
        <v>468.56388888888893</v>
      </c>
      <c r="D38" s="110">
        <v>22.717222222222226</v>
      </c>
      <c r="E38" s="116">
        <v>213.43035277777781</v>
      </c>
      <c r="F38" s="116">
        <v>208.8104486111111</v>
      </c>
      <c r="G38" s="116">
        <f t="shared" si="6"/>
        <v>5122.3284666666677</v>
      </c>
      <c r="H38" s="116">
        <f t="shared" si="6"/>
        <v>5011.4507666666668</v>
      </c>
      <c r="I38" s="113">
        <v>62.590999999999994</v>
      </c>
      <c r="J38" s="147">
        <v>65907.55</v>
      </c>
      <c r="L38" s="139"/>
    </row>
    <row r="39" spans="2:12" ht="15.6" x14ac:dyDescent="0.3">
      <c r="B39" s="111">
        <v>44166</v>
      </c>
      <c r="C39" s="110">
        <v>468.0940860215054</v>
      </c>
      <c r="D39" s="110">
        <v>22.228494623655912</v>
      </c>
      <c r="E39" s="116">
        <v>213.3730443548387</v>
      </c>
      <c r="F39" s="116">
        <v>208.7951545698925</v>
      </c>
      <c r="G39" s="116">
        <f t="shared" si="6"/>
        <v>5120.9530645161285</v>
      </c>
      <c r="H39" s="116">
        <f t="shared" si="6"/>
        <v>5011.0837096774203</v>
      </c>
      <c r="I39" s="113">
        <v>64.40900000000002</v>
      </c>
      <c r="J39" s="149">
        <v>66222.2</v>
      </c>
      <c r="L39" s="139"/>
    </row>
    <row r="40" spans="2:12" ht="15.6" x14ac:dyDescent="0.3">
      <c r="B40" s="155" t="s">
        <v>285</v>
      </c>
      <c r="C40" s="155"/>
      <c r="D40" s="155"/>
      <c r="E40" s="108"/>
      <c r="F40" s="108"/>
      <c r="G40" s="108"/>
      <c r="H40" s="108"/>
      <c r="I40" s="141"/>
      <c r="J40" s="150"/>
      <c r="L40" s="139"/>
    </row>
    <row r="41" spans="2:12" ht="18.600000000000001" x14ac:dyDescent="0.3">
      <c r="B41" s="109" t="s">
        <v>278</v>
      </c>
      <c r="C41" s="110" t="s">
        <v>279</v>
      </c>
      <c r="D41" s="109" t="s">
        <v>280</v>
      </c>
      <c r="E41" s="109" t="s">
        <v>288</v>
      </c>
      <c r="F41" s="109" t="s">
        <v>289</v>
      </c>
      <c r="G41" s="109" t="s">
        <v>281</v>
      </c>
      <c r="H41" s="109" t="s">
        <v>282</v>
      </c>
      <c r="I41" s="113" t="s">
        <v>283</v>
      </c>
      <c r="J41" s="147" t="s">
        <v>284</v>
      </c>
      <c r="L41" s="139"/>
    </row>
    <row r="42" spans="2:12" ht="15.6" x14ac:dyDescent="0.3">
      <c r="B42" s="111">
        <v>44197</v>
      </c>
      <c r="C42" s="110">
        <v>467.47214076246331</v>
      </c>
      <c r="D42" s="110">
        <v>22.056891495601171</v>
      </c>
      <c r="E42" s="116">
        <v>213.38851881720433</v>
      </c>
      <c r="F42" s="116">
        <v>208.79364919354842</v>
      </c>
      <c r="G42" s="116">
        <f>E42*24</f>
        <v>5121.3244516129034</v>
      </c>
      <c r="H42" s="118">
        <f>F42*24</f>
        <v>5011.0475806451623</v>
      </c>
      <c r="I42" s="113">
        <v>63.823000000000008</v>
      </c>
      <c r="J42" s="147">
        <v>66239.259999999995</v>
      </c>
      <c r="L42" s="139"/>
    </row>
    <row r="43" spans="2:12" ht="15.6" x14ac:dyDescent="0.3">
      <c r="B43" s="111">
        <v>44228</v>
      </c>
      <c r="C43" s="110">
        <v>468.24940476190471</v>
      </c>
      <c r="D43" s="110">
        <v>21.288690476190482</v>
      </c>
      <c r="E43" s="116">
        <v>213.43526934523808</v>
      </c>
      <c r="F43" s="116">
        <v>208.71402232142856</v>
      </c>
      <c r="G43" s="116">
        <f t="shared" ref="G43:H53" si="7">E43*24</f>
        <v>5122.4464642857138</v>
      </c>
      <c r="H43" s="118">
        <f t="shared" si="7"/>
        <v>5009.1365357142859</v>
      </c>
      <c r="I43" s="113">
        <v>58.680000000000014</v>
      </c>
      <c r="J43" s="147">
        <v>65704.13</v>
      </c>
      <c r="L43" s="139"/>
    </row>
    <row r="44" spans="2:12" ht="15.6" x14ac:dyDescent="0.3">
      <c r="B44" s="111">
        <v>44256</v>
      </c>
      <c r="C44" s="110">
        <v>468.18494623655909</v>
      </c>
      <c r="D44" s="110">
        <v>22.187096774193552</v>
      </c>
      <c r="E44" s="116">
        <v>213.3531169354838</v>
      </c>
      <c r="F44" s="116">
        <v>208.81392204301076</v>
      </c>
      <c r="G44" s="116">
        <f t="shared" si="7"/>
        <v>5120.4748064516116</v>
      </c>
      <c r="H44" s="118">
        <f t="shared" si="7"/>
        <v>5011.5341290322585</v>
      </c>
      <c r="I44" s="113">
        <v>63.601000000000013</v>
      </c>
      <c r="J44" s="147">
        <v>65855.11</v>
      </c>
      <c r="L44" s="139"/>
    </row>
    <row r="45" spans="2:12" ht="15.6" x14ac:dyDescent="0.3">
      <c r="B45" s="111">
        <v>44287</v>
      </c>
      <c r="C45" s="110">
        <v>468.08735632183908</v>
      </c>
      <c r="D45" s="110">
        <v>21.946551724137933</v>
      </c>
      <c r="E45" s="116">
        <v>213.5023875</v>
      </c>
      <c r="F45" s="116">
        <v>208.75919722222224</v>
      </c>
      <c r="G45" s="116">
        <f t="shared" si="7"/>
        <v>5124.0573000000004</v>
      </c>
      <c r="H45" s="118">
        <f t="shared" si="7"/>
        <v>5010.2207333333336</v>
      </c>
      <c r="I45" s="113">
        <v>61.74499999999999</v>
      </c>
      <c r="J45" s="147">
        <v>65662.820000000007</v>
      </c>
      <c r="L45" s="139"/>
    </row>
    <row r="46" spans="2:12" ht="15.6" x14ac:dyDescent="0.3">
      <c r="B46" s="111">
        <v>44317</v>
      </c>
      <c r="C46" s="110">
        <v>468.33494623655906</v>
      </c>
      <c r="D46" s="110">
        <v>22.330107526881719</v>
      </c>
      <c r="E46" s="116">
        <v>243.34962768817206</v>
      </c>
      <c r="F46" s="116">
        <v>236.75489516129039</v>
      </c>
      <c r="G46" s="116">
        <f t="shared" si="7"/>
        <v>5840.3910645161295</v>
      </c>
      <c r="H46" s="118">
        <f t="shared" si="7"/>
        <v>5682.1174838709694</v>
      </c>
      <c r="I46" s="113">
        <v>64.572000000000003</v>
      </c>
      <c r="J46" s="147">
        <v>66525.59</v>
      </c>
      <c r="L46" s="139"/>
    </row>
    <row r="47" spans="2:12" ht="15.6" x14ac:dyDescent="0.3">
      <c r="B47" s="111">
        <v>44348</v>
      </c>
      <c r="C47" s="110">
        <v>468.48527777777787</v>
      </c>
      <c r="D47" s="110">
        <v>21.859166666666667</v>
      </c>
      <c r="E47" s="116">
        <v>213.34269027777779</v>
      </c>
      <c r="F47" s="116">
        <v>208.84962916666666</v>
      </c>
      <c r="G47" s="116">
        <f t="shared" si="7"/>
        <v>5120.2245666666668</v>
      </c>
      <c r="H47" s="118">
        <f t="shared" si="7"/>
        <v>5012.3910999999998</v>
      </c>
      <c r="I47" s="113">
        <v>62.149000000000001</v>
      </c>
      <c r="J47" s="149">
        <v>66680.5</v>
      </c>
      <c r="L47" s="139"/>
    </row>
    <row r="48" spans="2:12" ht="15.6" x14ac:dyDescent="0.3">
      <c r="B48" s="111">
        <v>44378</v>
      </c>
      <c r="C48" s="110">
        <v>468.30672043010748</v>
      </c>
      <c r="D48" s="110">
        <v>22.46720430107527</v>
      </c>
      <c r="E48" s="116">
        <v>213.34493817204304</v>
      </c>
      <c r="F48" s="116">
        <v>208.78781182795697</v>
      </c>
      <c r="G48" s="116">
        <f t="shared" si="7"/>
        <v>5120.2785161290331</v>
      </c>
      <c r="H48" s="118">
        <f t="shared" si="7"/>
        <v>5010.9074838709676</v>
      </c>
      <c r="I48" s="113">
        <v>64.505999999999986</v>
      </c>
      <c r="J48" s="147">
        <v>66680.92</v>
      </c>
      <c r="L48" s="139"/>
    </row>
    <row r="49" spans="2:12" ht="15.6" x14ac:dyDescent="0.3">
      <c r="B49" s="111">
        <v>44409</v>
      </c>
      <c r="C49" s="110">
        <v>468.35806451612905</v>
      </c>
      <c r="D49" s="110">
        <v>21.69596774193549</v>
      </c>
      <c r="E49" s="116">
        <v>213.38405779569896</v>
      </c>
      <c r="F49" s="116">
        <v>208.70641532258068</v>
      </c>
      <c r="G49" s="116">
        <f t="shared" si="7"/>
        <v>5121.2173870967754</v>
      </c>
      <c r="H49" s="118">
        <f t="shared" si="7"/>
        <v>5008.9539677419361</v>
      </c>
      <c r="I49" s="113">
        <v>63.844000000000015</v>
      </c>
      <c r="J49" s="147">
        <v>66573.789999999994</v>
      </c>
      <c r="L49" s="139"/>
    </row>
    <row r="50" spans="2:12" ht="15.6" x14ac:dyDescent="0.3">
      <c r="B50" s="111">
        <v>44440</v>
      </c>
      <c r="C50" s="110">
        <v>468.08571428571423</v>
      </c>
      <c r="D50" s="110">
        <v>22.490476190476191</v>
      </c>
      <c r="E50" s="116">
        <v>213.43390178571426</v>
      </c>
      <c r="F50" s="116">
        <v>208.68692113095238</v>
      </c>
      <c r="G50" s="116">
        <f t="shared" si="7"/>
        <v>5122.4136428571419</v>
      </c>
      <c r="H50" s="118">
        <f t="shared" si="7"/>
        <v>5008.4861071428568</v>
      </c>
      <c r="I50" s="113">
        <v>62.494000000000007</v>
      </c>
      <c r="J50" s="149">
        <v>66706.7</v>
      </c>
      <c r="L50" s="139"/>
    </row>
    <row r="51" spans="2:12" ht="15.6" x14ac:dyDescent="0.3">
      <c r="B51" s="111">
        <v>44470</v>
      </c>
      <c r="C51" s="110">
        <v>468.04489247311835</v>
      </c>
      <c r="D51" s="110">
        <v>22.493279569892469</v>
      </c>
      <c r="E51" s="116">
        <v>213.2667258064516</v>
      </c>
      <c r="F51" s="116">
        <v>208.75613575268818</v>
      </c>
      <c r="G51" s="116">
        <f t="shared" si="7"/>
        <v>5118.4014193548383</v>
      </c>
      <c r="H51" s="118">
        <f t="shared" si="7"/>
        <v>5010.1472580645168</v>
      </c>
      <c r="I51" s="113">
        <v>63.603000000000002</v>
      </c>
      <c r="J51" s="147">
        <v>66678.649999999994</v>
      </c>
      <c r="L51" s="139"/>
    </row>
    <row r="52" spans="2:12" ht="15.6" x14ac:dyDescent="0.3">
      <c r="B52" s="111">
        <v>44501</v>
      </c>
      <c r="C52" s="110">
        <v>468.331111111111</v>
      </c>
      <c r="D52" s="110">
        <v>21.851388888888891</v>
      </c>
      <c r="E52" s="116">
        <v>213.52260000000004</v>
      </c>
      <c r="F52" s="116">
        <v>208.73138472222223</v>
      </c>
      <c r="G52" s="116">
        <f t="shared" si="7"/>
        <v>5124.5424000000012</v>
      </c>
      <c r="H52" s="118">
        <f t="shared" si="7"/>
        <v>5009.553233333334</v>
      </c>
      <c r="I52" s="113">
        <v>62.070000000000007</v>
      </c>
      <c r="J52" s="147">
        <v>66265.94</v>
      </c>
      <c r="L52" s="139"/>
    </row>
    <row r="53" spans="2:12" ht="15.6" x14ac:dyDescent="0.3">
      <c r="B53" s="111">
        <v>44531</v>
      </c>
      <c r="C53" s="110">
        <v>468.27553763440858</v>
      </c>
      <c r="D53" s="110">
        <v>21.955376344086019</v>
      </c>
      <c r="E53" s="116">
        <v>243.3767204301075</v>
      </c>
      <c r="F53" s="116">
        <v>236.84134677419351</v>
      </c>
      <c r="G53" s="116">
        <f t="shared" si="7"/>
        <v>5841.0412903225797</v>
      </c>
      <c r="H53" s="118">
        <f t="shared" si="7"/>
        <v>5684.192322580644</v>
      </c>
      <c r="I53" s="113">
        <v>65.025000000000006</v>
      </c>
      <c r="J53" s="147">
        <v>65928.990000000005</v>
      </c>
      <c r="L53" s="139"/>
    </row>
    <row r="54" spans="2:12" ht="15.6" x14ac:dyDescent="0.3">
      <c r="B54" s="114"/>
      <c r="C54" s="108"/>
      <c r="D54" s="108"/>
      <c r="E54" s="108"/>
      <c r="F54" s="108"/>
      <c r="G54" s="108"/>
      <c r="H54" s="108"/>
      <c r="I54" s="142"/>
      <c r="J54" s="148"/>
      <c r="L54" s="139"/>
    </row>
    <row r="55" spans="2:12" ht="15.6" x14ac:dyDescent="0.3">
      <c r="B55" s="155" t="s">
        <v>286</v>
      </c>
      <c r="C55" s="155"/>
      <c r="D55" s="155"/>
      <c r="E55" s="108"/>
      <c r="F55" s="108"/>
      <c r="G55" s="108"/>
      <c r="H55" s="108"/>
      <c r="I55" s="141"/>
      <c r="J55" s="146"/>
      <c r="L55" s="139"/>
    </row>
    <row r="56" spans="2:12" ht="18.600000000000001" x14ac:dyDescent="0.3">
      <c r="B56" s="109" t="s">
        <v>278</v>
      </c>
      <c r="C56" s="110" t="s">
        <v>279</v>
      </c>
      <c r="D56" s="109" t="s">
        <v>280</v>
      </c>
      <c r="E56" s="109" t="s">
        <v>288</v>
      </c>
      <c r="F56" s="109" t="s">
        <v>289</v>
      </c>
      <c r="G56" s="109" t="s">
        <v>281</v>
      </c>
      <c r="H56" s="109" t="s">
        <v>282</v>
      </c>
      <c r="I56" s="113" t="s">
        <v>283</v>
      </c>
      <c r="J56" s="147" t="s">
        <v>284</v>
      </c>
      <c r="L56" s="139"/>
    </row>
    <row r="57" spans="2:12" ht="15.6" x14ac:dyDescent="0.3">
      <c r="B57" s="111">
        <v>44197</v>
      </c>
      <c r="C57" s="110">
        <v>468.35806451612905</v>
      </c>
      <c r="D57" s="110">
        <v>21.69596774193549</v>
      </c>
      <c r="E57" s="116">
        <v>213.38405779569896</v>
      </c>
      <c r="F57" s="116">
        <v>208.70641532258068</v>
      </c>
      <c r="G57" s="116">
        <f>E57*24</f>
        <v>5121.2173870967754</v>
      </c>
      <c r="H57" s="116">
        <f>F57*24</f>
        <v>5008.9539677419361</v>
      </c>
      <c r="I57" s="113">
        <v>63.946000000000012</v>
      </c>
      <c r="J57" s="147">
        <v>65966.55</v>
      </c>
      <c r="L57" s="139"/>
    </row>
    <row r="58" spans="2:12" ht="15.6" x14ac:dyDescent="0.3">
      <c r="B58" s="111">
        <v>44228</v>
      </c>
      <c r="C58" s="110">
        <v>468.08571428571423</v>
      </c>
      <c r="D58" s="110">
        <v>22.490476190476191</v>
      </c>
      <c r="E58" s="116">
        <v>213.43390178571426</v>
      </c>
      <c r="F58" s="116">
        <v>208.68692113095238</v>
      </c>
      <c r="G58" s="116">
        <f t="shared" ref="G58:H61" si="8">E58*24</f>
        <v>5122.4136428571419</v>
      </c>
      <c r="H58" s="116">
        <f t="shared" si="8"/>
        <v>5008.4861071428568</v>
      </c>
      <c r="I58" s="113">
        <v>58.722999999999992</v>
      </c>
      <c r="J58" s="147">
        <v>66135.66</v>
      </c>
      <c r="L58" s="139"/>
    </row>
    <row r="59" spans="2:12" ht="15.6" x14ac:dyDescent="0.3">
      <c r="B59" s="111">
        <v>44256</v>
      </c>
      <c r="C59" s="110">
        <v>468.04489247311835</v>
      </c>
      <c r="D59" s="110">
        <v>22.493279569892469</v>
      </c>
      <c r="E59" s="116">
        <v>213.2667258064516</v>
      </c>
      <c r="F59" s="116">
        <v>208.75613575268818</v>
      </c>
      <c r="G59" s="116">
        <f t="shared" si="8"/>
        <v>5118.4014193548383</v>
      </c>
      <c r="H59" s="116">
        <f t="shared" si="8"/>
        <v>5010.1472580645168</v>
      </c>
      <c r="I59" s="113">
        <v>64.161000000000001</v>
      </c>
      <c r="J59" s="149">
        <v>66261.899999999994</v>
      </c>
      <c r="L59" s="139"/>
    </row>
    <row r="60" spans="2:12" ht="15.6" x14ac:dyDescent="0.3">
      <c r="B60" s="111">
        <v>44287</v>
      </c>
      <c r="C60" s="110">
        <v>468.331111111111</v>
      </c>
      <c r="D60" s="110">
        <v>21.851388888888891</v>
      </c>
      <c r="E60" s="116">
        <v>213.52260000000004</v>
      </c>
      <c r="F60" s="116">
        <v>208.73138472222223</v>
      </c>
      <c r="G60" s="116">
        <f t="shared" si="8"/>
        <v>5124.5424000000012</v>
      </c>
      <c r="H60" s="116">
        <f t="shared" si="8"/>
        <v>5009.553233333334</v>
      </c>
      <c r="I60" s="113">
        <v>61.924000000000007</v>
      </c>
      <c r="J60" s="147">
        <v>65948.009999999995</v>
      </c>
      <c r="L60" s="139"/>
    </row>
    <row r="61" spans="2:12" ht="15.6" x14ac:dyDescent="0.3">
      <c r="B61" s="111">
        <v>44317</v>
      </c>
      <c r="C61" s="110">
        <v>468.27553763440858</v>
      </c>
      <c r="D61" s="110">
        <v>21.955376344086019</v>
      </c>
      <c r="E61" s="116">
        <v>243.3767204301075</v>
      </c>
      <c r="F61" s="116">
        <v>236.84134677419351</v>
      </c>
      <c r="G61" s="116">
        <f t="shared" si="8"/>
        <v>5841.0412903225797</v>
      </c>
      <c r="H61" s="116">
        <f t="shared" si="8"/>
        <v>5684.192322580644</v>
      </c>
      <c r="I61" s="113">
        <v>66.075000000000003</v>
      </c>
      <c r="J61" s="147">
        <v>66468.850000000006</v>
      </c>
      <c r="L61" s="139"/>
    </row>
    <row r="62" spans="2:12" ht="15.6" x14ac:dyDescent="0.3">
      <c r="B62" s="111">
        <v>44348</v>
      </c>
      <c r="C62" s="110">
        <v>417.78416666666669</v>
      </c>
      <c r="D62" s="110">
        <v>19.123333333333335</v>
      </c>
      <c r="E62" s="116">
        <v>243.31346527777785</v>
      </c>
      <c r="F62" s="116">
        <v>237.29699861111112</v>
      </c>
      <c r="G62" s="116">
        <f t="shared" ref="G62" si="9">E62*24</f>
        <v>5839.5231666666687</v>
      </c>
      <c r="H62" s="116">
        <f t="shared" ref="H62" si="10">F62*24</f>
        <v>5695.1279666666669</v>
      </c>
      <c r="I62" s="113">
        <v>66.296000000000006</v>
      </c>
      <c r="J62" s="147">
        <v>66381.45</v>
      </c>
      <c r="L62" s="139"/>
    </row>
    <row r="63" spans="2:12" x14ac:dyDescent="0.25">
      <c r="J63" s="151"/>
    </row>
    <row r="64" spans="2:12" ht="31.8" customHeight="1" x14ac:dyDescent="0.25">
      <c r="B64" s="157" t="s">
        <v>244</v>
      </c>
      <c r="C64" s="157"/>
      <c r="D64" s="157"/>
      <c r="E64" s="157"/>
    </row>
    <row r="65" spans="2:10" ht="15.6" x14ac:dyDescent="0.3">
      <c r="B65" s="154" t="s">
        <v>277</v>
      </c>
      <c r="C65" s="154"/>
      <c r="D65" s="154"/>
      <c r="E65" s="108"/>
      <c r="F65" s="108"/>
      <c r="G65" s="108"/>
      <c r="H65" s="108"/>
      <c r="I65" s="141"/>
      <c r="J65" s="146"/>
    </row>
    <row r="66" spans="2:10" ht="18.600000000000001" x14ac:dyDescent="0.3">
      <c r="B66" s="109" t="s">
        <v>278</v>
      </c>
      <c r="C66" s="110" t="s">
        <v>279</v>
      </c>
      <c r="D66" s="109" t="s">
        <v>280</v>
      </c>
      <c r="E66" s="109" t="s">
        <v>288</v>
      </c>
      <c r="F66" s="109" t="s">
        <v>289</v>
      </c>
      <c r="G66" s="109" t="s">
        <v>281</v>
      </c>
      <c r="H66" s="109" t="s">
        <v>282</v>
      </c>
      <c r="I66" s="113" t="s">
        <v>283</v>
      </c>
      <c r="J66" s="147" t="s">
        <v>284</v>
      </c>
    </row>
    <row r="67" spans="2:10" ht="15.6" x14ac:dyDescent="0.3">
      <c r="B67" s="111">
        <v>44075</v>
      </c>
      <c r="C67" s="110">
        <v>276.17142857142852</v>
      </c>
      <c r="D67" s="110">
        <v>15.359523809523806</v>
      </c>
      <c r="E67" s="116">
        <v>107.46968005952385</v>
      </c>
      <c r="F67" s="116">
        <v>103.34934226190477</v>
      </c>
      <c r="G67" s="116">
        <f>E67*24</f>
        <v>2579.2723214285725</v>
      </c>
      <c r="H67" s="116">
        <f>F67*24</f>
        <v>2480.3842142857143</v>
      </c>
      <c r="I67" s="113">
        <v>39.466000000000001</v>
      </c>
      <c r="J67" s="147">
        <v>25250.85</v>
      </c>
    </row>
    <row r="68" spans="2:10" ht="15.6" x14ac:dyDescent="0.3">
      <c r="B68" s="111">
        <v>44105</v>
      </c>
      <c r="C68" s="110">
        <v>276.21693548387094</v>
      </c>
      <c r="D68" s="110">
        <v>15.602956989247311</v>
      </c>
      <c r="E68" s="116">
        <v>107.50234005376345</v>
      </c>
      <c r="F68" s="116">
        <v>103.35159543010749</v>
      </c>
      <c r="G68" s="116">
        <f t="shared" ref="G68:H70" si="11">E68*24</f>
        <v>2580.056161290323</v>
      </c>
      <c r="H68" s="116">
        <f t="shared" si="11"/>
        <v>2480.4382903225796</v>
      </c>
      <c r="I68" s="113">
        <v>44.91599999999999</v>
      </c>
      <c r="J68" s="147">
        <v>35275.85</v>
      </c>
    </row>
    <row r="69" spans="2:10" ht="15.6" x14ac:dyDescent="0.3">
      <c r="B69" s="111">
        <v>44136</v>
      </c>
      <c r="C69" s="110">
        <v>276.03777777777782</v>
      </c>
      <c r="D69" s="110">
        <v>15.330277777777775</v>
      </c>
      <c r="E69" s="116">
        <v>87.353609722222231</v>
      </c>
      <c r="F69" s="116">
        <v>83.905106944444441</v>
      </c>
      <c r="G69" s="116">
        <f t="shared" si="11"/>
        <v>2096.4866333333334</v>
      </c>
      <c r="H69" s="116">
        <f t="shared" si="11"/>
        <v>2013.7225666666666</v>
      </c>
      <c r="I69" s="113">
        <v>42.741000000000007</v>
      </c>
      <c r="J69" s="147">
        <v>34821.15</v>
      </c>
    </row>
    <row r="70" spans="2:10" ht="15.6" x14ac:dyDescent="0.3">
      <c r="B70" s="111">
        <v>44166</v>
      </c>
      <c r="C70" s="110">
        <v>276.13682795698924</v>
      </c>
      <c r="D70" s="110">
        <v>15.605107526881723</v>
      </c>
      <c r="E70" s="116">
        <v>87.354740591397857</v>
      </c>
      <c r="F70" s="116">
        <v>83.887516129032235</v>
      </c>
      <c r="G70" s="116">
        <f t="shared" si="11"/>
        <v>2096.5137741935487</v>
      </c>
      <c r="H70" s="116">
        <f t="shared" si="11"/>
        <v>2013.3003870967736</v>
      </c>
      <c r="I70" s="113">
        <v>44.432000000000002</v>
      </c>
      <c r="J70" s="147">
        <v>35051.43</v>
      </c>
    </row>
    <row r="71" spans="2:10" ht="15.6" x14ac:dyDescent="0.3">
      <c r="B71" s="155" t="s">
        <v>285</v>
      </c>
      <c r="C71" s="155"/>
      <c r="D71" s="155"/>
      <c r="E71" s="108"/>
      <c r="F71" s="108"/>
      <c r="G71" s="108"/>
      <c r="H71" s="108"/>
      <c r="I71" s="141"/>
      <c r="J71" s="150"/>
    </row>
    <row r="72" spans="2:10" ht="18.600000000000001" x14ac:dyDescent="0.3">
      <c r="B72" s="109" t="s">
        <v>278</v>
      </c>
      <c r="C72" s="110" t="s">
        <v>279</v>
      </c>
      <c r="D72" s="109" t="s">
        <v>280</v>
      </c>
      <c r="E72" s="109" t="s">
        <v>288</v>
      </c>
      <c r="F72" s="109" t="s">
        <v>289</v>
      </c>
      <c r="G72" s="109" t="s">
        <v>281</v>
      </c>
      <c r="H72" s="109" t="s">
        <v>282</v>
      </c>
      <c r="I72" s="113" t="s">
        <v>283</v>
      </c>
      <c r="J72" s="147" t="s">
        <v>284</v>
      </c>
    </row>
    <row r="73" spans="2:10" ht="15.6" x14ac:dyDescent="0.3">
      <c r="B73" s="111">
        <v>44197</v>
      </c>
      <c r="C73" s="110">
        <v>276.17096774193544</v>
      </c>
      <c r="D73" s="110">
        <v>15.081451612903226</v>
      </c>
      <c r="E73" s="116">
        <v>87.368286290322587</v>
      </c>
      <c r="F73" s="116">
        <v>83.920372311827961</v>
      </c>
      <c r="G73" s="116">
        <f>E73*24</f>
        <v>2096.838870967742</v>
      </c>
      <c r="H73" s="116">
        <f>F73*24</f>
        <v>2014.088935483871</v>
      </c>
      <c r="I73" s="113">
        <v>44.514000000000003</v>
      </c>
      <c r="J73" s="147">
        <v>34937.440000000002</v>
      </c>
    </row>
    <row r="74" spans="2:10" ht="15.6" x14ac:dyDescent="0.3">
      <c r="B74" s="111">
        <v>44228</v>
      </c>
      <c r="C74" s="110">
        <v>276.11607142857139</v>
      </c>
      <c r="D74" s="110">
        <v>15.27470238095238</v>
      </c>
      <c r="E74" s="116">
        <v>87.352595238095233</v>
      </c>
      <c r="F74" s="116">
        <v>83.936999999999983</v>
      </c>
      <c r="G74" s="116">
        <f t="shared" ref="G74:H84" si="12">E74*24</f>
        <v>2096.4622857142858</v>
      </c>
      <c r="H74" s="116">
        <f t="shared" si="12"/>
        <v>2014.4879999999996</v>
      </c>
      <c r="I74" s="113">
        <v>39.954000000000001</v>
      </c>
      <c r="J74" s="147">
        <v>34831.760000000002</v>
      </c>
    </row>
    <row r="75" spans="2:10" ht="15.6" x14ac:dyDescent="0.3">
      <c r="B75" s="111">
        <v>44256</v>
      </c>
      <c r="C75" s="110">
        <v>276.13790322580644</v>
      </c>
      <c r="D75" s="110">
        <v>15.731989247311827</v>
      </c>
      <c r="E75" s="116">
        <v>87.348694892473105</v>
      </c>
      <c r="F75" s="116">
        <v>83.939235215053756</v>
      </c>
      <c r="G75" s="116">
        <f t="shared" si="12"/>
        <v>2096.3686774193548</v>
      </c>
      <c r="H75" s="116">
        <f t="shared" si="12"/>
        <v>2014.54164516129</v>
      </c>
      <c r="I75" s="113">
        <v>44.364000000000011</v>
      </c>
      <c r="J75" s="147">
        <v>35031.32</v>
      </c>
    </row>
    <row r="76" spans="2:10" ht="15.6" x14ac:dyDescent="0.3">
      <c r="B76" s="111">
        <v>44287</v>
      </c>
      <c r="C76" s="110">
        <v>276.17787356321838</v>
      </c>
      <c r="D76" s="110">
        <v>14.751436781609197</v>
      </c>
      <c r="E76" s="116">
        <v>87.352584722222232</v>
      </c>
      <c r="F76" s="116">
        <v>83.938166666666675</v>
      </c>
      <c r="G76" s="116">
        <f t="shared" si="12"/>
        <v>2096.4620333333337</v>
      </c>
      <c r="H76" s="116">
        <f t="shared" si="12"/>
        <v>2014.5160000000001</v>
      </c>
      <c r="I76" s="113">
        <v>43.003999999999998</v>
      </c>
      <c r="J76" s="147">
        <v>34859.82</v>
      </c>
    </row>
    <row r="77" spans="2:10" ht="15.6" x14ac:dyDescent="0.3">
      <c r="B77" s="111">
        <v>44317</v>
      </c>
      <c r="C77" s="110">
        <v>275.98333333333335</v>
      </c>
      <c r="D77" s="110">
        <v>15.157258064516133</v>
      </c>
      <c r="E77" s="116">
        <v>107.47503629032261</v>
      </c>
      <c r="F77" s="116">
        <v>103.32250940860216</v>
      </c>
      <c r="G77" s="116">
        <f t="shared" si="12"/>
        <v>2579.4008709677428</v>
      </c>
      <c r="H77" s="116">
        <f t="shared" si="12"/>
        <v>2479.7402258064517</v>
      </c>
      <c r="I77" s="113">
        <v>44.110000000000007</v>
      </c>
      <c r="J77" s="147">
        <v>35169.53</v>
      </c>
    </row>
    <row r="78" spans="2:10" ht="15.6" x14ac:dyDescent="0.3">
      <c r="B78" s="111">
        <v>44348</v>
      </c>
      <c r="C78" s="110">
        <v>256.30722222222226</v>
      </c>
      <c r="D78" s="110">
        <v>15.298055555555552</v>
      </c>
      <c r="E78" s="116">
        <v>107.46137777777776</v>
      </c>
      <c r="F78" s="116">
        <v>103.3546805555556</v>
      </c>
      <c r="G78" s="116">
        <f t="shared" si="12"/>
        <v>2579.0730666666659</v>
      </c>
      <c r="H78" s="116">
        <f t="shared" si="12"/>
        <v>2480.5123333333345</v>
      </c>
      <c r="I78" s="113">
        <v>43.399000000000001</v>
      </c>
      <c r="J78" s="147">
        <v>35192.79</v>
      </c>
    </row>
    <row r="79" spans="2:10" ht="15.6" x14ac:dyDescent="0.3">
      <c r="B79" s="111">
        <v>44378</v>
      </c>
      <c r="C79" s="110">
        <v>256.3553763440861</v>
      </c>
      <c r="D79" s="110">
        <v>15.367204301075271</v>
      </c>
      <c r="E79" s="116">
        <v>107.52538575268818</v>
      </c>
      <c r="F79" s="116">
        <v>103.35354166666667</v>
      </c>
      <c r="G79" s="116">
        <f t="shared" si="12"/>
        <v>2580.6092580645163</v>
      </c>
      <c r="H79" s="116">
        <f t="shared" si="12"/>
        <v>2480.4850000000001</v>
      </c>
      <c r="I79" s="113">
        <v>44.197999999999993</v>
      </c>
      <c r="J79" s="147">
        <v>35293.58</v>
      </c>
    </row>
    <row r="80" spans="2:10" ht="15.6" x14ac:dyDescent="0.3">
      <c r="B80" s="111">
        <v>44409</v>
      </c>
      <c r="C80" s="110">
        <v>256.43602150537635</v>
      </c>
      <c r="D80" s="110">
        <v>15.228494623655914</v>
      </c>
      <c r="E80" s="116">
        <v>107.45474596774197</v>
      </c>
      <c r="F80" s="116">
        <v>103.29002688172042</v>
      </c>
      <c r="G80" s="116">
        <f t="shared" si="12"/>
        <v>2578.9139032258072</v>
      </c>
      <c r="H80" s="116">
        <f t="shared" si="12"/>
        <v>2478.9606451612899</v>
      </c>
      <c r="I80" s="113">
        <v>44.182000000000002</v>
      </c>
      <c r="J80" s="147">
        <v>35243.68</v>
      </c>
    </row>
    <row r="81" spans="2:10" ht="15.6" x14ac:dyDescent="0.3">
      <c r="B81" s="111">
        <v>44440</v>
      </c>
      <c r="C81" s="110">
        <v>276.05611111111114</v>
      </c>
      <c r="D81" s="110">
        <v>15.685833333333337</v>
      </c>
      <c r="E81" s="116">
        <v>107.45884027777781</v>
      </c>
      <c r="F81" s="116">
        <v>103.33408194444448</v>
      </c>
      <c r="G81" s="116">
        <f t="shared" si="12"/>
        <v>2579.0121666666673</v>
      </c>
      <c r="H81" s="116">
        <f t="shared" si="12"/>
        <v>2480.0179666666672</v>
      </c>
      <c r="I81" s="113">
        <v>43.272000000000006</v>
      </c>
      <c r="J81" s="147">
        <v>35123.919999999998</v>
      </c>
    </row>
    <row r="82" spans="2:10" ht="15.6" x14ac:dyDescent="0.3">
      <c r="B82" s="111">
        <v>44470</v>
      </c>
      <c r="C82" s="110">
        <v>276.15241935483868</v>
      </c>
      <c r="D82" s="110">
        <v>15.644623655913975</v>
      </c>
      <c r="E82" s="116">
        <v>107.44499462365592</v>
      </c>
      <c r="F82" s="116">
        <v>103.34382930107529</v>
      </c>
      <c r="G82" s="116">
        <f t="shared" si="12"/>
        <v>2578.6798709677419</v>
      </c>
      <c r="H82" s="116">
        <f t="shared" si="12"/>
        <v>2480.2519032258069</v>
      </c>
      <c r="I82" s="113">
        <v>44.718000000000004</v>
      </c>
      <c r="J82" s="147">
        <v>35210.94</v>
      </c>
    </row>
    <row r="83" spans="2:10" ht="15.6" x14ac:dyDescent="0.3">
      <c r="B83" s="111">
        <v>44501</v>
      </c>
      <c r="C83" s="110">
        <v>276.20027777777779</v>
      </c>
      <c r="D83" s="110">
        <v>15.468333333333334</v>
      </c>
      <c r="E83" s="116">
        <v>87.383431944444453</v>
      </c>
      <c r="F83" s="116">
        <v>83.939205555555517</v>
      </c>
      <c r="G83" s="116">
        <f t="shared" si="12"/>
        <v>2097.2023666666669</v>
      </c>
      <c r="H83" s="116">
        <f t="shared" si="12"/>
        <v>2014.5409333333323</v>
      </c>
      <c r="I83" s="113">
        <v>42.984000000000002</v>
      </c>
      <c r="J83" s="147">
        <v>34946.639999999999</v>
      </c>
    </row>
    <row r="84" spans="2:10" ht="15.6" x14ac:dyDescent="0.3">
      <c r="B84" s="111">
        <v>44531</v>
      </c>
      <c r="C84" s="110">
        <v>276.18467741935478</v>
      </c>
      <c r="D84" s="110">
        <v>15.570698924731182</v>
      </c>
      <c r="E84" s="116">
        <v>87.365850806451618</v>
      </c>
      <c r="F84" s="116">
        <v>83.911228494623671</v>
      </c>
      <c r="G84" s="116">
        <f t="shared" si="12"/>
        <v>2096.7804193548391</v>
      </c>
      <c r="H84" s="116">
        <f t="shared" si="12"/>
        <v>2013.869483870968</v>
      </c>
      <c r="I84" s="113">
        <v>44.136000000000003</v>
      </c>
      <c r="J84" s="147">
        <v>34805.75</v>
      </c>
    </row>
    <row r="85" spans="2:10" ht="15.6" x14ac:dyDescent="0.3">
      <c r="B85" s="114"/>
      <c r="C85" s="108"/>
      <c r="D85" s="108"/>
      <c r="E85" s="108"/>
      <c r="F85" s="108"/>
      <c r="G85" s="108"/>
      <c r="H85" s="108"/>
      <c r="I85" s="141"/>
      <c r="J85" s="150"/>
    </row>
    <row r="86" spans="2:10" ht="15.6" x14ac:dyDescent="0.3">
      <c r="B86" s="155" t="s">
        <v>286</v>
      </c>
      <c r="C86" s="155"/>
      <c r="D86" s="155"/>
      <c r="E86" s="108"/>
      <c r="F86" s="108"/>
      <c r="G86" s="108"/>
      <c r="H86" s="108"/>
      <c r="I86" s="141"/>
      <c r="J86" s="146"/>
    </row>
    <row r="87" spans="2:10" ht="18.600000000000001" x14ac:dyDescent="0.3">
      <c r="B87" s="109" t="s">
        <v>278</v>
      </c>
      <c r="C87" s="110" t="s">
        <v>279</v>
      </c>
      <c r="D87" s="109" t="s">
        <v>280</v>
      </c>
      <c r="E87" s="109" t="s">
        <v>288</v>
      </c>
      <c r="F87" s="109" t="s">
        <v>289</v>
      </c>
      <c r="G87" s="109" t="s">
        <v>281</v>
      </c>
      <c r="H87" s="109" t="s">
        <v>282</v>
      </c>
      <c r="I87" s="113" t="s">
        <v>283</v>
      </c>
      <c r="J87" s="147" t="s">
        <v>284</v>
      </c>
    </row>
    <row r="88" spans="2:10" ht="15.6" x14ac:dyDescent="0.3">
      <c r="B88" s="111">
        <v>44197</v>
      </c>
      <c r="C88" s="110">
        <v>276.16344086021508</v>
      </c>
      <c r="D88" s="110">
        <v>14.987096774193548</v>
      </c>
      <c r="E88" s="116">
        <v>87.369495967741955</v>
      </c>
      <c r="F88" s="116">
        <v>83.952528225806446</v>
      </c>
      <c r="G88" s="116">
        <f>E88*24</f>
        <v>2096.8679032258069</v>
      </c>
      <c r="H88" s="116">
        <f>F88*24</f>
        <v>2014.8606774193547</v>
      </c>
      <c r="I88" s="113">
        <v>44.396999999999991</v>
      </c>
      <c r="J88" s="147">
        <v>35018.46</v>
      </c>
    </row>
    <row r="89" spans="2:10" ht="15.6" x14ac:dyDescent="0.3">
      <c r="B89" s="111">
        <v>44228</v>
      </c>
      <c r="C89" s="110">
        <v>276.12083333333328</v>
      </c>
      <c r="D89" s="110">
        <v>15.828571428571427</v>
      </c>
      <c r="E89" s="116">
        <v>87.372254464285689</v>
      </c>
      <c r="F89" s="116">
        <v>83.918830357142852</v>
      </c>
      <c r="G89" s="116">
        <f t="shared" ref="G89:H92" si="13">E89*24</f>
        <v>2096.9341071428566</v>
      </c>
      <c r="H89" s="116">
        <f t="shared" si="13"/>
        <v>2014.0519285714286</v>
      </c>
      <c r="I89" s="113">
        <v>40.024000000000008</v>
      </c>
      <c r="J89" s="147">
        <v>34840.21</v>
      </c>
    </row>
    <row r="90" spans="2:10" ht="15.6" x14ac:dyDescent="0.3">
      <c r="B90" s="111">
        <v>44256</v>
      </c>
      <c r="C90" s="110">
        <v>276.13440860215053</v>
      </c>
      <c r="D90" s="110">
        <v>15.327688172043011</v>
      </c>
      <c r="E90" s="116">
        <v>87.364891129032273</v>
      </c>
      <c r="F90" s="116">
        <v>83.89093010752687</v>
      </c>
      <c r="G90" s="116">
        <f t="shared" si="13"/>
        <v>2096.7573870967744</v>
      </c>
      <c r="H90" s="116">
        <f t="shared" si="13"/>
        <v>2013.382322580645</v>
      </c>
      <c r="I90" s="113">
        <v>44.557000000000009</v>
      </c>
      <c r="J90" s="147">
        <v>34957.93</v>
      </c>
    </row>
    <row r="91" spans="2:10" ht="15.6" x14ac:dyDescent="0.3">
      <c r="B91" s="111">
        <v>44287</v>
      </c>
      <c r="C91" s="110">
        <v>275.81944444444446</v>
      </c>
      <c r="D91" s="110">
        <v>15.326666666666666</v>
      </c>
      <c r="E91" s="116">
        <v>87.381176388888861</v>
      </c>
      <c r="F91" s="116">
        <v>83.926229166666644</v>
      </c>
      <c r="G91" s="116">
        <f t="shared" si="13"/>
        <v>2097.1482333333324</v>
      </c>
      <c r="H91" s="116">
        <f t="shared" si="13"/>
        <v>2014.2294999999995</v>
      </c>
      <c r="I91" s="113">
        <v>43.178000000000004</v>
      </c>
      <c r="J91" s="147">
        <v>34820.74</v>
      </c>
    </row>
    <row r="92" spans="2:10" ht="15.6" x14ac:dyDescent="0.3">
      <c r="B92" s="111">
        <v>44317</v>
      </c>
      <c r="C92" s="110">
        <v>276.08790322580649</v>
      </c>
      <c r="D92" s="110">
        <v>15.102419354838711</v>
      </c>
      <c r="E92" s="116">
        <v>107.46684543010754</v>
      </c>
      <c r="F92" s="116">
        <v>103.37643413978493</v>
      </c>
      <c r="G92" s="116">
        <f t="shared" si="13"/>
        <v>2579.2042903225811</v>
      </c>
      <c r="H92" s="116">
        <f t="shared" si="13"/>
        <v>2481.0344193548385</v>
      </c>
      <c r="I92" s="113">
        <v>44.382000000000005</v>
      </c>
      <c r="J92" s="149">
        <v>35110.5</v>
      </c>
    </row>
    <row r="93" spans="2:10" ht="15.6" x14ac:dyDescent="0.3">
      <c r="B93" s="111">
        <v>44348</v>
      </c>
      <c r="C93" s="110">
        <v>256.32111111111112</v>
      </c>
      <c r="D93" s="110">
        <v>15.270833333333336</v>
      </c>
      <c r="E93" s="116">
        <v>107.46572500000002</v>
      </c>
      <c r="F93" s="116">
        <v>103.32369722222218</v>
      </c>
      <c r="G93" s="116">
        <f t="shared" ref="G93" si="14">E93*24</f>
        <v>2579.1774000000005</v>
      </c>
      <c r="H93" s="116">
        <f t="shared" ref="H93" si="15">F93*24</f>
        <v>2479.7687333333324</v>
      </c>
      <c r="I93" s="113">
        <v>45.621000000000002</v>
      </c>
      <c r="J93" s="149">
        <v>35057.019999999997</v>
      </c>
    </row>
    <row r="94" spans="2:10" x14ac:dyDescent="0.25">
      <c r="J94" s="151"/>
    </row>
    <row r="95" spans="2:10" ht="31.8" customHeight="1" x14ac:dyDescent="0.25">
      <c r="B95" s="157" t="s">
        <v>245</v>
      </c>
      <c r="C95" s="157"/>
      <c r="D95" s="157"/>
      <c r="E95" s="157"/>
    </row>
    <row r="96" spans="2:10" ht="15.6" x14ac:dyDescent="0.3">
      <c r="B96" s="154" t="s">
        <v>277</v>
      </c>
      <c r="C96" s="154"/>
      <c r="D96" s="154"/>
      <c r="E96" s="108"/>
      <c r="F96" s="108"/>
      <c r="G96" s="108"/>
      <c r="H96" s="108"/>
      <c r="I96" s="141"/>
      <c r="J96" s="146"/>
    </row>
    <row r="97" spans="2:12" ht="18.600000000000001" x14ac:dyDescent="0.3">
      <c r="B97" s="109" t="s">
        <v>278</v>
      </c>
      <c r="C97" s="110" t="s">
        <v>279</v>
      </c>
      <c r="D97" s="109" t="s">
        <v>280</v>
      </c>
      <c r="E97" s="109" t="s">
        <v>288</v>
      </c>
      <c r="F97" s="109" t="s">
        <v>289</v>
      </c>
      <c r="G97" s="109" t="s">
        <v>281</v>
      </c>
      <c r="H97" s="109" t="s">
        <v>282</v>
      </c>
      <c r="I97" s="113" t="s">
        <v>283</v>
      </c>
      <c r="J97" s="147" t="s">
        <v>284</v>
      </c>
    </row>
    <row r="98" spans="2:12" ht="15.6" x14ac:dyDescent="0.3">
      <c r="B98" s="111">
        <v>44075</v>
      </c>
      <c r="C98" s="110">
        <v>425.90800000000002</v>
      </c>
      <c r="D98" s="110">
        <v>19.713000000000001</v>
      </c>
      <c r="E98" s="116">
        <v>222.06774833333333</v>
      </c>
      <c r="F98" s="116">
        <v>217.10148333333331</v>
      </c>
      <c r="G98" s="116">
        <f>E98*24</f>
        <v>5329.6259599999994</v>
      </c>
      <c r="H98" s="116">
        <f>F98*24</f>
        <v>5210.4355999999989</v>
      </c>
      <c r="I98" s="113">
        <v>60.680000000000021</v>
      </c>
      <c r="J98" s="147">
        <v>46023.39</v>
      </c>
      <c r="L98" s="139"/>
    </row>
    <row r="99" spans="2:12" ht="15.6" x14ac:dyDescent="0.3">
      <c r="B99" s="111">
        <v>44105</v>
      </c>
      <c r="C99" s="110">
        <v>426.05698924731183</v>
      </c>
      <c r="D99" s="110">
        <v>20.147580645161291</v>
      </c>
      <c r="E99" s="116">
        <v>222.07623655913977</v>
      </c>
      <c r="F99" s="116">
        <v>217.12462365591398</v>
      </c>
      <c r="G99" s="116">
        <f t="shared" ref="G99:H101" si="16">E99*24</f>
        <v>5329.829677419355</v>
      </c>
      <c r="H99" s="116">
        <f t="shared" si="16"/>
        <v>5210.9909677419355</v>
      </c>
      <c r="I99" s="113">
        <v>76.197000000000003</v>
      </c>
      <c r="J99" s="147">
        <v>65796.19</v>
      </c>
      <c r="L99" s="139"/>
    </row>
    <row r="100" spans="2:12" ht="15.6" x14ac:dyDescent="0.3">
      <c r="B100" s="111">
        <v>44136</v>
      </c>
      <c r="C100" s="110">
        <v>426.15277777777771</v>
      </c>
      <c r="D100" s="110">
        <v>19.711388888888884</v>
      </c>
      <c r="E100" s="116">
        <v>202.13415972222225</v>
      </c>
      <c r="F100" s="116">
        <v>197.45599583333333</v>
      </c>
      <c r="G100" s="116">
        <f t="shared" si="16"/>
        <v>4851.2198333333345</v>
      </c>
      <c r="H100" s="116">
        <f t="shared" si="16"/>
        <v>4738.9439000000002</v>
      </c>
      <c r="I100" s="113">
        <v>74.079000000000022</v>
      </c>
      <c r="J100" s="147">
        <v>65601.05</v>
      </c>
      <c r="L100" s="139"/>
    </row>
    <row r="101" spans="2:12" ht="15.6" x14ac:dyDescent="0.3">
      <c r="B101" s="111">
        <v>44166</v>
      </c>
      <c r="C101" s="110">
        <v>425.81155913978506</v>
      </c>
      <c r="D101" s="110">
        <v>19.902956989247315</v>
      </c>
      <c r="E101" s="116">
        <v>202.08191801075267</v>
      </c>
      <c r="F101" s="116">
        <v>197.40386424731184</v>
      </c>
      <c r="G101" s="116">
        <f t="shared" si="16"/>
        <v>4849.9660322580639</v>
      </c>
      <c r="H101" s="116">
        <f t="shared" si="16"/>
        <v>4737.6927419354843</v>
      </c>
      <c r="I101" s="113">
        <v>75.506000000000014</v>
      </c>
      <c r="J101" s="147">
        <v>65202.29</v>
      </c>
      <c r="L101" s="139"/>
    </row>
    <row r="102" spans="2:12" ht="15.6" x14ac:dyDescent="0.3">
      <c r="B102" s="155" t="s">
        <v>285</v>
      </c>
      <c r="C102" s="155"/>
      <c r="D102" s="155"/>
      <c r="E102" s="108"/>
      <c r="F102" s="108"/>
      <c r="G102" s="108"/>
      <c r="H102" s="108"/>
      <c r="I102" s="141"/>
      <c r="J102" s="150"/>
      <c r="L102" s="139"/>
    </row>
    <row r="103" spans="2:12" ht="18.600000000000001" x14ac:dyDescent="0.3">
      <c r="B103" s="109" t="s">
        <v>278</v>
      </c>
      <c r="C103" s="110" t="s">
        <v>279</v>
      </c>
      <c r="D103" s="109" t="s">
        <v>280</v>
      </c>
      <c r="E103" s="109" t="s">
        <v>288</v>
      </c>
      <c r="F103" s="109" t="s">
        <v>289</v>
      </c>
      <c r="G103" s="109" t="s">
        <v>281</v>
      </c>
      <c r="H103" s="109" t="s">
        <v>282</v>
      </c>
      <c r="I103" s="113" t="s">
        <v>283</v>
      </c>
      <c r="J103" s="147" t="s">
        <v>284</v>
      </c>
      <c r="L103" s="139"/>
    </row>
    <row r="104" spans="2:12" ht="15.6" x14ac:dyDescent="0.3">
      <c r="B104" s="111">
        <v>44197</v>
      </c>
      <c r="C104" s="110">
        <v>426.06720430107538</v>
      </c>
      <c r="D104" s="110">
        <v>19.629032258064516</v>
      </c>
      <c r="E104" s="116">
        <v>202.11899462365588</v>
      </c>
      <c r="F104" s="116">
        <v>197.47331854838708</v>
      </c>
      <c r="G104" s="116">
        <f>E104*24</f>
        <v>4850.8558709677409</v>
      </c>
      <c r="H104" s="116">
        <f>F104*24</f>
        <v>4739.3596451612902</v>
      </c>
      <c r="I104" s="113">
        <v>75.87700000000001</v>
      </c>
      <c r="J104" s="147">
        <v>65210.75</v>
      </c>
      <c r="L104" s="139"/>
    </row>
    <row r="105" spans="2:12" ht="15.6" x14ac:dyDescent="0.3">
      <c r="B105" s="111">
        <v>44228</v>
      </c>
      <c r="C105" s="110">
        <v>425.84880952380939</v>
      </c>
      <c r="D105" s="110">
        <v>19.830654761904761</v>
      </c>
      <c r="E105" s="116">
        <v>202.11498660714287</v>
      </c>
      <c r="F105" s="116">
        <v>197.41713095238097</v>
      </c>
      <c r="G105" s="116">
        <f t="shared" ref="G105:H115" si="17">E105*24</f>
        <v>4850.7596785714286</v>
      </c>
      <c r="H105" s="116">
        <f t="shared" si="17"/>
        <v>4738.0111428571436</v>
      </c>
      <c r="I105" s="113">
        <v>68.119</v>
      </c>
      <c r="J105" s="147">
        <v>65269.34</v>
      </c>
      <c r="L105" s="139"/>
    </row>
    <row r="106" spans="2:12" ht="15.6" x14ac:dyDescent="0.3">
      <c r="B106" s="111">
        <v>44256</v>
      </c>
      <c r="C106" s="110">
        <v>426.08709677419358</v>
      </c>
      <c r="D106" s="110">
        <v>19.966935483870966</v>
      </c>
      <c r="E106" s="116">
        <v>202.05162096774191</v>
      </c>
      <c r="F106" s="116">
        <v>197.46757258064514</v>
      </c>
      <c r="G106" s="116">
        <f t="shared" si="17"/>
        <v>4849.2389032258061</v>
      </c>
      <c r="H106" s="116">
        <f t="shared" si="17"/>
        <v>4739.2217419354838</v>
      </c>
      <c r="I106" s="113">
        <v>75.364000000000019</v>
      </c>
      <c r="J106" s="147">
        <v>65439.519999999997</v>
      </c>
      <c r="L106" s="139"/>
    </row>
    <row r="107" spans="2:12" ht="15.6" x14ac:dyDescent="0.3">
      <c r="B107" s="111">
        <v>44287</v>
      </c>
      <c r="C107" s="110">
        <v>426.04281609195408</v>
      </c>
      <c r="D107" s="110">
        <v>20.099425287356322</v>
      </c>
      <c r="E107" s="116">
        <v>202.01252083333338</v>
      </c>
      <c r="F107" s="116">
        <v>197.41297777777774</v>
      </c>
      <c r="G107" s="116">
        <f t="shared" si="17"/>
        <v>4848.3005000000012</v>
      </c>
      <c r="H107" s="116">
        <f t="shared" si="17"/>
        <v>4737.9114666666655</v>
      </c>
      <c r="I107" s="113">
        <v>72.925000000000011</v>
      </c>
      <c r="J107" s="147">
        <v>65069.09</v>
      </c>
      <c r="L107" s="139"/>
    </row>
    <row r="108" spans="2:12" ht="15.6" x14ac:dyDescent="0.3">
      <c r="B108" s="111">
        <v>44317</v>
      </c>
      <c r="C108" s="110">
        <v>426.07607526881714</v>
      </c>
      <c r="D108" s="110">
        <v>19.981451612903228</v>
      </c>
      <c r="E108" s="116">
        <v>222.09706854838703</v>
      </c>
      <c r="F108" s="116">
        <v>217.19068413978493</v>
      </c>
      <c r="G108" s="116">
        <f t="shared" si="17"/>
        <v>5330.3296451612887</v>
      </c>
      <c r="H108" s="116">
        <f t="shared" si="17"/>
        <v>5212.5764193548384</v>
      </c>
      <c r="I108" s="113">
        <v>75.872999999999976</v>
      </c>
      <c r="J108" s="147">
        <v>65935.990000000005</v>
      </c>
      <c r="L108" s="139"/>
    </row>
    <row r="109" spans="2:12" ht="15.6" x14ac:dyDescent="0.3">
      <c r="B109" s="111">
        <v>44348</v>
      </c>
      <c r="C109" s="110">
        <v>407.49833333333333</v>
      </c>
      <c r="D109" s="110">
        <v>19.648333333333333</v>
      </c>
      <c r="E109" s="116">
        <v>222.11347916666671</v>
      </c>
      <c r="F109" s="116">
        <v>217.10709999999992</v>
      </c>
      <c r="G109" s="116">
        <f t="shared" si="17"/>
        <v>5330.723500000001</v>
      </c>
      <c r="H109" s="116">
        <f t="shared" si="17"/>
        <v>5210.5703999999978</v>
      </c>
      <c r="I109" s="113">
        <v>73.624000000000024</v>
      </c>
      <c r="J109" s="147">
        <v>66119.22</v>
      </c>
      <c r="L109" s="139"/>
    </row>
    <row r="110" spans="2:12" ht="15.6" x14ac:dyDescent="0.3">
      <c r="B110" s="111">
        <v>44378</v>
      </c>
      <c r="C110" s="110">
        <v>407.09139784946234</v>
      </c>
      <c r="D110" s="110">
        <v>20.374731182795699</v>
      </c>
      <c r="E110" s="116">
        <v>222.13138575268815</v>
      </c>
      <c r="F110" s="116">
        <v>217.10283333333328</v>
      </c>
      <c r="G110" s="116">
        <f t="shared" si="17"/>
        <v>5331.1532580645153</v>
      </c>
      <c r="H110" s="116">
        <f t="shared" si="17"/>
        <v>5210.4679999999989</v>
      </c>
      <c r="I110" s="113">
        <v>75.239999999999995</v>
      </c>
      <c r="J110" s="147">
        <v>65674.28</v>
      </c>
      <c r="L110" s="139"/>
    </row>
    <row r="111" spans="2:12" ht="15.6" x14ac:dyDescent="0.3">
      <c r="B111" s="111">
        <v>44409</v>
      </c>
      <c r="C111" s="110">
        <v>407.52043010752681</v>
      </c>
      <c r="D111" s="110">
        <v>20.375537634408605</v>
      </c>
      <c r="E111" s="116">
        <v>222.20219086021501</v>
      </c>
      <c r="F111" s="116">
        <v>217.17157392473121</v>
      </c>
      <c r="G111" s="116">
        <f t="shared" si="17"/>
        <v>5332.8525806451598</v>
      </c>
      <c r="H111" s="116">
        <f t="shared" si="17"/>
        <v>5212.1177741935489</v>
      </c>
      <c r="I111" s="113">
        <v>76.051999999999978</v>
      </c>
      <c r="J111" s="147">
        <v>65957.929999999993</v>
      </c>
      <c r="L111" s="139"/>
    </row>
    <row r="112" spans="2:12" ht="15.6" x14ac:dyDescent="0.3">
      <c r="B112" s="111">
        <v>44440</v>
      </c>
      <c r="C112" s="110">
        <v>426.19416666666672</v>
      </c>
      <c r="D112" s="110">
        <v>20.080277777777777</v>
      </c>
      <c r="E112" s="116">
        <v>222.11038749999994</v>
      </c>
      <c r="F112" s="116">
        <v>217.01030138888885</v>
      </c>
      <c r="G112" s="116">
        <f t="shared" si="17"/>
        <v>5330.6492999999991</v>
      </c>
      <c r="H112" s="116">
        <f t="shared" si="17"/>
        <v>5208.2472333333326</v>
      </c>
      <c r="I112" s="113">
        <v>74.091999999999985</v>
      </c>
      <c r="J112" s="149">
        <v>65941.899999999994</v>
      </c>
      <c r="L112" s="139"/>
    </row>
    <row r="113" spans="2:12" ht="15.6" x14ac:dyDescent="0.3">
      <c r="B113" s="111">
        <v>44470</v>
      </c>
      <c r="C113" s="110">
        <v>425.84569892473127</v>
      </c>
      <c r="D113" s="110">
        <v>19.758333333333336</v>
      </c>
      <c r="E113" s="116">
        <v>222.14854435483869</v>
      </c>
      <c r="F113" s="116">
        <v>217.14124462365595</v>
      </c>
      <c r="G113" s="116">
        <f t="shared" si="17"/>
        <v>5331.5650645161286</v>
      </c>
      <c r="H113" s="116">
        <f t="shared" si="17"/>
        <v>5211.3898709677433</v>
      </c>
      <c r="I113" s="113">
        <v>75.883999999999986</v>
      </c>
      <c r="J113" s="147">
        <v>65923.02</v>
      </c>
      <c r="L113" s="139"/>
    </row>
    <row r="114" spans="2:12" ht="15.6" x14ac:dyDescent="0.3">
      <c r="B114" s="111">
        <v>44501</v>
      </c>
      <c r="C114" s="110">
        <v>426.15944444444449</v>
      </c>
      <c r="D114" s="110">
        <v>20.059444444444452</v>
      </c>
      <c r="E114" s="116">
        <v>202.13862638888884</v>
      </c>
      <c r="F114" s="116">
        <v>197.35068055555556</v>
      </c>
      <c r="G114" s="116">
        <f t="shared" si="17"/>
        <v>4851.3270333333321</v>
      </c>
      <c r="H114" s="116">
        <f t="shared" si="17"/>
        <v>4736.4163333333336</v>
      </c>
      <c r="I114" s="113">
        <v>72.313999999999993</v>
      </c>
      <c r="J114" s="147">
        <v>65493.82</v>
      </c>
      <c r="L114" s="139"/>
    </row>
    <row r="115" spans="2:12" ht="15.6" x14ac:dyDescent="0.3">
      <c r="B115" s="111">
        <v>44531</v>
      </c>
      <c r="C115" s="110">
        <v>425.98817204301082</v>
      </c>
      <c r="D115" s="110">
        <v>20.099462365591396</v>
      </c>
      <c r="E115" s="116">
        <v>202.12711155913976</v>
      </c>
      <c r="F115" s="116">
        <v>197.43606317204299</v>
      </c>
      <c r="G115" s="116">
        <f t="shared" si="17"/>
        <v>4851.0506774193545</v>
      </c>
      <c r="H115" s="116">
        <f t="shared" si="17"/>
        <v>4738.465516129032</v>
      </c>
      <c r="I115" s="113">
        <v>75.569000000000017</v>
      </c>
      <c r="J115" s="147">
        <v>65177.69</v>
      </c>
      <c r="L115" s="139"/>
    </row>
    <row r="116" spans="2:12" ht="15.6" x14ac:dyDescent="0.3">
      <c r="B116" s="114"/>
      <c r="C116" s="108"/>
      <c r="D116" s="108"/>
      <c r="E116" s="108"/>
      <c r="F116" s="108"/>
      <c r="G116" s="108"/>
      <c r="H116" s="108"/>
      <c r="I116" s="141"/>
      <c r="J116" s="150"/>
      <c r="L116" s="139"/>
    </row>
    <row r="117" spans="2:12" ht="15.6" x14ac:dyDescent="0.3">
      <c r="B117" s="155" t="s">
        <v>286</v>
      </c>
      <c r="C117" s="155"/>
      <c r="D117" s="155"/>
      <c r="E117" s="108"/>
      <c r="F117" s="108"/>
      <c r="G117" s="108"/>
      <c r="H117" s="108"/>
      <c r="I117" s="141"/>
      <c r="J117" s="146"/>
      <c r="L117" s="139"/>
    </row>
    <row r="118" spans="2:12" ht="18.600000000000001" x14ac:dyDescent="0.3">
      <c r="B118" s="109" t="s">
        <v>278</v>
      </c>
      <c r="C118" s="110" t="s">
        <v>279</v>
      </c>
      <c r="D118" s="109" t="s">
        <v>280</v>
      </c>
      <c r="E118" s="109" t="s">
        <v>288</v>
      </c>
      <c r="F118" s="109" t="s">
        <v>289</v>
      </c>
      <c r="G118" s="109" t="s">
        <v>281</v>
      </c>
      <c r="H118" s="109" t="s">
        <v>282</v>
      </c>
      <c r="I118" s="113" t="s">
        <v>283</v>
      </c>
      <c r="J118" s="147" t="s">
        <v>284</v>
      </c>
      <c r="L118" s="139"/>
    </row>
    <row r="119" spans="2:12" ht="15.6" x14ac:dyDescent="0.3">
      <c r="B119" s="111">
        <v>44197</v>
      </c>
      <c r="C119" s="110">
        <v>425.93709677419361</v>
      </c>
      <c r="D119" s="110">
        <v>19.72983870967742</v>
      </c>
      <c r="E119" s="116">
        <v>202.14894220430102</v>
      </c>
      <c r="F119" s="116">
        <v>197.3947446236559</v>
      </c>
      <c r="G119" s="116">
        <f>E119*24</f>
        <v>4851.574612903225</v>
      </c>
      <c r="H119" s="116">
        <f>F119*24</f>
        <v>4737.4738709677413</v>
      </c>
      <c r="I119" s="113">
        <v>74.970999999999989</v>
      </c>
      <c r="J119" s="147">
        <v>65454.67</v>
      </c>
      <c r="L119" s="139"/>
    </row>
    <row r="120" spans="2:12" ht="15.6" x14ac:dyDescent="0.3">
      <c r="B120" s="111">
        <v>44228</v>
      </c>
      <c r="C120" s="110">
        <v>426.00744047619048</v>
      </c>
      <c r="D120" s="110">
        <v>19.542559523809523</v>
      </c>
      <c r="E120" s="116">
        <v>202.05673660714288</v>
      </c>
      <c r="F120" s="116">
        <v>197.47808630952383</v>
      </c>
      <c r="G120" s="116">
        <f t="shared" ref="G120:H123" si="18">E120*24</f>
        <v>4849.3616785714294</v>
      </c>
      <c r="H120" s="116">
        <f t="shared" si="18"/>
        <v>4739.4740714285717</v>
      </c>
      <c r="I120" s="113">
        <v>67.967999999999989</v>
      </c>
      <c r="J120" s="147">
        <v>65025.15</v>
      </c>
      <c r="L120" s="139"/>
    </row>
    <row r="121" spans="2:12" ht="15.6" x14ac:dyDescent="0.3">
      <c r="B121" s="111">
        <v>44256</v>
      </c>
      <c r="C121" s="110">
        <v>425.87258064516146</v>
      </c>
      <c r="D121" s="110">
        <v>19.587634408602149</v>
      </c>
      <c r="E121" s="116">
        <v>202.10786155913979</v>
      </c>
      <c r="F121" s="116">
        <v>197.426189516129</v>
      </c>
      <c r="G121" s="116">
        <f t="shared" si="18"/>
        <v>4850.588677419355</v>
      </c>
      <c r="H121" s="116">
        <f t="shared" si="18"/>
        <v>4738.2285483870965</v>
      </c>
      <c r="I121" s="113">
        <v>75.456999999999979</v>
      </c>
      <c r="J121" s="147">
        <v>65076.38</v>
      </c>
      <c r="L121" s="139"/>
    </row>
    <row r="122" spans="2:12" ht="15.6" x14ac:dyDescent="0.3">
      <c r="B122" s="111">
        <v>44287</v>
      </c>
      <c r="C122" s="110">
        <v>426.04916666666662</v>
      </c>
      <c r="D122" s="110">
        <v>19.745000000000001</v>
      </c>
      <c r="E122" s="116">
        <v>202.13246111111113</v>
      </c>
      <c r="F122" s="116">
        <v>197.4134416666667</v>
      </c>
      <c r="G122" s="116">
        <f t="shared" si="18"/>
        <v>4851.1790666666675</v>
      </c>
      <c r="H122" s="116">
        <f t="shared" si="18"/>
        <v>4737.9226000000008</v>
      </c>
      <c r="I122" s="113">
        <v>73.567999999999998</v>
      </c>
      <c r="J122" s="147">
        <v>65414.720000000001</v>
      </c>
      <c r="L122" s="139"/>
    </row>
    <row r="123" spans="2:12" ht="15.6" x14ac:dyDescent="0.3">
      <c r="B123" s="111">
        <v>44317</v>
      </c>
      <c r="C123" s="110">
        <v>425.77069892473111</v>
      </c>
      <c r="D123" s="110">
        <v>19.414784946236558</v>
      </c>
      <c r="E123" s="116">
        <v>222.09202822580642</v>
      </c>
      <c r="F123" s="116">
        <v>217.11467069892475</v>
      </c>
      <c r="G123" s="116">
        <f t="shared" si="18"/>
        <v>5330.208677419354</v>
      </c>
      <c r="H123" s="116">
        <f t="shared" si="18"/>
        <v>5210.7520967741939</v>
      </c>
      <c r="I123" s="113">
        <v>75.570999999999998</v>
      </c>
      <c r="J123" s="147">
        <v>65750.25</v>
      </c>
      <c r="L123" s="139"/>
    </row>
    <row r="124" spans="2:12" ht="15.6" x14ac:dyDescent="0.3">
      <c r="B124" s="111">
        <v>44348</v>
      </c>
      <c r="C124" s="110">
        <v>407.37555555555554</v>
      </c>
      <c r="D124" s="110">
        <v>19.712499999999999</v>
      </c>
      <c r="E124" s="116">
        <v>222.10551111111107</v>
      </c>
      <c r="F124" s="116">
        <v>217.15383888888888</v>
      </c>
      <c r="G124" s="116">
        <f t="shared" ref="G124" si="19">E124*24</f>
        <v>5330.5322666666652</v>
      </c>
      <c r="H124" s="116">
        <f t="shared" ref="H124" si="20">F124*24</f>
        <v>5211.692133333333</v>
      </c>
      <c r="I124" s="113">
        <v>72.614999999999995</v>
      </c>
      <c r="J124" s="147">
        <v>66060.92</v>
      </c>
      <c r="L124" s="139"/>
    </row>
    <row r="125" spans="2:12" x14ac:dyDescent="0.25">
      <c r="J125" s="151"/>
    </row>
    <row r="126" spans="2:12" ht="31.8" customHeight="1" x14ac:dyDescent="0.25">
      <c r="B126" s="157" t="s">
        <v>287</v>
      </c>
      <c r="C126" s="157"/>
      <c r="D126" s="157"/>
      <c r="E126" s="157"/>
    </row>
    <row r="127" spans="2:12" ht="15.6" x14ac:dyDescent="0.3">
      <c r="B127" s="154" t="s">
        <v>277</v>
      </c>
      <c r="C127" s="154"/>
      <c r="D127" s="154"/>
      <c r="E127" s="108"/>
      <c r="F127" s="108"/>
      <c r="G127" s="108"/>
      <c r="H127" s="108"/>
      <c r="I127" s="141"/>
      <c r="J127" s="146"/>
    </row>
    <row r="128" spans="2:12" ht="18.600000000000001" x14ac:dyDescent="0.3">
      <c r="B128" s="109" t="s">
        <v>278</v>
      </c>
      <c r="C128" s="110" t="s">
        <v>279</v>
      </c>
      <c r="D128" s="109" t="s">
        <v>280</v>
      </c>
      <c r="E128" s="109" t="s">
        <v>288</v>
      </c>
      <c r="F128" s="109" t="s">
        <v>289</v>
      </c>
      <c r="G128" s="109" t="s">
        <v>281</v>
      </c>
      <c r="H128" s="109" t="s">
        <v>282</v>
      </c>
      <c r="I128" s="113" t="s">
        <v>283</v>
      </c>
      <c r="J128" s="147" t="s">
        <v>284</v>
      </c>
    </row>
    <row r="129" spans="2:12" ht="15.6" x14ac:dyDescent="0.3">
      <c r="B129" s="111">
        <v>44075</v>
      </c>
      <c r="C129" s="110">
        <v>467.94027777777774</v>
      </c>
      <c r="D129" s="110">
        <v>22.108796296296294</v>
      </c>
      <c r="E129" s="116">
        <v>368.38650694444436</v>
      </c>
      <c r="F129" s="116">
        <v>363.69208796296294</v>
      </c>
      <c r="G129" s="116">
        <f>E129*24</f>
        <v>8841.2761666666647</v>
      </c>
      <c r="H129" s="116">
        <f>F129*24</f>
        <v>8728.6101111111111</v>
      </c>
      <c r="I129" s="113">
        <v>67.99199999999999</v>
      </c>
      <c r="J129" s="147">
        <v>85595.513999999996</v>
      </c>
      <c r="L129" s="139"/>
    </row>
    <row r="130" spans="2:12" ht="15.6" x14ac:dyDescent="0.3">
      <c r="B130" s="111">
        <v>44105</v>
      </c>
      <c r="C130" s="110">
        <v>468.05510752688161</v>
      </c>
      <c r="D130" s="110">
        <v>22.249731182795703</v>
      </c>
      <c r="E130" s="116">
        <v>368.52487365591401</v>
      </c>
      <c r="F130" s="116">
        <v>363.63274193548381</v>
      </c>
      <c r="G130" s="116">
        <f t="shared" ref="G130:H132" si="21">E130*24</f>
        <v>8844.5969677419362</v>
      </c>
      <c r="H130" s="116">
        <f t="shared" si="21"/>
        <v>8727.1858064516109</v>
      </c>
      <c r="I130" s="113">
        <v>119.029</v>
      </c>
      <c r="J130" s="147">
        <v>108340.75</v>
      </c>
      <c r="L130" s="139"/>
    </row>
    <row r="131" spans="2:12" ht="15.6" x14ac:dyDescent="0.3">
      <c r="B131" s="111">
        <v>44136</v>
      </c>
      <c r="C131" s="110">
        <v>468.6119444444443</v>
      </c>
      <c r="D131" s="110">
        <v>22.948611111111113</v>
      </c>
      <c r="E131" s="116">
        <v>348.42208611111101</v>
      </c>
      <c r="F131" s="116">
        <v>343.04299722222225</v>
      </c>
      <c r="G131" s="116">
        <f t="shared" si="21"/>
        <v>8362.1300666666648</v>
      </c>
      <c r="H131" s="116">
        <f t="shared" si="21"/>
        <v>8233.0319333333337</v>
      </c>
      <c r="I131" s="113">
        <v>117.10599999999998</v>
      </c>
      <c r="J131" s="147">
        <v>106429.44</v>
      </c>
      <c r="L131" s="139"/>
    </row>
    <row r="132" spans="2:12" ht="15.6" x14ac:dyDescent="0.3">
      <c r="B132" s="111">
        <v>44166</v>
      </c>
      <c r="C132" s="110">
        <v>468.27150537634412</v>
      </c>
      <c r="D132" s="110">
        <v>21.893279569892471</v>
      </c>
      <c r="E132" s="116">
        <v>348.45633064516147</v>
      </c>
      <c r="F132" s="116">
        <v>343.12083467741951</v>
      </c>
      <c r="G132" s="116">
        <f t="shared" si="21"/>
        <v>8362.9519354838758</v>
      </c>
      <c r="H132" s="116">
        <f t="shared" si="21"/>
        <v>8234.9000322580687</v>
      </c>
      <c r="I132" s="113">
        <v>120.07399999999998</v>
      </c>
      <c r="J132" s="147">
        <v>106673.95</v>
      </c>
      <c r="L132" s="139"/>
    </row>
    <row r="133" spans="2:12" ht="15.6" x14ac:dyDescent="0.3">
      <c r="B133" s="155" t="s">
        <v>285</v>
      </c>
      <c r="C133" s="155"/>
      <c r="D133" s="155"/>
      <c r="E133" s="108"/>
      <c r="F133" s="108"/>
      <c r="G133" s="108"/>
      <c r="H133" s="108"/>
      <c r="I133" s="141"/>
      <c r="J133" s="148"/>
      <c r="L133" s="139"/>
    </row>
    <row r="134" spans="2:12" ht="18.600000000000001" x14ac:dyDescent="0.3">
      <c r="B134" s="109" t="s">
        <v>278</v>
      </c>
      <c r="C134" s="110" t="s">
        <v>279</v>
      </c>
      <c r="D134" s="109" t="s">
        <v>280</v>
      </c>
      <c r="E134" s="109" t="s">
        <v>288</v>
      </c>
      <c r="F134" s="109" t="s">
        <v>289</v>
      </c>
      <c r="G134" s="109" t="s">
        <v>281</v>
      </c>
      <c r="H134" s="109" t="s">
        <v>282</v>
      </c>
      <c r="I134" s="113" t="s">
        <v>283</v>
      </c>
      <c r="J134" s="147" t="s">
        <v>284</v>
      </c>
      <c r="L134" s="139"/>
    </row>
    <row r="135" spans="2:12" ht="15.6" x14ac:dyDescent="0.3">
      <c r="B135" s="111">
        <v>44197</v>
      </c>
      <c r="C135" s="110">
        <v>468.96962365591378</v>
      </c>
      <c r="D135" s="110">
        <v>21.748924731182793</v>
      </c>
      <c r="E135" s="116">
        <v>348.60754704301092</v>
      </c>
      <c r="F135" s="116">
        <v>343.07420026881721</v>
      </c>
      <c r="G135" s="116">
        <f>E135*24</f>
        <v>8366.5811290322617</v>
      </c>
      <c r="H135" s="116">
        <f>F135*24</f>
        <v>8233.7808064516139</v>
      </c>
      <c r="I135" s="113">
        <v>117.973</v>
      </c>
      <c r="J135" s="147">
        <v>106951.62</v>
      </c>
      <c r="L135" s="139"/>
    </row>
    <row r="136" spans="2:12" ht="15.6" x14ac:dyDescent="0.3">
      <c r="B136" s="111">
        <v>44228</v>
      </c>
      <c r="C136" s="110">
        <v>468.45208333333329</v>
      </c>
      <c r="D136" s="110">
        <v>22.14910714285714</v>
      </c>
      <c r="E136" s="116">
        <v>348.56670684523817</v>
      </c>
      <c r="F136" s="116">
        <v>343.06718749999993</v>
      </c>
      <c r="G136" s="116">
        <f t="shared" ref="G136:H146" si="22">E136*24</f>
        <v>8365.6009642857171</v>
      </c>
      <c r="H136" s="116">
        <f t="shared" si="22"/>
        <v>8233.6124999999993</v>
      </c>
      <c r="I136" s="113">
        <v>108.27500000000002</v>
      </c>
      <c r="J136" s="147">
        <v>106506.93</v>
      </c>
      <c r="L136" s="139"/>
    </row>
    <row r="137" spans="2:12" ht="15.6" x14ac:dyDescent="0.3">
      <c r="B137" s="111">
        <v>44256</v>
      </c>
      <c r="C137" s="110">
        <v>468.52956989247315</v>
      </c>
      <c r="D137" s="110">
        <v>22.366935483870964</v>
      </c>
      <c r="E137" s="116">
        <v>348.47118413978495</v>
      </c>
      <c r="F137" s="116">
        <v>343.1641357526882</v>
      </c>
      <c r="G137" s="116">
        <f t="shared" si="22"/>
        <v>8363.3084193548384</v>
      </c>
      <c r="H137" s="116">
        <f t="shared" si="22"/>
        <v>8235.9392580645163</v>
      </c>
      <c r="I137" s="113">
        <v>120.74000000000001</v>
      </c>
      <c r="J137" s="147">
        <v>106534.32</v>
      </c>
      <c r="L137" s="139"/>
    </row>
    <row r="138" spans="2:12" ht="15.6" x14ac:dyDescent="0.3">
      <c r="B138" s="111">
        <v>44287</v>
      </c>
      <c r="C138" s="110">
        <v>468.15086206896558</v>
      </c>
      <c r="D138" s="110">
        <v>21.542528735632182</v>
      </c>
      <c r="E138" s="116">
        <v>348.49801388888892</v>
      </c>
      <c r="F138" s="116">
        <v>343.08487222222232</v>
      </c>
      <c r="G138" s="116">
        <f t="shared" si="22"/>
        <v>8363.9523333333345</v>
      </c>
      <c r="H138" s="116">
        <f t="shared" si="22"/>
        <v>8234.0369333333365</v>
      </c>
      <c r="I138" s="113">
        <v>116.145</v>
      </c>
      <c r="J138" s="147">
        <v>106598.12</v>
      </c>
      <c r="L138" s="139"/>
    </row>
    <row r="139" spans="2:12" ht="15.6" x14ac:dyDescent="0.3">
      <c r="B139" s="111">
        <v>44317</v>
      </c>
      <c r="C139" s="110">
        <v>468.39247311827961</v>
      </c>
      <c r="D139" s="110">
        <v>21.991129032258065</v>
      </c>
      <c r="E139" s="116">
        <v>368.43292607526888</v>
      </c>
      <c r="F139" s="116">
        <v>363.63992876344082</v>
      </c>
      <c r="G139" s="116">
        <f t="shared" si="22"/>
        <v>8842.3902258064536</v>
      </c>
      <c r="H139" s="116">
        <f t="shared" si="22"/>
        <v>8727.3582903225797</v>
      </c>
      <c r="I139" s="113">
        <v>117.998</v>
      </c>
      <c r="J139" s="147">
        <v>107954.21</v>
      </c>
      <c r="L139" s="139"/>
    </row>
    <row r="140" spans="2:12" ht="15.6" x14ac:dyDescent="0.3">
      <c r="B140" s="111">
        <v>44348</v>
      </c>
      <c r="C140" s="110">
        <v>417.84499999999997</v>
      </c>
      <c r="D140" s="110">
        <v>20.20611111111111</v>
      </c>
      <c r="E140" s="116">
        <v>368.48739861111119</v>
      </c>
      <c r="F140" s="116">
        <v>363.52333055555562</v>
      </c>
      <c r="G140" s="116">
        <f t="shared" si="22"/>
        <v>8843.6975666666694</v>
      </c>
      <c r="H140" s="116">
        <f t="shared" si="22"/>
        <v>8724.5599333333339</v>
      </c>
      <c r="I140" s="113">
        <v>114.639</v>
      </c>
      <c r="J140" s="147">
        <v>107436.13</v>
      </c>
      <c r="L140" s="139"/>
    </row>
    <row r="141" spans="2:12" ht="15.6" x14ac:dyDescent="0.3">
      <c r="B141" s="111">
        <v>44378</v>
      </c>
      <c r="C141" s="110">
        <v>417.68494623655909</v>
      </c>
      <c r="D141" s="110">
        <v>19.863440860215047</v>
      </c>
      <c r="E141" s="116">
        <v>368.57008333333334</v>
      </c>
      <c r="F141" s="116">
        <v>363.63276344086023</v>
      </c>
      <c r="G141" s="116">
        <f t="shared" si="22"/>
        <v>8845.6820000000007</v>
      </c>
      <c r="H141" s="116">
        <f t="shared" si="22"/>
        <v>8727.1863225806446</v>
      </c>
      <c r="I141" s="113">
        <v>116.10600000000001</v>
      </c>
      <c r="J141" s="147">
        <v>108196.49</v>
      </c>
      <c r="L141" s="139"/>
    </row>
    <row r="142" spans="2:12" ht="15.6" x14ac:dyDescent="0.3">
      <c r="B142" s="111">
        <v>44409</v>
      </c>
      <c r="C142" s="110">
        <v>417.59354838709692</v>
      </c>
      <c r="D142" s="110">
        <v>19.204032258064519</v>
      </c>
      <c r="E142" s="116">
        <v>368.55194892473116</v>
      </c>
      <c r="F142" s="116">
        <v>363.5650188172043</v>
      </c>
      <c r="G142" s="116">
        <f t="shared" si="22"/>
        <v>8845.246774193547</v>
      </c>
      <c r="H142" s="116">
        <f t="shared" si="22"/>
        <v>8725.5604516129024</v>
      </c>
      <c r="I142" s="113">
        <v>119.66800000000001</v>
      </c>
      <c r="J142" s="147">
        <v>108145.33</v>
      </c>
      <c r="L142" s="139"/>
    </row>
    <row r="143" spans="2:12" ht="15.6" x14ac:dyDescent="0.3">
      <c r="B143" s="111">
        <v>44440</v>
      </c>
      <c r="C143" s="110">
        <v>468.1538888888889</v>
      </c>
      <c r="D143" s="110">
        <v>21.471666666666668</v>
      </c>
      <c r="E143" s="116">
        <v>368.52502638888888</v>
      </c>
      <c r="F143" s="116">
        <v>363.57299027777771</v>
      </c>
      <c r="G143" s="116">
        <f t="shared" si="22"/>
        <v>8844.6006333333335</v>
      </c>
      <c r="H143" s="116">
        <f t="shared" si="22"/>
        <v>8725.7517666666645</v>
      </c>
      <c r="I143" s="113">
        <v>114.24500000000002</v>
      </c>
      <c r="J143" s="147">
        <v>107429.23</v>
      </c>
      <c r="L143" s="139"/>
    </row>
    <row r="144" spans="2:12" ht="15.6" x14ac:dyDescent="0.3">
      <c r="B144" s="111">
        <v>44470</v>
      </c>
      <c r="C144" s="110">
        <v>468.09731182795696</v>
      </c>
      <c r="D144" s="110">
        <v>22.011021505376341</v>
      </c>
      <c r="E144" s="116">
        <v>368.32126478494621</v>
      </c>
      <c r="F144" s="116">
        <v>363.70292338709675</v>
      </c>
      <c r="G144" s="116">
        <f t="shared" si="22"/>
        <v>8839.7103548387095</v>
      </c>
      <c r="H144" s="116">
        <f t="shared" si="22"/>
        <v>8728.8701612903224</v>
      </c>
      <c r="I144" s="113">
        <v>119.455</v>
      </c>
      <c r="J144" s="147">
        <v>108019.33</v>
      </c>
      <c r="L144" s="139"/>
    </row>
    <row r="145" spans="2:12" ht="15.6" x14ac:dyDescent="0.3">
      <c r="B145" s="111">
        <v>44501</v>
      </c>
      <c r="C145" s="110">
        <v>468.41388888888883</v>
      </c>
      <c r="D145" s="110">
        <v>22.507222222222232</v>
      </c>
      <c r="E145" s="116">
        <v>348.54545833333333</v>
      </c>
      <c r="F145" s="116">
        <v>343.15535833333331</v>
      </c>
      <c r="G145" s="116">
        <f t="shared" si="22"/>
        <v>8365.0910000000003</v>
      </c>
      <c r="H145" s="116">
        <f t="shared" si="22"/>
        <v>8235.7285999999986</v>
      </c>
      <c r="I145" s="113">
        <v>114.908</v>
      </c>
      <c r="J145" s="147">
        <v>107144.48</v>
      </c>
      <c r="L145" s="139"/>
    </row>
    <row r="146" spans="2:12" ht="15.6" x14ac:dyDescent="0.3">
      <c r="B146" s="111">
        <v>44531</v>
      </c>
      <c r="C146" s="110">
        <v>468.41747311827964</v>
      </c>
      <c r="D146" s="110">
        <v>21.834946236559141</v>
      </c>
      <c r="E146" s="116">
        <v>348.34469623655923</v>
      </c>
      <c r="F146" s="116">
        <v>343.13242338709671</v>
      </c>
      <c r="G146" s="116">
        <f t="shared" si="22"/>
        <v>8360.2727096774215</v>
      </c>
      <c r="H146" s="116">
        <f t="shared" si="22"/>
        <v>8235.1781612903214</v>
      </c>
      <c r="I146" s="113">
        <v>119.02999999999999</v>
      </c>
      <c r="J146" s="147">
        <v>106824.14</v>
      </c>
      <c r="L146" s="139"/>
    </row>
    <row r="147" spans="2:12" ht="15.6" x14ac:dyDescent="0.3">
      <c r="B147" s="114"/>
      <c r="C147" s="108"/>
      <c r="D147" s="108"/>
      <c r="E147" s="108"/>
      <c r="F147" s="108"/>
      <c r="G147" s="108"/>
      <c r="H147" s="108"/>
      <c r="I147" s="141"/>
      <c r="J147" s="150"/>
      <c r="L147" s="139"/>
    </row>
    <row r="148" spans="2:12" ht="15.6" x14ac:dyDescent="0.3">
      <c r="B148" s="155" t="s">
        <v>286</v>
      </c>
      <c r="C148" s="155"/>
      <c r="D148" s="155"/>
      <c r="E148" s="108"/>
      <c r="F148" s="108"/>
      <c r="G148" s="108"/>
      <c r="H148" s="108"/>
      <c r="I148" s="141"/>
      <c r="J148" s="146"/>
      <c r="L148" s="139"/>
    </row>
    <row r="149" spans="2:12" ht="18.600000000000001" x14ac:dyDescent="0.3">
      <c r="B149" s="109" t="s">
        <v>278</v>
      </c>
      <c r="C149" s="110" t="s">
        <v>279</v>
      </c>
      <c r="D149" s="109" t="s">
        <v>280</v>
      </c>
      <c r="E149" s="109" t="s">
        <v>288</v>
      </c>
      <c r="F149" s="109" t="s">
        <v>289</v>
      </c>
      <c r="G149" s="109" t="s">
        <v>281</v>
      </c>
      <c r="H149" s="109" t="s">
        <v>282</v>
      </c>
      <c r="I149" s="113" t="s">
        <v>283</v>
      </c>
      <c r="J149" s="147" t="s">
        <v>284</v>
      </c>
      <c r="L149" s="139"/>
    </row>
    <row r="150" spans="2:12" ht="15.6" x14ac:dyDescent="0.3">
      <c r="B150" s="111">
        <v>44197</v>
      </c>
      <c r="C150" s="110">
        <v>468.25537634408607</v>
      </c>
      <c r="D150" s="110">
        <v>22.951344086021503</v>
      </c>
      <c r="E150" s="116">
        <v>348.45683467741941</v>
      </c>
      <c r="F150" s="116">
        <v>343.29178763440865</v>
      </c>
      <c r="G150" s="116">
        <f>E150*24</f>
        <v>8362.9640322580653</v>
      </c>
      <c r="H150" s="116">
        <f>F150*24</f>
        <v>8239.002903225808</v>
      </c>
      <c r="I150" s="113">
        <v>119.41199999999996</v>
      </c>
      <c r="J150" s="147">
        <v>106716.88</v>
      </c>
      <c r="L150" s="139"/>
    </row>
    <row r="151" spans="2:12" ht="15.6" x14ac:dyDescent="0.3">
      <c r="B151" s="111">
        <v>44228</v>
      </c>
      <c r="C151" s="110">
        <v>468.08869047619055</v>
      </c>
      <c r="D151" s="110">
        <v>22.462202380952384</v>
      </c>
      <c r="E151" s="116">
        <v>348.52137797619042</v>
      </c>
      <c r="F151" s="116">
        <v>343.20013839285701</v>
      </c>
      <c r="G151" s="116">
        <f t="shared" ref="G151:H154" si="23">E151*24</f>
        <v>8364.5130714285697</v>
      </c>
      <c r="H151" s="116">
        <f t="shared" si="23"/>
        <v>8236.8033214285679</v>
      </c>
      <c r="I151" s="113">
        <v>106.13699999999999</v>
      </c>
      <c r="J151" s="147">
        <v>106474.49</v>
      </c>
      <c r="L151" s="139"/>
    </row>
    <row r="152" spans="2:12" ht="15.6" x14ac:dyDescent="0.3">
      <c r="B152" s="111">
        <v>44256</v>
      </c>
      <c r="C152" s="110">
        <v>468.24677419354845</v>
      </c>
      <c r="D152" s="110">
        <v>22.479301075268818</v>
      </c>
      <c r="E152" s="116">
        <v>348.54537096774186</v>
      </c>
      <c r="F152" s="116">
        <v>342.94642607526885</v>
      </c>
      <c r="G152" s="116">
        <f t="shared" si="23"/>
        <v>8365.0889032258056</v>
      </c>
      <c r="H152" s="116">
        <f t="shared" si="23"/>
        <v>8230.7142258064523</v>
      </c>
      <c r="I152" s="113">
        <v>117.19500000000002</v>
      </c>
      <c r="J152" s="147">
        <v>107298.75</v>
      </c>
      <c r="L152" s="139"/>
    </row>
    <row r="153" spans="2:12" ht="15.6" x14ac:dyDescent="0.3">
      <c r="B153" s="111">
        <v>44287</v>
      </c>
      <c r="C153" s="110">
        <v>468.37722222222226</v>
      </c>
      <c r="D153" s="110">
        <v>21.908888888888892</v>
      </c>
      <c r="E153" s="116">
        <v>348.51330833333327</v>
      </c>
      <c r="F153" s="116">
        <v>343.16312361111108</v>
      </c>
      <c r="G153" s="116">
        <f t="shared" si="23"/>
        <v>8364.3193999999985</v>
      </c>
      <c r="H153" s="116">
        <f t="shared" si="23"/>
        <v>8235.9149666666654</v>
      </c>
      <c r="I153" s="113">
        <v>116.52599999999998</v>
      </c>
      <c r="J153" s="149">
        <v>106586.5</v>
      </c>
      <c r="L153" s="139"/>
    </row>
    <row r="154" spans="2:12" ht="15.6" x14ac:dyDescent="0.3">
      <c r="B154" s="111">
        <v>44317</v>
      </c>
      <c r="C154" s="110">
        <v>468.1056451612904</v>
      </c>
      <c r="D154" s="110">
        <v>22.803763440860209</v>
      </c>
      <c r="E154" s="116">
        <v>368.44862231182799</v>
      </c>
      <c r="F154" s="116">
        <v>363.46031317204307</v>
      </c>
      <c r="G154" s="116">
        <f t="shared" si="23"/>
        <v>8842.7669354838727</v>
      </c>
      <c r="H154" s="116">
        <f t="shared" si="23"/>
        <v>8723.0475161290342</v>
      </c>
      <c r="I154" s="113">
        <v>119.26099999999998</v>
      </c>
      <c r="J154" s="147">
        <v>107864.12</v>
      </c>
      <c r="L154" s="139"/>
    </row>
    <row r="155" spans="2:12" ht="15.6" x14ac:dyDescent="0.3">
      <c r="B155" s="111">
        <v>44348</v>
      </c>
      <c r="C155" s="110">
        <v>418.25944444444445</v>
      </c>
      <c r="D155" s="110">
        <v>19.787222222222226</v>
      </c>
      <c r="E155" s="116">
        <v>368.56585972222211</v>
      </c>
      <c r="F155" s="116">
        <v>363.64908472222214</v>
      </c>
      <c r="G155" s="116">
        <f t="shared" ref="G155" si="24">E155*24</f>
        <v>8845.5806333333312</v>
      </c>
      <c r="H155" s="116">
        <f t="shared" ref="H155" si="25">F155*24</f>
        <v>8727.5780333333314</v>
      </c>
      <c r="I155" s="113">
        <v>115.97399999999999</v>
      </c>
      <c r="J155" s="147">
        <v>108089.17</v>
      </c>
      <c r="L155" s="139"/>
    </row>
    <row r="156" spans="2:12" x14ac:dyDescent="0.25">
      <c r="J156" s="151"/>
    </row>
    <row r="157" spans="2:12" ht="31.8" customHeight="1" x14ac:dyDescent="0.25">
      <c r="B157" s="157" t="s">
        <v>248</v>
      </c>
      <c r="C157" s="157"/>
      <c r="D157" s="157"/>
      <c r="E157" s="157"/>
    </row>
    <row r="158" spans="2:12" ht="15.6" x14ac:dyDescent="0.3">
      <c r="B158" s="154" t="s">
        <v>277</v>
      </c>
      <c r="C158" s="154"/>
      <c r="D158" s="154"/>
      <c r="E158" s="108"/>
      <c r="F158" s="108"/>
      <c r="G158" s="108"/>
      <c r="H158" s="108"/>
      <c r="I158" s="141"/>
      <c r="J158" s="146"/>
    </row>
    <row r="159" spans="2:12" ht="18.600000000000001" x14ac:dyDescent="0.3">
      <c r="B159" s="109" t="s">
        <v>278</v>
      </c>
      <c r="C159" s="110" t="s">
        <v>279</v>
      </c>
      <c r="D159" s="109" t="s">
        <v>280</v>
      </c>
      <c r="E159" s="109" t="s">
        <v>288</v>
      </c>
      <c r="F159" s="109" t="s">
        <v>289</v>
      </c>
      <c r="G159" s="109" t="s">
        <v>281</v>
      </c>
      <c r="H159" s="109" t="s">
        <v>282</v>
      </c>
      <c r="I159" s="113" t="s">
        <v>283</v>
      </c>
      <c r="J159" s="147" t="s">
        <v>284</v>
      </c>
    </row>
    <row r="160" spans="2:12" ht="15.6" x14ac:dyDescent="0.3">
      <c r="B160" s="111">
        <v>44075</v>
      </c>
      <c r="C160" s="110">
        <v>425.92579365079371</v>
      </c>
      <c r="D160" s="110">
        <v>20.018650793650792</v>
      </c>
      <c r="E160" s="116">
        <v>363.44962301587304</v>
      </c>
      <c r="F160" s="116">
        <v>358.03647817460319</v>
      </c>
      <c r="G160" s="116">
        <f>E160*24</f>
        <v>8722.790952380954</v>
      </c>
      <c r="H160" s="116">
        <f>F160*24</f>
        <v>8592.8754761904765</v>
      </c>
      <c r="I160" s="113">
        <v>61.727000000000004</v>
      </c>
      <c r="J160" s="147">
        <v>74822.179999999993</v>
      </c>
      <c r="L160" s="139"/>
    </row>
    <row r="161" spans="2:12" ht="15.6" x14ac:dyDescent="0.3">
      <c r="B161" s="111">
        <v>44105</v>
      </c>
      <c r="C161" s="110">
        <v>425.95322580645171</v>
      </c>
      <c r="D161" s="110">
        <v>19.583333333333339</v>
      </c>
      <c r="E161" s="116">
        <v>363.25440322580647</v>
      </c>
      <c r="F161" s="116">
        <v>358.0358830645161</v>
      </c>
      <c r="G161" s="116">
        <f t="shared" ref="G161:H163" si="26">E161*24</f>
        <v>8718.1056774193548</v>
      </c>
      <c r="H161" s="116">
        <f t="shared" si="26"/>
        <v>8592.8611935483859</v>
      </c>
      <c r="I161" s="113">
        <v>90.891000000000005</v>
      </c>
      <c r="J161" s="147">
        <v>84474.94</v>
      </c>
      <c r="L161" s="139"/>
    </row>
    <row r="162" spans="2:12" ht="15.6" x14ac:dyDescent="0.3">
      <c r="B162" s="111">
        <v>44136</v>
      </c>
      <c r="C162" s="110">
        <v>425.81722222222231</v>
      </c>
      <c r="D162" s="110">
        <v>19.509999999999998</v>
      </c>
      <c r="E162" s="116">
        <v>348.41556527777777</v>
      </c>
      <c r="F162" s="116">
        <v>342.83826805555543</v>
      </c>
      <c r="G162" s="116">
        <f t="shared" si="26"/>
        <v>8361.9735666666675</v>
      </c>
      <c r="H162" s="116">
        <f t="shared" si="26"/>
        <v>8228.1184333333294</v>
      </c>
      <c r="I162" s="113">
        <v>89.886999999999986</v>
      </c>
      <c r="J162" s="147">
        <v>83484.44</v>
      </c>
      <c r="L162" s="139"/>
    </row>
    <row r="163" spans="2:12" ht="15.6" x14ac:dyDescent="0.3">
      <c r="B163" s="111">
        <v>44166</v>
      </c>
      <c r="C163" s="110">
        <v>425.97392473118282</v>
      </c>
      <c r="D163" s="110">
        <v>19.456720430107531</v>
      </c>
      <c r="E163" s="116">
        <v>348.28465725806444</v>
      </c>
      <c r="F163" s="116">
        <v>343.00071102150531</v>
      </c>
      <c r="G163" s="116">
        <f t="shared" si="26"/>
        <v>8358.8317741935462</v>
      </c>
      <c r="H163" s="116">
        <f t="shared" si="26"/>
        <v>8232.017064516127</v>
      </c>
      <c r="I163" s="113">
        <v>90.677999999999997</v>
      </c>
      <c r="J163" s="147">
        <v>83755.22</v>
      </c>
      <c r="L163" s="139"/>
    </row>
    <row r="164" spans="2:12" ht="15.6" x14ac:dyDescent="0.3">
      <c r="B164" s="155" t="s">
        <v>285</v>
      </c>
      <c r="C164" s="155"/>
      <c r="D164" s="155"/>
      <c r="E164" s="108"/>
      <c r="F164" s="108"/>
      <c r="G164" s="108"/>
      <c r="H164" s="108"/>
      <c r="I164" s="141"/>
      <c r="J164" s="150"/>
      <c r="L164" s="139"/>
    </row>
    <row r="165" spans="2:12" ht="18.600000000000001" x14ac:dyDescent="0.3">
      <c r="B165" s="109" t="s">
        <v>278</v>
      </c>
      <c r="C165" s="110" t="s">
        <v>279</v>
      </c>
      <c r="D165" s="109" t="s">
        <v>280</v>
      </c>
      <c r="E165" s="109" t="s">
        <v>288</v>
      </c>
      <c r="F165" s="109" t="s">
        <v>289</v>
      </c>
      <c r="G165" s="109" t="s">
        <v>281</v>
      </c>
      <c r="H165" s="109" t="s">
        <v>282</v>
      </c>
      <c r="I165" s="113" t="s">
        <v>283</v>
      </c>
      <c r="J165" s="147" t="s">
        <v>284</v>
      </c>
      <c r="L165" s="139"/>
    </row>
    <row r="166" spans="2:12" ht="15.6" x14ac:dyDescent="0.3">
      <c r="B166" s="111">
        <v>44197</v>
      </c>
      <c r="C166" s="110">
        <v>426.25268817204295</v>
      </c>
      <c r="D166" s="110">
        <v>19.930913978494619</v>
      </c>
      <c r="E166" s="116">
        <v>348.16564650537634</v>
      </c>
      <c r="F166" s="116">
        <v>342.78452553763447</v>
      </c>
      <c r="G166" s="116">
        <f>E166*24</f>
        <v>8355.9755161290323</v>
      </c>
      <c r="H166" s="116">
        <f>F166*24</f>
        <v>8226.8286129032276</v>
      </c>
      <c r="I166" s="113">
        <v>91.389000000000038</v>
      </c>
      <c r="J166" s="147">
        <v>84206.32</v>
      </c>
      <c r="L166" s="139"/>
    </row>
    <row r="167" spans="2:12" ht="15.6" x14ac:dyDescent="0.3">
      <c r="B167" s="111">
        <v>44228</v>
      </c>
      <c r="C167" s="110">
        <v>425.88958333333346</v>
      </c>
      <c r="D167" s="110">
        <v>20.137499999999999</v>
      </c>
      <c r="E167" s="116">
        <v>348.19649702380957</v>
      </c>
      <c r="F167" s="116">
        <v>342.92932738095243</v>
      </c>
      <c r="G167" s="116">
        <f t="shared" ref="G167:H177" si="27">E167*24</f>
        <v>8356.7159285714297</v>
      </c>
      <c r="H167" s="116">
        <f t="shared" si="27"/>
        <v>8230.3038571428588</v>
      </c>
      <c r="I167" s="113">
        <v>82.768000000000015</v>
      </c>
      <c r="J167" s="147">
        <v>83437.279999999999</v>
      </c>
      <c r="L167" s="139"/>
    </row>
    <row r="168" spans="2:12" ht="15.6" x14ac:dyDescent="0.3">
      <c r="B168" s="111">
        <v>44256</v>
      </c>
      <c r="C168" s="110">
        <v>426.06397849462354</v>
      </c>
      <c r="D168" s="110">
        <v>19.555645161290322</v>
      </c>
      <c r="E168" s="116">
        <v>348.41747849462365</v>
      </c>
      <c r="F168" s="116">
        <v>342.98661693548394</v>
      </c>
      <c r="G168" s="116">
        <f t="shared" si="27"/>
        <v>8362.0194838709685</v>
      </c>
      <c r="H168" s="116">
        <f t="shared" si="27"/>
        <v>8231.6788064516149</v>
      </c>
      <c r="I168" s="113">
        <v>91.152999999999977</v>
      </c>
      <c r="J168" s="147">
        <v>84017.14</v>
      </c>
      <c r="L168" s="139"/>
    </row>
    <row r="169" spans="2:12" ht="15.6" x14ac:dyDescent="0.3">
      <c r="B169" s="111">
        <v>44287</v>
      </c>
      <c r="C169" s="110">
        <v>425.95689655172413</v>
      </c>
      <c r="D169" s="110">
        <v>20.035057471264366</v>
      </c>
      <c r="E169" s="116">
        <v>348.31440416666663</v>
      </c>
      <c r="F169" s="116">
        <v>342.85252916666673</v>
      </c>
      <c r="G169" s="116">
        <f t="shared" si="27"/>
        <v>8359.5456999999988</v>
      </c>
      <c r="H169" s="116">
        <f t="shared" si="27"/>
        <v>8228.4607000000015</v>
      </c>
      <c r="I169" s="113">
        <v>88.08</v>
      </c>
      <c r="J169" s="147">
        <v>83976.19</v>
      </c>
      <c r="L169" s="139"/>
    </row>
    <row r="170" spans="2:12" ht="15.6" x14ac:dyDescent="0.3">
      <c r="B170" s="111">
        <v>44317</v>
      </c>
      <c r="C170" s="110">
        <v>426.08655913978498</v>
      </c>
      <c r="D170" s="110">
        <v>19.732258064516135</v>
      </c>
      <c r="E170" s="116">
        <v>363.47005241935477</v>
      </c>
      <c r="F170" s="116">
        <v>358.04602419354836</v>
      </c>
      <c r="G170" s="116">
        <f t="shared" si="27"/>
        <v>8723.281258064515</v>
      </c>
      <c r="H170" s="116">
        <f t="shared" si="27"/>
        <v>8593.1045806451602</v>
      </c>
      <c r="I170" s="113">
        <v>91.832999999999956</v>
      </c>
      <c r="J170" s="147">
        <v>84571.05</v>
      </c>
      <c r="L170" s="139"/>
    </row>
    <row r="171" spans="2:12" ht="15.6" x14ac:dyDescent="0.3">
      <c r="B171" s="111">
        <v>44348</v>
      </c>
      <c r="C171" s="110">
        <v>407.70083333333338</v>
      </c>
      <c r="D171" s="110">
        <v>19.608611111111113</v>
      </c>
      <c r="E171" s="116">
        <v>363.23775000000006</v>
      </c>
      <c r="F171" s="116">
        <v>358.0518597222221</v>
      </c>
      <c r="G171" s="116">
        <f t="shared" si="27"/>
        <v>8717.7060000000019</v>
      </c>
      <c r="H171" s="116">
        <f t="shared" si="27"/>
        <v>8593.2446333333301</v>
      </c>
      <c r="I171" s="113">
        <v>88.505999999999986</v>
      </c>
      <c r="J171" s="147">
        <v>84761.57</v>
      </c>
      <c r="L171" s="139"/>
    </row>
    <row r="172" spans="2:12" ht="15.6" x14ac:dyDescent="0.3">
      <c r="B172" s="111">
        <v>44378</v>
      </c>
      <c r="C172" s="110">
        <v>407.48817204301082</v>
      </c>
      <c r="D172" s="110">
        <v>19.852150537634405</v>
      </c>
      <c r="E172" s="116">
        <v>363.34666397849463</v>
      </c>
      <c r="F172" s="116">
        <v>358.0985981182796</v>
      </c>
      <c r="G172" s="116">
        <f t="shared" si="27"/>
        <v>8720.3199354838707</v>
      </c>
      <c r="H172" s="116">
        <f t="shared" si="27"/>
        <v>8594.3663548387103</v>
      </c>
      <c r="I172" s="113">
        <v>90.121000000000009</v>
      </c>
      <c r="J172" s="147">
        <v>85104.02</v>
      </c>
      <c r="L172" s="139"/>
    </row>
    <row r="173" spans="2:12" ht="15.6" x14ac:dyDescent="0.3">
      <c r="B173" s="111">
        <v>44409</v>
      </c>
      <c r="C173" s="110">
        <v>407.35887096774195</v>
      </c>
      <c r="D173" s="110">
        <v>19.807526881720431</v>
      </c>
      <c r="E173" s="116">
        <v>363.32809543010757</v>
      </c>
      <c r="F173" s="116">
        <v>358.0934838709677</v>
      </c>
      <c r="G173" s="116">
        <f t="shared" si="27"/>
        <v>8719.8742903225811</v>
      </c>
      <c r="H173" s="116">
        <f t="shared" si="27"/>
        <v>8594.2436129032249</v>
      </c>
      <c r="I173" s="113">
        <v>91.458000000000027</v>
      </c>
      <c r="J173" s="147">
        <v>84443.53</v>
      </c>
      <c r="L173" s="139"/>
    </row>
    <row r="174" spans="2:12" ht="15.6" x14ac:dyDescent="0.3">
      <c r="B174" s="111">
        <v>44440</v>
      </c>
      <c r="C174" s="110">
        <v>425.87833333333327</v>
      </c>
      <c r="D174" s="110">
        <v>19.717499999999998</v>
      </c>
      <c r="E174" s="116">
        <v>363.37941666666671</v>
      </c>
      <c r="F174" s="116">
        <v>358.1203666666666</v>
      </c>
      <c r="G174" s="116">
        <f t="shared" si="27"/>
        <v>8721.1060000000016</v>
      </c>
      <c r="H174" s="116">
        <f t="shared" si="27"/>
        <v>8594.8887999999988</v>
      </c>
      <c r="I174" s="113">
        <v>87.483999999999995</v>
      </c>
      <c r="J174" s="149">
        <v>84410.1</v>
      </c>
      <c r="L174" s="139"/>
    </row>
    <row r="175" spans="2:12" ht="15.6" x14ac:dyDescent="0.3">
      <c r="B175" s="111">
        <v>44470</v>
      </c>
      <c r="C175" s="110">
        <v>425.91827956989243</v>
      </c>
      <c r="D175" s="110">
        <v>20.11854838709678</v>
      </c>
      <c r="E175" s="116">
        <v>363.36490188172041</v>
      </c>
      <c r="F175" s="116">
        <v>357.96550672043008</v>
      </c>
      <c r="G175" s="116">
        <f t="shared" si="27"/>
        <v>8720.7576451612895</v>
      </c>
      <c r="H175" s="116">
        <f t="shared" si="27"/>
        <v>8591.172161290322</v>
      </c>
      <c r="I175" s="113">
        <v>91.126000000000005</v>
      </c>
      <c r="J175" s="147">
        <v>84955.45</v>
      </c>
      <c r="L175" s="139"/>
    </row>
    <row r="176" spans="2:12" ht="15.6" x14ac:dyDescent="0.3">
      <c r="B176" s="111">
        <v>44501</v>
      </c>
      <c r="C176" s="110">
        <v>426.10888888888888</v>
      </c>
      <c r="D176" s="110">
        <v>19.649444444444448</v>
      </c>
      <c r="E176" s="116">
        <v>348.43405972222223</v>
      </c>
      <c r="F176" s="116">
        <v>343.00385277777775</v>
      </c>
      <c r="G176" s="116">
        <f t="shared" si="27"/>
        <v>8362.417433333334</v>
      </c>
      <c r="H176" s="116">
        <f t="shared" si="27"/>
        <v>8232.0924666666651</v>
      </c>
      <c r="I176" s="113">
        <v>88.48</v>
      </c>
      <c r="J176" s="149">
        <v>83436.800000000003</v>
      </c>
      <c r="L176" s="139"/>
    </row>
    <row r="177" spans="2:12" ht="15.6" x14ac:dyDescent="0.3">
      <c r="B177" s="111">
        <v>44531</v>
      </c>
      <c r="C177" s="110">
        <v>426.07473118279586</v>
      </c>
      <c r="D177" s="110">
        <v>19.880376344086017</v>
      </c>
      <c r="E177" s="116">
        <v>348.20422311827957</v>
      </c>
      <c r="F177" s="116">
        <v>343.02422983870963</v>
      </c>
      <c r="G177" s="116">
        <f t="shared" si="27"/>
        <v>8356.9013548387102</v>
      </c>
      <c r="H177" s="116">
        <f t="shared" si="27"/>
        <v>8232.5815161290302</v>
      </c>
      <c r="I177" s="113">
        <v>91.506999999999977</v>
      </c>
      <c r="J177" s="147">
        <v>83911.92</v>
      </c>
      <c r="L177" s="139"/>
    </row>
    <row r="178" spans="2:12" ht="15.6" x14ac:dyDescent="0.3">
      <c r="B178" s="114"/>
      <c r="C178" s="108"/>
      <c r="D178" s="108"/>
      <c r="E178" s="108"/>
      <c r="F178" s="108"/>
      <c r="G178" s="117"/>
      <c r="H178" s="108"/>
      <c r="I178" s="141"/>
      <c r="J178" s="150"/>
      <c r="L178" s="139"/>
    </row>
    <row r="179" spans="2:12" ht="15.6" x14ac:dyDescent="0.3">
      <c r="B179" s="155" t="s">
        <v>286</v>
      </c>
      <c r="C179" s="155"/>
      <c r="D179" s="155"/>
      <c r="E179" s="108"/>
      <c r="F179" s="108"/>
      <c r="G179" s="108"/>
      <c r="H179" s="108"/>
      <c r="I179" s="141"/>
      <c r="J179" s="146"/>
      <c r="L179" s="139"/>
    </row>
    <row r="180" spans="2:12" ht="18.600000000000001" x14ac:dyDescent="0.3">
      <c r="B180" s="109" t="s">
        <v>278</v>
      </c>
      <c r="C180" s="110" t="s">
        <v>279</v>
      </c>
      <c r="D180" s="109" t="s">
        <v>280</v>
      </c>
      <c r="E180" s="109" t="s">
        <v>288</v>
      </c>
      <c r="F180" s="109" t="s">
        <v>289</v>
      </c>
      <c r="G180" s="109" t="s">
        <v>281</v>
      </c>
      <c r="H180" s="109" t="s">
        <v>282</v>
      </c>
      <c r="I180" s="113" t="s">
        <v>283</v>
      </c>
      <c r="J180" s="147" t="s">
        <v>284</v>
      </c>
      <c r="L180" s="139"/>
    </row>
    <row r="181" spans="2:12" ht="15.6" x14ac:dyDescent="0.3">
      <c r="B181" s="111">
        <v>44197</v>
      </c>
      <c r="C181" s="110">
        <v>425.9849462365591</v>
      </c>
      <c r="D181" s="110">
        <v>19.896774193548389</v>
      </c>
      <c r="E181" s="116">
        <v>348.41397446236562</v>
      </c>
      <c r="F181" s="116">
        <v>342.95833602150537</v>
      </c>
      <c r="G181" s="116">
        <f>E181*24</f>
        <v>8361.9353870967752</v>
      </c>
      <c r="H181" s="116">
        <f>F181*24</f>
        <v>8231.000064516129</v>
      </c>
      <c r="I181" s="113">
        <v>91.733000000000004</v>
      </c>
      <c r="J181" s="147">
        <v>84170.94</v>
      </c>
      <c r="L181" s="139"/>
    </row>
    <row r="182" spans="2:12" ht="15.6" x14ac:dyDescent="0.3">
      <c r="B182" s="111">
        <v>44228</v>
      </c>
      <c r="C182" s="110">
        <v>425.9363095238096</v>
      </c>
      <c r="D182" s="110">
        <v>19.60446428571429</v>
      </c>
      <c r="E182" s="116">
        <v>348.27659077380952</v>
      </c>
      <c r="F182" s="116">
        <v>342.8496428571429</v>
      </c>
      <c r="G182" s="116">
        <f t="shared" ref="G182:H185" si="28">E182*24</f>
        <v>8358.6381785714293</v>
      </c>
      <c r="H182" s="116">
        <f t="shared" si="28"/>
        <v>8228.3914285714291</v>
      </c>
      <c r="I182" s="113">
        <v>82.5</v>
      </c>
      <c r="J182" s="147">
        <v>84244.35</v>
      </c>
      <c r="L182" s="139"/>
    </row>
    <row r="183" spans="2:12" ht="15.6" x14ac:dyDescent="0.3">
      <c r="B183" s="111">
        <v>44256</v>
      </c>
      <c r="C183" s="110">
        <v>426.45537634408595</v>
      </c>
      <c r="D183" s="110">
        <v>19.695430107526882</v>
      </c>
      <c r="E183" s="116">
        <v>348.24546774193539</v>
      </c>
      <c r="F183" s="116">
        <v>342.94546370967731</v>
      </c>
      <c r="G183" s="116">
        <f t="shared" si="28"/>
        <v>8357.8912258064483</v>
      </c>
      <c r="H183" s="116">
        <f t="shared" si="28"/>
        <v>8230.691129032255</v>
      </c>
      <c r="I183" s="113">
        <v>91.803999999999988</v>
      </c>
      <c r="J183" s="147">
        <v>84146.57</v>
      </c>
      <c r="L183" s="139"/>
    </row>
    <row r="184" spans="2:12" ht="15.6" x14ac:dyDescent="0.3">
      <c r="B184" s="111">
        <v>44287</v>
      </c>
      <c r="C184" s="110">
        <v>426.09444444444438</v>
      </c>
      <c r="D184" s="110">
        <v>19.344166666666663</v>
      </c>
      <c r="E184" s="116">
        <v>348.33060000000006</v>
      </c>
      <c r="F184" s="116">
        <v>342.73272638888886</v>
      </c>
      <c r="G184" s="116">
        <f t="shared" si="28"/>
        <v>8359.9344000000019</v>
      </c>
      <c r="H184" s="116">
        <f t="shared" si="28"/>
        <v>8225.5854333333336</v>
      </c>
      <c r="I184" s="113">
        <v>87.930000000000021</v>
      </c>
      <c r="J184" s="149">
        <v>84258.9</v>
      </c>
      <c r="L184" s="139"/>
    </row>
    <row r="185" spans="2:12" ht="15.6" x14ac:dyDescent="0.3">
      <c r="B185" s="111">
        <v>44317</v>
      </c>
      <c r="C185" s="110">
        <v>425.9970430107528</v>
      </c>
      <c r="D185" s="110">
        <v>20.364516129032257</v>
      </c>
      <c r="E185" s="116">
        <v>363.31824731182797</v>
      </c>
      <c r="F185" s="116">
        <v>358.09630241935486</v>
      </c>
      <c r="G185" s="116">
        <f t="shared" si="28"/>
        <v>8719.6379354838718</v>
      </c>
      <c r="H185" s="116">
        <f t="shared" si="28"/>
        <v>8594.3112580645175</v>
      </c>
      <c r="I185" s="113">
        <v>91.072999999999993</v>
      </c>
      <c r="J185" s="147">
        <v>84871.54</v>
      </c>
      <c r="L185" s="139"/>
    </row>
    <row r="186" spans="2:12" ht="15.6" x14ac:dyDescent="0.3">
      <c r="B186" s="111">
        <v>44348</v>
      </c>
      <c r="C186" s="110">
        <v>407.43833333333322</v>
      </c>
      <c r="D186" s="110">
        <v>19.710555555555551</v>
      </c>
      <c r="E186" s="116">
        <v>363.25478749999996</v>
      </c>
      <c r="F186" s="116">
        <v>357.92935972222222</v>
      </c>
      <c r="G186" s="116">
        <f t="shared" ref="G186" si="29">E186*24</f>
        <v>8718.1148999999987</v>
      </c>
      <c r="H186" s="116">
        <f t="shared" ref="H186" si="30">F186*24</f>
        <v>8590.3046333333332</v>
      </c>
      <c r="I186" s="113">
        <v>88.596000000000004</v>
      </c>
      <c r="J186" s="147">
        <v>84593.77</v>
      </c>
      <c r="L186" s="139"/>
    </row>
    <row r="187" spans="2:12" x14ac:dyDescent="0.25">
      <c r="J187" s="151"/>
    </row>
    <row r="188" spans="2:12" ht="31.8" customHeight="1" x14ac:dyDescent="0.25">
      <c r="B188" s="157" t="s">
        <v>249</v>
      </c>
      <c r="C188" s="157"/>
      <c r="D188" s="157"/>
      <c r="E188" s="157"/>
    </row>
    <row r="189" spans="2:12" ht="15.6" x14ac:dyDescent="0.3">
      <c r="B189" s="154" t="s">
        <v>277</v>
      </c>
      <c r="C189" s="154"/>
      <c r="D189" s="154"/>
      <c r="E189" s="108"/>
      <c r="F189" s="108"/>
      <c r="G189" s="108"/>
      <c r="H189" s="108"/>
      <c r="I189" s="141"/>
      <c r="J189" s="146"/>
    </row>
    <row r="190" spans="2:12" ht="18.600000000000001" x14ac:dyDescent="0.3">
      <c r="B190" s="109" t="s">
        <v>278</v>
      </c>
      <c r="C190" s="110" t="s">
        <v>279</v>
      </c>
      <c r="D190" s="109" t="s">
        <v>280</v>
      </c>
      <c r="E190" s="109" t="s">
        <v>288</v>
      </c>
      <c r="F190" s="109" t="s">
        <v>289</v>
      </c>
      <c r="G190" s="109" t="s">
        <v>281</v>
      </c>
      <c r="H190" s="109" t="s">
        <v>282</v>
      </c>
      <c r="I190" s="113" t="s">
        <v>283</v>
      </c>
      <c r="J190" s="147" t="s">
        <v>284</v>
      </c>
    </row>
    <row r="191" spans="2:12" ht="15.6" x14ac:dyDescent="0.3">
      <c r="B191" s="111">
        <v>44075</v>
      </c>
      <c r="C191" s="110">
        <v>375.18235294117642</v>
      </c>
      <c r="D191" s="110">
        <v>17.673039215686273</v>
      </c>
      <c r="E191" s="116">
        <v>468.05549264705888</v>
      </c>
      <c r="F191" s="116">
        <v>462.9728063725492</v>
      </c>
      <c r="G191" s="116">
        <f>E191*24</f>
        <v>11233.331823529414</v>
      </c>
      <c r="H191" s="116">
        <f>F191*24</f>
        <v>11111.34735294118</v>
      </c>
      <c r="I191" s="113">
        <v>61.917999999999985</v>
      </c>
      <c r="J191" s="147">
        <v>88046.93</v>
      </c>
      <c r="L191" s="139"/>
    </row>
    <row r="192" spans="2:12" ht="15.6" x14ac:dyDescent="0.3">
      <c r="B192" s="111">
        <v>44105</v>
      </c>
      <c r="C192" s="110">
        <v>374.98387096774195</v>
      </c>
      <c r="D192" s="110">
        <v>17.704838709677418</v>
      </c>
      <c r="E192" s="116">
        <v>467.93838037634418</v>
      </c>
      <c r="F192" s="116">
        <v>463.02265994623656</v>
      </c>
      <c r="G192" s="116">
        <f t="shared" ref="G192:H194" si="31">E192*24</f>
        <v>11230.52112903226</v>
      </c>
      <c r="H192" s="116">
        <f t="shared" si="31"/>
        <v>11112.543838709676</v>
      </c>
      <c r="I192" s="113">
        <v>109.58599999999998</v>
      </c>
      <c r="J192" s="147">
        <v>106364.44</v>
      </c>
      <c r="L192" s="139"/>
    </row>
    <row r="193" spans="2:12" ht="15.6" x14ac:dyDescent="0.3">
      <c r="B193" s="111">
        <v>44136</v>
      </c>
      <c r="C193" s="110">
        <v>374.77944444444444</v>
      </c>
      <c r="D193" s="110">
        <v>17.704722222222223</v>
      </c>
      <c r="E193" s="116">
        <v>448.06954305555558</v>
      </c>
      <c r="F193" s="116">
        <v>442.61930694444436</v>
      </c>
      <c r="G193" s="116">
        <f t="shared" si="31"/>
        <v>10753.669033333334</v>
      </c>
      <c r="H193" s="116">
        <f t="shared" si="31"/>
        <v>10622.863366666665</v>
      </c>
      <c r="I193" s="113">
        <v>109.31400000000001</v>
      </c>
      <c r="J193" s="147">
        <v>105297.22</v>
      </c>
      <c r="L193" s="139"/>
    </row>
    <row r="194" spans="2:12" ht="15.6" x14ac:dyDescent="0.3">
      <c r="B194" s="111">
        <v>44166</v>
      </c>
      <c r="C194" s="110">
        <v>374.85672043010754</v>
      </c>
      <c r="D194" s="110">
        <v>17.536559139784945</v>
      </c>
      <c r="E194" s="116">
        <v>447.92878763440854</v>
      </c>
      <c r="F194" s="116">
        <v>442.46645833333343</v>
      </c>
      <c r="G194" s="116">
        <f t="shared" si="31"/>
        <v>10750.290903225805</v>
      </c>
      <c r="H194" s="116">
        <f t="shared" si="31"/>
        <v>10619.195000000003</v>
      </c>
      <c r="I194" s="113">
        <v>111.31499999999998</v>
      </c>
      <c r="J194" s="147">
        <v>105118.68</v>
      </c>
      <c r="L194" s="139"/>
    </row>
    <row r="195" spans="2:12" ht="15.6" x14ac:dyDescent="0.3">
      <c r="B195" s="155" t="s">
        <v>285</v>
      </c>
      <c r="C195" s="155"/>
      <c r="D195" s="155"/>
      <c r="E195" s="108"/>
      <c r="F195" s="108"/>
      <c r="G195" s="108"/>
      <c r="H195" s="108"/>
      <c r="I195" s="141"/>
      <c r="J195" s="150"/>
      <c r="L195" s="139"/>
    </row>
    <row r="196" spans="2:12" ht="18.600000000000001" x14ac:dyDescent="0.3">
      <c r="B196" s="109" t="s">
        <v>278</v>
      </c>
      <c r="C196" s="110" t="s">
        <v>279</v>
      </c>
      <c r="D196" s="109" t="s">
        <v>280</v>
      </c>
      <c r="E196" s="109" t="s">
        <v>288</v>
      </c>
      <c r="F196" s="109" t="s">
        <v>289</v>
      </c>
      <c r="G196" s="109" t="s">
        <v>281</v>
      </c>
      <c r="H196" s="109" t="s">
        <v>282</v>
      </c>
      <c r="I196" s="113" t="s">
        <v>283</v>
      </c>
      <c r="J196" s="147" t="s">
        <v>284</v>
      </c>
      <c r="L196" s="139"/>
    </row>
    <row r="197" spans="2:12" ht="15.6" x14ac:dyDescent="0.3">
      <c r="B197" s="111">
        <v>44197</v>
      </c>
      <c r="C197" s="110">
        <v>375.18790322580639</v>
      </c>
      <c r="D197" s="110">
        <v>17.820161290322581</v>
      </c>
      <c r="E197" s="116">
        <v>447.9695524193549</v>
      </c>
      <c r="F197" s="116">
        <v>442.51725000000005</v>
      </c>
      <c r="G197" s="116">
        <f>E197*24</f>
        <v>10751.269258064518</v>
      </c>
      <c r="H197" s="116">
        <f>F197*24</f>
        <v>10620.414000000001</v>
      </c>
      <c r="I197" s="113">
        <v>112.62700000000001</v>
      </c>
      <c r="J197" s="147">
        <v>104617.83</v>
      </c>
      <c r="L197" s="139"/>
    </row>
    <row r="198" spans="2:12" ht="15.6" x14ac:dyDescent="0.3">
      <c r="B198" s="111">
        <v>44228</v>
      </c>
      <c r="C198" s="110">
        <v>375.3952380952382</v>
      </c>
      <c r="D198" s="110">
        <v>17.75178571428571</v>
      </c>
      <c r="E198" s="116">
        <v>447.9170848214286</v>
      </c>
      <c r="F198" s="116">
        <v>442.56950297619045</v>
      </c>
      <c r="G198" s="116">
        <f t="shared" ref="G198:H208" si="32">E198*24</f>
        <v>10750.010035714287</v>
      </c>
      <c r="H198" s="116">
        <f t="shared" si="32"/>
        <v>10621.66807142857</v>
      </c>
      <c r="I198" s="113">
        <v>101.75200000000002</v>
      </c>
      <c r="J198" s="147">
        <v>104573.73</v>
      </c>
      <c r="L198" s="139"/>
    </row>
    <row r="199" spans="2:12" ht="15.6" x14ac:dyDescent="0.3">
      <c r="B199" s="111">
        <v>44256</v>
      </c>
      <c r="C199" s="110">
        <v>375.10080645161298</v>
      </c>
      <c r="D199" s="110">
        <v>17.71397849462366</v>
      </c>
      <c r="E199" s="116">
        <v>448.02946102150537</v>
      </c>
      <c r="F199" s="116">
        <v>442.56213709677428</v>
      </c>
      <c r="G199" s="116">
        <f t="shared" si="32"/>
        <v>10752.707064516129</v>
      </c>
      <c r="H199" s="116">
        <f t="shared" si="32"/>
        <v>10621.491290322583</v>
      </c>
      <c r="I199" s="113">
        <v>111.373</v>
      </c>
      <c r="J199" s="147">
        <v>104696.47</v>
      </c>
      <c r="L199" s="139"/>
    </row>
    <row r="200" spans="2:12" ht="15.6" x14ac:dyDescent="0.3">
      <c r="B200" s="111">
        <v>44287</v>
      </c>
      <c r="C200" s="110">
        <v>374.91235632183913</v>
      </c>
      <c r="D200" s="110">
        <v>18.255459770114943</v>
      </c>
      <c r="E200" s="116">
        <v>448.04165138888885</v>
      </c>
      <c r="F200" s="116">
        <v>442.63406250000008</v>
      </c>
      <c r="G200" s="116">
        <f t="shared" si="32"/>
        <v>10752.999633333333</v>
      </c>
      <c r="H200" s="116">
        <f t="shared" si="32"/>
        <v>10623.217500000002</v>
      </c>
      <c r="I200" s="113">
        <v>109.53499999999997</v>
      </c>
      <c r="J200" s="149">
        <v>104974</v>
      </c>
      <c r="L200" s="139"/>
    </row>
    <row r="201" spans="2:12" ht="15.6" x14ac:dyDescent="0.3">
      <c r="B201" s="111">
        <v>44317</v>
      </c>
      <c r="C201" s="110">
        <v>375.20725806451605</v>
      </c>
      <c r="D201" s="110">
        <v>17.293548387096774</v>
      </c>
      <c r="E201" s="116">
        <v>467.93267338709683</v>
      </c>
      <c r="F201" s="116">
        <v>462.89959139784952</v>
      </c>
      <c r="G201" s="116">
        <f t="shared" si="32"/>
        <v>11230.384161290323</v>
      </c>
      <c r="H201" s="116">
        <f t="shared" si="32"/>
        <v>11109.590193548389</v>
      </c>
      <c r="I201" s="113">
        <v>111.46900000000002</v>
      </c>
      <c r="J201" s="147">
        <v>106079.01</v>
      </c>
      <c r="L201" s="139"/>
    </row>
    <row r="202" spans="2:12" ht="15.6" x14ac:dyDescent="0.3">
      <c r="B202" s="111">
        <v>44348</v>
      </c>
      <c r="C202" s="110">
        <v>333.01277777777784</v>
      </c>
      <c r="D202" s="110">
        <v>17.697500000000005</v>
      </c>
      <c r="E202" s="116">
        <v>467.86677638888892</v>
      </c>
      <c r="F202" s="116">
        <v>463.0142222222222</v>
      </c>
      <c r="G202" s="116">
        <f t="shared" si="32"/>
        <v>11228.802633333335</v>
      </c>
      <c r="H202" s="116">
        <f t="shared" si="32"/>
        <v>11112.341333333334</v>
      </c>
      <c r="I202" s="113">
        <v>109.35200000000003</v>
      </c>
      <c r="J202" s="147">
        <v>106149.71</v>
      </c>
      <c r="L202" s="139"/>
    </row>
    <row r="203" spans="2:12" ht="15.6" x14ac:dyDescent="0.3">
      <c r="B203" s="111">
        <v>44378</v>
      </c>
      <c r="C203" s="110">
        <v>333.15295698924723</v>
      </c>
      <c r="D203" s="110">
        <v>17.648924731182795</v>
      </c>
      <c r="E203" s="116">
        <v>468.03467473118269</v>
      </c>
      <c r="F203" s="116">
        <v>462.8220483870968</v>
      </c>
      <c r="G203" s="116">
        <f t="shared" si="32"/>
        <v>11232.832193548384</v>
      </c>
      <c r="H203" s="116">
        <f t="shared" si="32"/>
        <v>11107.729161290323</v>
      </c>
      <c r="I203" s="113">
        <v>110.979</v>
      </c>
      <c r="J203" s="147">
        <v>105739.21</v>
      </c>
      <c r="L203" s="139"/>
    </row>
    <row r="204" spans="2:12" ht="15.6" x14ac:dyDescent="0.3">
      <c r="B204" s="111">
        <v>44409</v>
      </c>
      <c r="C204" s="110">
        <v>333.08763440860218</v>
      </c>
      <c r="D204" s="110">
        <v>17.874731182795699</v>
      </c>
      <c r="E204" s="116">
        <v>468.02263709677419</v>
      </c>
      <c r="F204" s="116">
        <v>462.86402956989258</v>
      </c>
      <c r="G204" s="116">
        <f t="shared" si="32"/>
        <v>11232.543290322581</v>
      </c>
      <c r="H204" s="116">
        <f t="shared" si="32"/>
        <v>11108.736709677421</v>
      </c>
      <c r="I204" s="113">
        <v>112.521</v>
      </c>
      <c r="J204" s="147">
        <v>105586.79</v>
      </c>
      <c r="L204" s="139"/>
    </row>
    <row r="205" spans="2:12" ht="15.6" x14ac:dyDescent="0.3">
      <c r="B205" s="111">
        <v>44440</v>
      </c>
      <c r="C205" s="110">
        <v>374.84555555555556</v>
      </c>
      <c r="D205" s="110">
        <v>17.975555555555552</v>
      </c>
      <c r="E205" s="116">
        <v>467.95551666666665</v>
      </c>
      <c r="F205" s="116">
        <v>462.93952777777781</v>
      </c>
      <c r="G205" s="116">
        <f t="shared" si="32"/>
        <v>11230.9324</v>
      </c>
      <c r="H205" s="116">
        <f t="shared" si="32"/>
        <v>11110.548666666667</v>
      </c>
      <c r="I205" s="113">
        <v>110.27</v>
      </c>
      <c r="J205" s="147">
        <v>106592.88</v>
      </c>
      <c r="L205" s="139"/>
    </row>
    <row r="206" spans="2:12" ht="15.6" x14ac:dyDescent="0.3">
      <c r="B206" s="111">
        <v>44470</v>
      </c>
      <c r="C206" s="110">
        <v>375.02983870967739</v>
      </c>
      <c r="D206" s="110">
        <v>17.121505376344086</v>
      </c>
      <c r="E206" s="116">
        <v>468.00538978494632</v>
      </c>
      <c r="F206" s="116">
        <v>462.96254569892471</v>
      </c>
      <c r="G206" s="116">
        <f t="shared" si="32"/>
        <v>11232.129354838711</v>
      </c>
      <c r="H206" s="116">
        <f t="shared" si="32"/>
        <v>11111.101096774193</v>
      </c>
      <c r="I206" s="113">
        <v>111.22700000000002</v>
      </c>
      <c r="J206" s="147">
        <v>106405.54</v>
      </c>
      <c r="L206" s="139"/>
    </row>
    <row r="207" spans="2:12" ht="15.6" x14ac:dyDescent="0.3">
      <c r="B207" s="111">
        <v>44501</v>
      </c>
      <c r="C207" s="110">
        <v>375.03750000000002</v>
      </c>
      <c r="D207" s="110">
        <v>17.376666666666665</v>
      </c>
      <c r="E207" s="116">
        <v>447.87914444444436</v>
      </c>
      <c r="F207" s="116">
        <v>442.49236805555557</v>
      </c>
      <c r="G207" s="116">
        <f t="shared" si="32"/>
        <v>10749.099466666665</v>
      </c>
      <c r="H207" s="116">
        <f t="shared" si="32"/>
        <v>10619.816833333334</v>
      </c>
      <c r="I207" s="113">
        <v>109.38199999999998</v>
      </c>
      <c r="J207" s="149">
        <v>105312.6</v>
      </c>
      <c r="L207" s="139"/>
    </row>
    <row r="208" spans="2:12" ht="15.6" x14ac:dyDescent="0.3">
      <c r="B208" s="111">
        <v>44531</v>
      </c>
      <c r="C208" s="110">
        <v>374.96478494623653</v>
      </c>
      <c r="D208" s="110">
        <v>17.414247311827953</v>
      </c>
      <c r="E208" s="116">
        <v>448.04274596774195</v>
      </c>
      <c r="F208" s="116">
        <v>442.69552419354835</v>
      </c>
      <c r="G208" s="116">
        <f t="shared" si="32"/>
        <v>10753.025903225807</v>
      </c>
      <c r="H208" s="116">
        <f t="shared" si="32"/>
        <v>10624.69258064516</v>
      </c>
      <c r="I208" s="113">
        <v>112.44699999999999</v>
      </c>
      <c r="J208" s="147">
        <v>105045.78</v>
      </c>
      <c r="L208" s="139"/>
    </row>
    <row r="209" spans="2:12" ht="15.6" x14ac:dyDescent="0.3">
      <c r="B209" s="114"/>
      <c r="C209" s="108"/>
      <c r="D209" s="108"/>
      <c r="E209" s="108"/>
      <c r="F209" s="108"/>
      <c r="G209" s="108"/>
      <c r="H209" s="108"/>
      <c r="I209" s="141"/>
      <c r="J209" s="150"/>
      <c r="L209" s="139"/>
    </row>
    <row r="210" spans="2:12" ht="15.6" x14ac:dyDescent="0.3">
      <c r="B210" s="155" t="s">
        <v>286</v>
      </c>
      <c r="C210" s="155"/>
      <c r="D210" s="155"/>
      <c r="E210" s="108"/>
      <c r="F210" s="108"/>
      <c r="G210" s="108"/>
      <c r="H210" s="108"/>
      <c r="I210" s="141"/>
      <c r="J210" s="146"/>
      <c r="L210" s="139"/>
    </row>
    <row r="211" spans="2:12" ht="18.600000000000001" x14ac:dyDescent="0.3">
      <c r="B211" s="109" t="s">
        <v>278</v>
      </c>
      <c r="C211" s="110" t="s">
        <v>279</v>
      </c>
      <c r="D211" s="109" t="s">
        <v>280</v>
      </c>
      <c r="E211" s="109" t="s">
        <v>288</v>
      </c>
      <c r="F211" s="109" t="s">
        <v>289</v>
      </c>
      <c r="G211" s="109" t="s">
        <v>281</v>
      </c>
      <c r="H211" s="109" t="s">
        <v>282</v>
      </c>
      <c r="I211" s="113" t="s">
        <v>283</v>
      </c>
      <c r="J211" s="147" t="s">
        <v>284</v>
      </c>
      <c r="L211" s="139"/>
    </row>
    <row r="212" spans="2:12" ht="15.6" x14ac:dyDescent="0.3">
      <c r="B212" s="111">
        <v>44197</v>
      </c>
      <c r="C212" s="110">
        <v>375.06720430107526</v>
      </c>
      <c r="D212" s="110">
        <v>18.06370967741935</v>
      </c>
      <c r="E212" s="116">
        <v>448.26487365591407</v>
      </c>
      <c r="F212" s="116">
        <v>442.52809408602144</v>
      </c>
      <c r="G212" s="116">
        <f>E212*24</f>
        <v>10758.356967741938</v>
      </c>
      <c r="H212" s="116">
        <f>F212*24</f>
        <v>10620.674258064515</v>
      </c>
      <c r="I212" s="113">
        <v>113.14299999999999</v>
      </c>
      <c r="J212" s="149">
        <v>105197.6</v>
      </c>
      <c r="L212" s="139"/>
    </row>
    <row r="213" spans="2:12" ht="15.6" x14ac:dyDescent="0.3">
      <c r="B213" s="111">
        <v>44228</v>
      </c>
      <c r="C213" s="110">
        <v>374.74702380952374</v>
      </c>
      <c r="D213" s="110">
        <v>17.903273809523814</v>
      </c>
      <c r="E213" s="116">
        <v>447.96415029761908</v>
      </c>
      <c r="F213" s="116">
        <v>442.60298660714278</v>
      </c>
      <c r="G213" s="116">
        <f t="shared" ref="G213:H216" si="33">E213*24</f>
        <v>10751.139607142857</v>
      </c>
      <c r="H213" s="116">
        <f t="shared" si="33"/>
        <v>10622.471678571426</v>
      </c>
      <c r="I213" s="113">
        <v>101.26500000000001</v>
      </c>
      <c r="J213" s="149">
        <v>105093.4</v>
      </c>
      <c r="L213" s="139"/>
    </row>
    <row r="214" spans="2:12" ht="15.6" x14ac:dyDescent="0.3">
      <c r="B214" s="111">
        <v>44256</v>
      </c>
      <c r="C214" s="110">
        <v>375.1889784946236</v>
      </c>
      <c r="D214" s="110">
        <v>17.745698924731183</v>
      </c>
      <c r="E214" s="116">
        <v>448.11143413978493</v>
      </c>
      <c r="F214" s="116">
        <v>442.55289516129028</v>
      </c>
      <c r="G214" s="116">
        <f t="shared" si="33"/>
        <v>10754.674419354838</v>
      </c>
      <c r="H214" s="116">
        <f t="shared" si="33"/>
        <v>10621.269483870967</v>
      </c>
      <c r="I214" s="113">
        <v>112.54800000000002</v>
      </c>
      <c r="J214" s="147">
        <v>105351.62</v>
      </c>
      <c r="L214" s="139"/>
    </row>
    <row r="215" spans="2:12" ht="15.6" x14ac:dyDescent="0.3">
      <c r="B215" s="111">
        <v>44287</v>
      </c>
      <c r="C215" s="110">
        <v>374.9733333333333</v>
      </c>
      <c r="D215" s="110">
        <v>18.136111111111113</v>
      </c>
      <c r="E215" s="116">
        <v>448.06839305555565</v>
      </c>
      <c r="F215" s="116">
        <v>442.52940833333321</v>
      </c>
      <c r="G215" s="116">
        <f t="shared" si="33"/>
        <v>10753.641433333336</v>
      </c>
      <c r="H215" s="116">
        <f t="shared" si="33"/>
        <v>10620.705799999996</v>
      </c>
      <c r="I215" s="113">
        <v>110.117</v>
      </c>
      <c r="J215" s="147">
        <v>105538.15</v>
      </c>
      <c r="L215" s="139"/>
    </row>
    <row r="216" spans="2:12" ht="15.6" x14ac:dyDescent="0.3">
      <c r="B216" s="111">
        <v>44317</v>
      </c>
      <c r="C216" s="110">
        <v>375.20215053763434</v>
      </c>
      <c r="D216" s="110">
        <v>17.672580645161283</v>
      </c>
      <c r="E216" s="116">
        <v>468.03009005376356</v>
      </c>
      <c r="F216" s="116">
        <v>462.73711962365593</v>
      </c>
      <c r="G216" s="116">
        <f t="shared" si="33"/>
        <v>11232.722161290325</v>
      </c>
      <c r="H216" s="116">
        <f t="shared" si="33"/>
        <v>11105.690870967743</v>
      </c>
      <c r="I216" s="113">
        <v>112.23299999999998</v>
      </c>
      <c r="J216" s="147">
        <v>106270.22</v>
      </c>
      <c r="L216" s="139"/>
    </row>
    <row r="217" spans="2:12" ht="15.6" x14ac:dyDescent="0.3">
      <c r="B217" s="111">
        <v>44348</v>
      </c>
      <c r="C217" s="110">
        <v>333.12388888888893</v>
      </c>
      <c r="D217" s="110">
        <v>17.925833333333333</v>
      </c>
      <c r="E217" s="116">
        <v>467.90945555555555</v>
      </c>
      <c r="F217" s="116">
        <v>462.78892361111104</v>
      </c>
      <c r="G217" s="116">
        <f t="shared" ref="G217" si="34">E217*24</f>
        <v>11229.826933333334</v>
      </c>
      <c r="H217" s="116">
        <f t="shared" ref="H217" si="35">F217*24</f>
        <v>11106.934166666666</v>
      </c>
      <c r="I217" s="113">
        <v>100.14599999999997</v>
      </c>
      <c r="J217" s="147">
        <v>106284.41</v>
      </c>
      <c r="L217" s="139"/>
    </row>
    <row r="218" spans="2:12" x14ac:dyDescent="0.25">
      <c r="J218" s="152"/>
    </row>
    <row r="219" spans="2:12" ht="31.8" customHeight="1" x14ac:dyDescent="0.25">
      <c r="B219" s="157" t="s">
        <v>250</v>
      </c>
      <c r="C219" s="157"/>
      <c r="D219" s="157"/>
      <c r="E219" s="157"/>
    </row>
    <row r="220" spans="2:12" ht="15.6" x14ac:dyDescent="0.3">
      <c r="B220" s="154" t="s">
        <v>277</v>
      </c>
      <c r="C220" s="154"/>
      <c r="D220" s="154"/>
      <c r="E220" s="108"/>
      <c r="F220" s="108"/>
      <c r="G220" s="108"/>
      <c r="H220" s="108"/>
      <c r="I220" s="141"/>
      <c r="J220" s="146"/>
    </row>
    <row r="221" spans="2:12" ht="18.600000000000001" x14ac:dyDescent="0.3">
      <c r="B221" s="109" t="s">
        <v>278</v>
      </c>
      <c r="C221" s="110" t="s">
        <v>279</v>
      </c>
      <c r="D221" s="109" t="s">
        <v>280</v>
      </c>
      <c r="E221" s="109" t="s">
        <v>288</v>
      </c>
      <c r="F221" s="109" t="s">
        <v>289</v>
      </c>
      <c r="G221" s="109" t="s">
        <v>281</v>
      </c>
      <c r="H221" s="109" t="s">
        <v>282</v>
      </c>
      <c r="I221" s="113" t="s">
        <v>283</v>
      </c>
      <c r="J221" s="147" t="s">
        <v>284</v>
      </c>
    </row>
    <row r="222" spans="2:12" ht="15.6" x14ac:dyDescent="0.3">
      <c r="B222" s="111">
        <v>44075</v>
      </c>
      <c r="C222" s="110">
        <v>425.74675925925931</v>
      </c>
      <c r="D222" s="110">
        <v>19.330555555555556</v>
      </c>
      <c r="E222" s="116">
        <v>262.30260185185188</v>
      </c>
      <c r="F222" s="116">
        <v>257.5490578703704</v>
      </c>
      <c r="G222" s="116">
        <f>E222*24</f>
        <v>6295.2624444444446</v>
      </c>
      <c r="H222" s="116">
        <f>F222*24</f>
        <v>6181.1773888888893</v>
      </c>
      <c r="I222" s="113">
        <v>40.320999999999998</v>
      </c>
      <c r="J222" s="147">
        <v>62794.75</v>
      </c>
    </row>
    <row r="223" spans="2:12" ht="15.6" x14ac:dyDescent="0.3">
      <c r="B223" s="111">
        <v>44105</v>
      </c>
      <c r="C223" s="110">
        <v>425.77177419354825</v>
      </c>
      <c r="D223" s="110">
        <v>19.487365591397847</v>
      </c>
      <c r="E223" s="116">
        <v>262.20537634408601</v>
      </c>
      <c r="F223" s="116">
        <v>257.50086021505371</v>
      </c>
      <c r="G223" s="116">
        <f t="shared" ref="G223:H225" si="36">E223*24</f>
        <v>6292.9290322580637</v>
      </c>
      <c r="H223" s="116">
        <f t="shared" si="36"/>
        <v>6180.0206451612885</v>
      </c>
      <c r="I223" s="113">
        <v>69.183000000000007</v>
      </c>
      <c r="J223" s="147">
        <v>72691.23</v>
      </c>
    </row>
    <row r="224" spans="2:12" ht="15.6" x14ac:dyDescent="0.3">
      <c r="B224" s="111">
        <v>44136</v>
      </c>
      <c r="C224" s="110">
        <v>426.06333333333322</v>
      </c>
      <c r="D224" s="110">
        <v>19.543055555555558</v>
      </c>
      <c r="E224" s="116">
        <v>232.2076638888889</v>
      </c>
      <c r="F224" s="116">
        <v>227.43088888888886</v>
      </c>
      <c r="G224" s="116">
        <f t="shared" si="36"/>
        <v>5572.9839333333339</v>
      </c>
      <c r="H224" s="116">
        <f t="shared" si="36"/>
        <v>5458.3413333333328</v>
      </c>
      <c r="I224" s="113">
        <v>65.718000000000004</v>
      </c>
      <c r="J224" s="147">
        <v>72286.59</v>
      </c>
    </row>
    <row r="225" spans="2:10" ht="15.6" x14ac:dyDescent="0.3">
      <c r="B225" s="111">
        <v>44166</v>
      </c>
      <c r="C225" s="110">
        <v>425.83897849462369</v>
      </c>
      <c r="D225" s="110">
        <v>19.825000000000003</v>
      </c>
      <c r="E225" s="116">
        <v>232.24884946236551</v>
      </c>
      <c r="F225" s="116">
        <v>227.45895833333336</v>
      </c>
      <c r="G225" s="116">
        <f t="shared" si="36"/>
        <v>5573.9723870967719</v>
      </c>
      <c r="H225" s="116">
        <f t="shared" si="36"/>
        <v>5459.0150000000003</v>
      </c>
      <c r="I225" s="113">
        <v>67.873999999999995</v>
      </c>
      <c r="J225" s="147">
        <v>72361.149999999994</v>
      </c>
    </row>
    <row r="226" spans="2:10" ht="15.6" x14ac:dyDescent="0.3">
      <c r="B226" s="155" t="s">
        <v>285</v>
      </c>
      <c r="C226" s="155"/>
      <c r="D226" s="155"/>
      <c r="E226" s="108"/>
      <c r="F226" s="108"/>
      <c r="G226" s="108"/>
      <c r="H226" s="108"/>
      <c r="I226" s="141"/>
      <c r="J226" s="150"/>
    </row>
    <row r="227" spans="2:10" ht="18.600000000000001" x14ac:dyDescent="0.3">
      <c r="B227" s="109" t="s">
        <v>278</v>
      </c>
      <c r="C227" s="110" t="s">
        <v>279</v>
      </c>
      <c r="D227" s="109" t="s">
        <v>280</v>
      </c>
      <c r="E227" s="109" t="s">
        <v>288</v>
      </c>
      <c r="F227" s="109" t="s">
        <v>289</v>
      </c>
      <c r="G227" s="109" t="s">
        <v>281</v>
      </c>
      <c r="H227" s="109" t="s">
        <v>282</v>
      </c>
      <c r="I227" s="113" t="s">
        <v>283</v>
      </c>
      <c r="J227" s="147" t="s">
        <v>284</v>
      </c>
    </row>
    <row r="228" spans="2:10" ht="15.6" x14ac:dyDescent="0.3">
      <c r="B228" s="111">
        <v>44197</v>
      </c>
      <c r="C228" s="110">
        <v>425.89973118279573</v>
      </c>
      <c r="D228" s="110">
        <v>20.029301075268815</v>
      </c>
      <c r="E228" s="116">
        <v>232.22564784946243</v>
      </c>
      <c r="F228" s="116">
        <v>227.44591129032258</v>
      </c>
      <c r="G228" s="116">
        <f>E228*24</f>
        <v>5573.4155483870982</v>
      </c>
      <c r="H228" s="116">
        <f>F228*24</f>
        <v>5458.7018709677423</v>
      </c>
      <c r="I228" s="113">
        <v>69.081000000000003</v>
      </c>
      <c r="J228" s="147">
        <v>72014.27</v>
      </c>
    </row>
    <row r="229" spans="2:10" ht="15.6" x14ac:dyDescent="0.3">
      <c r="B229" s="111">
        <v>44228</v>
      </c>
      <c r="C229" s="110">
        <v>426.36994047619038</v>
      </c>
      <c r="D229" s="110">
        <v>19.981845238095243</v>
      </c>
      <c r="E229" s="116">
        <v>232.24946875000001</v>
      </c>
      <c r="F229" s="116">
        <v>227.4383645833334</v>
      </c>
      <c r="G229" s="116">
        <f t="shared" ref="G229:H239" si="37">E229*24</f>
        <v>5573.9872500000001</v>
      </c>
      <c r="H229" s="116">
        <f t="shared" si="37"/>
        <v>5458.5207500000015</v>
      </c>
      <c r="I229" s="113">
        <v>61.636999999999993</v>
      </c>
      <c r="J229" s="149">
        <v>72425.399999999994</v>
      </c>
    </row>
    <row r="230" spans="2:10" ht="15.6" x14ac:dyDescent="0.3">
      <c r="B230" s="111">
        <v>44256</v>
      </c>
      <c r="C230" s="110">
        <v>426.20161290322568</v>
      </c>
      <c r="D230" s="110">
        <v>19.911021505376343</v>
      </c>
      <c r="E230" s="116">
        <v>232.29413172043013</v>
      </c>
      <c r="F230" s="116">
        <v>227.46575403225802</v>
      </c>
      <c r="G230" s="116">
        <f t="shared" si="37"/>
        <v>5575.0591612903227</v>
      </c>
      <c r="H230" s="116">
        <f t="shared" si="37"/>
        <v>5459.1780967741925</v>
      </c>
      <c r="I230" s="113">
        <v>68.763000000000005</v>
      </c>
      <c r="J230" s="147">
        <v>72315.839999999997</v>
      </c>
    </row>
    <row r="231" spans="2:10" ht="15.6" x14ac:dyDescent="0.3">
      <c r="B231" s="111">
        <v>44287</v>
      </c>
      <c r="C231" s="110">
        <v>425.5218390804597</v>
      </c>
      <c r="D231" s="110">
        <v>19.878160919540235</v>
      </c>
      <c r="E231" s="116">
        <v>232.19057222222227</v>
      </c>
      <c r="F231" s="116">
        <v>227.46334444444446</v>
      </c>
      <c r="G231" s="116">
        <f t="shared" si="37"/>
        <v>5572.5737333333345</v>
      </c>
      <c r="H231" s="116">
        <f t="shared" si="37"/>
        <v>5459.1202666666668</v>
      </c>
      <c r="I231" s="113">
        <v>67.100999999999985</v>
      </c>
      <c r="J231" s="147">
        <v>71830.850000000006</v>
      </c>
    </row>
    <row r="232" spans="2:10" ht="15.6" x14ac:dyDescent="0.3">
      <c r="B232" s="111">
        <v>44317</v>
      </c>
      <c r="C232" s="110">
        <v>425.68709677419355</v>
      </c>
      <c r="D232" s="110">
        <v>20.347580645161287</v>
      </c>
      <c r="E232" s="116">
        <v>262.1455362903227</v>
      </c>
      <c r="F232" s="116">
        <v>257.53380913978492</v>
      </c>
      <c r="G232" s="116">
        <f t="shared" si="37"/>
        <v>6291.4928709677442</v>
      </c>
      <c r="H232" s="116">
        <f t="shared" si="37"/>
        <v>6180.8114193548381</v>
      </c>
      <c r="I232" s="113">
        <v>69.458999999999989</v>
      </c>
      <c r="J232" s="147">
        <v>72534.58</v>
      </c>
    </row>
    <row r="233" spans="2:10" ht="15.6" x14ac:dyDescent="0.3">
      <c r="B233" s="111">
        <v>44348</v>
      </c>
      <c r="C233" s="110">
        <v>407.54111111111109</v>
      </c>
      <c r="D233" s="110">
        <v>20.004722222222213</v>
      </c>
      <c r="E233" s="116">
        <v>262.14529861111112</v>
      </c>
      <c r="F233" s="116">
        <v>257.51129166666664</v>
      </c>
      <c r="G233" s="116">
        <f t="shared" si="37"/>
        <v>6291.4871666666668</v>
      </c>
      <c r="H233" s="116">
        <f t="shared" si="37"/>
        <v>6180.2709999999988</v>
      </c>
      <c r="I233" s="113">
        <v>67.861000000000004</v>
      </c>
      <c r="J233" s="147">
        <v>72929.83</v>
      </c>
    </row>
    <row r="234" spans="2:10" ht="15.6" x14ac:dyDescent="0.3">
      <c r="B234" s="111">
        <v>44378</v>
      </c>
      <c r="C234" s="110">
        <v>407.76559139784939</v>
      </c>
      <c r="D234" s="110">
        <v>19.77741935483871</v>
      </c>
      <c r="E234" s="116">
        <v>262.16398790322575</v>
      </c>
      <c r="F234" s="116">
        <v>257.53140994623652</v>
      </c>
      <c r="G234" s="116">
        <f t="shared" si="37"/>
        <v>6291.9357096774183</v>
      </c>
      <c r="H234" s="116">
        <f t="shared" si="37"/>
        <v>6180.7538387096765</v>
      </c>
      <c r="I234" s="113">
        <v>68.066000000000003</v>
      </c>
      <c r="J234" s="147">
        <v>72441.820000000007</v>
      </c>
    </row>
    <row r="235" spans="2:10" ht="15.6" x14ac:dyDescent="0.3">
      <c r="B235" s="111">
        <v>44409</v>
      </c>
      <c r="C235" s="110">
        <v>407.18333333333322</v>
      </c>
      <c r="D235" s="110">
        <v>20.309946236559135</v>
      </c>
      <c r="E235" s="116">
        <v>262.13569220430111</v>
      </c>
      <c r="F235" s="116">
        <v>257.53013306451612</v>
      </c>
      <c r="G235" s="116">
        <f t="shared" si="37"/>
        <v>6291.2566129032266</v>
      </c>
      <c r="H235" s="116">
        <f t="shared" si="37"/>
        <v>6180.7231935483869</v>
      </c>
      <c r="I235" s="113">
        <v>68.84699999999998</v>
      </c>
      <c r="J235" s="147">
        <v>72671.91</v>
      </c>
    </row>
    <row r="236" spans="2:10" ht="15.6" x14ac:dyDescent="0.3">
      <c r="B236" s="111">
        <v>44440</v>
      </c>
      <c r="C236" s="110">
        <v>426.23055555555555</v>
      </c>
      <c r="D236" s="110">
        <v>19.878888888888891</v>
      </c>
      <c r="E236" s="116">
        <v>262.21354861111109</v>
      </c>
      <c r="F236" s="116">
        <v>257.52826944444439</v>
      </c>
      <c r="G236" s="116">
        <f t="shared" si="37"/>
        <v>6293.1251666666667</v>
      </c>
      <c r="H236" s="116">
        <f t="shared" si="37"/>
        <v>6180.6784666666654</v>
      </c>
      <c r="I236" s="113">
        <v>67.728999999999999</v>
      </c>
      <c r="J236" s="149">
        <v>72606.100000000006</v>
      </c>
    </row>
    <row r="237" spans="2:10" ht="15.6" x14ac:dyDescent="0.3">
      <c r="B237" s="111">
        <v>44470</v>
      </c>
      <c r="C237" s="110">
        <v>426.08494623655912</v>
      </c>
      <c r="D237" s="110">
        <v>19.773655913978494</v>
      </c>
      <c r="E237" s="116">
        <v>262.18416935483867</v>
      </c>
      <c r="F237" s="116">
        <v>257.54633064516128</v>
      </c>
      <c r="G237" s="116">
        <f t="shared" si="37"/>
        <v>6292.4200645161281</v>
      </c>
      <c r="H237" s="116">
        <f t="shared" si="37"/>
        <v>6181.1119354838702</v>
      </c>
      <c r="I237" s="113">
        <v>70.034999999999997</v>
      </c>
      <c r="J237" s="147">
        <v>72898.05</v>
      </c>
    </row>
    <row r="238" spans="2:10" ht="15.6" x14ac:dyDescent="0.3">
      <c r="B238" s="111">
        <v>44501</v>
      </c>
      <c r="C238" s="110">
        <v>425.80444444444436</v>
      </c>
      <c r="D238" s="110">
        <v>19.504444444444445</v>
      </c>
      <c r="E238" s="116">
        <v>232.23758194444437</v>
      </c>
      <c r="F238" s="116">
        <v>227.483575</v>
      </c>
      <c r="G238" s="116">
        <f t="shared" si="37"/>
        <v>5573.7019666666647</v>
      </c>
      <c r="H238" s="116">
        <f t="shared" si="37"/>
        <v>5459.6058000000003</v>
      </c>
      <c r="I238" s="113">
        <v>67.305000000000007</v>
      </c>
      <c r="J238" s="147">
        <v>72118.48</v>
      </c>
    </row>
    <row r="239" spans="2:10" ht="15.6" x14ac:dyDescent="0.3">
      <c r="B239" s="111">
        <v>44531</v>
      </c>
      <c r="C239" s="110">
        <v>425.96532258064519</v>
      </c>
      <c r="D239" s="110">
        <v>19.5266129032258</v>
      </c>
      <c r="E239" s="116">
        <v>232.24200268817202</v>
      </c>
      <c r="F239" s="116">
        <v>227.43387903225809</v>
      </c>
      <c r="G239" s="116">
        <f t="shared" si="37"/>
        <v>5573.8080645161281</v>
      </c>
      <c r="H239" s="116">
        <f t="shared" si="37"/>
        <v>5458.4130967741939</v>
      </c>
      <c r="I239" s="113">
        <v>68.348000000000013</v>
      </c>
      <c r="J239" s="147">
        <v>71921.17</v>
      </c>
    </row>
    <row r="240" spans="2:10" ht="15.6" x14ac:dyDescent="0.3">
      <c r="B240" s="114"/>
      <c r="C240" s="108"/>
      <c r="D240" s="108"/>
      <c r="E240" s="108"/>
      <c r="F240" s="108"/>
      <c r="G240" s="108"/>
      <c r="H240" s="108"/>
      <c r="I240" s="141"/>
      <c r="J240" s="148"/>
    </row>
    <row r="241" spans="2:12" ht="15.6" x14ac:dyDescent="0.3">
      <c r="B241" s="155" t="s">
        <v>286</v>
      </c>
      <c r="C241" s="155"/>
      <c r="D241" s="155"/>
      <c r="E241" s="108"/>
      <c r="F241" s="108"/>
      <c r="G241" s="108"/>
      <c r="H241" s="108"/>
      <c r="I241" s="141"/>
      <c r="J241" s="146"/>
    </row>
    <row r="242" spans="2:12" ht="18.600000000000001" x14ac:dyDescent="0.3">
      <c r="B242" s="109" t="s">
        <v>278</v>
      </c>
      <c r="C242" s="110" t="s">
        <v>279</v>
      </c>
      <c r="D242" s="109" t="s">
        <v>280</v>
      </c>
      <c r="E242" s="109" t="s">
        <v>288</v>
      </c>
      <c r="F242" s="109" t="s">
        <v>289</v>
      </c>
      <c r="G242" s="109" t="s">
        <v>281</v>
      </c>
      <c r="H242" s="109" t="s">
        <v>282</v>
      </c>
      <c r="I242" s="113" t="s">
        <v>283</v>
      </c>
      <c r="J242" s="147" t="s">
        <v>284</v>
      </c>
    </row>
    <row r="243" spans="2:12" ht="15.6" x14ac:dyDescent="0.3">
      <c r="B243" s="111">
        <v>44197</v>
      </c>
      <c r="C243" s="110">
        <v>425.80322580645162</v>
      </c>
      <c r="D243" s="110">
        <v>19.769354838709678</v>
      </c>
      <c r="E243" s="116">
        <v>232.18539784946239</v>
      </c>
      <c r="F243" s="116">
        <v>227.44355645161292</v>
      </c>
      <c r="G243" s="116">
        <f>E243*24</f>
        <v>5572.4495483870978</v>
      </c>
      <c r="H243" s="116">
        <f>F243*24</f>
        <v>5458.6453548387099</v>
      </c>
      <c r="I243" s="113">
        <v>69.311999999999998</v>
      </c>
      <c r="J243" s="147">
        <v>72172.13</v>
      </c>
    </row>
    <row r="244" spans="2:12" ht="15.6" x14ac:dyDescent="0.3">
      <c r="B244" s="111">
        <v>44228</v>
      </c>
      <c r="C244" s="110">
        <v>426.00922619047606</v>
      </c>
      <c r="D244" s="110">
        <v>19.507738095238093</v>
      </c>
      <c r="E244" s="116">
        <v>232.26813541666661</v>
      </c>
      <c r="F244" s="116">
        <v>227.43363690476184</v>
      </c>
      <c r="G244" s="116">
        <f t="shared" ref="G244:H248" si="38">E244*24</f>
        <v>5574.4352499999986</v>
      </c>
      <c r="H244" s="116">
        <f t="shared" si="38"/>
        <v>5458.4072857142837</v>
      </c>
      <c r="I244" s="113">
        <v>61.734999999999999</v>
      </c>
      <c r="J244" s="147">
        <v>72026.929999999993</v>
      </c>
    </row>
    <row r="245" spans="2:12" ht="15.6" x14ac:dyDescent="0.3">
      <c r="B245" s="111">
        <v>44256</v>
      </c>
      <c r="C245" s="110">
        <v>426.33844086021503</v>
      </c>
      <c r="D245" s="110">
        <v>19.346505376344087</v>
      </c>
      <c r="E245" s="116">
        <v>232.23573655913981</v>
      </c>
      <c r="F245" s="116">
        <v>227.44415591397851</v>
      </c>
      <c r="G245" s="116">
        <f t="shared" si="38"/>
        <v>5573.6576774193554</v>
      </c>
      <c r="H245" s="116">
        <f t="shared" si="38"/>
        <v>5458.6597419354839</v>
      </c>
      <c r="I245" s="113">
        <v>70.015000000000001</v>
      </c>
      <c r="J245" s="147">
        <v>72225.22</v>
      </c>
    </row>
    <row r="246" spans="2:12" ht="15.6" x14ac:dyDescent="0.3">
      <c r="B246" s="111">
        <v>44287</v>
      </c>
      <c r="C246" s="110">
        <v>426.01472222222225</v>
      </c>
      <c r="D246" s="110">
        <v>19.989444444444441</v>
      </c>
      <c r="E246" s="116">
        <v>232.23683888888883</v>
      </c>
      <c r="F246" s="116">
        <v>227.42217777777782</v>
      </c>
      <c r="G246" s="116">
        <f t="shared" si="38"/>
        <v>5573.6841333333323</v>
      </c>
      <c r="H246" s="116">
        <f t="shared" si="38"/>
        <v>5458.1322666666674</v>
      </c>
      <c r="I246" s="113">
        <v>68.146000000000001</v>
      </c>
      <c r="J246" s="147">
        <v>71801.740000000005</v>
      </c>
    </row>
    <row r="247" spans="2:12" ht="15.6" x14ac:dyDescent="0.3">
      <c r="B247" s="111">
        <v>44317</v>
      </c>
      <c r="C247" s="110">
        <v>426.19112903225817</v>
      </c>
      <c r="D247" s="110">
        <v>19.942473118279572</v>
      </c>
      <c r="E247" s="116">
        <v>262.19513037634408</v>
      </c>
      <c r="F247" s="116">
        <v>257.56163037634411</v>
      </c>
      <c r="G247" s="116">
        <f t="shared" si="38"/>
        <v>6292.683129032258</v>
      </c>
      <c r="H247" s="116">
        <f t="shared" si="38"/>
        <v>6181.4791290322592</v>
      </c>
      <c r="I247" s="113">
        <v>68.635000000000019</v>
      </c>
      <c r="J247" s="149">
        <v>72488.899999999994</v>
      </c>
    </row>
    <row r="248" spans="2:12" ht="15.6" x14ac:dyDescent="0.3">
      <c r="B248" s="111">
        <v>44348</v>
      </c>
      <c r="C248" s="110">
        <v>407.78444444444443</v>
      </c>
      <c r="D248" s="110">
        <v>19.99916666666666</v>
      </c>
      <c r="E248" s="116">
        <v>262.15815694444444</v>
      </c>
      <c r="F248" s="116">
        <v>257.53149861111109</v>
      </c>
      <c r="G248" s="116">
        <f t="shared" si="38"/>
        <v>6291.7957666666662</v>
      </c>
      <c r="H248" s="116">
        <f t="shared" si="38"/>
        <v>6180.7559666666657</v>
      </c>
      <c r="I248" s="113">
        <v>67.467000000000013</v>
      </c>
      <c r="J248" s="147">
        <v>72448.73</v>
      </c>
    </row>
    <row r="249" spans="2:12" x14ac:dyDescent="0.25">
      <c r="J249" s="151"/>
    </row>
    <row r="250" spans="2:12" ht="31.8" customHeight="1" x14ac:dyDescent="0.25">
      <c r="B250" s="157" t="s">
        <v>251</v>
      </c>
      <c r="C250" s="157"/>
      <c r="D250" s="157"/>
      <c r="E250" s="157"/>
    </row>
    <row r="251" spans="2:12" ht="15.6" x14ac:dyDescent="0.3">
      <c r="B251" s="154" t="s">
        <v>277</v>
      </c>
      <c r="C251" s="154"/>
      <c r="D251" s="154"/>
      <c r="E251" s="108"/>
      <c r="F251" s="108"/>
      <c r="G251" s="108"/>
      <c r="H251" s="108"/>
      <c r="I251" s="141"/>
      <c r="J251" s="146"/>
    </row>
    <row r="252" spans="2:12" ht="18.600000000000001" x14ac:dyDescent="0.3">
      <c r="B252" s="109" t="s">
        <v>278</v>
      </c>
      <c r="C252" s="110" t="s">
        <v>279</v>
      </c>
      <c r="D252" s="109" t="s">
        <v>280</v>
      </c>
      <c r="E252" s="109" t="s">
        <v>288</v>
      </c>
      <c r="F252" s="109" t="s">
        <v>289</v>
      </c>
      <c r="G252" s="109" t="s">
        <v>281</v>
      </c>
      <c r="H252" s="109" t="s">
        <v>282</v>
      </c>
      <c r="I252" s="113" t="s">
        <v>283</v>
      </c>
      <c r="J252" s="147" t="s">
        <v>284</v>
      </c>
    </row>
    <row r="253" spans="2:12" ht="15.6" x14ac:dyDescent="0.3">
      <c r="B253" s="111">
        <v>44075</v>
      </c>
      <c r="C253" s="110">
        <v>467.6192708333333</v>
      </c>
      <c r="D253" s="110">
        <v>23.290625000000002</v>
      </c>
      <c r="E253" s="116">
        <v>824.79668489583344</v>
      </c>
      <c r="F253" s="116">
        <v>816.20563020833322</v>
      </c>
      <c r="G253" s="116">
        <f>E253*24</f>
        <v>19795.120437500002</v>
      </c>
      <c r="H253" s="116">
        <f>F253*24</f>
        <v>19588.935124999996</v>
      </c>
      <c r="I253" s="113">
        <v>155.97999999999996</v>
      </c>
      <c r="J253" s="147">
        <v>218447.16</v>
      </c>
      <c r="L253" s="139"/>
    </row>
    <row r="254" spans="2:12" ht="15.6" x14ac:dyDescent="0.3">
      <c r="B254" s="111">
        <v>44105</v>
      </c>
      <c r="C254" s="110">
        <v>468.37688172043016</v>
      </c>
      <c r="D254" s="110">
        <v>21.999731182795696</v>
      </c>
      <c r="E254" s="116">
        <v>825.24969354838697</v>
      </c>
      <c r="F254" s="116">
        <v>816.58111424731192</v>
      </c>
      <c r="G254" s="116">
        <f t="shared" ref="G254:H256" si="39">E254*24</f>
        <v>19805.992645161288</v>
      </c>
      <c r="H254" s="116">
        <f t="shared" si="39"/>
        <v>19597.946741935484</v>
      </c>
      <c r="I254" s="113">
        <v>293.38199999999995</v>
      </c>
      <c r="J254" s="147">
        <v>270251.03000000003</v>
      </c>
      <c r="L254" s="139"/>
    </row>
    <row r="255" spans="2:12" ht="15.6" x14ac:dyDescent="0.3">
      <c r="B255" s="111">
        <v>44136</v>
      </c>
      <c r="C255" s="110">
        <v>468.54416666666663</v>
      </c>
      <c r="D255" s="110">
        <v>22.126666666666669</v>
      </c>
      <c r="E255" s="116">
        <v>789.04129999999998</v>
      </c>
      <c r="F255" s="116">
        <v>778.20286388888894</v>
      </c>
      <c r="G255" s="116">
        <f t="shared" si="39"/>
        <v>18936.9912</v>
      </c>
      <c r="H255" s="116">
        <f t="shared" si="39"/>
        <v>18676.868733333336</v>
      </c>
      <c r="I255" s="113">
        <v>288.20399999999995</v>
      </c>
      <c r="J255" s="147">
        <v>267777.52</v>
      </c>
      <c r="L255" s="139"/>
    </row>
    <row r="256" spans="2:12" ht="15.6" x14ac:dyDescent="0.3">
      <c r="B256" s="111">
        <v>44166</v>
      </c>
      <c r="C256" s="110">
        <v>468.69919354838709</v>
      </c>
      <c r="D256" s="110">
        <v>22.496774193548386</v>
      </c>
      <c r="E256" s="116">
        <v>788.52590994623665</v>
      </c>
      <c r="F256" s="116">
        <v>777.77278897849465</v>
      </c>
      <c r="G256" s="116">
        <f t="shared" si="39"/>
        <v>18924.621838709681</v>
      </c>
      <c r="H256" s="116">
        <f t="shared" si="39"/>
        <v>18666.546935483871</v>
      </c>
      <c r="I256" s="113">
        <v>294.173</v>
      </c>
      <c r="J256" s="147">
        <v>267453.21999999997</v>
      </c>
      <c r="L256" s="139"/>
    </row>
    <row r="257" spans="2:12" ht="15.6" x14ac:dyDescent="0.3">
      <c r="B257" s="155" t="s">
        <v>285</v>
      </c>
      <c r="C257" s="155"/>
      <c r="D257" s="155"/>
      <c r="E257" s="108"/>
      <c r="F257" s="108"/>
      <c r="G257" s="108"/>
      <c r="H257" s="108"/>
      <c r="I257" s="141"/>
      <c r="J257" s="150"/>
      <c r="L257" s="139"/>
    </row>
    <row r="258" spans="2:12" ht="18.600000000000001" x14ac:dyDescent="0.3">
      <c r="B258" s="109" t="s">
        <v>278</v>
      </c>
      <c r="C258" s="110" t="s">
        <v>279</v>
      </c>
      <c r="D258" s="109" t="s">
        <v>280</v>
      </c>
      <c r="E258" s="109" t="s">
        <v>288</v>
      </c>
      <c r="F258" s="109" t="s">
        <v>289</v>
      </c>
      <c r="G258" s="109" t="s">
        <v>281</v>
      </c>
      <c r="H258" s="109" t="s">
        <v>282</v>
      </c>
      <c r="I258" s="113" t="s">
        <v>283</v>
      </c>
      <c r="J258" s="147" t="s">
        <v>284</v>
      </c>
      <c r="L258" s="139"/>
    </row>
    <row r="259" spans="2:12" ht="15.6" x14ac:dyDescent="0.3">
      <c r="B259" s="111">
        <v>44197</v>
      </c>
      <c r="C259" s="110">
        <v>468.46424731182805</v>
      </c>
      <c r="D259" s="110">
        <v>21.579569892473117</v>
      </c>
      <c r="E259" s="116">
        <v>788.87132795698915</v>
      </c>
      <c r="F259" s="116">
        <v>778.14173655913976</v>
      </c>
      <c r="G259" s="116">
        <f>E259*24</f>
        <v>18932.911870967739</v>
      </c>
      <c r="H259" s="116">
        <f>F259*24</f>
        <v>18675.401677419355</v>
      </c>
      <c r="I259" s="113">
        <v>301.13599999999991</v>
      </c>
      <c r="J259" s="147">
        <v>265834.12</v>
      </c>
      <c r="L259" s="139"/>
    </row>
    <row r="260" spans="2:12" ht="15.6" x14ac:dyDescent="0.3">
      <c r="B260" s="111">
        <v>44228</v>
      </c>
      <c r="C260" s="110">
        <v>468.84672619047609</v>
      </c>
      <c r="D260" s="110">
        <v>21.898214285714285</v>
      </c>
      <c r="E260" s="116">
        <v>788.79301934523789</v>
      </c>
      <c r="F260" s="116">
        <v>777.90044345238107</v>
      </c>
      <c r="G260" s="116">
        <f t="shared" ref="G260:H270" si="40">E260*24</f>
        <v>18931.032464285709</v>
      </c>
      <c r="H260" s="116">
        <f t="shared" si="40"/>
        <v>18669.610642857144</v>
      </c>
      <c r="I260" s="113">
        <v>268.74499999999995</v>
      </c>
      <c r="J260" s="147">
        <v>266771.71000000002</v>
      </c>
      <c r="L260" s="139"/>
    </row>
    <row r="261" spans="2:12" ht="15.6" x14ac:dyDescent="0.3">
      <c r="B261" s="111">
        <v>44256</v>
      </c>
      <c r="C261" s="110">
        <v>468.30403225806452</v>
      </c>
      <c r="D261" s="110">
        <v>22.585752688172043</v>
      </c>
      <c r="E261" s="116">
        <v>788.58454166666684</v>
      </c>
      <c r="F261" s="116">
        <v>777.9399368279569</v>
      </c>
      <c r="G261" s="116">
        <f t="shared" si="40"/>
        <v>18926.029000000002</v>
      </c>
      <c r="H261" s="116">
        <f t="shared" si="40"/>
        <v>18670.558483870966</v>
      </c>
      <c r="I261" s="113">
        <v>292.37499999999989</v>
      </c>
      <c r="J261" s="149">
        <v>267833.40000000002</v>
      </c>
      <c r="L261" s="139"/>
    </row>
    <row r="262" spans="2:12" ht="15.6" x14ac:dyDescent="0.3">
      <c r="B262" s="111">
        <v>44287</v>
      </c>
      <c r="C262" s="110">
        <v>468.15431034482759</v>
      </c>
      <c r="D262" s="110">
        <v>21.801436781609201</v>
      </c>
      <c r="E262" s="116">
        <v>789.01635555555549</v>
      </c>
      <c r="F262" s="116">
        <v>777.86592083333358</v>
      </c>
      <c r="G262" s="116">
        <f t="shared" si="40"/>
        <v>18936.392533333332</v>
      </c>
      <c r="H262" s="116">
        <f t="shared" si="40"/>
        <v>18668.782100000004</v>
      </c>
      <c r="I262" s="113">
        <v>291.74299999999999</v>
      </c>
      <c r="J262" s="147">
        <v>267367.86</v>
      </c>
      <c r="L262" s="139"/>
    </row>
    <row r="263" spans="2:12" ht="15.6" x14ac:dyDescent="0.3">
      <c r="B263" s="111">
        <v>44317</v>
      </c>
      <c r="C263" s="110">
        <v>468.16801075268819</v>
      </c>
      <c r="D263" s="110">
        <v>22.59220430107527</v>
      </c>
      <c r="E263" s="116">
        <v>824.93696370967723</v>
      </c>
      <c r="F263" s="116">
        <v>816.46549865591396</v>
      </c>
      <c r="G263" s="116">
        <f t="shared" si="40"/>
        <v>19798.487129032255</v>
      </c>
      <c r="H263" s="116">
        <f t="shared" si="40"/>
        <v>19595.171967741935</v>
      </c>
      <c r="I263" s="113">
        <v>296.84100000000001</v>
      </c>
      <c r="J263" s="147">
        <v>270091.39</v>
      </c>
      <c r="L263" s="139"/>
    </row>
    <row r="264" spans="2:12" ht="15.6" x14ac:dyDescent="0.3">
      <c r="B264" s="111">
        <v>44348</v>
      </c>
      <c r="C264" s="110">
        <v>417.36555555555566</v>
      </c>
      <c r="D264" s="110">
        <v>20.147222222222222</v>
      </c>
      <c r="E264" s="116">
        <v>825.2746194444444</v>
      </c>
      <c r="F264" s="116">
        <v>816.69029027777788</v>
      </c>
      <c r="G264" s="116">
        <f t="shared" si="40"/>
        <v>19806.590866666666</v>
      </c>
      <c r="H264" s="116">
        <f t="shared" si="40"/>
        <v>19600.566966666669</v>
      </c>
      <c r="I264" s="113">
        <v>289.49799999999999</v>
      </c>
      <c r="J264" s="149">
        <v>268749.2</v>
      </c>
      <c r="L264" s="139"/>
    </row>
    <row r="265" spans="2:12" ht="15.6" x14ac:dyDescent="0.3">
      <c r="B265" s="111">
        <v>44378</v>
      </c>
      <c r="C265" s="110">
        <v>417.67715053763442</v>
      </c>
      <c r="D265" s="110">
        <v>20.614247311827953</v>
      </c>
      <c r="E265" s="116">
        <v>825.20186827956991</v>
      </c>
      <c r="F265" s="116">
        <v>816.76886962365552</v>
      </c>
      <c r="G265" s="116">
        <f t="shared" si="40"/>
        <v>19804.84483870968</v>
      </c>
      <c r="H265" s="116">
        <f t="shared" si="40"/>
        <v>19602.452870967732</v>
      </c>
      <c r="I265" s="113">
        <v>300.64399999999995</v>
      </c>
      <c r="J265" s="147">
        <v>268658.98</v>
      </c>
      <c r="L265" s="139"/>
    </row>
    <row r="266" spans="2:12" ht="15.6" x14ac:dyDescent="0.3">
      <c r="B266" s="111">
        <v>44409</v>
      </c>
      <c r="C266" s="110">
        <v>418.20161290322579</v>
      </c>
      <c r="D266" s="110">
        <v>20.415322580645164</v>
      </c>
      <c r="E266" s="116">
        <v>825.20715456989251</v>
      </c>
      <c r="F266" s="116">
        <v>816.52194220430079</v>
      </c>
      <c r="G266" s="116">
        <f t="shared" si="40"/>
        <v>19804.971709677418</v>
      </c>
      <c r="H266" s="116">
        <f t="shared" si="40"/>
        <v>19596.526612903217</v>
      </c>
      <c r="I266" s="113">
        <v>295.02999999999997</v>
      </c>
      <c r="J266" s="147">
        <v>268668.28000000003</v>
      </c>
      <c r="L266" s="139"/>
    </row>
    <row r="267" spans="2:12" ht="15.6" x14ac:dyDescent="0.3">
      <c r="B267" s="111">
        <v>44440</v>
      </c>
      <c r="C267" s="110">
        <v>468.43444444444424</v>
      </c>
      <c r="D267" s="110">
        <v>22.186666666666667</v>
      </c>
      <c r="E267" s="116">
        <v>825.00450277777793</v>
      </c>
      <c r="F267" s="116">
        <v>816.52884166666649</v>
      </c>
      <c r="G267" s="116">
        <f t="shared" si="40"/>
        <v>19800.108066666671</v>
      </c>
      <c r="H267" s="116">
        <f t="shared" si="40"/>
        <v>19596.692199999998</v>
      </c>
      <c r="I267" s="113">
        <v>291.995</v>
      </c>
      <c r="J267" s="147">
        <v>269545.26</v>
      </c>
      <c r="L267" s="139"/>
    </row>
    <row r="268" spans="2:12" ht="15.6" x14ac:dyDescent="0.3">
      <c r="B268" s="111">
        <v>44470</v>
      </c>
      <c r="C268" s="110">
        <v>468.2180107526882</v>
      </c>
      <c r="D268" s="110">
        <v>22.581989247311832</v>
      </c>
      <c r="E268" s="116">
        <v>825.28074865591384</v>
      </c>
      <c r="F268" s="116">
        <v>816.58955241935473</v>
      </c>
      <c r="G268" s="116">
        <f t="shared" si="40"/>
        <v>19806.73796774193</v>
      </c>
      <c r="H268" s="116">
        <f t="shared" si="40"/>
        <v>19598.149258064514</v>
      </c>
      <c r="I268" s="113">
        <v>295.53100000000001</v>
      </c>
      <c r="J268" s="147">
        <v>268346.25</v>
      </c>
      <c r="L268" s="139"/>
    </row>
    <row r="269" spans="2:12" ht="15.6" x14ac:dyDescent="0.3">
      <c r="B269" s="111">
        <v>44501</v>
      </c>
      <c r="C269" s="110">
        <v>468.28694444444443</v>
      </c>
      <c r="D269" s="110">
        <v>22.09333333333333</v>
      </c>
      <c r="E269" s="116">
        <v>788.62955833333297</v>
      </c>
      <c r="F269" s="116">
        <v>778.05382361111117</v>
      </c>
      <c r="G269" s="116">
        <f t="shared" si="40"/>
        <v>18927.10939999999</v>
      </c>
      <c r="H269" s="116">
        <f t="shared" si="40"/>
        <v>18673.291766666669</v>
      </c>
      <c r="I269" s="113">
        <v>291.19900000000001</v>
      </c>
      <c r="J269" s="147">
        <v>265746.33</v>
      </c>
      <c r="L269" s="139"/>
    </row>
    <row r="270" spans="2:12" ht="15.6" x14ac:dyDescent="0.3">
      <c r="B270" s="111">
        <v>44531</v>
      </c>
      <c r="C270" s="110">
        <v>468.41397849462373</v>
      </c>
      <c r="D270" s="110">
        <v>21.900537634408604</v>
      </c>
      <c r="E270" s="116">
        <v>788.6661680107527</v>
      </c>
      <c r="F270" s="116">
        <v>777.96575537634419</v>
      </c>
      <c r="G270" s="116">
        <f t="shared" si="40"/>
        <v>18927.988032258065</v>
      </c>
      <c r="H270" s="116">
        <f t="shared" si="40"/>
        <v>18671.178129032261</v>
      </c>
      <c r="I270" s="113">
        <v>293.7</v>
      </c>
      <c r="J270" s="147">
        <v>267251.38</v>
      </c>
      <c r="L270" s="139"/>
    </row>
    <row r="271" spans="2:12" ht="15.6" x14ac:dyDescent="0.3">
      <c r="B271" s="114"/>
      <c r="C271" s="108"/>
      <c r="D271" s="108"/>
      <c r="E271" s="108"/>
      <c r="F271" s="108"/>
      <c r="G271" s="108"/>
      <c r="H271" s="108"/>
      <c r="I271" s="141"/>
      <c r="J271" s="150"/>
      <c r="L271" s="139"/>
    </row>
    <row r="272" spans="2:12" ht="15.6" x14ac:dyDescent="0.3">
      <c r="B272" s="155" t="s">
        <v>286</v>
      </c>
      <c r="C272" s="155"/>
      <c r="D272" s="155"/>
      <c r="E272" s="108"/>
      <c r="F272" s="108"/>
      <c r="G272" s="108"/>
      <c r="H272" s="108"/>
      <c r="I272" s="141"/>
      <c r="J272" s="146"/>
      <c r="L272" s="139"/>
    </row>
    <row r="273" spans="2:12" ht="18.600000000000001" x14ac:dyDescent="0.3">
      <c r="B273" s="109" t="s">
        <v>278</v>
      </c>
      <c r="C273" s="110" t="s">
        <v>279</v>
      </c>
      <c r="D273" s="109" t="s">
        <v>280</v>
      </c>
      <c r="E273" s="109" t="s">
        <v>288</v>
      </c>
      <c r="F273" s="109" t="s">
        <v>289</v>
      </c>
      <c r="G273" s="109" t="s">
        <v>281</v>
      </c>
      <c r="H273" s="109" t="s">
        <v>282</v>
      </c>
      <c r="I273" s="113" t="s">
        <v>283</v>
      </c>
      <c r="J273" s="147" t="s">
        <v>284</v>
      </c>
      <c r="L273" s="139"/>
    </row>
    <row r="274" spans="2:12" ht="15.6" x14ac:dyDescent="0.3">
      <c r="B274" s="111">
        <v>44197</v>
      </c>
      <c r="C274" s="110">
        <v>468.52553763440864</v>
      </c>
      <c r="D274" s="110">
        <v>22.636559139784939</v>
      </c>
      <c r="E274" s="116">
        <v>788.60834677419348</v>
      </c>
      <c r="F274" s="116">
        <v>778.08902956989255</v>
      </c>
      <c r="G274" s="116">
        <f>E274*24</f>
        <v>18926.600322580642</v>
      </c>
      <c r="H274" s="116">
        <f>F274*24</f>
        <v>18674.136709677419</v>
      </c>
      <c r="I274" s="113">
        <v>297.81200000000001</v>
      </c>
      <c r="J274" s="147">
        <v>265889.83</v>
      </c>
      <c r="L274" s="139"/>
    </row>
    <row r="275" spans="2:12" ht="15.6" x14ac:dyDescent="0.3">
      <c r="B275" s="111">
        <v>44228</v>
      </c>
      <c r="C275" s="110">
        <v>468.46875000000006</v>
      </c>
      <c r="D275" s="110">
        <v>21.886309523809526</v>
      </c>
      <c r="E275" s="116">
        <v>788.80771875000005</v>
      </c>
      <c r="F275" s="116">
        <v>777.9471800595237</v>
      </c>
      <c r="G275" s="116">
        <f t="shared" ref="G275:H279" si="41">E275*24</f>
        <v>18931.385249999999</v>
      </c>
      <c r="H275" s="116">
        <f t="shared" si="41"/>
        <v>18670.732321428568</v>
      </c>
      <c r="I275" s="113">
        <v>267.56599999999997</v>
      </c>
      <c r="J275" s="147">
        <v>266585.28999999998</v>
      </c>
      <c r="L275" s="139"/>
    </row>
    <row r="276" spans="2:12" ht="15.6" x14ac:dyDescent="0.3">
      <c r="B276" s="111">
        <v>44256</v>
      </c>
      <c r="C276" s="110">
        <v>468.42150537634404</v>
      </c>
      <c r="D276" s="110">
        <v>22.375537634408602</v>
      </c>
      <c r="E276" s="116">
        <v>788.79284139784954</v>
      </c>
      <c r="F276" s="116">
        <v>778.07130913978494</v>
      </c>
      <c r="G276" s="116">
        <f t="shared" si="41"/>
        <v>18931.028193548387</v>
      </c>
      <c r="H276" s="116">
        <f t="shared" si="41"/>
        <v>18673.71141935484</v>
      </c>
      <c r="I276" s="113">
        <v>297.16399999999993</v>
      </c>
      <c r="J276" s="147">
        <v>267654.32</v>
      </c>
      <c r="L276" s="139"/>
    </row>
    <row r="277" spans="2:12" ht="15.6" x14ac:dyDescent="0.3">
      <c r="B277" s="111">
        <v>44287</v>
      </c>
      <c r="C277" s="110">
        <v>469.16472222222234</v>
      </c>
      <c r="D277" s="110">
        <v>22.280277777777773</v>
      </c>
      <c r="E277" s="116">
        <v>788.72354583333322</v>
      </c>
      <c r="F277" s="116">
        <v>778.0282152777778</v>
      </c>
      <c r="G277" s="116">
        <f t="shared" si="41"/>
        <v>18929.365099999995</v>
      </c>
      <c r="H277" s="116">
        <f t="shared" si="41"/>
        <v>18672.677166666668</v>
      </c>
      <c r="I277" s="113">
        <v>283.17599999999999</v>
      </c>
      <c r="J277" s="149">
        <v>266065.90000000002</v>
      </c>
      <c r="L277" s="139"/>
    </row>
    <row r="278" spans="2:12" ht="15.6" x14ac:dyDescent="0.3">
      <c r="B278" s="111">
        <v>44317</v>
      </c>
      <c r="C278" s="110">
        <v>468.36827956989265</v>
      </c>
      <c r="D278" s="110">
        <v>21.921236559139782</v>
      </c>
      <c r="E278" s="116">
        <v>824.94528897849466</v>
      </c>
      <c r="F278" s="116">
        <v>816.45976881720435</v>
      </c>
      <c r="G278" s="116">
        <f t="shared" si="41"/>
        <v>19798.686935483871</v>
      </c>
      <c r="H278" s="116">
        <f t="shared" si="41"/>
        <v>19595.034451612904</v>
      </c>
      <c r="I278" s="113">
        <v>303.32500000000005</v>
      </c>
      <c r="J278" s="149">
        <v>270483.20000000001</v>
      </c>
      <c r="L278" s="139"/>
    </row>
    <row r="279" spans="2:12" ht="15.6" x14ac:dyDescent="0.3">
      <c r="B279" s="111">
        <v>44348</v>
      </c>
      <c r="C279" s="110">
        <v>418.07499999999999</v>
      </c>
      <c r="D279" s="110">
        <v>19.190555555555555</v>
      </c>
      <c r="E279" s="116">
        <v>825.3116597222222</v>
      </c>
      <c r="F279" s="116">
        <v>816.81230555555544</v>
      </c>
      <c r="G279" s="116">
        <f t="shared" si="41"/>
        <v>19807.479833333331</v>
      </c>
      <c r="H279" s="116">
        <f t="shared" si="41"/>
        <v>19603.495333333332</v>
      </c>
      <c r="I279" s="113">
        <v>298.33799999999997</v>
      </c>
      <c r="J279" s="149">
        <v>267960.68</v>
      </c>
      <c r="L279" s="139"/>
    </row>
    <row r="280" spans="2:12" x14ac:dyDescent="0.25">
      <c r="J280" s="151"/>
    </row>
    <row r="281" spans="2:12" ht="31.8" customHeight="1" x14ac:dyDescent="0.25">
      <c r="B281" s="157" t="s">
        <v>252</v>
      </c>
      <c r="C281" s="157"/>
      <c r="D281" s="157"/>
      <c r="E281" s="157"/>
    </row>
    <row r="282" spans="2:12" ht="15.6" x14ac:dyDescent="0.3">
      <c r="B282" s="154" t="s">
        <v>277</v>
      </c>
      <c r="C282" s="154"/>
      <c r="D282" s="154"/>
      <c r="E282" s="108"/>
      <c r="F282" s="108"/>
      <c r="G282" s="108"/>
      <c r="H282" s="108"/>
      <c r="I282" s="141"/>
      <c r="J282" s="146"/>
    </row>
    <row r="283" spans="2:12" ht="18.600000000000001" x14ac:dyDescent="0.3">
      <c r="B283" s="109" t="s">
        <v>278</v>
      </c>
      <c r="C283" s="110" t="s">
        <v>279</v>
      </c>
      <c r="D283" s="109" t="s">
        <v>280</v>
      </c>
      <c r="E283" s="109" t="s">
        <v>288</v>
      </c>
      <c r="F283" s="109" t="s">
        <v>289</v>
      </c>
      <c r="G283" s="109" t="s">
        <v>281</v>
      </c>
      <c r="H283" s="109" t="s">
        <v>282</v>
      </c>
      <c r="I283" s="113" t="s">
        <v>283</v>
      </c>
      <c r="J283" s="147" t="s">
        <v>284</v>
      </c>
    </row>
    <row r="284" spans="2:12" ht="15.6" x14ac:dyDescent="0.3">
      <c r="B284" s="111">
        <v>44075</v>
      </c>
      <c r="C284" s="110">
        <v>426.17386363636359</v>
      </c>
      <c r="D284" s="110">
        <v>20.043560606060602</v>
      </c>
      <c r="E284" s="116">
        <v>222.03035037878789</v>
      </c>
      <c r="F284" s="116">
        <v>217.1794924242424</v>
      </c>
      <c r="G284" s="116">
        <f>E284*24</f>
        <v>5328.7284090909088</v>
      </c>
      <c r="H284" s="116">
        <f>F284*24</f>
        <v>5212.3078181818173</v>
      </c>
      <c r="I284" s="113">
        <v>68.962999999999994</v>
      </c>
      <c r="J284" s="147">
        <v>46481.29</v>
      </c>
      <c r="L284" s="139"/>
    </row>
    <row r="285" spans="2:12" ht="15.6" x14ac:dyDescent="0.3">
      <c r="B285" s="111">
        <v>44105</v>
      </c>
      <c r="C285" s="110">
        <v>425.80645161290317</v>
      </c>
      <c r="D285" s="110">
        <v>19.99462365591398</v>
      </c>
      <c r="E285" s="116">
        <v>222.06504973118282</v>
      </c>
      <c r="F285" s="116">
        <v>217.16889516129035</v>
      </c>
      <c r="G285" s="116">
        <f t="shared" ref="G285:H287" si="42">E285*24</f>
        <v>5329.5611935483876</v>
      </c>
      <c r="H285" s="116">
        <f t="shared" si="42"/>
        <v>5212.0534838709682</v>
      </c>
      <c r="I285" s="113">
        <v>97.689000000000007</v>
      </c>
      <c r="J285" s="147">
        <v>56399.839999999997</v>
      </c>
      <c r="L285" s="139"/>
    </row>
    <row r="286" spans="2:12" ht="15.6" x14ac:dyDescent="0.3">
      <c r="B286" s="111">
        <v>44136</v>
      </c>
      <c r="C286" s="110">
        <v>426.06416666666661</v>
      </c>
      <c r="D286" s="110">
        <v>19.753333333333334</v>
      </c>
      <c r="E286" s="116">
        <v>202.03175277777774</v>
      </c>
      <c r="F286" s="116">
        <v>197.41289305555554</v>
      </c>
      <c r="G286" s="116">
        <f t="shared" si="42"/>
        <v>4848.7620666666662</v>
      </c>
      <c r="H286" s="116">
        <f t="shared" si="42"/>
        <v>4737.9094333333333</v>
      </c>
      <c r="I286" s="113">
        <v>93.14700000000002</v>
      </c>
      <c r="J286" s="147">
        <v>55664.98</v>
      </c>
      <c r="L286" s="139"/>
    </row>
    <row r="287" spans="2:12" ht="15.6" x14ac:dyDescent="0.3">
      <c r="B287" s="111">
        <v>44166</v>
      </c>
      <c r="C287" s="110">
        <v>426.27607526881729</v>
      </c>
      <c r="D287" s="110">
        <v>20.012903225806451</v>
      </c>
      <c r="E287" s="116">
        <v>202.11212499999999</v>
      </c>
      <c r="F287" s="116">
        <v>197.44017069892473</v>
      </c>
      <c r="G287" s="116">
        <f t="shared" si="42"/>
        <v>4850.6909999999998</v>
      </c>
      <c r="H287" s="116">
        <f t="shared" si="42"/>
        <v>4738.5640967741938</v>
      </c>
      <c r="I287" s="113">
        <v>94.608000000000004</v>
      </c>
      <c r="J287" s="147">
        <v>55628.27</v>
      </c>
      <c r="L287" s="139"/>
    </row>
    <row r="288" spans="2:12" ht="15.6" x14ac:dyDescent="0.3">
      <c r="B288" s="155" t="s">
        <v>285</v>
      </c>
      <c r="C288" s="155"/>
      <c r="D288" s="155"/>
      <c r="E288" s="108"/>
      <c r="F288" s="108"/>
      <c r="G288" s="108"/>
      <c r="H288" s="108"/>
      <c r="I288" s="141"/>
      <c r="J288" s="150"/>
      <c r="L288" s="139"/>
    </row>
    <row r="289" spans="2:12" ht="18.600000000000001" x14ac:dyDescent="0.3">
      <c r="B289" s="109" t="s">
        <v>278</v>
      </c>
      <c r="C289" s="110" t="s">
        <v>279</v>
      </c>
      <c r="D289" s="109" t="s">
        <v>280</v>
      </c>
      <c r="E289" s="109" t="s">
        <v>288</v>
      </c>
      <c r="F289" s="109" t="s">
        <v>289</v>
      </c>
      <c r="G289" s="109" t="s">
        <v>281</v>
      </c>
      <c r="H289" s="109" t="s">
        <v>282</v>
      </c>
      <c r="I289" s="113" t="s">
        <v>283</v>
      </c>
      <c r="J289" s="147" t="s">
        <v>284</v>
      </c>
      <c r="L289" s="139"/>
    </row>
    <row r="290" spans="2:12" ht="15.6" x14ac:dyDescent="0.3">
      <c r="B290" s="111">
        <v>44197</v>
      </c>
      <c r="C290" s="110">
        <v>426.03037634408605</v>
      </c>
      <c r="D290" s="110">
        <v>19.734677419354842</v>
      </c>
      <c r="E290" s="116">
        <v>202.07358333333335</v>
      </c>
      <c r="F290" s="116">
        <v>197.44093951612902</v>
      </c>
      <c r="G290" s="116">
        <f>E290*24</f>
        <v>4849.7660000000005</v>
      </c>
      <c r="H290" s="116">
        <f>F290*24</f>
        <v>4738.5825483870967</v>
      </c>
      <c r="I290" s="113">
        <v>96.878</v>
      </c>
      <c r="J290" s="147">
        <v>55828.45</v>
      </c>
      <c r="L290" s="139"/>
    </row>
    <row r="291" spans="2:12" ht="15.6" x14ac:dyDescent="0.3">
      <c r="B291" s="111">
        <v>44228</v>
      </c>
      <c r="C291" s="110">
        <v>426.12142857142857</v>
      </c>
      <c r="D291" s="110">
        <v>20.095535714285713</v>
      </c>
      <c r="E291" s="116">
        <v>202.07190625000001</v>
      </c>
      <c r="F291" s="116">
        <v>197.47614880952383</v>
      </c>
      <c r="G291" s="116">
        <f t="shared" ref="G291:H301" si="43">E291*24</f>
        <v>4849.7257500000005</v>
      </c>
      <c r="H291" s="116">
        <f t="shared" si="43"/>
        <v>4739.4275714285723</v>
      </c>
      <c r="I291" s="113">
        <v>86.526999999999973</v>
      </c>
      <c r="J291" s="147">
        <v>55960.71</v>
      </c>
      <c r="L291" s="139"/>
    </row>
    <row r="292" spans="2:12" ht="15.6" x14ac:dyDescent="0.3">
      <c r="B292" s="111">
        <v>44256</v>
      </c>
      <c r="C292" s="110">
        <v>425.90376344086002</v>
      </c>
      <c r="D292" s="110">
        <v>19.810752688172048</v>
      </c>
      <c r="E292" s="116">
        <v>202.10818145161289</v>
      </c>
      <c r="F292" s="116">
        <v>197.38649059139786</v>
      </c>
      <c r="G292" s="116">
        <f t="shared" si="43"/>
        <v>4850.5963548387099</v>
      </c>
      <c r="H292" s="116">
        <f t="shared" si="43"/>
        <v>4737.2757741935484</v>
      </c>
      <c r="I292" s="113">
        <v>96.370000000000033</v>
      </c>
      <c r="J292" s="147">
        <v>56180.75</v>
      </c>
      <c r="L292" s="139"/>
    </row>
    <row r="293" spans="2:12" ht="15.6" x14ac:dyDescent="0.3">
      <c r="B293" s="111">
        <v>44287</v>
      </c>
      <c r="C293" s="110">
        <v>426.12270114942527</v>
      </c>
      <c r="D293" s="110">
        <v>19.737643678160921</v>
      </c>
      <c r="E293" s="116">
        <v>202.08024722222223</v>
      </c>
      <c r="F293" s="116">
        <v>197.40587499999995</v>
      </c>
      <c r="G293" s="116">
        <f t="shared" si="43"/>
        <v>4849.9259333333339</v>
      </c>
      <c r="H293" s="116">
        <f t="shared" si="43"/>
        <v>4737.7409999999991</v>
      </c>
      <c r="I293" s="113">
        <v>92.918000000000006</v>
      </c>
      <c r="J293" s="147">
        <v>56002.95</v>
      </c>
      <c r="L293" s="139"/>
    </row>
    <row r="294" spans="2:12" ht="15.6" x14ac:dyDescent="0.3">
      <c r="B294" s="111">
        <v>44317</v>
      </c>
      <c r="C294" s="110">
        <v>426.047311827957</v>
      </c>
      <c r="D294" s="110">
        <v>20.090322580645164</v>
      </c>
      <c r="E294" s="116">
        <v>222.16151881720427</v>
      </c>
      <c r="F294" s="116">
        <v>217.19895026881721</v>
      </c>
      <c r="G294" s="116">
        <f t="shared" si="43"/>
        <v>5331.8764516129022</v>
      </c>
      <c r="H294" s="116">
        <f t="shared" si="43"/>
        <v>5212.7748064516127</v>
      </c>
      <c r="I294" s="113">
        <v>94.436999999999983</v>
      </c>
      <c r="J294" s="147">
        <v>56423.19</v>
      </c>
      <c r="L294" s="139"/>
    </row>
    <row r="295" spans="2:12" ht="15.6" x14ac:dyDescent="0.3">
      <c r="B295" s="111">
        <v>44348</v>
      </c>
      <c r="C295" s="110">
        <v>407.30166666666662</v>
      </c>
      <c r="D295" s="110">
        <v>19.505833333333335</v>
      </c>
      <c r="E295" s="116">
        <v>222.12348055555555</v>
      </c>
      <c r="F295" s="116">
        <v>217.18062222222218</v>
      </c>
      <c r="G295" s="116">
        <f t="shared" si="43"/>
        <v>5330.9635333333335</v>
      </c>
      <c r="H295" s="116">
        <f t="shared" si="43"/>
        <v>5212.3349333333326</v>
      </c>
      <c r="I295" s="113">
        <v>91.45</v>
      </c>
      <c r="J295" s="147">
        <v>56428.01</v>
      </c>
      <c r="L295" s="139"/>
    </row>
    <row r="296" spans="2:12" ht="15.6" x14ac:dyDescent="0.3">
      <c r="B296" s="111">
        <v>44378</v>
      </c>
      <c r="C296" s="110">
        <v>407.61639784946232</v>
      </c>
      <c r="D296" s="110">
        <v>19.698924731182796</v>
      </c>
      <c r="E296" s="116">
        <v>222.1302473118279</v>
      </c>
      <c r="F296" s="116">
        <v>217.14291129032259</v>
      </c>
      <c r="G296" s="116">
        <f t="shared" si="43"/>
        <v>5331.1259354838694</v>
      </c>
      <c r="H296" s="116">
        <f t="shared" si="43"/>
        <v>5211.4298709677423</v>
      </c>
      <c r="I296" s="113">
        <v>97.939000000000021</v>
      </c>
      <c r="J296" s="147">
        <v>56468.34</v>
      </c>
      <c r="L296" s="139"/>
    </row>
    <row r="297" spans="2:12" ht="15.6" x14ac:dyDescent="0.3">
      <c r="B297" s="111">
        <v>44409</v>
      </c>
      <c r="C297" s="110">
        <v>407.28091397849465</v>
      </c>
      <c r="D297" s="110">
        <v>19.414784946236566</v>
      </c>
      <c r="E297" s="116">
        <v>222.17815591397849</v>
      </c>
      <c r="F297" s="116">
        <v>217.18581854838715</v>
      </c>
      <c r="G297" s="116">
        <f t="shared" si="43"/>
        <v>5332.2757419354839</v>
      </c>
      <c r="H297" s="116">
        <f t="shared" si="43"/>
        <v>5212.4596451612915</v>
      </c>
      <c r="I297" s="113">
        <v>96.655000000000015</v>
      </c>
      <c r="J297" s="147">
        <v>56368.480000000003</v>
      </c>
      <c r="L297" s="139"/>
    </row>
    <row r="298" spans="2:12" ht="15.6" x14ac:dyDescent="0.3">
      <c r="B298" s="111">
        <v>44440</v>
      </c>
      <c r="C298" s="110">
        <v>426.31000000000012</v>
      </c>
      <c r="D298" s="110">
        <v>19.975277777777784</v>
      </c>
      <c r="E298" s="116">
        <v>222.16535833333339</v>
      </c>
      <c r="F298" s="116">
        <v>217.10693888888889</v>
      </c>
      <c r="G298" s="116">
        <f t="shared" si="43"/>
        <v>5331.9686000000011</v>
      </c>
      <c r="H298" s="116">
        <f t="shared" si="43"/>
        <v>5210.5665333333336</v>
      </c>
      <c r="I298" s="113">
        <v>92.247999999999976</v>
      </c>
      <c r="J298" s="147">
        <v>56475.67</v>
      </c>
      <c r="L298" s="139"/>
    </row>
    <row r="299" spans="2:12" ht="15.6" x14ac:dyDescent="0.3">
      <c r="B299" s="111">
        <v>44470</v>
      </c>
      <c r="C299" s="110">
        <v>426.0795698924731</v>
      </c>
      <c r="D299" s="110">
        <v>20.001344086021508</v>
      </c>
      <c r="E299" s="116">
        <v>221.98152284946232</v>
      </c>
      <c r="F299" s="116">
        <v>217.15891129032255</v>
      </c>
      <c r="G299" s="116">
        <f t="shared" si="43"/>
        <v>5327.556548387096</v>
      </c>
      <c r="H299" s="116">
        <f t="shared" si="43"/>
        <v>5211.8138709677414</v>
      </c>
      <c r="I299" s="113">
        <v>96.007999999999996</v>
      </c>
      <c r="J299" s="147">
        <v>56520.63</v>
      </c>
      <c r="L299" s="139"/>
    </row>
    <row r="300" spans="2:12" ht="15.6" x14ac:dyDescent="0.3">
      <c r="B300" s="111">
        <v>44501</v>
      </c>
      <c r="C300" s="110">
        <v>426.18194444444441</v>
      </c>
      <c r="D300" s="110">
        <v>19.904999999999994</v>
      </c>
      <c r="E300" s="116">
        <v>202.13704444444448</v>
      </c>
      <c r="F300" s="116">
        <v>197.45692916666667</v>
      </c>
      <c r="G300" s="116">
        <f t="shared" si="43"/>
        <v>4851.2890666666681</v>
      </c>
      <c r="H300" s="116">
        <f t="shared" si="43"/>
        <v>4738.9663</v>
      </c>
      <c r="I300" s="113">
        <v>92.795999999999992</v>
      </c>
      <c r="J300" s="147">
        <v>55924.42</v>
      </c>
      <c r="L300" s="139"/>
    </row>
    <row r="301" spans="2:12" ht="15.6" x14ac:dyDescent="0.3">
      <c r="B301" s="111">
        <v>44531</v>
      </c>
      <c r="C301" s="110">
        <v>426.06854838709671</v>
      </c>
      <c r="D301" s="110">
        <v>19.914784946236558</v>
      </c>
      <c r="E301" s="116">
        <v>202.05508602150536</v>
      </c>
      <c r="F301" s="116">
        <v>197.41566666666671</v>
      </c>
      <c r="G301" s="116">
        <f t="shared" si="43"/>
        <v>4849.3220645161291</v>
      </c>
      <c r="H301" s="116">
        <f t="shared" si="43"/>
        <v>4737.9760000000006</v>
      </c>
      <c r="I301" s="113">
        <v>94.751999999999981</v>
      </c>
      <c r="J301" s="147">
        <v>55637.77</v>
      </c>
      <c r="L301" s="139"/>
    </row>
    <row r="302" spans="2:12" ht="15.6" x14ac:dyDescent="0.3">
      <c r="B302" s="114"/>
      <c r="C302" s="108"/>
      <c r="D302" s="108"/>
      <c r="E302" s="108"/>
      <c r="F302" s="108"/>
      <c r="G302" s="112"/>
      <c r="H302" s="108"/>
      <c r="I302" s="141"/>
      <c r="J302" s="150"/>
      <c r="L302" s="139"/>
    </row>
    <row r="303" spans="2:12" ht="15.6" x14ac:dyDescent="0.3">
      <c r="B303" s="155" t="s">
        <v>286</v>
      </c>
      <c r="C303" s="155"/>
      <c r="D303" s="155"/>
      <c r="E303" s="108"/>
      <c r="F303" s="108"/>
      <c r="G303" s="108"/>
      <c r="H303" s="108"/>
      <c r="I303" s="141"/>
      <c r="J303" s="146"/>
      <c r="L303" s="139"/>
    </row>
    <row r="304" spans="2:12" ht="18.600000000000001" x14ac:dyDescent="0.3">
      <c r="B304" s="109" t="s">
        <v>278</v>
      </c>
      <c r="C304" s="110" t="s">
        <v>279</v>
      </c>
      <c r="D304" s="109" t="s">
        <v>280</v>
      </c>
      <c r="E304" s="109" t="s">
        <v>288</v>
      </c>
      <c r="F304" s="109" t="s">
        <v>289</v>
      </c>
      <c r="G304" s="109" t="s">
        <v>281</v>
      </c>
      <c r="H304" s="109" t="s">
        <v>282</v>
      </c>
      <c r="I304" s="113" t="s">
        <v>283</v>
      </c>
      <c r="J304" s="147" t="s">
        <v>284</v>
      </c>
      <c r="L304" s="139"/>
    </row>
    <row r="305" spans="2:12" ht="15.6" x14ac:dyDescent="0.3">
      <c r="B305" s="111">
        <v>44197</v>
      </c>
      <c r="C305" s="110">
        <v>425.86155913978484</v>
      </c>
      <c r="D305" s="110">
        <v>20.231720430107526</v>
      </c>
      <c r="E305" s="116">
        <v>202.12138037634404</v>
      </c>
      <c r="F305" s="116">
        <v>197.44662365591401</v>
      </c>
      <c r="G305" s="116">
        <f>E305*24</f>
        <v>4850.9131290322566</v>
      </c>
      <c r="H305" s="116">
        <f>F305*24</f>
        <v>4738.7189677419365</v>
      </c>
      <c r="I305" s="113">
        <v>96.294999999999987</v>
      </c>
      <c r="J305" s="147">
        <v>56062.28</v>
      </c>
      <c r="L305" s="139"/>
    </row>
    <row r="306" spans="2:12" ht="15.6" x14ac:dyDescent="0.3">
      <c r="B306" s="111">
        <v>44228</v>
      </c>
      <c r="C306" s="110">
        <v>426.17440476190467</v>
      </c>
      <c r="D306" s="110">
        <v>19.802083333333339</v>
      </c>
      <c r="E306" s="116">
        <v>202.07671577380955</v>
      </c>
      <c r="F306" s="116">
        <v>197.37654315476192</v>
      </c>
      <c r="G306" s="116">
        <f t="shared" ref="G306:H310" si="44">E306*24</f>
        <v>4849.8411785714288</v>
      </c>
      <c r="H306" s="116">
        <f t="shared" si="44"/>
        <v>4737.0370357142856</v>
      </c>
      <c r="I306" s="113">
        <v>86.123000000000005</v>
      </c>
      <c r="J306" s="147">
        <v>56104.59</v>
      </c>
      <c r="L306" s="139"/>
    </row>
    <row r="307" spans="2:12" ht="15.6" x14ac:dyDescent="0.3">
      <c r="B307" s="111">
        <v>44256</v>
      </c>
      <c r="C307" s="110">
        <v>426.15107526881718</v>
      </c>
      <c r="D307" s="110">
        <v>19.949462365591401</v>
      </c>
      <c r="E307" s="116">
        <v>202.10302150537635</v>
      </c>
      <c r="F307" s="116">
        <v>197.38763037634402</v>
      </c>
      <c r="G307" s="116">
        <f t="shared" si="44"/>
        <v>4850.4725161290326</v>
      </c>
      <c r="H307" s="116">
        <f t="shared" si="44"/>
        <v>4737.303129032256</v>
      </c>
      <c r="I307" s="113">
        <v>95.784000000000006</v>
      </c>
      <c r="J307" s="147">
        <v>55900.66</v>
      </c>
      <c r="L307" s="139"/>
    </row>
    <row r="308" spans="2:12" ht="15.6" x14ac:dyDescent="0.3">
      <c r="B308" s="111">
        <v>44287</v>
      </c>
      <c r="C308" s="110">
        <v>426.24416666666656</v>
      </c>
      <c r="D308" s="110">
        <v>19.71833333333333</v>
      </c>
      <c r="E308" s="116">
        <v>202.10655</v>
      </c>
      <c r="F308" s="116">
        <v>197.48035833333336</v>
      </c>
      <c r="G308" s="116">
        <f t="shared" si="44"/>
        <v>4850.5572000000002</v>
      </c>
      <c r="H308" s="116">
        <f t="shared" si="44"/>
        <v>4739.5286000000006</v>
      </c>
      <c r="I308" s="113">
        <v>92.711000000000013</v>
      </c>
      <c r="J308" s="147">
        <v>56177.06</v>
      </c>
      <c r="L308" s="139"/>
    </row>
    <row r="309" spans="2:12" ht="15.6" x14ac:dyDescent="0.3">
      <c r="B309" s="111">
        <v>44317</v>
      </c>
      <c r="C309" s="110">
        <v>426.2346774193548</v>
      </c>
      <c r="D309" s="110">
        <v>19.50322580645161</v>
      </c>
      <c r="E309" s="116">
        <v>222.08302419354843</v>
      </c>
      <c r="F309" s="116">
        <v>217.20238037634408</v>
      </c>
      <c r="G309" s="116">
        <f t="shared" si="44"/>
        <v>5329.992580645162</v>
      </c>
      <c r="H309" s="116">
        <f t="shared" si="44"/>
        <v>5212.8571290322579</v>
      </c>
      <c r="I309" s="113">
        <v>94.944999999999993</v>
      </c>
      <c r="J309" s="147">
        <v>56208.73</v>
      </c>
      <c r="L309" s="139"/>
    </row>
    <row r="310" spans="2:12" ht="15.6" x14ac:dyDescent="0.3">
      <c r="B310" s="111">
        <v>44348</v>
      </c>
      <c r="C310" s="110">
        <v>407.30083333333334</v>
      </c>
      <c r="D310" s="110">
        <v>19.549166666666665</v>
      </c>
      <c r="E310" s="116">
        <v>222.0402416666667</v>
      </c>
      <c r="F310" s="116">
        <v>217.13188472222225</v>
      </c>
      <c r="G310" s="116">
        <f t="shared" si="44"/>
        <v>5328.9658000000009</v>
      </c>
      <c r="H310" s="116">
        <f t="shared" si="44"/>
        <v>5211.1652333333341</v>
      </c>
      <c r="I310" s="113">
        <v>95.470999999999989</v>
      </c>
      <c r="J310" s="147">
        <v>56715.53</v>
      </c>
      <c r="L310" s="139"/>
    </row>
    <row r="311" spans="2:12" x14ac:dyDescent="0.25">
      <c r="J311" s="151"/>
    </row>
    <row r="312" spans="2:12" ht="31.8" customHeight="1" x14ac:dyDescent="0.25">
      <c r="B312" s="157" t="s">
        <v>253</v>
      </c>
      <c r="C312" s="157"/>
      <c r="D312" s="157"/>
      <c r="E312" s="157"/>
    </row>
    <row r="313" spans="2:12" ht="15.6" x14ac:dyDescent="0.3">
      <c r="B313" s="154" t="s">
        <v>277</v>
      </c>
      <c r="C313" s="154"/>
      <c r="D313" s="154"/>
      <c r="E313" s="108"/>
      <c r="F313" s="108"/>
      <c r="G313" s="108"/>
      <c r="H313" s="108"/>
      <c r="I313" s="141"/>
      <c r="J313" s="146"/>
    </row>
    <row r="314" spans="2:12" ht="18.600000000000001" x14ac:dyDescent="0.3">
      <c r="B314" s="109" t="s">
        <v>278</v>
      </c>
      <c r="C314" s="110" t="s">
        <v>279</v>
      </c>
      <c r="D314" s="109" t="s">
        <v>280</v>
      </c>
      <c r="E314" s="109" t="s">
        <v>288</v>
      </c>
      <c r="F314" s="109" t="s">
        <v>289</v>
      </c>
      <c r="G314" s="109" t="s">
        <v>281</v>
      </c>
      <c r="H314" s="109" t="s">
        <v>282</v>
      </c>
      <c r="I314" s="113" t="s">
        <v>283</v>
      </c>
      <c r="J314" s="147" t="s">
        <v>284</v>
      </c>
    </row>
    <row r="315" spans="2:12" ht="15.6" x14ac:dyDescent="0.3">
      <c r="B315" s="111">
        <v>44075</v>
      </c>
      <c r="C315" s="110">
        <v>468.28552631578941</v>
      </c>
      <c r="D315" s="110">
        <v>22.734210526315785</v>
      </c>
      <c r="E315" s="116">
        <v>243.48161842105262</v>
      </c>
      <c r="F315" s="116">
        <v>236.56729605263158</v>
      </c>
      <c r="G315" s="116">
        <f>E315*24</f>
        <v>5843.5588421052626</v>
      </c>
      <c r="H315" s="116">
        <f>F315*24</f>
        <v>5677.6151052631576</v>
      </c>
      <c r="I315" s="113">
        <v>62.686999999999998</v>
      </c>
      <c r="J315" s="147">
        <v>51486.86</v>
      </c>
      <c r="L315" s="139"/>
    </row>
    <row r="316" spans="2:12" ht="15.6" x14ac:dyDescent="0.3">
      <c r="B316" s="111">
        <v>44105</v>
      </c>
      <c r="C316" s="110">
        <v>468.45403225806444</v>
      </c>
      <c r="D316" s="110">
        <v>22.645430107526881</v>
      </c>
      <c r="E316" s="116">
        <v>243.42311155913981</v>
      </c>
      <c r="F316" s="116">
        <v>237.02524327956993</v>
      </c>
      <c r="G316" s="116">
        <f t="shared" ref="G316:H318" si="45">E316*24</f>
        <v>5842.1546774193557</v>
      </c>
      <c r="H316" s="116">
        <f t="shared" si="45"/>
        <v>5688.6058387096782</v>
      </c>
      <c r="I316" s="113">
        <v>100.67999999999999</v>
      </c>
      <c r="J316" s="147">
        <v>62739.77</v>
      </c>
      <c r="L316" s="139"/>
    </row>
    <row r="317" spans="2:12" ht="15.6" x14ac:dyDescent="0.3">
      <c r="B317" s="111">
        <v>44136</v>
      </c>
      <c r="C317" s="110">
        <v>468.47694444444443</v>
      </c>
      <c r="D317" s="110">
        <v>22.304166666666664</v>
      </c>
      <c r="E317" s="116">
        <v>213.46762361111115</v>
      </c>
      <c r="F317" s="116">
        <v>208.88875000000004</v>
      </c>
      <c r="G317" s="116">
        <f t="shared" si="45"/>
        <v>5123.2229666666681</v>
      </c>
      <c r="H317" s="116">
        <f t="shared" si="45"/>
        <v>5013.3300000000008</v>
      </c>
      <c r="I317" s="113">
        <v>98.51900000000002</v>
      </c>
      <c r="J317" s="147">
        <v>61629.27</v>
      </c>
      <c r="L317" s="139"/>
    </row>
    <row r="318" spans="2:12" ht="15.6" x14ac:dyDescent="0.3">
      <c r="B318" s="111">
        <v>44166</v>
      </c>
      <c r="C318" s="110">
        <v>467.90403225806449</v>
      </c>
      <c r="D318" s="110">
        <v>22.093548387096778</v>
      </c>
      <c r="E318" s="116">
        <v>213.38946370967739</v>
      </c>
      <c r="F318" s="116">
        <v>208.79233064516126</v>
      </c>
      <c r="G318" s="116">
        <f t="shared" si="45"/>
        <v>5121.3471290322577</v>
      </c>
      <c r="H318" s="116">
        <f t="shared" si="45"/>
        <v>5011.0159354838706</v>
      </c>
      <c r="I318" s="113">
        <v>103.04899999999999</v>
      </c>
      <c r="J318" s="147">
        <v>61812.45</v>
      </c>
      <c r="L318" s="139"/>
    </row>
    <row r="319" spans="2:12" ht="15.6" x14ac:dyDescent="0.3">
      <c r="B319" s="155" t="s">
        <v>285</v>
      </c>
      <c r="C319" s="155"/>
      <c r="D319" s="155"/>
      <c r="E319" s="108"/>
      <c r="F319" s="108"/>
      <c r="G319" s="108"/>
      <c r="H319" s="108"/>
      <c r="I319" s="141"/>
      <c r="J319" s="150"/>
      <c r="L319" s="139"/>
    </row>
    <row r="320" spans="2:12" ht="18.600000000000001" x14ac:dyDescent="0.3">
      <c r="B320" s="109" t="s">
        <v>278</v>
      </c>
      <c r="C320" s="110" t="s">
        <v>279</v>
      </c>
      <c r="D320" s="109" t="s">
        <v>280</v>
      </c>
      <c r="E320" s="109" t="s">
        <v>288</v>
      </c>
      <c r="F320" s="109" t="s">
        <v>289</v>
      </c>
      <c r="G320" s="109" t="s">
        <v>281</v>
      </c>
      <c r="H320" s="109" t="s">
        <v>282</v>
      </c>
      <c r="I320" s="113" t="s">
        <v>283</v>
      </c>
      <c r="J320" s="147" t="s">
        <v>284</v>
      </c>
      <c r="L320" s="139"/>
    </row>
    <row r="321" spans="2:12" ht="15.6" x14ac:dyDescent="0.3">
      <c r="B321" s="111">
        <v>44197</v>
      </c>
      <c r="C321" s="110">
        <v>468.43306451612904</v>
      </c>
      <c r="D321" s="110">
        <v>22.419892473118281</v>
      </c>
      <c r="E321" s="116">
        <v>213.3510416666667</v>
      </c>
      <c r="F321" s="116">
        <v>208.71255645161287</v>
      </c>
      <c r="G321" s="116">
        <f>E321*24</f>
        <v>5120.4250000000011</v>
      </c>
      <c r="H321" s="116">
        <f>F321*24</f>
        <v>5009.1013548387091</v>
      </c>
      <c r="I321" s="113">
        <v>101.69499999999998</v>
      </c>
      <c r="J321" s="149">
        <v>62098.8</v>
      </c>
      <c r="L321" s="139"/>
    </row>
    <row r="322" spans="2:12" ht="15.6" x14ac:dyDescent="0.3">
      <c r="B322" s="111">
        <v>44228</v>
      </c>
      <c r="C322" s="110">
        <v>468.46577380952374</v>
      </c>
      <c r="D322" s="110">
        <v>21.77529761904762</v>
      </c>
      <c r="E322" s="116">
        <v>213.41558035714283</v>
      </c>
      <c r="F322" s="116">
        <v>208.73969494047623</v>
      </c>
      <c r="G322" s="116">
        <f t="shared" ref="G322:H332" si="46">E322*24</f>
        <v>5121.9739285714277</v>
      </c>
      <c r="H322" s="116">
        <f t="shared" si="46"/>
        <v>5009.752678571429</v>
      </c>
      <c r="I322" s="113">
        <v>91.638999999999996</v>
      </c>
      <c r="J322" s="149">
        <v>61592.800000000003</v>
      </c>
      <c r="L322" s="139"/>
    </row>
    <row r="323" spans="2:12" ht="15.6" x14ac:dyDescent="0.3">
      <c r="B323" s="111">
        <v>44256</v>
      </c>
      <c r="C323" s="110">
        <v>468.25322580645161</v>
      </c>
      <c r="D323" s="110">
        <v>22.07204301075269</v>
      </c>
      <c r="E323" s="116">
        <v>213.35614381720433</v>
      </c>
      <c r="F323" s="116">
        <v>208.75020430107526</v>
      </c>
      <c r="G323" s="116">
        <f t="shared" si="46"/>
        <v>5120.5474516129034</v>
      </c>
      <c r="H323" s="116">
        <f t="shared" si="46"/>
        <v>5010.0049032258066</v>
      </c>
      <c r="I323" s="113">
        <v>101.74899999999997</v>
      </c>
      <c r="J323" s="147">
        <v>61607.05</v>
      </c>
      <c r="L323" s="139"/>
    </row>
    <row r="324" spans="2:12" ht="15.6" x14ac:dyDescent="0.3">
      <c r="B324" s="111">
        <v>44287</v>
      </c>
      <c r="C324" s="110">
        <v>468.61781609195401</v>
      </c>
      <c r="D324" s="110">
        <v>22.049137931034476</v>
      </c>
      <c r="E324" s="116">
        <v>213.31330833333337</v>
      </c>
      <c r="F324" s="116">
        <v>208.80066388888886</v>
      </c>
      <c r="G324" s="116">
        <f t="shared" si="46"/>
        <v>5119.519400000001</v>
      </c>
      <c r="H324" s="116">
        <f t="shared" si="46"/>
        <v>5011.2159333333329</v>
      </c>
      <c r="I324" s="113">
        <v>97.855000000000004</v>
      </c>
      <c r="J324" s="147">
        <v>61632.12</v>
      </c>
      <c r="L324" s="139"/>
    </row>
    <row r="325" spans="2:12" ht="15.6" x14ac:dyDescent="0.3">
      <c r="B325" s="111">
        <v>44317</v>
      </c>
      <c r="C325" s="110">
        <v>468.05241935483878</v>
      </c>
      <c r="D325" s="110">
        <v>22.69489247311828</v>
      </c>
      <c r="E325" s="116">
        <v>243.33067338709679</v>
      </c>
      <c r="F325" s="116">
        <v>236.89750134408604</v>
      </c>
      <c r="G325" s="116">
        <f t="shared" si="46"/>
        <v>5839.9361612903231</v>
      </c>
      <c r="H325" s="116">
        <f t="shared" si="46"/>
        <v>5685.5400322580645</v>
      </c>
      <c r="I325" s="113">
        <v>100.51000000000003</v>
      </c>
      <c r="J325" s="147">
        <v>62504.05</v>
      </c>
      <c r="L325" s="139"/>
    </row>
    <row r="326" spans="2:12" ht="15.6" x14ac:dyDescent="0.3">
      <c r="B326" s="111">
        <v>44348</v>
      </c>
      <c r="C326" s="110">
        <v>417.43611111111113</v>
      </c>
      <c r="D326" s="110">
        <v>20.341944444444444</v>
      </c>
      <c r="E326" s="116">
        <v>243.40304583333332</v>
      </c>
      <c r="F326" s="116">
        <v>236.80006111111118</v>
      </c>
      <c r="G326" s="116">
        <f t="shared" si="46"/>
        <v>5841.6731</v>
      </c>
      <c r="H326" s="116">
        <f t="shared" si="46"/>
        <v>5683.2014666666682</v>
      </c>
      <c r="I326" s="113">
        <v>98.806999999999974</v>
      </c>
      <c r="J326" s="147">
        <v>62461.279999999999</v>
      </c>
      <c r="L326" s="139"/>
    </row>
    <row r="327" spans="2:12" ht="15.6" x14ac:dyDescent="0.3">
      <c r="B327" s="111">
        <v>44378</v>
      </c>
      <c r="C327" s="110">
        <v>417.52204301075261</v>
      </c>
      <c r="D327" s="110">
        <v>19.752419354838707</v>
      </c>
      <c r="E327" s="116">
        <v>243.36868817204299</v>
      </c>
      <c r="F327" s="116">
        <v>237.20187096774197</v>
      </c>
      <c r="G327" s="116">
        <f t="shared" si="46"/>
        <v>5840.8485161290319</v>
      </c>
      <c r="H327" s="116">
        <f t="shared" si="46"/>
        <v>5692.8449032258068</v>
      </c>
      <c r="I327" s="113">
        <v>102.59199999999997</v>
      </c>
      <c r="J327" s="147">
        <v>62225.46</v>
      </c>
      <c r="L327" s="139"/>
    </row>
    <row r="328" spans="2:12" ht="15.6" x14ac:dyDescent="0.3">
      <c r="B328" s="111">
        <v>44409</v>
      </c>
      <c r="C328" s="110">
        <v>418.09086021505385</v>
      </c>
      <c r="D328" s="110">
        <v>19.872580645161293</v>
      </c>
      <c r="E328" s="116">
        <v>243.35334543010748</v>
      </c>
      <c r="F328" s="116">
        <v>236.90520161290323</v>
      </c>
      <c r="G328" s="116">
        <f t="shared" si="46"/>
        <v>5840.4802903225791</v>
      </c>
      <c r="H328" s="116">
        <f t="shared" si="46"/>
        <v>5685.724838709677</v>
      </c>
      <c r="I328" s="113">
        <v>100.15299999999999</v>
      </c>
      <c r="J328" s="147">
        <v>62419.63</v>
      </c>
      <c r="L328" s="139"/>
    </row>
    <row r="329" spans="2:12" ht="15.6" x14ac:dyDescent="0.3">
      <c r="B329" s="111">
        <v>44440</v>
      </c>
      <c r="C329" s="110">
        <v>468.20777777777784</v>
      </c>
      <c r="D329" s="110">
        <v>21.977500000000003</v>
      </c>
      <c r="E329" s="116">
        <v>243.32906527777777</v>
      </c>
      <c r="F329" s="116">
        <v>236.57760555555555</v>
      </c>
      <c r="G329" s="116">
        <f t="shared" si="46"/>
        <v>5839.8975666666665</v>
      </c>
      <c r="H329" s="116">
        <f t="shared" si="46"/>
        <v>5677.862533333333</v>
      </c>
      <c r="I329" s="113">
        <v>98.451000000000008</v>
      </c>
      <c r="J329" s="147">
        <v>62409.52</v>
      </c>
      <c r="L329" s="139"/>
    </row>
    <row r="330" spans="2:12" ht="15.6" x14ac:dyDescent="0.3">
      <c r="B330" s="111">
        <v>44470</v>
      </c>
      <c r="C330" s="110">
        <v>468.65967741935492</v>
      </c>
      <c r="D330" s="110">
        <v>22.267473118279565</v>
      </c>
      <c r="E330" s="116">
        <v>243.32769489247315</v>
      </c>
      <c r="F330" s="116">
        <v>236.8044448924731</v>
      </c>
      <c r="G330" s="116">
        <f t="shared" si="46"/>
        <v>5839.8646774193558</v>
      </c>
      <c r="H330" s="116">
        <f t="shared" si="46"/>
        <v>5683.3066774193539</v>
      </c>
      <c r="I330" s="113">
        <v>103.80000000000003</v>
      </c>
      <c r="J330" s="147">
        <v>62278.87</v>
      </c>
      <c r="L330" s="139"/>
    </row>
    <row r="331" spans="2:12" ht="15.6" x14ac:dyDescent="0.3">
      <c r="B331" s="111">
        <v>44501</v>
      </c>
      <c r="C331" s="110">
        <v>468.29944444444442</v>
      </c>
      <c r="D331" s="110">
        <v>22.113333333333333</v>
      </c>
      <c r="E331" s="116">
        <v>213.39892916666668</v>
      </c>
      <c r="F331" s="116">
        <v>208.79245138888888</v>
      </c>
      <c r="G331" s="116">
        <f t="shared" si="46"/>
        <v>5121.5743000000002</v>
      </c>
      <c r="H331" s="116">
        <f t="shared" si="46"/>
        <v>5011.0188333333335</v>
      </c>
      <c r="I331" s="113">
        <v>98.796000000000006</v>
      </c>
      <c r="J331" s="147">
        <v>61626.32</v>
      </c>
      <c r="L331" s="139"/>
    </row>
    <row r="332" spans="2:12" ht="15.6" x14ac:dyDescent="0.3">
      <c r="B332" s="111">
        <v>44531</v>
      </c>
      <c r="C332" s="110">
        <v>468.51021505376343</v>
      </c>
      <c r="D332" s="110">
        <v>21.563440860215049</v>
      </c>
      <c r="E332" s="116">
        <v>213.36738306451619</v>
      </c>
      <c r="F332" s="116">
        <v>208.72594489247308</v>
      </c>
      <c r="G332" s="116">
        <f t="shared" si="46"/>
        <v>5120.8171935483888</v>
      </c>
      <c r="H332" s="116">
        <f t="shared" si="46"/>
        <v>5009.4226774193539</v>
      </c>
      <c r="I332" s="113">
        <v>102.11200000000001</v>
      </c>
      <c r="J332" s="147">
        <v>61859.73</v>
      </c>
      <c r="L332" s="139"/>
    </row>
    <row r="333" spans="2:12" ht="15.6" x14ac:dyDescent="0.3">
      <c r="B333" s="114"/>
      <c r="C333" s="108"/>
      <c r="D333" s="108"/>
      <c r="E333" s="108"/>
      <c r="F333" s="108"/>
      <c r="G333" s="108"/>
      <c r="H333" s="108"/>
      <c r="I333" s="141"/>
      <c r="J333" s="148"/>
      <c r="L333" s="139"/>
    </row>
    <row r="334" spans="2:12" ht="15.6" x14ac:dyDescent="0.3">
      <c r="B334" s="155" t="s">
        <v>286</v>
      </c>
      <c r="C334" s="155"/>
      <c r="D334" s="155"/>
      <c r="E334" s="108"/>
      <c r="F334" s="108"/>
      <c r="G334" s="108"/>
      <c r="H334" s="108"/>
      <c r="I334" s="141"/>
      <c r="J334" s="146"/>
      <c r="L334" s="139"/>
    </row>
    <row r="335" spans="2:12" ht="18.600000000000001" x14ac:dyDescent="0.3">
      <c r="B335" s="109" t="s">
        <v>278</v>
      </c>
      <c r="C335" s="110" t="s">
        <v>279</v>
      </c>
      <c r="D335" s="109" t="s">
        <v>280</v>
      </c>
      <c r="E335" s="109" t="s">
        <v>288</v>
      </c>
      <c r="F335" s="109" t="s">
        <v>289</v>
      </c>
      <c r="G335" s="109" t="s">
        <v>281</v>
      </c>
      <c r="H335" s="109" t="s">
        <v>282</v>
      </c>
      <c r="I335" s="113" t="s">
        <v>283</v>
      </c>
      <c r="J335" s="147" t="s">
        <v>284</v>
      </c>
      <c r="L335" s="139"/>
    </row>
    <row r="336" spans="2:12" ht="15.6" x14ac:dyDescent="0.3">
      <c r="B336" s="111">
        <v>44197</v>
      </c>
      <c r="C336" s="110">
        <v>468.62956989247317</v>
      </c>
      <c r="D336" s="110">
        <v>22.054569892473115</v>
      </c>
      <c r="E336" s="116">
        <v>213.54783870967745</v>
      </c>
      <c r="F336" s="116">
        <v>208.79246639784944</v>
      </c>
      <c r="G336" s="116">
        <f>E336*24</f>
        <v>5125.148129032259</v>
      </c>
      <c r="H336" s="116">
        <f>F336*24</f>
        <v>5011.0191935483863</v>
      </c>
      <c r="I336" s="113">
        <v>101.59799999999998</v>
      </c>
      <c r="J336" s="147">
        <v>61754.97</v>
      </c>
      <c r="L336" s="139"/>
    </row>
    <row r="337" spans="2:12" ht="15.6" x14ac:dyDescent="0.3">
      <c r="B337" s="111">
        <v>44228</v>
      </c>
      <c r="C337" s="110">
        <v>468.19642857142856</v>
      </c>
      <c r="D337" s="110">
        <v>22.171428571428571</v>
      </c>
      <c r="E337" s="116">
        <v>213.44749404761907</v>
      </c>
      <c r="F337" s="116">
        <v>208.81356250000002</v>
      </c>
      <c r="G337" s="116">
        <f t="shared" ref="G337:H341" si="47">E337*24</f>
        <v>5122.7398571428575</v>
      </c>
      <c r="H337" s="116">
        <f t="shared" si="47"/>
        <v>5011.5255000000006</v>
      </c>
      <c r="I337" s="113">
        <v>92.200000000000017</v>
      </c>
      <c r="J337" s="147">
        <v>61562.97</v>
      </c>
      <c r="L337" s="139"/>
    </row>
    <row r="338" spans="2:12" ht="15.6" x14ac:dyDescent="0.3">
      <c r="B338" s="111">
        <v>44256</v>
      </c>
      <c r="C338" s="110">
        <v>468.21720430107541</v>
      </c>
      <c r="D338" s="110">
        <v>22.226344086021506</v>
      </c>
      <c r="E338" s="116">
        <v>213.38546102150542</v>
      </c>
      <c r="F338" s="116">
        <v>208.79927419354846</v>
      </c>
      <c r="G338" s="116">
        <f t="shared" si="47"/>
        <v>5121.2510645161301</v>
      </c>
      <c r="H338" s="116">
        <f t="shared" si="47"/>
        <v>5011.1825806451634</v>
      </c>
      <c r="I338" s="113">
        <v>102.29900000000001</v>
      </c>
      <c r="J338" s="147">
        <v>61634.36</v>
      </c>
      <c r="L338" s="139"/>
    </row>
    <row r="339" spans="2:12" ht="15.6" x14ac:dyDescent="0.3">
      <c r="B339" s="111">
        <v>44287</v>
      </c>
      <c r="C339" s="110">
        <v>468.02305555555563</v>
      </c>
      <c r="D339" s="110">
        <v>22.104722222222222</v>
      </c>
      <c r="E339" s="116">
        <v>213.36610416666664</v>
      </c>
      <c r="F339" s="116">
        <v>208.74821388888884</v>
      </c>
      <c r="G339" s="116">
        <f t="shared" si="47"/>
        <v>5120.7864999999993</v>
      </c>
      <c r="H339" s="116">
        <f t="shared" si="47"/>
        <v>5009.9571333333324</v>
      </c>
      <c r="I339" s="113">
        <v>98.722999999999985</v>
      </c>
      <c r="J339" s="147">
        <v>61828.45</v>
      </c>
      <c r="L339" s="139"/>
    </row>
    <row r="340" spans="2:12" ht="15.6" x14ac:dyDescent="0.3">
      <c r="B340" s="111">
        <v>44317</v>
      </c>
      <c r="C340" s="110">
        <v>468.25725806451601</v>
      </c>
      <c r="D340" s="110">
        <v>22.296774193548387</v>
      </c>
      <c r="E340" s="116">
        <v>243.45163306451613</v>
      </c>
      <c r="F340" s="116">
        <v>236.95290322580641</v>
      </c>
      <c r="G340" s="116">
        <f t="shared" si="47"/>
        <v>5842.8391935483869</v>
      </c>
      <c r="H340" s="116">
        <f t="shared" si="47"/>
        <v>5686.869677419354</v>
      </c>
      <c r="I340" s="113">
        <v>101.63499999999998</v>
      </c>
      <c r="J340" s="147">
        <v>62409.13</v>
      </c>
      <c r="L340" s="139"/>
    </row>
    <row r="341" spans="2:12" ht="15.6" x14ac:dyDescent="0.3">
      <c r="B341" s="111">
        <v>44348</v>
      </c>
      <c r="C341" s="110">
        <v>417.95499999999998</v>
      </c>
      <c r="D341" s="110">
        <v>20.162222222222226</v>
      </c>
      <c r="E341" s="116">
        <v>243.41859861111118</v>
      </c>
      <c r="F341" s="116">
        <v>237.12463194444445</v>
      </c>
      <c r="G341" s="116">
        <f t="shared" si="47"/>
        <v>5842.0463666666683</v>
      </c>
      <c r="H341" s="116">
        <f t="shared" si="47"/>
        <v>5690.9911666666667</v>
      </c>
      <c r="I341" s="113">
        <v>97.881999999999991</v>
      </c>
      <c r="J341" s="147">
        <v>62650.09</v>
      </c>
      <c r="L341" s="139"/>
    </row>
    <row r="342" spans="2:12" x14ac:dyDescent="0.25">
      <c r="J342" s="151"/>
    </row>
    <row r="343" spans="2:12" ht="31.8" customHeight="1" x14ac:dyDescent="0.25">
      <c r="B343" s="157" t="s">
        <v>254</v>
      </c>
      <c r="C343" s="157"/>
      <c r="D343" s="157"/>
      <c r="E343" s="157"/>
    </row>
    <row r="344" spans="2:12" ht="15.6" x14ac:dyDescent="0.3">
      <c r="B344" s="154" t="s">
        <v>277</v>
      </c>
      <c r="C344" s="154"/>
      <c r="D344" s="154"/>
      <c r="E344" s="108"/>
      <c r="F344" s="108"/>
      <c r="G344" s="108"/>
      <c r="H344" s="108"/>
      <c r="I344" s="141"/>
      <c r="J344" s="146"/>
    </row>
    <row r="345" spans="2:12" ht="18.600000000000001" x14ac:dyDescent="0.3">
      <c r="B345" s="109" t="s">
        <v>278</v>
      </c>
      <c r="C345" s="110" t="s">
        <v>279</v>
      </c>
      <c r="D345" s="109" t="s">
        <v>280</v>
      </c>
      <c r="E345" s="109" t="s">
        <v>288</v>
      </c>
      <c r="F345" s="109" t="s">
        <v>289</v>
      </c>
      <c r="G345" s="109" t="s">
        <v>281</v>
      </c>
      <c r="H345" s="109" t="s">
        <v>282</v>
      </c>
      <c r="I345" s="113" t="s">
        <v>283</v>
      </c>
      <c r="J345" s="147" t="s">
        <v>284</v>
      </c>
    </row>
    <row r="346" spans="2:12" ht="15.6" x14ac:dyDescent="0.3">
      <c r="B346" s="111">
        <v>44075</v>
      </c>
      <c r="C346" s="110">
        <v>325.61</v>
      </c>
      <c r="D346" s="110">
        <v>15.567083333333334</v>
      </c>
      <c r="E346" s="116">
        <v>243.47387291666664</v>
      </c>
      <c r="F346" s="116">
        <v>237.20849375000003</v>
      </c>
      <c r="G346" s="116">
        <f>E346*24</f>
        <v>5843.372949999999</v>
      </c>
      <c r="H346" s="116">
        <f>F346*24</f>
        <v>5693.003850000001</v>
      </c>
      <c r="I346" s="113">
        <v>65.986999999999995</v>
      </c>
      <c r="J346" s="147">
        <v>51888.26</v>
      </c>
      <c r="L346" s="139"/>
    </row>
    <row r="347" spans="2:12" ht="15.6" x14ac:dyDescent="0.3">
      <c r="B347" s="111">
        <v>44105</v>
      </c>
      <c r="C347" s="110">
        <v>325.71989247311831</v>
      </c>
      <c r="D347" s="110">
        <v>15.057526881720429</v>
      </c>
      <c r="E347" s="116">
        <v>243.39654301075271</v>
      </c>
      <c r="F347" s="116">
        <v>236.89911693548387</v>
      </c>
      <c r="G347" s="116">
        <f t="shared" ref="G347:H349" si="48">E347*24</f>
        <v>5841.5170322580652</v>
      </c>
      <c r="H347" s="116">
        <f t="shared" si="48"/>
        <v>5685.5788064516128</v>
      </c>
      <c r="I347" s="113">
        <v>99.778999999999996</v>
      </c>
      <c r="J347" s="147">
        <v>61773.02</v>
      </c>
      <c r="L347" s="139"/>
    </row>
    <row r="348" spans="2:12" ht="15.6" x14ac:dyDescent="0.3">
      <c r="B348" s="111">
        <v>44136</v>
      </c>
      <c r="C348" s="110">
        <v>325.43638888888887</v>
      </c>
      <c r="D348" s="110">
        <v>15.536388888888888</v>
      </c>
      <c r="E348" s="116">
        <v>213.4209027777778</v>
      </c>
      <c r="F348" s="116">
        <v>208.74501250000003</v>
      </c>
      <c r="G348" s="116">
        <f t="shared" si="48"/>
        <v>5122.1016666666674</v>
      </c>
      <c r="H348" s="116">
        <f t="shared" si="48"/>
        <v>5009.8803000000007</v>
      </c>
      <c r="I348" s="113">
        <v>96.885000000000005</v>
      </c>
      <c r="J348" s="147">
        <v>61621.89</v>
      </c>
      <c r="L348" s="139"/>
    </row>
    <row r="349" spans="2:12" ht="15.6" x14ac:dyDescent="0.3">
      <c r="B349" s="111">
        <v>44166</v>
      </c>
      <c r="C349" s="110">
        <v>325.43602150537629</v>
      </c>
      <c r="D349" s="110">
        <v>15.136559139784946</v>
      </c>
      <c r="E349" s="116">
        <v>213.4284623655914</v>
      </c>
      <c r="F349" s="116">
        <v>208.80849059139783</v>
      </c>
      <c r="G349" s="116">
        <f t="shared" si="48"/>
        <v>5122.2830967741938</v>
      </c>
      <c r="H349" s="116">
        <f t="shared" si="48"/>
        <v>5011.4037741935481</v>
      </c>
      <c r="I349" s="113">
        <v>101.17399999999999</v>
      </c>
      <c r="J349" s="147">
        <v>62049.25</v>
      </c>
      <c r="L349" s="139"/>
    </row>
    <row r="350" spans="2:12" ht="15.6" x14ac:dyDescent="0.3">
      <c r="B350" s="155" t="s">
        <v>285</v>
      </c>
      <c r="C350" s="155"/>
      <c r="D350" s="155"/>
      <c r="E350" s="108"/>
      <c r="F350" s="108"/>
      <c r="G350" s="108"/>
      <c r="H350" s="108"/>
      <c r="I350" s="141"/>
      <c r="J350" s="150"/>
      <c r="L350" s="139"/>
    </row>
    <row r="351" spans="2:12" ht="18.600000000000001" x14ac:dyDescent="0.3">
      <c r="B351" s="109" t="s">
        <v>278</v>
      </c>
      <c r="C351" s="110" t="s">
        <v>279</v>
      </c>
      <c r="D351" s="109" t="s">
        <v>280</v>
      </c>
      <c r="E351" s="109" t="s">
        <v>288</v>
      </c>
      <c r="F351" s="109" t="s">
        <v>289</v>
      </c>
      <c r="G351" s="109" t="s">
        <v>281</v>
      </c>
      <c r="H351" s="109" t="s">
        <v>282</v>
      </c>
      <c r="I351" s="113" t="s">
        <v>283</v>
      </c>
      <c r="J351" s="147" t="s">
        <v>284</v>
      </c>
      <c r="L351" s="139"/>
    </row>
    <row r="352" spans="2:12" ht="15.6" x14ac:dyDescent="0.3">
      <c r="B352" s="111">
        <v>44197</v>
      </c>
      <c r="C352" s="110">
        <v>325.77526881720433</v>
      </c>
      <c r="D352" s="110">
        <v>15.431720430107529</v>
      </c>
      <c r="E352" s="116">
        <v>213.39095833333334</v>
      </c>
      <c r="F352" s="116">
        <v>208.87365322580649</v>
      </c>
      <c r="G352" s="116">
        <f>E352*24</f>
        <v>5121.3829999999998</v>
      </c>
      <c r="H352" s="116">
        <f>F352*24</f>
        <v>5012.9676774193558</v>
      </c>
      <c r="I352" s="113">
        <v>100.12100000000001</v>
      </c>
      <c r="J352" s="147">
        <v>61692.28</v>
      </c>
      <c r="L352" s="139"/>
    </row>
    <row r="353" spans="2:12" ht="15.6" x14ac:dyDescent="0.3">
      <c r="B353" s="111">
        <v>44228</v>
      </c>
      <c r="C353" s="110">
        <v>325.51101190476186</v>
      </c>
      <c r="D353" s="110">
        <v>15.704166666666662</v>
      </c>
      <c r="E353" s="116">
        <v>213.35400148809524</v>
      </c>
      <c r="F353" s="116">
        <v>208.75930357142857</v>
      </c>
      <c r="G353" s="116">
        <f t="shared" ref="G353:H363" si="49">E353*24</f>
        <v>5120.4960357142854</v>
      </c>
      <c r="H353" s="116">
        <f t="shared" si="49"/>
        <v>5010.2232857142862</v>
      </c>
      <c r="I353" s="113">
        <v>89.494</v>
      </c>
      <c r="J353" s="147">
        <v>61659.09</v>
      </c>
      <c r="L353" s="139"/>
    </row>
    <row r="354" spans="2:12" ht="15.6" x14ac:dyDescent="0.3">
      <c r="B354" s="111">
        <v>44256</v>
      </c>
      <c r="C354" s="110">
        <v>325.75161290322586</v>
      </c>
      <c r="D354" s="110">
        <v>15.425537634408602</v>
      </c>
      <c r="E354" s="116">
        <v>213.35389381720429</v>
      </c>
      <c r="F354" s="116">
        <v>208.79435349462372</v>
      </c>
      <c r="G354" s="116">
        <f t="shared" si="49"/>
        <v>5120.4934516129033</v>
      </c>
      <c r="H354" s="116">
        <f t="shared" si="49"/>
        <v>5011.0644838709695</v>
      </c>
      <c r="I354" s="113">
        <v>99.578000000000017</v>
      </c>
      <c r="J354" s="147">
        <v>61754.28</v>
      </c>
      <c r="L354" s="139"/>
    </row>
    <row r="355" spans="2:12" ht="15.6" x14ac:dyDescent="0.3">
      <c r="B355" s="111">
        <v>44287</v>
      </c>
      <c r="C355" s="110">
        <v>325.53534482758624</v>
      </c>
      <c r="D355" s="110">
        <v>15.575574712643679</v>
      </c>
      <c r="E355" s="116">
        <v>213.44348055555554</v>
      </c>
      <c r="F355" s="116">
        <v>208.73151944444444</v>
      </c>
      <c r="G355" s="116">
        <f t="shared" si="49"/>
        <v>5122.6435333333329</v>
      </c>
      <c r="H355" s="116">
        <f t="shared" si="49"/>
        <v>5009.5564666666669</v>
      </c>
      <c r="I355" s="113">
        <v>97.911999999999992</v>
      </c>
      <c r="J355" s="147">
        <v>61583.42</v>
      </c>
      <c r="L355" s="139"/>
    </row>
    <row r="356" spans="2:12" ht="15.6" x14ac:dyDescent="0.3">
      <c r="B356" s="111">
        <v>44317</v>
      </c>
      <c r="C356" s="110">
        <v>325.54139784946227</v>
      </c>
      <c r="D356" s="110">
        <v>15.526344086021506</v>
      </c>
      <c r="E356" s="116">
        <v>243.38552284946238</v>
      </c>
      <c r="F356" s="116">
        <v>237.0055376344086</v>
      </c>
      <c r="G356" s="116">
        <f t="shared" si="49"/>
        <v>5841.2525483870968</v>
      </c>
      <c r="H356" s="116">
        <f t="shared" si="49"/>
        <v>5688.1329032258063</v>
      </c>
      <c r="I356" s="113">
        <v>98.311000000000007</v>
      </c>
      <c r="J356" s="147">
        <v>62105.75</v>
      </c>
      <c r="L356" s="139"/>
    </row>
    <row r="357" spans="2:12" ht="15.6" x14ac:dyDescent="0.3">
      <c r="B357" s="111">
        <v>44348</v>
      </c>
      <c r="C357" s="110">
        <v>295.87888888888887</v>
      </c>
      <c r="D357" s="110">
        <v>15.454722222222227</v>
      </c>
      <c r="E357" s="116">
        <v>243.36642222222221</v>
      </c>
      <c r="F357" s="116">
        <v>236.97540555555557</v>
      </c>
      <c r="G357" s="116">
        <f t="shared" si="49"/>
        <v>5840.7941333333329</v>
      </c>
      <c r="H357" s="116">
        <f t="shared" si="49"/>
        <v>5687.4097333333339</v>
      </c>
      <c r="I357" s="113">
        <v>95.262</v>
      </c>
      <c r="J357" s="147">
        <v>62074.37</v>
      </c>
      <c r="L357" s="139"/>
    </row>
    <row r="358" spans="2:12" ht="15.6" x14ac:dyDescent="0.3">
      <c r="B358" s="111">
        <v>44378</v>
      </c>
      <c r="C358" s="110">
        <v>295.91021505376341</v>
      </c>
      <c r="D358" s="110">
        <v>14.877419354838711</v>
      </c>
      <c r="E358" s="116">
        <v>243.36795161290323</v>
      </c>
      <c r="F358" s="116">
        <v>236.89574865591396</v>
      </c>
      <c r="G358" s="116">
        <f t="shared" si="49"/>
        <v>5840.8308387096777</v>
      </c>
      <c r="H358" s="116">
        <f t="shared" si="49"/>
        <v>5685.4979677419351</v>
      </c>
      <c r="I358" s="113">
        <v>99.47</v>
      </c>
      <c r="J358" s="147">
        <v>61770.23</v>
      </c>
      <c r="L358" s="139"/>
    </row>
    <row r="359" spans="2:12" ht="15.6" x14ac:dyDescent="0.3">
      <c r="B359" s="111">
        <v>44409</v>
      </c>
      <c r="C359" s="110">
        <v>295.85752688172039</v>
      </c>
      <c r="D359" s="110">
        <v>15.18467741935484</v>
      </c>
      <c r="E359" s="116">
        <v>243.35693548387093</v>
      </c>
      <c r="F359" s="116">
        <v>237.16606720430107</v>
      </c>
      <c r="G359" s="116">
        <f t="shared" si="49"/>
        <v>5840.5664516129018</v>
      </c>
      <c r="H359" s="116">
        <f t="shared" si="49"/>
        <v>5691.985612903226</v>
      </c>
      <c r="I359" s="113">
        <v>99.658999999999978</v>
      </c>
      <c r="J359" s="147">
        <v>62421.91</v>
      </c>
      <c r="L359" s="139"/>
    </row>
    <row r="360" spans="2:12" ht="15.6" x14ac:dyDescent="0.3">
      <c r="B360" s="111">
        <v>44440</v>
      </c>
      <c r="C360" s="110">
        <v>325.55694444444447</v>
      </c>
      <c r="D360" s="110">
        <v>15.035277777777775</v>
      </c>
      <c r="E360" s="116">
        <v>243.39078055555552</v>
      </c>
      <c r="F360" s="116">
        <v>236.90444305555553</v>
      </c>
      <c r="G360" s="116">
        <f t="shared" si="49"/>
        <v>5841.378733333333</v>
      </c>
      <c r="H360" s="116">
        <f t="shared" si="49"/>
        <v>5685.7066333333332</v>
      </c>
      <c r="I360" s="113">
        <v>97.413000000000011</v>
      </c>
      <c r="J360" s="147">
        <v>62525.67</v>
      </c>
      <c r="L360" s="139"/>
    </row>
    <row r="361" spans="2:12" ht="15.6" x14ac:dyDescent="0.3">
      <c r="B361" s="111">
        <v>44470</v>
      </c>
      <c r="C361" s="110">
        <v>325.7763440860216</v>
      </c>
      <c r="D361" s="110">
        <v>15.288172043010755</v>
      </c>
      <c r="E361" s="116">
        <v>243.36690725806446</v>
      </c>
      <c r="F361" s="116">
        <v>236.94658736559143</v>
      </c>
      <c r="G361" s="116">
        <f t="shared" si="49"/>
        <v>5840.8057741935472</v>
      </c>
      <c r="H361" s="116">
        <f t="shared" si="49"/>
        <v>5686.7180967741942</v>
      </c>
      <c r="I361" s="113">
        <v>100.864</v>
      </c>
      <c r="J361" s="147">
        <v>62350.53</v>
      </c>
      <c r="L361" s="139"/>
    </row>
    <row r="362" spans="2:12" ht="15.6" x14ac:dyDescent="0.3">
      <c r="B362" s="111">
        <v>44501</v>
      </c>
      <c r="C362" s="110">
        <v>325.59638888888884</v>
      </c>
      <c r="D362" s="110">
        <v>15.559722222222224</v>
      </c>
      <c r="E362" s="116">
        <v>213.38824444444447</v>
      </c>
      <c r="F362" s="116">
        <v>208.73438055555559</v>
      </c>
      <c r="G362" s="116">
        <f t="shared" si="49"/>
        <v>5121.3178666666672</v>
      </c>
      <c r="H362" s="116">
        <f t="shared" si="49"/>
        <v>5009.6251333333339</v>
      </c>
      <c r="I362" s="113">
        <v>96.334999999999994</v>
      </c>
      <c r="J362" s="147">
        <v>61821.16</v>
      </c>
      <c r="L362" s="139"/>
    </row>
    <row r="363" spans="2:12" ht="15.6" x14ac:dyDescent="0.3">
      <c r="B363" s="111">
        <v>44531</v>
      </c>
      <c r="C363" s="110">
        <v>325.46989247311831</v>
      </c>
      <c r="D363" s="110">
        <v>15.306182795698929</v>
      </c>
      <c r="E363" s="116">
        <v>213.46408333333332</v>
      </c>
      <c r="F363" s="116">
        <v>208.70063709677416</v>
      </c>
      <c r="G363" s="116">
        <f t="shared" si="49"/>
        <v>5123.1379999999999</v>
      </c>
      <c r="H363" s="116">
        <f t="shared" si="49"/>
        <v>5008.81529032258</v>
      </c>
      <c r="I363" s="113">
        <v>99.579000000000008</v>
      </c>
      <c r="J363" s="147">
        <v>61960.91</v>
      </c>
      <c r="L363" s="139"/>
    </row>
    <row r="364" spans="2:12" ht="15.6" x14ac:dyDescent="0.3">
      <c r="B364" s="114"/>
      <c r="C364" s="108"/>
      <c r="D364" s="108"/>
      <c r="E364" s="108"/>
      <c r="F364" s="108"/>
      <c r="G364" s="108"/>
      <c r="H364" s="108"/>
      <c r="I364" s="141"/>
      <c r="J364" s="150"/>
      <c r="L364" s="139"/>
    </row>
    <row r="365" spans="2:12" ht="15.6" x14ac:dyDescent="0.3">
      <c r="B365" s="155" t="s">
        <v>286</v>
      </c>
      <c r="C365" s="155"/>
      <c r="D365" s="155"/>
      <c r="E365" s="108"/>
      <c r="F365" s="108"/>
      <c r="G365" s="108"/>
      <c r="H365" s="108"/>
      <c r="I365" s="141"/>
      <c r="J365" s="146"/>
      <c r="L365" s="139"/>
    </row>
    <row r="366" spans="2:12" ht="18.600000000000001" x14ac:dyDescent="0.3">
      <c r="B366" s="109" t="s">
        <v>278</v>
      </c>
      <c r="C366" s="110" t="s">
        <v>279</v>
      </c>
      <c r="D366" s="109" t="s">
        <v>280</v>
      </c>
      <c r="E366" s="109" t="s">
        <v>288</v>
      </c>
      <c r="F366" s="109" t="s">
        <v>289</v>
      </c>
      <c r="G366" s="109" t="s">
        <v>281</v>
      </c>
      <c r="H366" s="109" t="s">
        <v>282</v>
      </c>
      <c r="I366" s="113" t="s">
        <v>283</v>
      </c>
      <c r="J366" s="147" t="s">
        <v>284</v>
      </c>
      <c r="L366" s="139"/>
    </row>
    <row r="367" spans="2:12" ht="15.6" x14ac:dyDescent="0.3">
      <c r="B367" s="111">
        <v>44197</v>
      </c>
      <c r="C367" s="110">
        <v>325.6771505376343</v>
      </c>
      <c r="D367" s="110">
        <v>15.531182795698927</v>
      </c>
      <c r="E367" s="116">
        <v>213.4134086021505</v>
      </c>
      <c r="F367" s="116">
        <v>208.81082526881718</v>
      </c>
      <c r="G367" s="116">
        <f>E367*24</f>
        <v>5121.9218064516117</v>
      </c>
      <c r="H367" s="116">
        <f>F367*24</f>
        <v>5011.4598064516122</v>
      </c>
      <c r="I367" s="113">
        <v>101.333</v>
      </c>
      <c r="J367" s="147">
        <v>61861.120000000003</v>
      </c>
      <c r="L367" s="139"/>
    </row>
    <row r="368" spans="2:12" ht="15.6" x14ac:dyDescent="0.3">
      <c r="B368" s="111">
        <v>44228</v>
      </c>
      <c r="C368" s="110">
        <v>325.88660714285709</v>
      </c>
      <c r="D368" s="110">
        <v>15.158928571428572</v>
      </c>
      <c r="E368" s="116">
        <v>213.36343898809528</v>
      </c>
      <c r="F368" s="116">
        <v>208.73993005952383</v>
      </c>
      <c r="G368" s="116">
        <f t="shared" ref="G368:H370" si="50">E368*24</f>
        <v>5120.722535714287</v>
      </c>
      <c r="H368" s="116">
        <f t="shared" si="50"/>
        <v>5009.7583214285714</v>
      </c>
      <c r="I368" s="113">
        <v>91.645999999999972</v>
      </c>
      <c r="J368" s="147">
        <v>62152.35</v>
      </c>
      <c r="L368" s="139"/>
    </row>
    <row r="369" spans="2:12" ht="15.6" x14ac:dyDescent="0.3">
      <c r="B369" s="111">
        <v>44256</v>
      </c>
      <c r="C369" s="110">
        <v>325.48413978494619</v>
      </c>
      <c r="D369" s="110">
        <v>15.659408602150537</v>
      </c>
      <c r="E369" s="116">
        <v>213.37092473118278</v>
      </c>
      <c r="F369" s="116">
        <v>208.84731317204299</v>
      </c>
      <c r="G369" s="116">
        <f t="shared" si="50"/>
        <v>5120.902193548387</v>
      </c>
      <c r="H369" s="116">
        <f t="shared" si="50"/>
        <v>5012.3355161290319</v>
      </c>
      <c r="I369" s="113">
        <v>100.124</v>
      </c>
      <c r="J369" s="147">
        <v>62143.49</v>
      </c>
      <c r="L369" s="139"/>
    </row>
    <row r="370" spans="2:12" ht="15.6" x14ac:dyDescent="0.3">
      <c r="B370" s="111">
        <v>44287</v>
      </c>
      <c r="C370" s="110">
        <v>325.49166666666667</v>
      </c>
      <c r="D370" s="110">
        <v>15.823888888888888</v>
      </c>
      <c r="E370" s="116">
        <v>213.45771249999999</v>
      </c>
      <c r="F370" s="116">
        <v>208.78839722222224</v>
      </c>
      <c r="G370" s="116">
        <f t="shared" si="50"/>
        <v>5122.9850999999999</v>
      </c>
      <c r="H370" s="116">
        <f t="shared" si="50"/>
        <v>5010.9215333333341</v>
      </c>
      <c r="I370" s="113">
        <v>98.20799999999997</v>
      </c>
      <c r="J370" s="147">
        <v>61850.16</v>
      </c>
      <c r="L370" s="139"/>
    </row>
    <row r="371" spans="2:12" ht="15.6" x14ac:dyDescent="0.3">
      <c r="B371" s="111">
        <v>44317</v>
      </c>
      <c r="C371" s="110">
        <v>325.3575268817205</v>
      </c>
      <c r="D371" s="110">
        <v>14.86962365591398</v>
      </c>
      <c r="E371" s="116">
        <v>243.48478629032252</v>
      </c>
      <c r="F371" s="116">
        <v>236.88453360215053</v>
      </c>
      <c r="G371" s="116">
        <f>E371*24</f>
        <v>5843.6348709677404</v>
      </c>
      <c r="H371" s="116">
        <f>F371*24</f>
        <v>5685.2288064516124</v>
      </c>
      <c r="I371" s="113">
        <v>100.489</v>
      </c>
      <c r="J371" s="147">
        <v>61599.06</v>
      </c>
      <c r="L371" s="139"/>
    </row>
    <row r="372" spans="2:12" ht="15.6" x14ac:dyDescent="0.3">
      <c r="B372" s="111">
        <v>44348</v>
      </c>
      <c r="C372" s="110">
        <v>295.58055555555563</v>
      </c>
      <c r="D372" s="110">
        <v>15.336944444444443</v>
      </c>
      <c r="E372" s="116">
        <v>243.4295875</v>
      </c>
      <c r="F372" s="116">
        <v>236.48452083333331</v>
      </c>
      <c r="G372" s="116">
        <f>E372*24</f>
        <v>5842.3100999999997</v>
      </c>
      <c r="H372" s="116">
        <f>F372*24</f>
        <v>5675.6284999999989</v>
      </c>
      <c r="I372" s="113">
        <v>97.423000000000002</v>
      </c>
      <c r="J372" s="147">
        <v>61693.760000000002</v>
      </c>
      <c r="L372" s="139"/>
    </row>
    <row r="373" spans="2:12" x14ac:dyDescent="0.25">
      <c r="J373" s="151"/>
    </row>
    <row r="374" spans="2:12" ht="31.8" customHeight="1" x14ac:dyDescent="0.25">
      <c r="B374" s="157" t="s">
        <v>255</v>
      </c>
      <c r="C374" s="157"/>
      <c r="D374" s="157"/>
      <c r="E374" s="157"/>
    </row>
    <row r="375" spans="2:12" ht="15.6" x14ac:dyDescent="0.3">
      <c r="B375" s="154" t="s">
        <v>277</v>
      </c>
      <c r="C375" s="154"/>
      <c r="D375" s="154"/>
      <c r="E375" s="108"/>
      <c r="F375" s="108"/>
      <c r="G375" s="108"/>
      <c r="H375" s="108"/>
      <c r="I375" s="141"/>
      <c r="J375" s="146"/>
    </row>
    <row r="376" spans="2:12" ht="18.600000000000001" x14ac:dyDescent="0.3">
      <c r="B376" s="109" t="s">
        <v>278</v>
      </c>
      <c r="C376" s="110" t="s">
        <v>279</v>
      </c>
      <c r="D376" s="109" t="s">
        <v>280</v>
      </c>
      <c r="E376" s="109" t="s">
        <v>288</v>
      </c>
      <c r="F376" s="109" t="s">
        <v>289</v>
      </c>
      <c r="G376" s="109" t="s">
        <v>281</v>
      </c>
      <c r="H376" s="109" t="s">
        <v>282</v>
      </c>
      <c r="I376" s="113" t="s">
        <v>283</v>
      </c>
      <c r="J376" s="147" t="s">
        <v>284</v>
      </c>
    </row>
    <row r="377" spans="2:12" ht="15.6" x14ac:dyDescent="0.3">
      <c r="B377" s="111">
        <v>44075</v>
      </c>
      <c r="C377" s="110">
        <v>515.54999999999984</v>
      </c>
      <c r="D377" s="110">
        <v>20.00921052631579</v>
      </c>
      <c r="E377" s="116">
        <v>277.36226535087718</v>
      </c>
      <c r="F377" s="116">
        <v>270.33431578947364</v>
      </c>
      <c r="G377" s="116">
        <f>E377*24</f>
        <v>6656.6943684210528</v>
      </c>
      <c r="H377" s="116">
        <f>F377*24</f>
        <v>6488.0235789473672</v>
      </c>
      <c r="I377" s="113">
        <v>78.36099999999999</v>
      </c>
      <c r="J377" s="147">
        <v>62630.45</v>
      </c>
      <c r="L377" s="139"/>
    </row>
    <row r="378" spans="2:12" ht="15.6" x14ac:dyDescent="0.3">
      <c r="B378" s="111">
        <v>44105</v>
      </c>
      <c r="C378" s="110">
        <v>515.32446236559133</v>
      </c>
      <c r="D378" s="110">
        <v>19.955913978494625</v>
      </c>
      <c r="E378" s="116">
        <v>277.45618548387097</v>
      </c>
      <c r="F378" s="116">
        <v>270.31893951612903</v>
      </c>
      <c r="G378" s="116">
        <f t="shared" ref="G378:H380" si="51">E378*24</f>
        <v>6658.9484516129032</v>
      </c>
      <c r="H378" s="116">
        <f t="shared" si="51"/>
        <v>6487.6545483870968</v>
      </c>
      <c r="I378" s="113">
        <v>131.32499999999999</v>
      </c>
      <c r="J378" s="147">
        <v>75712.72</v>
      </c>
      <c r="L378" s="139"/>
    </row>
    <row r="379" spans="2:12" ht="15.6" x14ac:dyDescent="0.3">
      <c r="B379" s="111">
        <v>44136</v>
      </c>
      <c r="C379" s="110">
        <v>515.55583333333334</v>
      </c>
      <c r="D379" s="110">
        <v>19.905555555555562</v>
      </c>
      <c r="E379" s="116">
        <v>247.54736388888887</v>
      </c>
      <c r="F379" s="116">
        <v>239.61796527777778</v>
      </c>
      <c r="G379" s="116">
        <f t="shared" si="51"/>
        <v>5941.1367333333328</v>
      </c>
      <c r="H379" s="116">
        <f t="shared" si="51"/>
        <v>5750.8311666666668</v>
      </c>
      <c r="I379" s="113">
        <v>121.459</v>
      </c>
      <c r="J379" s="147">
        <v>75136.45</v>
      </c>
      <c r="L379" s="139"/>
    </row>
    <row r="380" spans="2:12" ht="15.6" x14ac:dyDescent="0.3">
      <c r="B380" s="111">
        <v>44166</v>
      </c>
      <c r="C380" s="110">
        <v>515.56801075268822</v>
      </c>
      <c r="D380" s="110">
        <v>20.403494623655909</v>
      </c>
      <c r="E380" s="116">
        <v>247.54486559139778</v>
      </c>
      <c r="F380" s="116">
        <v>239.63031048387094</v>
      </c>
      <c r="G380" s="116">
        <f t="shared" si="51"/>
        <v>5941.076774193547</v>
      </c>
      <c r="H380" s="116">
        <f t="shared" si="51"/>
        <v>5751.1274516129024</v>
      </c>
      <c r="I380" s="113">
        <v>129.30399999999997</v>
      </c>
      <c r="J380" s="147">
        <v>74730.14</v>
      </c>
      <c r="L380" s="139"/>
    </row>
    <row r="381" spans="2:12" ht="15.6" x14ac:dyDescent="0.3">
      <c r="B381" s="155" t="s">
        <v>285</v>
      </c>
      <c r="C381" s="155"/>
      <c r="D381" s="155"/>
      <c r="E381" s="108"/>
      <c r="F381" s="108"/>
      <c r="G381" s="108"/>
      <c r="H381" s="108"/>
      <c r="I381" s="141"/>
      <c r="J381" s="150"/>
      <c r="L381" s="139"/>
    </row>
    <row r="382" spans="2:12" ht="18.600000000000001" x14ac:dyDescent="0.3">
      <c r="B382" s="109" t="s">
        <v>278</v>
      </c>
      <c r="C382" s="110" t="s">
        <v>279</v>
      </c>
      <c r="D382" s="109" t="s">
        <v>280</v>
      </c>
      <c r="E382" s="109" t="s">
        <v>288</v>
      </c>
      <c r="F382" s="109" t="s">
        <v>289</v>
      </c>
      <c r="G382" s="109" t="s">
        <v>281</v>
      </c>
      <c r="H382" s="109" t="s">
        <v>282</v>
      </c>
      <c r="I382" s="113" t="s">
        <v>283</v>
      </c>
      <c r="J382" s="147" t="s">
        <v>284</v>
      </c>
      <c r="L382" s="139"/>
    </row>
    <row r="383" spans="2:12" ht="15.6" x14ac:dyDescent="0.3">
      <c r="B383" s="111">
        <v>44197</v>
      </c>
      <c r="C383" s="110">
        <v>515.48494623655904</v>
      </c>
      <c r="D383" s="110">
        <v>20.623118279569894</v>
      </c>
      <c r="E383" s="116">
        <v>247.50279569892476</v>
      </c>
      <c r="F383" s="116">
        <v>239.60499193548387</v>
      </c>
      <c r="G383" s="116">
        <f>E383*24</f>
        <v>5940.0670967741944</v>
      </c>
      <c r="H383" s="116">
        <f>F383*24</f>
        <v>5750.5198064516126</v>
      </c>
      <c r="I383" s="113">
        <v>130.89599999999999</v>
      </c>
      <c r="J383" s="147">
        <v>74898.59</v>
      </c>
      <c r="L383" s="139"/>
    </row>
    <row r="384" spans="2:12" ht="15.6" x14ac:dyDescent="0.3">
      <c r="B384" s="111">
        <v>44228</v>
      </c>
      <c r="C384" s="110">
        <v>515.34077380952385</v>
      </c>
      <c r="D384" s="110">
        <v>20.277083333333334</v>
      </c>
      <c r="E384" s="116">
        <v>247.48985416666662</v>
      </c>
      <c r="F384" s="116">
        <v>239.6130892857143</v>
      </c>
      <c r="G384" s="116">
        <f t="shared" ref="G384:H394" si="52">E384*24</f>
        <v>5939.7564999999986</v>
      </c>
      <c r="H384" s="116">
        <f t="shared" si="52"/>
        <v>5750.7141428571431</v>
      </c>
      <c r="I384" s="113">
        <v>117.02400000000002</v>
      </c>
      <c r="J384" s="147">
        <v>74608.38</v>
      </c>
      <c r="L384" s="139"/>
    </row>
    <row r="385" spans="2:12" ht="15.6" x14ac:dyDescent="0.3">
      <c r="B385" s="111">
        <v>44256</v>
      </c>
      <c r="C385" s="110">
        <v>515.58467741935476</v>
      </c>
      <c r="D385" s="110">
        <v>20.26586021505376</v>
      </c>
      <c r="E385" s="116">
        <v>247.52932123655913</v>
      </c>
      <c r="F385" s="116">
        <v>239.67486962365595</v>
      </c>
      <c r="G385" s="116">
        <f t="shared" si="52"/>
        <v>5940.7037096774193</v>
      </c>
      <c r="H385" s="116">
        <f t="shared" si="52"/>
        <v>5752.1968709677431</v>
      </c>
      <c r="I385" s="113">
        <v>130.60699999999997</v>
      </c>
      <c r="J385" s="147">
        <v>75096.59</v>
      </c>
      <c r="L385" s="139"/>
    </row>
    <row r="386" spans="2:12" ht="15.6" x14ac:dyDescent="0.3">
      <c r="B386" s="111">
        <v>44287</v>
      </c>
      <c r="C386" s="110">
        <v>515.11465517241368</v>
      </c>
      <c r="D386" s="110">
        <v>20.343103448275858</v>
      </c>
      <c r="E386" s="116">
        <v>247.52151666666663</v>
      </c>
      <c r="F386" s="116">
        <v>239.71404305555552</v>
      </c>
      <c r="G386" s="116">
        <f t="shared" si="52"/>
        <v>5940.5163999999986</v>
      </c>
      <c r="H386" s="116">
        <f t="shared" si="52"/>
        <v>5753.1370333333325</v>
      </c>
      <c r="I386" s="113">
        <v>127.66000000000001</v>
      </c>
      <c r="J386" s="147">
        <v>74935.44</v>
      </c>
      <c r="L386" s="139"/>
    </row>
    <row r="387" spans="2:12" ht="15.6" x14ac:dyDescent="0.3">
      <c r="B387" s="111">
        <v>44317</v>
      </c>
      <c r="C387" s="110">
        <v>514.91827956989243</v>
      </c>
      <c r="D387" s="110">
        <v>20.066129032258065</v>
      </c>
      <c r="E387" s="116">
        <v>277.42375672043011</v>
      </c>
      <c r="F387" s="116">
        <v>270.26768145161287</v>
      </c>
      <c r="G387" s="116">
        <f t="shared" si="52"/>
        <v>6658.1701612903225</v>
      </c>
      <c r="H387" s="116">
        <f t="shared" si="52"/>
        <v>6486.4243548387094</v>
      </c>
      <c r="I387" s="113">
        <v>129.39500000000001</v>
      </c>
      <c r="J387" s="147">
        <v>76021.179999999993</v>
      </c>
      <c r="L387" s="139"/>
    </row>
    <row r="388" spans="2:12" ht="15.6" x14ac:dyDescent="0.3">
      <c r="B388" s="111">
        <v>44348</v>
      </c>
      <c r="C388" s="110">
        <v>457.1183333333334</v>
      </c>
      <c r="D388" s="110">
        <v>19.479166666666668</v>
      </c>
      <c r="E388" s="116">
        <v>277.41870416666666</v>
      </c>
      <c r="F388" s="116">
        <v>270.34069583333331</v>
      </c>
      <c r="G388" s="116">
        <f t="shared" si="52"/>
        <v>6658.0488999999998</v>
      </c>
      <c r="H388" s="116">
        <f t="shared" si="52"/>
        <v>6488.1767</v>
      </c>
      <c r="I388" s="113">
        <v>125.065</v>
      </c>
      <c r="J388" s="147">
        <v>75469.63</v>
      </c>
      <c r="L388" s="139"/>
    </row>
    <row r="389" spans="2:12" ht="15.6" x14ac:dyDescent="0.3">
      <c r="B389" s="111">
        <v>44378</v>
      </c>
      <c r="C389" s="110">
        <v>457.10053763440868</v>
      </c>
      <c r="D389" s="110">
        <v>20.118010752688175</v>
      </c>
      <c r="E389" s="116">
        <v>277.3962298387097</v>
      </c>
      <c r="F389" s="116">
        <v>270.28094220430114</v>
      </c>
      <c r="G389" s="116">
        <f t="shared" si="52"/>
        <v>6657.5095161290328</v>
      </c>
      <c r="H389" s="116">
        <f t="shared" si="52"/>
        <v>6486.7426129032274</v>
      </c>
      <c r="I389" s="113">
        <v>128.69200000000001</v>
      </c>
      <c r="J389" s="147">
        <v>75911.22</v>
      </c>
      <c r="L389" s="139"/>
    </row>
    <row r="390" spans="2:12" ht="15.6" x14ac:dyDescent="0.3">
      <c r="B390" s="111">
        <v>44409</v>
      </c>
      <c r="C390" s="110">
        <v>456.27595307917903</v>
      </c>
      <c r="D390" s="110">
        <v>19.483284457478003</v>
      </c>
      <c r="E390" s="116">
        <v>277.34179301075267</v>
      </c>
      <c r="F390" s="116">
        <v>270.31217473118284</v>
      </c>
      <c r="G390" s="116">
        <f t="shared" si="52"/>
        <v>6656.203032258064</v>
      </c>
      <c r="H390" s="116">
        <f t="shared" si="52"/>
        <v>6487.4921935483881</v>
      </c>
      <c r="I390" s="113">
        <v>130.67000000000002</v>
      </c>
      <c r="J390" s="147">
        <v>75368.740000000005</v>
      </c>
      <c r="L390" s="139"/>
    </row>
    <row r="391" spans="2:12" ht="15.6" x14ac:dyDescent="0.3">
      <c r="B391" s="111">
        <v>44440</v>
      </c>
      <c r="C391" s="110">
        <v>515.45416666666677</v>
      </c>
      <c r="D391" s="110">
        <v>19.529722222222226</v>
      </c>
      <c r="E391" s="116">
        <v>277.34644027777779</v>
      </c>
      <c r="F391" s="116">
        <v>270.3031444444444</v>
      </c>
      <c r="G391" s="116">
        <f t="shared" si="52"/>
        <v>6656.3145666666669</v>
      </c>
      <c r="H391" s="116">
        <f t="shared" si="52"/>
        <v>6487.275466666666</v>
      </c>
      <c r="I391" s="113">
        <v>127.60899999999998</v>
      </c>
      <c r="J391" s="147">
        <v>75368.37</v>
      </c>
      <c r="L391" s="139"/>
    </row>
    <row r="392" spans="2:12" ht="15.6" x14ac:dyDescent="0.3">
      <c r="B392" s="111">
        <v>44470</v>
      </c>
      <c r="C392" s="110">
        <v>515.73360215053754</v>
      </c>
      <c r="D392" s="110">
        <v>20.55806451612904</v>
      </c>
      <c r="E392" s="116">
        <v>277.37163440860218</v>
      </c>
      <c r="F392" s="116">
        <v>270.30719489247309</v>
      </c>
      <c r="G392" s="116">
        <f t="shared" si="52"/>
        <v>6656.9192258064522</v>
      </c>
      <c r="H392" s="116">
        <f t="shared" si="52"/>
        <v>6487.3726774193547</v>
      </c>
      <c r="I392" s="113">
        <v>130.36699999999999</v>
      </c>
      <c r="J392" s="147">
        <v>75976.81</v>
      </c>
      <c r="L392" s="139"/>
    </row>
    <row r="393" spans="2:12" ht="15.6" x14ac:dyDescent="0.3">
      <c r="B393" s="111">
        <v>44501</v>
      </c>
      <c r="C393" s="110">
        <v>515.53611111111115</v>
      </c>
      <c r="D393" s="110">
        <v>20.036111111111108</v>
      </c>
      <c r="E393" s="116">
        <v>247.5291666666667</v>
      </c>
      <c r="F393" s="116">
        <v>239.66991527777779</v>
      </c>
      <c r="G393" s="116">
        <f t="shared" si="52"/>
        <v>5940.7000000000007</v>
      </c>
      <c r="H393" s="116">
        <f t="shared" si="52"/>
        <v>5752.0779666666667</v>
      </c>
      <c r="I393" s="113">
        <v>123.92399999999999</v>
      </c>
      <c r="J393" s="147">
        <v>74960.429999999993</v>
      </c>
      <c r="L393" s="139"/>
    </row>
    <row r="394" spans="2:12" ht="15.6" x14ac:dyDescent="0.3">
      <c r="B394" s="111">
        <v>44531</v>
      </c>
      <c r="C394" s="110">
        <v>515.37177419354839</v>
      </c>
      <c r="D394" s="110">
        <v>20.113440860215057</v>
      </c>
      <c r="E394" s="116">
        <v>247.52764784946237</v>
      </c>
      <c r="F394" s="116">
        <v>239.63272311827959</v>
      </c>
      <c r="G394" s="116">
        <f t="shared" si="52"/>
        <v>5940.6635483870969</v>
      </c>
      <c r="H394" s="116">
        <f t="shared" si="52"/>
        <v>5751.1853548387098</v>
      </c>
      <c r="I394" s="113">
        <v>131.262</v>
      </c>
      <c r="J394" s="147">
        <v>74871.240000000005</v>
      </c>
      <c r="L394" s="139"/>
    </row>
    <row r="395" spans="2:12" ht="15.6" x14ac:dyDescent="0.3">
      <c r="B395" s="114"/>
      <c r="C395" s="108"/>
      <c r="D395" s="108"/>
      <c r="E395" s="108"/>
      <c r="F395" s="108"/>
      <c r="G395" s="108"/>
      <c r="H395" s="108"/>
      <c r="I395" s="141"/>
      <c r="J395" s="150"/>
      <c r="L395" s="139"/>
    </row>
    <row r="396" spans="2:12" ht="15.6" x14ac:dyDescent="0.3">
      <c r="B396" s="155" t="s">
        <v>286</v>
      </c>
      <c r="C396" s="155"/>
      <c r="D396" s="155"/>
      <c r="E396" s="108"/>
      <c r="F396" s="108"/>
      <c r="G396" s="108"/>
      <c r="H396" s="108"/>
      <c r="I396" s="141"/>
      <c r="J396" s="146"/>
      <c r="L396" s="139"/>
    </row>
    <row r="397" spans="2:12" ht="18.600000000000001" x14ac:dyDescent="0.3">
      <c r="B397" s="109" t="s">
        <v>278</v>
      </c>
      <c r="C397" s="110" t="s">
        <v>279</v>
      </c>
      <c r="D397" s="109" t="s">
        <v>280</v>
      </c>
      <c r="E397" s="109" t="s">
        <v>288</v>
      </c>
      <c r="F397" s="109" t="s">
        <v>289</v>
      </c>
      <c r="G397" s="109" t="s">
        <v>281</v>
      </c>
      <c r="H397" s="109" t="s">
        <v>282</v>
      </c>
      <c r="I397" s="113" t="s">
        <v>283</v>
      </c>
      <c r="J397" s="147" t="s">
        <v>284</v>
      </c>
      <c r="L397" s="139"/>
    </row>
    <row r="398" spans="2:12" ht="15.6" x14ac:dyDescent="0.3">
      <c r="B398" s="111">
        <v>44197</v>
      </c>
      <c r="C398" s="110">
        <v>515.63736559139784</v>
      </c>
      <c r="D398" s="110">
        <v>19.913709677419355</v>
      </c>
      <c r="E398" s="116">
        <v>247.52937500000002</v>
      </c>
      <c r="F398" s="116">
        <v>239.59919623655915</v>
      </c>
      <c r="G398" s="116">
        <f>E398*24</f>
        <v>5940.7049999999999</v>
      </c>
      <c r="H398" s="116">
        <f>F398*24</f>
        <v>5750.3807096774199</v>
      </c>
      <c r="I398" s="113">
        <v>131.90699999999998</v>
      </c>
      <c r="J398" s="147">
        <v>74608.44</v>
      </c>
      <c r="L398" s="139"/>
    </row>
    <row r="399" spans="2:12" ht="15.6" x14ac:dyDescent="0.3">
      <c r="B399" s="111">
        <v>44228</v>
      </c>
      <c r="C399" s="110">
        <v>515.59821428571433</v>
      </c>
      <c r="D399" s="110">
        <v>20.051488095238092</v>
      </c>
      <c r="E399" s="116">
        <v>247.57832291666668</v>
      </c>
      <c r="F399" s="116">
        <v>239.59684970238098</v>
      </c>
      <c r="G399" s="116">
        <f t="shared" ref="G399:H403" si="53">E399*24</f>
        <v>5941.8797500000001</v>
      </c>
      <c r="H399" s="116">
        <f t="shared" si="53"/>
        <v>5750.3243928571437</v>
      </c>
      <c r="I399" s="113">
        <v>118.32099999999998</v>
      </c>
      <c r="J399" s="147">
        <v>74831.17</v>
      </c>
      <c r="L399" s="139"/>
    </row>
    <row r="400" spans="2:12" ht="15.6" x14ac:dyDescent="0.3">
      <c r="B400" s="111">
        <v>44256</v>
      </c>
      <c r="C400" s="110">
        <v>515.61209677419367</v>
      </c>
      <c r="D400" s="110">
        <v>20.82741935483871</v>
      </c>
      <c r="E400" s="116">
        <v>247.53378360215052</v>
      </c>
      <c r="F400" s="116">
        <v>239.62003494623656</v>
      </c>
      <c r="G400" s="116">
        <f t="shared" si="53"/>
        <v>5940.8108064516127</v>
      </c>
      <c r="H400" s="116">
        <f t="shared" si="53"/>
        <v>5750.8808387096778</v>
      </c>
      <c r="I400" s="113">
        <v>131.71899999999997</v>
      </c>
      <c r="J400" s="147">
        <v>74964.570000000007</v>
      </c>
      <c r="L400" s="139"/>
    </row>
    <row r="401" spans="2:12" ht="15.6" x14ac:dyDescent="0.3">
      <c r="B401" s="111">
        <v>44287</v>
      </c>
      <c r="C401" s="110">
        <v>515.5241666666667</v>
      </c>
      <c r="D401" s="110">
        <v>19.904722222222222</v>
      </c>
      <c r="E401" s="116">
        <v>247.4906569444444</v>
      </c>
      <c r="F401" s="116">
        <v>239.6761305555556</v>
      </c>
      <c r="G401" s="116">
        <f t="shared" si="53"/>
        <v>5939.7757666666657</v>
      </c>
      <c r="H401" s="116">
        <f t="shared" si="53"/>
        <v>5752.2271333333347</v>
      </c>
      <c r="I401" s="113">
        <v>124.694</v>
      </c>
      <c r="J401" s="147">
        <v>75149.759999999995</v>
      </c>
      <c r="L401" s="139"/>
    </row>
    <row r="402" spans="2:12" ht="15.6" x14ac:dyDescent="0.3">
      <c r="B402" s="111">
        <v>44317</v>
      </c>
      <c r="C402" s="110">
        <v>515.38279569892472</v>
      </c>
      <c r="D402" s="110">
        <v>20.372311827956992</v>
      </c>
      <c r="E402" s="116">
        <v>277.38956048387092</v>
      </c>
      <c r="F402" s="116">
        <v>270.27961021505376</v>
      </c>
      <c r="G402" s="116">
        <f t="shared" si="53"/>
        <v>6657.3494516129022</v>
      </c>
      <c r="H402" s="116">
        <f t="shared" si="53"/>
        <v>6486.7106451612908</v>
      </c>
      <c r="I402" s="113">
        <v>126.727</v>
      </c>
      <c r="J402" s="147">
        <v>75392.929999999993</v>
      </c>
      <c r="L402" s="139"/>
    </row>
    <row r="403" spans="2:12" ht="15.6" x14ac:dyDescent="0.3">
      <c r="B403" s="111">
        <v>44348</v>
      </c>
      <c r="C403" s="110">
        <v>456.9688888888889</v>
      </c>
      <c r="D403" s="110">
        <v>19.917222222222222</v>
      </c>
      <c r="E403" s="116">
        <v>277.34300000000007</v>
      </c>
      <c r="F403" s="116">
        <v>270.3252291666667</v>
      </c>
      <c r="G403" s="116">
        <f t="shared" si="53"/>
        <v>6656.2320000000018</v>
      </c>
      <c r="H403" s="116">
        <f t="shared" si="53"/>
        <v>6487.8055000000004</v>
      </c>
      <c r="I403" s="113">
        <v>130.63299999999998</v>
      </c>
      <c r="J403" s="147">
        <v>75727.25</v>
      </c>
      <c r="L403" s="139"/>
    </row>
    <row r="404" spans="2:12" x14ac:dyDescent="0.25">
      <c r="J404" s="151"/>
    </row>
    <row r="405" spans="2:12" ht="31.8" customHeight="1" x14ac:dyDescent="0.25">
      <c r="B405" s="157" t="s">
        <v>274</v>
      </c>
      <c r="C405" s="157"/>
      <c r="D405" s="157"/>
      <c r="E405" s="157"/>
    </row>
    <row r="406" spans="2:12" ht="15.6" x14ac:dyDescent="0.3">
      <c r="B406" s="154" t="s">
        <v>277</v>
      </c>
      <c r="C406" s="154"/>
      <c r="D406" s="154"/>
      <c r="E406" s="108"/>
      <c r="F406" s="108"/>
      <c r="G406" s="108"/>
      <c r="H406" s="108"/>
      <c r="I406" s="141"/>
      <c r="J406" s="146"/>
    </row>
    <row r="407" spans="2:12" ht="18.600000000000001" x14ac:dyDescent="0.3">
      <c r="B407" s="109" t="s">
        <v>278</v>
      </c>
      <c r="C407" s="110" t="s">
        <v>279</v>
      </c>
      <c r="D407" s="109" t="s">
        <v>280</v>
      </c>
      <c r="E407" s="109" t="s">
        <v>288</v>
      </c>
      <c r="F407" s="109" t="s">
        <v>289</v>
      </c>
      <c r="G407" s="109" t="s">
        <v>281</v>
      </c>
      <c r="H407" s="109" t="s">
        <v>282</v>
      </c>
      <c r="I407" s="113" t="s">
        <v>283</v>
      </c>
      <c r="J407" s="147" t="s">
        <v>284</v>
      </c>
    </row>
    <row r="408" spans="2:12" ht="15.6" x14ac:dyDescent="0.3">
      <c r="B408" s="111">
        <v>44075</v>
      </c>
      <c r="C408" s="110">
        <v>515.56730769230774</v>
      </c>
      <c r="D408" s="110">
        <v>20.837179487179487</v>
      </c>
      <c r="E408" s="116">
        <v>829.48271153846156</v>
      </c>
      <c r="F408" s="116">
        <v>819.44973076923065</v>
      </c>
      <c r="G408" s="116">
        <f>E408*24</f>
        <v>19907.585076923078</v>
      </c>
      <c r="H408" s="116">
        <f>F408*24</f>
        <v>19666.793538461534</v>
      </c>
      <c r="I408" s="113">
        <v>161.16500000000002</v>
      </c>
      <c r="J408" s="147">
        <v>157900.51</v>
      </c>
    </row>
    <row r="409" spans="2:12" ht="15.6" x14ac:dyDescent="0.3">
      <c r="B409" s="111">
        <v>44105</v>
      </c>
      <c r="C409" s="110">
        <v>515.14435483870977</v>
      </c>
      <c r="D409" s="110">
        <v>19.896505376344088</v>
      </c>
      <c r="E409" s="116">
        <v>829.78887903225791</v>
      </c>
      <c r="F409" s="116">
        <v>819.24473387096782</v>
      </c>
      <c r="G409" s="116">
        <f t="shared" ref="G409:H411" si="54">E409*24</f>
        <v>19914.933096774192</v>
      </c>
      <c r="H409" s="116">
        <f t="shared" si="54"/>
        <v>19661.873612903226</v>
      </c>
      <c r="I409" s="113">
        <v>400.74400000000003</v>
      </c>
      <c r="J409" s="147">
        <v>237247.06</v>
      </c>
    </row>
    <row r="410" spans="2:12" ht="15.6" x14ac:dyDescent="0.3">
      <c r="B410" s="111">
        <v>44136</v>
      </c>
      <c r="C410" s="110">
        <v>515.12888888888892</v>
      </c>
      <c r="D410" s="110">
        <v>20.316111111111116</v>
      </c>
      <c r="E410" s="116">
        <v>788.59944999999993</v>
      </c>
      <c r="F410" s="116">
        <v>777.99983888888892</v>
      </c>
      <c r="G410" s="116">
        <f t="shared" si="54"/>
        <v>18926.3868</v>
      </c>
      <c r="H410" s="116">
        <f t="shared" si="54"/>
        <v>18671.996133333334</v>
      </c>
      <c r="I410" s="113">
        <v>379.12799999999993</v>
      </c>
      <c r="J410" s="147">
        <v>235223.81</v>
      </c>
    </row>
    <row r="411" spans="2:12" ht="15.6" x14ac:dyDescent="0.3">
      <c r="B411" s="111">
        <v>44166</v>
      </c>
      <c r="C411" s="110">
        <v>515.58306451612896</v>
      </c>
      <c r="D411" s="110">
        <v>19.760215053763439</v>
      </c>
      <c r="E411" s="116">
        <v>788.66013172043006</v>
      </c>
      <c r="F411" s="116">
        <v>778.02849462365589</v>
      </c>
      <c r="G411" s="116">
        <f t="shared" si="54"/>
        <v>18927.843161290322</v>
      </c>
      <c r="H411" s="116">
        <f t="shared" si="54"/>
        <v>18672.683870967739</v>
      </c>
      <c r="I411" s="113">
        <v>400.59000000000003</v>
      </c>
      <c r="J411" s="147">
        <v>234179.38</v>
      </c>
    </row>
    <row r="412" spans="2:12" ht="15.6" x14ac:dyDescent="0.3">
      <c r="B412" s="155" t="s">
        <v>285</v>
      </c>
      <c r="C412" s="155"/>
      <c r="D412" s="155"/>
      <c r="E412" s="108"/>
      <c r="F412" s="108"/>
      <c r="G412" s="112"/>
      <c r="H412" s="108"/>
      <c r="I412" s="141"/>
      <c r="J412" s="150"/>
    </row>
    <row r="413" spans="2:12" ht="18.600000000000001" x14ac:dyDescent="0.3">
      <c r="B413" s="109" t="s">
        <v>278</v>
      </c>
      <c r="C413" s="110" t="s">
        <v>279</v>
      </c>
      <c r="D413" s="109" t="s">
        <v>280</v>
      </c>
      <c r="E413" s="109" t="s">
        <v>288</v>
      </c>
      <c r="F413" s="109" t="s">
        <v>289</v>
      </c>
      <c r="G413" s="109" t="s">
        <v>281</v>
      </c>
      <c r="H413" s="109" t="s">
        <v>282</v>
      </c>
      <c r="I413" s="113" t="s">
        <v>283</v>
      </c>
      <c r="J413" s="147" t="s">
        <v>284</v>
      </c>
    </row>
    <row r="414" spans="2:12" ht="15.6" x14ac:dyDescent="0.3">
      <c r="B414" s="111">
        <v>44197</v>
      </c>
      <c r="C414" s="110">
        <v>515.77150537634407</v>
      </c>
      <c r="D414" s="110">
        <v>20.673655913978489</v>
      </c>
      <c r="E414" s="116">
        <v>788.72748521505389</v>
      </c>
      <c r="F414" s="116">
        <v>778.05463440860217</v>
      </c>
      <c r="G414" s="116">
        <f>E414*24</f>
        <v>18929.459645161292</v>
      </c>
      <c r="H414" s="116">
        <f>F414*24</f>
        <v>18673.31122580645</v>
      </c>
      <c r="I414" s="113">
        <v>392.77499999999998</v>
      </c>
      <c r="J414" s="147">
        <v>234466.07</v>
      </c>
    </row>
    <row r="415" spans="2:12" ht="15.6" x14ac:dyDescent="0.3">
      <c r="B415" s="111">
        <v>44228</v>
      </c>
      <c r="C415" s="110">
        <v>515.72470238095229</v>
      </c>
      <c r="D415" s="110">
        <v>20.403571428571421</v>
      </c>
      <c r="E415" s="116">
        <v>788.68778571428561</v>
      </c>
      <c r="F415" s="116">
        <v>777.95002380952371</v>
      </c>
      <c r="G415" s="116">
        <f t="shared" ref="G415:H425" si="55">E415*24</f>
        <v>18928.506857142856</v>
      </c>
      <c r="H415" s="116">
        <f t="shared" si="55"/>
        <v>18670.800571428568</v>
      </c>
      <c r="I415" s="113">
        <v>354.98900000000003</v>
      </c>
      <c r="J415" s="147">
        <v>233576.07</v>
      </c>
    </row>
    <row r="416" spans="2:12" ht="15.6" x14ac:dyDescent="0.3">
      <c r="B416" s="111">
        <v>44256</v>
      </c>
      <c r="C416" s="110">
        <v>515.30994623655931</v>
      </c>
      <c r="D416" s="110">
        <v>20.337634408602153</v>
      </c>
      <c r="E416" s="116">
        <v>788.87998387096775</v>
      </c>
      <c r="F416" s="116">
        <v>778.01845026881711</v>
      </c>
      <c r="G416" s="116">
        <f t="shared" si="55"/>
        <v>18933.119612903225</v>
      </c>
      <c r="H416" s="116">
        <f t="shared" si="55"/>
        <v>18672.442806451611</v>
      </c>
      <c r="I416" s="113">
        <v>390.714</v>
      </c>
      <c r="J416" s="147">
        <v>233458.88</v>
      </c>
    </row>
    <row r="417" spans="2:10" ht="15.6" x14ac:dyDescent="0.3">
      <c r="B417" s="111">
        <v>44287</v>
      </c>
      <c r="C417" s="110">
        <v>515.10028735632181</v>
      </c>
      <c r="D417" s="110">
        <v>20.114080459770118</v>
      </c>
      <c r="E417" s="116">
        <v>788.59755555555569</v>
      </c>
      <c r="F417" s="116">
        <v>778.0455166666668</v>
      </c>
      <c r="G417" s="116">
        <f t="shared" si="55"/>
        <v>18926.341333333337</v>
      </c>
      <c r="H417" s="116">
        <f t="shared" si="55"/>
        <v>18673.092400000001</v>
      </c>
      <c r="I417" s="113">
        <v>386.66100000000006</v>
      </c>
      <c r="J417" s="147">
        <v>233510.06</v>
      </c>
    </row>
    <row r="418" spans="2:10" ht="15.6" x14ac:dyDescent="0.3">
      <c r="B418" s="111">
        <v>44317</v>
      </c>
      <c r="C418" s="110">
        <v>515.29543010752695</v>
      </c>
      <c r="D418" s="110">
        <v>20.166935483870969</v>
      </c>
      <c r="E418" s="116">
        <v>829.74537768817186</v>
      </c>
      <c r="F418" s="116">
        <v>819.23497849462376</v>
      </c>
      <c r="G418" s="116">
        <f t="shared" si="55"/>
        <v>19913.889064516123</v>
      </c>
      <c r="H418" s="116">
        <f t="shared" si="55"/>
        <v>19661.639483870971</v>
      </c>
      <c r="I418" s="113">
        <v>390.41999999999996</v>
      </c>
      <c r="J418" s="147">
        <v>237839.72</v>
      </c>
    </row>
    <row r="419" spans="2:10" ht="15.6" x14ac:dyDescent="0.3">
      <c r="B419" s="111">
        <v>44348</v>
      </c>
      <c r="C419" s="110">
        <v>456.80388888888888</v>
      </c>
      <c r="D419" s="110">
        <v>19.721666666666668</v>
      </c>
      <c r="E419" s="116">
        <v>829.7762486111111</v>
      </c>
      <c r="F419" s="116">
        <v>819.17495833333328</v>
      </c>
      <c r="G419" s="116">
        <f t="shared" si="55"/>
        <v>19914.629966666667</v>
      </c>
      <c r="H419" s="116">
        <f t="shared" si="55"/>
        <v>19660.199000000001</v>
      </c>
      <c r="I419" s="113">
        <v>377.39599999999996</v>
      </c>
      <c r="J419" s="147">
        <v>236439.27</v>
      </c>
    </row>
    <row r="420" spans="2:10" ht="15.6" x14ac:dyDescent="0.3">
      <c r="B420" s="111">
        <v>44378</v>
      </c>
      <c r="C420" s="110">
        <v>456.9258064516128</v>
      </c>
      <c r="D420" s="110">
        <v>20.290860215053762</v>
      </c>
      <c r="E420" s="116">
        <v>829.9818239247312</v>
      </c>
      <c r="F420" s="116">
        <v>819.30091263440875</v>
      </c>
      <c r="G420" s="116">
        <f t="shared" si="55"/>
        <v>19919.56377419355</v>
      </c>
      <c r="H420" s="116">
        <f t="shared" si="55"/>
        <v>19663.221903225811</v>
      </c>
      <c r="I420" s="113">
        <v>393.42500000000001</v>
      </c>
      <c r="J420" s="147">
        <v>236523.07</v>
      </c>
    </row>
    <row r="421" spans="2:10" ht="15.6" x14ac:dyDescent="0.3">
      <c r="B421" s="111">
        <v>44409</v>
      </c>
      <c r="C421" s="110">
        <v>457.03924731182798</v>
      </c>
      <c r="D421" s="110">
        <v>19.612365591397854</v>
      </c>
      <c r="E421" s="116">
        <v>829.73444354838693</v>
      </c>
      <c r="F421" s="116">
        <v>819.1189099462365</v>
      </c>
      <c r="G421" s="116">
        <f t="shared" si="55"/>
        <v>19913.626645161286</v>
      </c>
      <c r="H421" s="116">
        <f t="shared" si="55"/>
        <v>19658.853838709678</v>
      </c>
      <c r="I421" s="113">
        <v>392.16600000000005</v>
      </c>
      <c r="J421" s="147">
        <v>237748.05</v>
      </c>
    </row>
    <row r="422" spans="2:10" ht="15.6" x14ac:dyDescent="0.3">
      <c r="B422" s="111">
        <v>44440</v>
      </c>
      <c r="C422" s="110">
        <v>515.52777777777783</v>
      </c>
      <c r="D422" s="110">
        <v>20.576388888888893</v>
      </c>
      <c r="E422" s="116">
        <v>829.54647638888878</v>
      </c>
      <c r="F422" s="116">
        <v>819.32249583333328</v>
      </c>
      <c r="G422" s="116">
        <f t="shared" si="55"/>
        <v>19909.115433333332</v>
      </c>
      <c r="H422" s="116">
        <f t="shared" si="55"/>
        <v>19663.7399</v>
      </c>
      <c r="I422" s="113">
        <v>377.738</v>
      </c>
      <c r="J422" s="147">
        <v>237216.25</v>
      </c>
    </row>
    <row r="423" spans="2:10" ht="15.6" x14ac:dyDescent="0.3">
      <c r="B423" s="111">
        <v>44470</v>
      </c>
      <c r="C423" s="110">
        <v>515.76263440860214</v>
      </c>
      <c r="D423" s="110">
        <v>20.462096774193547</v>
      </c>
      <c r="E423" s="116">
        <v>829.70846505376335</v>
      </c>
      <c r="F423" s="116">
        <v>819.22644354838735</v>
      </c>
      <c r="G423" s="116">
        <f t="shared" si="55"/>
        <v>19913.003161290319</v>
      </c>
      <c r="H423" s="116">
        <f t="shared" si="55"/>
        <v>19661.434645161295</v>
      </c>
      <c r="I423" s="113">
        <v>394.10900000000004</v>
      </c>
      <c r="J423" s="147">
        <v>237690.69</v>
      </c>
    </row>
    <row r="424" spans="2:10" ht="15.6" x14ac:dyDescent="0.3">
      <c r="B424" s="111">
        <v>44501</v>
      </c>
      <c r="C424" s="110">
        <v>515.36222222222227</v>
      </c>
      <c r="D424" s="110">
        <v>20.317499999999995</v>
      </c>
      <c r="E424" s="116">
        <v>788.69496944444461</v>
      </c>
      <c r="F424" s="116">
        <v>778.01066388888887</v>
      </c>
      <c r="G424" s="116">
        <f t="shared" si="55"/>
        <v>18928.67926666667</v>
      </c>
      <c r="H424" s="116">
        <f t="shared" si="55"/>
        <v>18672.255933333334</v>
      </c>
      <c r="I424" s="113">
        <v>385.31899999999996</v>
      </c>
      <c r="J424" s="147">
        <v>234192.89</v>
      </c>
    </row>
    <row r="425" spans="2:10" ht="15.6" x14ac:dyDescent="0.3">
      <c r="B425" s="111">
        <v>44531</v>
      </c>
      <c r="C425" s="110">
        <v>515.778494623656</v>
      </c>
      <c r="D425" s="110">
        <v>19.863172043010749</v>
      </c>
      <c r="E425" s="116">
        <v>788.71698387096762</v>
      </c>
      <c r="F425" s="116">
        <v>778.1134045698924</v>
      </c>
      <c r="G425" s="116">
        <f t="shared" si="55"/>
        <v>18929.207612903221</v>
      </c>
      <c r="H425" s="116">
        <f t="shared" si="55"/>
        <v>18674.721709677418</v>
      </c>
      <c r="I425" s="113">
        <v>401.322</v>
      </c>
      <c r="J425" s="147">
        <v>234074.48</v>
      </c>
    </row>
    <row r="426" spans="2:10" ht="15.6" x14ac:dyDescent="0.3">
      <c r="B426" s="114"/>
      <c r="C426" s="108"/>
      <c r="D426" s="108"/>
      <c r="E426" s="108"/>
      <c r="F426" s="108"/>
      <c r="G426" s="108"/>
      <c r="H426" s="108"/>
      <c r="I426" s="141"/>
      <c r="J426" s="148"/>
    </row>
    <row r="427" spans="2:10" ht="15.6" x14ac:dyDescent="0.3">
      <c r="B427" s="155" t="s">
        <v>286</v>
      </c>
      <c r="C427" s="155"/>
      <c r="D427" s="155"/>
      <c r="E427" s="108"/>
      <c r="F427" s="108"/>
      <c r="G427" s="108"/>
      <c r="H427" s="108"/>
      <c r="I427" s="141"/>
      <c r="J427" s="146"/>
    </row>
    <row r="428" spans="2:10" ht="18.600000000000001" x14ac:dyDescent="0.3">
      <c r="B428" s="109" t="s">
        <v>278</v>
      </c>
      <c r="C428" s="110" t="s">
        <v>279</v>
      </c>
      <c r="D428" s="109" t="s">
        <v>280</v>
      </c>
      <c r="E428" s="109" t="s">
        <v>288</v>
      </c>
      <c r="F428" s="109" t="s">
        <v>289</v>
      </c>
      <c r="G428" s="109" t="s">
        <v>281</v>
      </c>
      <c r="H428" s="109" t="s">
        <v>282</v>
      </c>
      <c r="I428" s="113" t="s">
        <v>283</v>
      </c>
      <c r="J428" s="147" t="s">
        <v>284</v>
      </c>
    </row>
    <row r="429" spans="2:10" ht="15.6" x14ac:dyDescent="0.3">
      <c r="B429" s="111">
        <v>44197</v>
      </c>
      <c r="C429" s="110">
        <v>515.4989247311828</v>
      </c>
      <c r="D429" s="110">
        <v>20.290053763440863</v>
      </c>
      <c r="E429" s="116">
        <v>788.73192741935486</v>
      </c>
      <c r="F429" s="116">
        <v>778.1109852150538</v>
      </c>
      <c r="G429" s="116">
        <f>E429*24</f>
        <v>18929.566258064515</v>
      </c>
      <c r="H429" s="116">
        <f>F429*24</f>
        <v>18674.66364516129</v>
      </c>
      <c r="I429" s="113">
        <v>396.90699999999987</v>
      </c>
      <c r="J429" s="147">
        <v>234818.79</v>
      </c>
    </row>
    <row r="430" spans="2:10" ht="15.6" x14ac:dyDescent="0.3">
      <c r="B430" s="111">
        <v>44228</v>
      </c>
      <c r="C430" s="110">
        <v>515.50595238095241</v>
      </c>
      <c r="D430" s="110">
        <v>20.190476190476193</v>
      </c>
      <c r="E430" s="116">
        <v>788.86665773809534</v>
      </c>
      <c r="F430" s="116">
        <v>778.19534970238089</v>
      </c>
      <c r="G430" s="116">
        <f t="shared" ref="G430:H434" si="56">E430*24</f>
        <v>18932.799785714287</v>
      </c>
      <c r="H430" s="116">
        <f t="shared" si="56"/>
        <v>18676.688392857141</v>
      </c>
      <c r="I430" s="113">
        <v>358.44200000000001</v>
      </c>
      <c r="J430" s="147">
        <v>235647.93</v>
      </c>
    </row>
    <row r="431" spans="2:10" ht="15.6" x14ac:dyDescent="0.3">
      <c r="B431" s="111">
        <v>44256</v>
      </c>
      <c r="C431" s="110">
        <v>515.34650537634411</v>
      </c>
      <c r="D431" s="110">
        <v>20.199731182795702</v>
      </c>
      <c r="E431" s="116">
        <v>788.71890725806475</v>
      </c>
      <c r="F431" s="116">
        <v>778.23476747311827</v>
      </c>
      <c r="G431" s="116">
        <f t="shared" si="56"/>
        <v>18929.253774193552</v>
      </c>
      <c r="H431" s="116">
        <f t="shared" si="56"/>
        <v>18677.634419354839</v>
      </c>
      <c r="I431" s="113">
        <v>391.78399999999988</v>
      </c>
      <c r="J431" s="147">
        <v>235129.14</v>
      </c>
    </row>
    <row r="432" spans="2:10" ht="15.6" x14ac:dyDescent="0.3">
      <c r="B432" s="111">
        <v>44287</v>
      </c>
      <c r="C432" s="110">
        <v>515.30861111111108</v>
      </c>
      <c r="D432" s="110">
        <v>20.666111111111107</v>
      </c>
      <c r="E432" s="116">
        <v>788.45999444444453</v>
      </c>
      <c r="F432" s="116">
        <v>777.93367361111098</v>
      </c>
      <c r="G432" s="116">
        <f t="shared" si="56"/>
        <v>18923.03986666667</v>
      </c>
      <c r="H432" s="116">
        <f t="shared" si="56"/>
        <v>18670.408166666664</v>
      </c>
      <c r="I432" s="113">
        <v>378.74599999999987</v>
      </c>
      <c r="J432" s="149">
        <v>234398.1</v>
      </c>
    </row>
    <row r="433" spans="2:12" ht="15.6" x14ac:dyDescent="0.3">
      <c r="B433" s="111">
        <v>44317</v>
      </c>
      <c r="C433" s="110">
        <v>515.55618279569876</v>
      </c>
      <c r="D433" s="110">
        <v>20.26586021505376</v>
      </c>
      <c r="E433" s="116">
        <v>829.5568185483869</v>
      </c>
      <c r="F433" s="116">
        <v>819.30650268817169</v>
      </c>
      <c r="G433" s="116">
        <f t="shared" si="56"/>
        <v>19909.363645161284</v>
      </c>
      <c r="H433" s="116">
        <f t="shared" si="56"/>
        <v>19663.35606451612</v>
      </c>
      <c r="I433" s="113">
        <v>395.78399999999993</v>
      </c>
      <c r="J433" s="149">
        <v>237443.8</v>
      </c>
    </row>
    <row r="434" spans="2:12" ht="15.6" x14ac:dyDescent="0.3">
      <c r="B434" s="111">
        <v>44348</v>
      </c>
      <c r="C434" s="110">
        <v>457.09</v>
      </c>
      <c r="D434" s="110">
        <v>20.083611111111111</v>
      </c>
      <c r="E434" s="116">
        <v>873.87363333333326</v>
      </c>
      <c r="F434" s="116">
        <v>860.53775555555546</v>
      </c>
      <c r="G434" s="116">
        <f t="shared" si="56"/>
        <v>20972.967199999999</v>
      </c>
      <c r="H434" s="116">
        <f t="shared" si="56"/>
        <v>20652.90613333333</v>
      </c>
      <c r="I434" s="113">
        <v>377.60300000000012</v>
      </c>
      <c r="J434" s="149">
        <v>237116.02600000001</v>
      </c>
    </row>
    <row r="435" spans="2:12" x14ac:dyDescent="0.25">
      <c r="J435" s="152"/>
    </row>
    <row r="436" spans="2:12" ht="31.8" customHeight="1" x14ac:dyDescent="0.25">
      <c r="B436" s="157" t="s">
        <v>257</v>
      </c>
      <c r="C436" s="157"/>
      <c r="D436" s="157"/>
      <c r="E436" s="157"/>
    </row>
    <row r="437" spans="2:12" ht="15.6" x14ac:dyDescent="0.3">
      <c r="B437" s="154" t="s">
        <v>277</v>
      </c>
      <c r="C437" s="154"/>
      <c r="D437" s="154"/>
      <c r="E437" s="108"/>
      <c r="F437" s="108"/>
      <c r="G437" s="108"/>
      <c r="H437" s="108"/>
      <c r="I437" s="141"/>
      <c r="J437" s="146"/>
    </row>
    <row r="438" spans="2:12" ht="18.600000000000001" x14ac:dyDescent="0.3">
      <c r="B438" s="109" t="s">
        <v>278</v>
      </c>
      <c r="C438" s="110" t="s">
        <v>279</v>
      </c>
      <c r="D438" s="109" t="s">
        <v>280</v>
      </c>
      <c r="E438" s="109" t="s">
        <v>288</v>
      </c>
      <c r="F438" s="109" t="s">
        <v>289</v>
      </c>
      <c r="G438" s="109" t="s">
        <v>281</v>
      </c>
      <c r="H438" s="109" t="s">
        <v>282</v>
      </c>
      <c r="I438" s="113" t="s">
        <v>283</v>
      </c>
      <c r="J438" s="147" t="s">
        <v>284</v>
      </c>
    </row>
    <row r="439" spans="2:12" ht="15.6" x14ac:dyDescent="0.3">
      <c r="B439" s="111">
        <v>44075</v>
      </c>
      <c r="C439" s="110">
        <v>515.3992424242424</v>
      </c>
      <c r="D439" s="110">
        <v>19.768939393939394</v>
      </c>
      <c r="E439" s="116">
        <v>873.99742803030313</v>
      </c>
      <c r="F439" s="116">
        <v>860.41175378787887</v>
      </c>
      <c r="G439" s="116">
        <f>E439*24</f>
        <v>20975.938272727275</v>
      </c>
      <c r="H439" s="116">
        <f>F439*24</f>
        <v>20649.882090909094</v>
      </c>
      <c r="I439" s="113">
        <v>137.75299999999999</v>
      </c>
      <c r="J439" s="147">
        <v>148401.04999999999</v>
      </c>
      <c r="L439" s="139"/>
    </row>
    <row r="440" spans="2:12" ht="15.6" x14ac:dyDescent="0.3">
      <c r="B440" s="111">
        <v>44105</v>
      </c>
      <c r="C440" s="110">
        <v>515.68360215053758</v>
      </c>
      <c r="D440" s="110">
        <v>19.798118279569895</v>
      </c>
      <c r="E440" s="116">
        <v>873.96887499999991</v>
      </c>
      <c r="F440" s="116">
        <v>860.48763844086034</v>
      </c>
      <c r="G440" s="116">
        <f t="shared" ref="G440:H442" si="57">E440*24</f>
        <v>20975.252999999997</v>
      </c>
      <c r="H440" s="116">
        <f t="shared" si="57"/>
        <v>20651.703322580648</v>
      </c>
      <c r="I440" s="113">
        <v>375.48900000000003</v>
      </c>
      <c r="J440" s="147">
        <v>238550.96</v>
      </c>
      <c r="L440" s="139"/>
    </row>
    <row r="441" spans="2:12" ht="15.6" x14ac:dyDescent="0.3">
      <c r="B441" s="111">
        <v>44136</v>
      </c>
      <c r="C441" s="110">
        <v>515.59500000000003</v>
      </c>
      <c r="D441" s="110">
        <v>20.171944444444446</v>
      </c>
      <c r="E441" s="116">
        <v>844.16027222222226</v>
      </c>
      <c r="F441" s="116">
        <v>830.83523333333335</v>
      </c>
      <c r="G441" s="116">
        <f t="shared" si="57"/>
        <v>20259.846533333333</v>
      </c>
      <c r="H441" s="116">
        <f t="shared" si="57"/>
        <v>19940.045600000001</v>
      </c>
      <c r="I441" s="113">
        <v>375.17599999999993</v>
      </c>
      <c r="J441" s="147">
        <v>236095.34</v>
      </c>
      <c r="L441" s="139"/>
    </row>
    <row r="442" spans="2:12" ht="15.6" x14ac:dyDescent="0.3">
      <c r="B442" s="111">
        <v>44166</v>
      </c>
      <c r="C442" s="110">
        <v>515.50887096774193</v>
      </c>
      <c r="D442" s="110">
        <v>20.68118279569892</v>
      </c>
      <c r="E442" s="116">
        <v>844.35269354838715</v>
      </c>
      <c r="F442" s="116">
        <v>830.81040860215057</v>
      </c>
      <c r="G442" s="116">
        <f t="shared" si="57"/>
        <v>20264.464645161293</v>
      </c>
      <c r="H442" s="116">
        <f t="shared" si="57"/>
        <v>19939.449806451616</v>
      </c>
      <c r="I442" s="113">
        <v>381.51200000000006</v>
      </c>
      <c r="J442" s="147">
        <v>237397.85</v>
      </c>
      <c r="L442" s="139"/>
    </row>
    <row r="443" spans="2:12" ht="15.6" x14ac:dyDescent="0.3">
      <c r="B443" s="155" t="s">
        <v>285</v>
      </c>
      <c r="C443" s="155"/>
      <c r="D443" s="155"/>
      <c r="E443" s="108"/>
      <c r="F443" s="108"/>
      <c r="G443" s="108"/>
      <c r="H443" s="108"/>
      <c r="I443" s="141"/>
      <c r="J443" s="148"/>
      <c r="L443" s="139"/>
    </row>
    <row r="444" spans="2:12" ht="18.600000000000001" x14ac:dyDescent="0.3">
      <c r="B444" s="109" t="s">
        <v>278</v>
      </c>
      <c r="C444" s="110" t="s">
        <v>279</v>
      </c>
      <c r="D444" s="109" t="s">
        <v>280</v>
      </c>
      <c r="E444" s="109" t="s">
        <v>288</v>
      </c>
      <c r="F444" s="109" t="s">
        <v>289</v>
      </c>
      <c r="G444" s="109" t="s">
        <v>281</v>
      </c>
      <c r="H444" s="109" t="s">
        <v>282</v>
      </c>
      <c r="I444" s="113" t="s">
        <v>283</v>
      </c>
      <c r="J444" s="147" t="s">
        <v>284</v>
      </c>
      <c r="L444" s="139"/>
    </row>
    <row r="445" spans="2:12" ht="15.6" x14ac:dyDescent="0.3">
      <c r="B445" s="111">
        <v>44197</v>
      </c>
      <c r="C445" s="110">
        <v>515.29220430107534</v>
      </c>
      <c r="D445" s="110">
        <v>20.136290322580646</v>
      </c>
      <c r="E445" s="116">
        <v>844.21095698924739</v>
      </c>
      <c r="F445" s="116">
        <v>830.72931451612897</v>
      </c>
      <c r="G445" s="116">
        <f>E445*24</f>
        <v>20261.062967741938</v>
      </c>
      <c r="H445" s="116">
        <f>F445*24</f>
        <v>19937.503548387096</v>
      </c>
      <c r="I445" s="113">
        <v>381.60500000000013</v>
      </c>
      <c r="J445" s="147">
        <v>237254.15</v>
      </c>
      <c r="L445" s="139"/>
    </row>
    <row r="446" spans="2:12" ht="15.6" x14ac:dyDescent="0.3">
      <c r="B446" s="111">
        <v>44228</v>
      </c>
      <c r="C446" s="115">
        <v>515.4354166666667</v>
      </c>
      <c r="D446" s="115">
        <v>20.586607142857137</v>
      </c>
      <c r="E446" s="116">
        <v>844.02212648809507</v>
      </c>
      <c r="F446" s="116">
        <v>830.68959672619064</v>
      </c>
      <c r="G446" s="116">
        <f t="shared" ref="G446:H456" si="58">E446*24</f>
        <v>20256.531035714281</v>
      </c>
      <c r="H446" s="116">
        <f t="shared" si="58"/>
        <v>19936.550321428575</v>
      </c>
      <c r="I446" s="113">
        <v>347.83799999999997</v>
      </c>
      <c r="J446" s="147">
        <v>237772.68</v>
      </c>
      <c r="L446" s="139"/>
    </row>
    <row r="447" spans="2:12" ht="15.6" x14ac:dyDescent="0.3">
      <c r="B447" s="111">
        <v>44256</v>
      </c>
      <c r="C447" s="110">
        <v>515.27930107526879</v>
      </c>
      <c r="D447" s="110">
        <v>20.743010752688175</v>
      </c>
      <c r="E447" s="116">
        <v>844.1621639784945</v>
      </c>
      <c r="F447" s="116">
        <v>830.80125403225816</v>
      </c>
      <c r="G447" s="116">
        <f t="shared" si="58"/>
        <v>20259.891935483869</v>
      </c>
      <c r="H447" s="116">
        <f t="shared" si="58"/>
        <v>19939.230096774198</v>
      </c>
      <c r="I447" s="113">
        <v>378.40800000000007</v>
      </c>
      <c r="J447" s="147">
        <v>236943.24</v>
      </c>
      <c r="L447" s="139"/>
    </row>
    <row r="448" spans="2:12" ht="15.6" x14ac:dyDescent="0.3">
      <c r="B448" s="111">
        <v>44287</v>
      </c>
      <c r="C448" s="110">
        <v>515.39166666666677</v>
      </c>
      <c r="D448" s="110">
        <v>20.475574712643677</v>
      </c>
      <c r="E448" s="116">
        <v>844.19221388888923</v>
      </c>
      <c r="F448" s="116">
        <v>830.83972638888906</v>
      </c>
      <c r="G448" s="116">
        <f t="shared" si="58"/>
        <v>20260.61313333334</v>
      </c>
      <c r="H448" s="116">
        <f t="shared" si="58"/>
        <v>19940.153433333337</v>
      </c>
      <c r="I448" s="113">
        <v>365.86299999999994</v>
      </c>
      <c r="J448" s="147">
        <v>236849.95</v>
      </c>
      <c r="L448" s="139"/>
    </row>
    <row r="449" spans="2:12" ht="15.6" x14ac:dyDescent="0.3">
      <c r="B449" s="111">
        <v>44317</v>
      </c>
      <c r="C449" s="110">
        <v>515.36532258064517</v>
      </c>
      <c r="D449" s="110">
        <v>20.278225806451616</v>
      </c>
      <c r="E449" s="116">
        <v>874.05457526881719</v>
      </c>
      <c r="F449" s="116">
        <v>860.55551747311824</v>
      </c>
      <c r="G449" s="116">
        <f t="shared" si="58"/>
        <v>20977.309806451613</v>
      </c>
      <c r="H449" s="116">
        <f t="shared" si="58"/>
        <v>20653.33241935484</v>
      </c>
      <c r="I449" s="113">
        <v>390.74000000000007</v>
      </c>
      <c r="J449" s="147">
        <v>240282.64</v>
      </c>
      <c r="L449" s="139"/>
    </row>
    <row r="450" spans="2:12" ht="15.6" x14ac:dyDescent="0.3">
      <c r="B450" s="111">
        <v>44348</v>
      </c>
      <c r="C450" s="110">
        <v>456.76666666666665</v>
      </c>
      <c r="D450" s="110">
        <v>20.154722222222222</v>
      </c>
      <c r="E450" s="116">
        <v>874.00163472222232</v>
      </c>
      <c r="F450" s="116">
        <v>860.3785541666665</v>
      </c>
      <c r="G450" s="116">
        <f t="shared" si="58"/>
        <v>20976.039233333337</v>
      </c>
      <c r="H450" s="116">
        <f t="shared" si="58"/>
        <v>20649.085299999995</v>
      </c>
      <c r="I450" s="113">
        <v>368.01899999999995</v>
      </c>
      <c r="J450" s="147">
        <v>240269.64</v>
      </c>
      <c r="L450" s="139"/>
    </row>
    <row r="451" spans="2:12" ht="15.6" x14ac:dyDescent="0.3">
      <c r="B451" s="111">
        <v>44378</v>
      </c>
      <c r="C451" s="110">
        <v>457.07768817204311</v>
      </c>
      <c r="D451" s="110">
        <v>19.351344086021502</v>
      </c>
      <c r="E451" s="116">
        <v>873.96013844086042</v>
      </c>
      <c r="F451" s="116">
        <v>860.51746505376343</v>
      </c>
      <c r="G451" s="116">
        <f t="shared" si="58"/>
        <v>20975.043322580648</v>
      </c>
      <c r="H451" s="116">
        <f t="shared" si="58"/>
        <v>20652.419161290323</v>
      </c>
      <c r="I451" s="113">
        <v>381.85699999999991</v>
      </c>
      <c r="J451" s="147">
        <v>240408.31</v>
      </c>
      <c r="L451" s="139"/>
    </row>
    <row r="452" spans="2:12" ht="15.6" x14ac:dyDescent="0.3">
      <c r="B452" s="111">
        <v>44409</v>
      </c>
      <c r="C452" s="110">
        <v>456.89569892473116</v>
      </c>
      <c r="D452" s="110">
        <v>19.854032258064517</v>
      </c>
      <c r="E452" s="116">
        <v>874.10536021505357</v>
      </c>
      <c r="F452" s="116">
        <v>860.52267338709669</v>
      </c>
      <c r="G452" s="116">
        <f t="shared" si="58"/>
        <v>20978.528645161285</v>
      </c>
      <c r="H452" s="116">
        <f t="shared" si="58"/>
        <v>20652.54416129032</v>
      </c>
      <c r="I452" s="113">
        <v>380.50500000000005</v>
      </c>
      <c r="J452" s="147">
        <v>240269.98</v>
      </c>
      <c r="L452" s="139"/>
    </row>
    <row r="453" spans="2:12" ht="15.6" x14ac:dyDescent="0.3">
      <c r="B453" s="111">
        <v>44440</v>
      </c>
      <c r="C453" s="110">
        <v>515.26138888888875</v>
      </c>
      <c r="D453" s="110">
        <v>20.003055555555559</v>
      </c>
      <c r="E453" s="116">
        <v>873.98165000000006</v>
      </c>
      <c r="F453" s="116">
        <v>860.37867777777785</v>
      </c>
      <c r="G453" s="116">
        <f t="shared" si="58"/>
        <v>20975.559600000001</v>
      </c>
      <c r="H453" s="116">
        <f t="shared" si="58"/>
        <v>20649.088266666669</v>
      </c>
      <c r="I453" s="113">
        <v>375.726</v>
      </c>
      <c r="J453" s="147">
        <v>240297.27</v>
      </c>
      <c r="L453" s="139"/>
    </row>
    <row r="454" spans="2:12" ht="15.6" x14ac:dyDescent="0.3">
      <c r="B454" s="111">
        <v>44470</v>
      </c>
      <c r="C454" s="110">
        <v>515.38682795698924</v>
      </c>
      <c r="D454" s="110">
        <v>20.07930107526882</v>
      </c>
      <c r="E454" s="116">
        <v>874.0989986559141</v>
      </c>
      <c r="F454" s="116">
        <v>860.59442204301104</v>
      </c>
      <c r="G454" s="116">
        <f t="shared" si="58"/>
        <v>20978.375967741937</v>
      </c>
      <c r="H454" s="116">
        <f t="shared" si="58"/>
        <v>20654.266129032265</v>
      </c>
      <c r="I454" s="113">
        <v>375.15199999999993</v>
      </c>
      <c r="J454" s="147">
        <v>239187.51</v>
      </c>
      <c r="L454" s="139"/>
    </row>
    <row r="455" spans="2:12" ht="15.6" x14ac:dyDescent="0.3">
      <c r="B455" s="111">
        <v>44501</v>
      </c>
      <c r="C455" s="110">
        <v>515.47527777777782</v>
      </c>
      <c r="D455" s="110">
        <v>20.077500000000001</v>
      </c>
      <c r="E455" s="116">
        <v>844.29239305555552</v>
      </c>
      <c r="F455" s="116">
        <v>830.64027499999997</v>
      </c>
      <c r="G455" s="116">
        <f t="shared" si="58"/>
        <v>20263.017433333334</v>
      </c>
      <c r="H455" s="116">
        <f t="shared" si="58"/>
        <v>19935.366600000001</v>
      </c>
      <c r="I455" s="113">
        <v>381.23100000000005</v>
      </c>
      <c r="J455" s="147">
        <v>237569.46</v>
      </c>
      <c r="L455" s="139"/>
    </row>
    <row r="456" spans="2:12" ht="15.6" x14ac:dyDescent="0.3">
      <c r="B456" s="111">
        <v>44531</v>
      </c>
      <c r="C456" s="110">
        <v>515.23252688172045</v>
      </c>
      <c r="D456" s="110">
        <v>20.25752688172043</v>
      </c>
      <c r="E456" s="116">
        <v>844.0910846774193</v>
      </c>
      <c r="F456" s="116">
        <v>830.85782123655883</v>
      </c>
      <c r="G456" s="116">
        <f t="shared" si="58"/>
        <v>20258.186032258061</v>
      </c>
      <c r="H456" s="116">
        <f t="shared" si="58"/>
        <v>19940.587709677413</v>
      </c>
      <c r="I456" s="113">
        <v>376.45100000000002</v>
      </c>
      <c r="J456" s="147">
        <v>237076.56</v>
      </c>
      <c r="L456" s="139"/>
    </row>
    <row r="457" spans="2:12" ht="15.6" x14ac:dyDescent="0.3">
      <c r="B457" s="114"/>
      <c r="C457" s="108"/>
      <c r="D457" s="108"/>
      <c r="E457" s="108"/>
      <c r="F457" s="108"/>
      <c r="G457" s="108"/>
      <c r="H457" s="108"/>
      <c r="I457" s="141"/>
      <c r="J457" s="150"/>
      <c r="L457" s="139"/>
    </row>
    <row r="458" spans="2:12" ht="15.6" x14ac:dyDescent="0.3">
      <c r="B458" s="155" t="s">
        <v>286</v>
      </c>
      <c r="C458" s="155"/>
      <c r="D458" s="155"/>
      <c r="E458" s="108"/>
      <c r="F458" s="108"/>
      <c r="G458" s="108"/>
      <c r="H458" s="108"/>
      <c r="I458" s="141"/>
      <c r="J458" s="146"/>
      <c r="L458" s="139"/>
    </row>
    <row r="459" spans="2:12" ht="18.600000000000001" x14ac:dyDescent="0.3">
      <c r="B459" s="109" t="s">
        <v>278</v>
      </c>
      <c r="C459" s="110" t="s">
        <v>279</v>
      </c>
      <c r="D459" s="109" t="s">
        <v>280</v>
      </c>
      <c r="E459" s="109" t="s">
        <v>288</v>
      </c>
      <c r="F459" s="109" t="s">
        <v>289</v>
      </c>
      <c r="G459" s="109" t="s">
        <v>281</v>
      </c>
      <c r="H459" s="109" t="s">
        <v>282</v>
      </c>
      <c r="I459" s="113" t="s">
        <v>283</v>
      </c>
      <c r="J459" s="147" t="s">
        <v>284</v>
      </c>
      <c r="L459" s="139"/>
    </row>
    <row r="460" spans="2:12" ht="15.6" x14ac:dyDescent="0.3">
      <c r="B460" s="111">
        <v>44197</v>
      </c>
      <c r="C460" s="110">
        <v>515.39784946236557</v>
      </c>
      <c r="D460" s="110">
        <v>20.267204301075264</v>
      </c>
      <c r="E460" s="116">
        <v>843.94869086021515</v>
      </c>
      <c r="F460" s="116">
        <v>830.94616935483862</v>
      </c>
      <c r="G460" s="116">
        <f>E460*24</f>
        <v>20254.768580645163</v>
      </c>
      <c r="H460" s="116">
        <f>F460*24</f>
        <v>19942.708064516126</v>
      </c>
      <c r="I460" s="113">
        <v>380.69900000000007</v>
      </c>
      <c r="J460" s="147">
        <v>237214.86</v>
      </c>
      <c r="L460" s="139"/>
    </row>
    <row r="461" spans="2:12" ht="15.6" x14ac:dyDescent="0.3">
      <c r="B461" s="111">
        <v>44228</v>
      </c>
      <c r="C461" s="110">
        <v>515.43124999999998</v>
      </c>
      <c r="D461" s="110">
        <v>20.06369047619048</v>
      </c>
      <c r="E461" s="116">
        <v>844.21189285714297</v>
      </c>
      <c r="F461" s="116">
        <v>830.58630654761907</v>
      </c>
      <c r="G461" s="116">
        <f t="shared" ref="G461:H464" si="59">E461*24</f>
        <v>20261.08542857143</v>
      </c>
      <c r="H461" s="116">
        <f t="shared" si="59"/>
        <v>19934.071357142857</v>
      </c>
      <c r="I461" s="113">
        <v>340.75299999999999</v>
      </c>
      <c r="J461" s="147">
        <v>236179.86</v>
      </c>
      <c r="L461" s="139"/>
    </row>
    <row r="462" spans="2:12" ht="15.6" x14ac:dyDescent="0.3">
      <c r="B462" s="111">
        <v>44256</v>
      </c>
      <c r="C462" s="110">
        <v>515.33467741935499</v>
      </c>
      <c r="D462" s="110">
        <v>20.756182795698919</v>
      </c>
      <c r="E462" s="116">
        <v>844.40248790322596</v>
      </c>
      <c r="F462" s="116">
        <v>830.67796639784945</v>
      </c>
      <c r="G462" s="116">
        <f t="shared" si="59"/>
        <v>20265.659709677424</v>
      </c>
      <c r="H462" s="116">
        <f t="shared" si="59"/>
        <v>19936.271193548386</v>
      </c>
      <c r="I462" s="113">
        <v>380.75299999999999</v>
      </c>
      <c r="J462" s="147">
        <v>236357.68</v>
      </c>
      <c r="L462" s="139"/>
    </row>
    <row r="463" spans="2:12" ht="15.6" x14ac:dyDescent="0.3">
      <c r="B463" s="111">
        <v>44287</v>
      </c>
      <c r="C463" s="110">
        <v>515.4083333333333</v>
      </c>
      <c r="D463" s="110">
        <v>20.193611111111114</v>
      </c>
      <c r="E463" s="116">
        <v>844.36794583333347</v>
      </c>
      <c r="F463" s="116">
        <v>830.7879736111114</v>
      </c>
      <c r="G463" s="116">
        <f t="shared" si="59"/>
        <v>20264.830700000002</v>
      </c>
      <c r="H463" s="116">
        <f t="shared" si="59"/>
        <v>19938.911366666674</v>
      </c>
      <c r="I463" s="113">
        <v>375.69799999999992</v>
      </c>
      <c r="J463" s="147">
        <v>237043.31</v>
      </c>
      <c r="L463" s="139"/>
    </row>
    <row r="464" spans="2:12" ht="15.6" x14ac:dyDescent="0.3">
      <c r="B464" s="111">
        <v>44317</v>
      </c>
      <c r="C464" s="110">
        <v>515.19516129032252</v>
      </c>
      <c r="D464" s="110">
        <v>20.633064516129032</v>
      </c>
      <c r="E464" s="116">
        <v>873.84642741935488</v>
      </c>
      <c r="F464" s="116">
        <v>860.27898790322581</v>
      </c>
      <c r="G464" s="116">
        <f t="shared" si="59"/>
        <v>20972.314258064518</v>
      </c>
      <c r="H464" s="116">
        <f t="shared" si="59"/>
        <v>20646.69570967742</v>
      </c>
      <c r="I464" s="113">
        <v>380.22499999999997</v>
      </c>
      <c r="J464" s="147">
        <v>240436.88</v>
      </c>
      <c r="L464" s="139"/>
    </row>
    <row r="465" spans="2:12" ht="15.6" x14ac:dyDescent="0.3">
      <c r="B465" s="111">
        <v>44348</v>
      </c>
      <c r="C465" s="110">
        <v>456.83777777777772</v>
      </c>
      <c r="D465" s="110">
        <v>19.537500000000005</v>
      </c>
      <c r="E465" s="116">
        <v>873.79408611111114</v>
      </c>
      <c r="F465" s="116">
        <v>860.37600972222231</v>
      </c>
      <c r="G465" s="116">
        <f t="shared" ref="G465" si="60">E465*24</f>
        <v>20971.058066666668</v>
      </c>
      <c r="H465" s="116">
        <f t="shared" ref="H465" si="61">F465*24</f>
        <v>20649.024233333337</v>
      </c>
      <c r="I465" s="113">
        <v>369.91200000000009</v>
      </c>
      <c r="J465" s="147">
        <v>240109.55</v>
      </c>
      <c r="L465" s="139"/>
    </row>
    <row r="466" spans="2:12" x14ac:dyDescent="0.25">
      <c r="J466" s="151"/>
    </row>
    <row r="467" spans="2:12" ht="31.8" customHeight="1" x14ac:dyDescent="0.25">
      <c r="B467" s="157" t="s">
        <v>258</v>
      </c>
      <c r="C467" s="157"/>
      <c r="D467" s="157"/>
      <c r="E467" s="157"/>
    </row>
    <row r="468" spans="2:12" ht="15.6" x14ac:dyDescent="0.3">
      <c r="B468" s="154" t="s">
        <v>277</v>
      </c>
      <c r="C468" s="154"/>
      <c r="D468" s="154"/>
      <c r="E468" s="108"/>
      <c r="F468" s="108"/>
      <c r="G468" s="108"/>
      <c r="H468" s="108"/>
      <c r="I468" s="141"/>
      <c r="J468" s="146"/>
    </row>
    <row r="469" spans="2:12" ht="18.600000000000001" x14ac:dyDescent="0.3">
      <c r="B469" s="109" t="s">
        <v>278</v>
      </c>
      <c r="C469" s="110" t="s">
        <v>279</v>
      </c>
      <c r="D469" s="109" t="s">
        <v>280</v>
      </c>
      <c r="E469" s="109" t="s">
        <v>288</v>
      </c>
      <c r="F469" s="109" t="s">
        <v>289</v>
      </c>
      <c r="G469" s="109" t="s">
        <v>281</v>
      </c>
      <c r="H469" s="109" t="s">
        <v>282</v>
      </c>
      <c r="I469" s="113" t="s">
        <v>283</v>
      </c>
      <c r="J469" s="147" t="s">
        <v>284</v>
      </c>
    </row>
    <row r="470" spans="2:12" ht="15.6" x14ac:dyDescent="0.3">
      <c r="B470" s="111">
        <v>44075</v>
      </c>
      <c r="C470" s="110">
        <v>425.74675925925931</v>
      </c>
      <c r="D470" s="110">
        <v>19.330555555555556</v>
      </c>
      <c r="E470" s="116">
        <v>221.81549621212116</v>
      </c>
      <c r="F470" s="116">
        <v>216.57994886363633</v>
      </c>
      <c r="G470" s="116">
        <f>E470*24</f>
        <v>5323.5719090909079</v>
      </c>
      <c r="H470" s="116">
        <f>F470*24</f>
        <v>5197.918772727272</v>
      </c>
      <c r="I470" s="113">
        <v>66.051000000000002</v>
      </c>
      <c r="J470" s="147">
        <v>42171.75</v>
      </c>
    </row>
    <row r="471" spans="2:12" ht="15.6" x14ac:dyDescent="0.3">
      <c r="B471" s="111">
        <v>44105</v>
      </c>
      <c r="C471" s="110">
        <v>425.77177419354825</v>
      </c>
      <c r="D471" s="110">
        <v>19.487365591397847</v>
      </c>
      <c r="E471" s="116">
        <v>221.78494489247311</v>
      </c>
      <c r="F471" s="116">
        <v>216.56832930107524</v>
      </c>
      <c r="G471" s="116">
        <f t="shared" ref="G471:H473" si="62">E471*24</f>
        <v>5322.838677419355</v>
      </c>
      <c r="H471" s="116">
        <f t="shared" si="62"/>
        <v>5197.6399032258059</v>
      </c>
      <c r="I471" s="113">
        <v>94.067000000000007</v>
      </c>
      <c r="J471" s="147">
        <v>52194.57</v>
      </c>
    </row>
    <row r="472" spans="2:12" ht="15.6" x14ac:dyDescent="0.3">
      <c r="B472" s="111">
        <v>44136</v>
      </c>
      <c r="C472" s="110">
        <v>426.06333333333322</v>
      </c>
      <c r="D472" s="110">
        <v>19.543055555555558</v>
      </c>
      <c r="E472" s="116">
        <v>202.06890972222223</v>
      </c>
      <c r="F472" s="116">
        <v>197.44480694444442</v>
      </c>
      <c r="G472" s="116">
        <f t="shared" si="62"/>
        <v>4849.6538333333338</v>
      </c>
      <c r="H472" s="116">
        <f t="shared" si="62"/>
        <v>4738.6753666666664</v>
      </c>
      <c r="I472" s="113">
        <v>88.872999999999976</v>
      </c>
      <c r="J472" s="147">
        <v>51459.35</v>
      </c>
    </row>
    <row r="473" spans="2:12" ht="15.6" x14ac:dyDescent="0.3">
      <c r="B473" s="111">
        <v>44166</v>
      </c>
      <c r="C473" s="110">
        <v>425.83897849462369</v>
      </c>
      <c r="D473" s="110">
        <v>19.825000000000003</v>
      </c>
      <c r="E473" s="116">
        <v>202.04073655913976</v>
      </c>
      <c r="F473" s="116">
        <v>197.39489516129035</v>
      </c>
      <c r="G473" s="116">
        <f t="shared" si="62"/>
        <v>4848.9776774193542</v>
      </c>
      <c r="H473" s="116">
        <f t="shared" si="62"/>
        <v>4737.4774838709682</v>
      </c>
      <c r="I473" s="113">
        <v>93.200999999999993</v>
      </c>
      <c r="J473" s="147">
        <v>51226.96</v>
      </c>
    </row>
    <row r="474" spans="2:12" ht="15.6" x14ac:dyDescent="0.3">
      <c r="B474" s="155" t="s">
        <v>285</v>
      </c>
      <c r="C474" s="155"/>
      <c r="D474" s="155"/>
      <c r="E474" s="108"/>
      <c r="F474" s="108"/>
      <c r="G474" s="108"/>
      <c r="H474" s="108"/>
      <c r="I474" s="141"/>
      <c r="J474" s="150"/>
    </row>
    <row r="475" spans="2:12" ht="18.600000000000001" x14ac:dyDescent="0.3">
      <c r="B475" s="109" t="s">
        <v>278</v>
      </c>
      <c r="C475" s="110" t="s">
        <v>279</v>
      </c>
      <c r="D475" s="109" t="s">
        <v>280</v>
      </c>
      <c r="E475" s="109" t="s">
        <v>288</v>
      </c>
      <c r="F475" s="109" t="s">
        <v>289</v>
      </c>
      <c r="G475" s="109" t="s">
        <v>281</v>
      </c>
      <c r="H475" s="109" t="s">
        <v>282</v>
      </c>
      <c r="I475" s="113" t="s">
        <v>283</v>
      </c>
      <c r="J475" s="147" t="s">
        <v>284</v>
      </c>
    </row>
    <row r="476" spans="2:12" ht="15.6" x14ac:dyDescent="0.3">
      <c r="B476" s="111">
        <v>44197</v>
      </c>
      <c r="C476" s="115">
        <v>425.89973118279573</v>
      </c>
      <c r="D476" s="115">
        <v>20.029301075268815</v>
      </c>
      <c r="E476" s="116">
        <v>202.10505107526879</v>
      </c>
      <c r="F476" s="116">
        <v>197.5266922043011</v>
      </c>
      <c r="G476" s="116">
        <f>E476*24</f>
        <v>4850.5212258064512</v>
      </c>
      <c r="H476" s="116">
        <f>F476*24</f>
        <v>4740.6406129032266</v>
      </c>
      <c r="I476" s="113">
        <v>94.652999999999992</v>
      </c>
      <c r="J476" s="147">
        <v>51493.29</v>
      </c>
    </row>
    <row r="477" spans="2:12" ht="15.6" x14ac:dyDescent="0.3">
      <c r="B477" s="111">
        <v>44228</v>
      </c>
      <c r="C477" s="110">
        <v>426.36994047619038</v>
      </c>
      <c r="D477" s="110">
        <v>19.981845238095243</v>
      </c>
      <c r="E477" s="116">
        <v>202.01195238095232</v>
      </c>
      <c r="F477" s="116">
        <v>197.52915773809528</v>
      </c>
      <c r="G477" s="116">
        <f t="shared" ref="G477:H487" si="63">E477*24</f>
        <v>4848.2868571428553</v>
      </c>
      <c r="H477" s="116">
        <f t="shared" si="63"/>
        <v>4740.6997857142869</v>
      </c>
      <c r="I477" s="113">
        <v>83.688999999999993</v>
      </c>
      <c r="J477" s="147">
        <v>51185.19</v>
      </c>
      <c r="L477" s="139"/>
    </row>
    <row r="478" spans="2:12" ht="15.6" x14ac:dyDescent="0.3">
      <c r="B478" s="111">
        <v>44256</v>
      </c>
      <c r="C478" s="110">
        <v>426.20161290322568</v>
      </c>
      <c r="D478" s="110">
        <v>19.911021505376343</v>
      </c>
      <c r="E478" s="116">
        <v>202.06252016129031</v>
      </c>
      <c r="F478" s="116">
        <v>197.46733870967739</v>
      </c>
      <c r="G478" s="116">
        <f t="shared" si="63"/>
        <v>4849.5004838709674</v>
      </c>
      <c r="H478" s="116">
        <f t="shared" si="63"/>
        <v>4739.2161290322574</v>
      </c>
      <c r="I478" s="113">
        <v>93.088000000000008</v>
      </c>
      <c r="J478" s="147">
        <v>51694.51</v>
      </c>
    </row>
    <row r="479" spans="2:12" ht="15.6" x14ac:dyDescent="0.3">
      <c r="B479" s="111">
        <v>44287</v>
      </c>
      <c r="C479" s="110">
        <v>425.5218390804597</v>
      </c>
      <c r="D479" s="110">
        <v>19.878160919540235</v>
      </c>
      <c r="E479" s="116">
        <v>202.13619444444441</v>
      </c>
      <c r="F479" s="116">
        <v>197.37218888888893</v>
      </c>
      <c r="G479" s="116">
        <f t="shared" si="63"/>
        <v>4851.2686666666659</v>
      </c>
      <c r="H479" s="116">
        <f t="shared" si="63"/>
        <v>4736.9325333333345</v>
      </c>
      <c r="I479" s="113">
        <v>89.686000000000007</v>
      </c>
      <c r="J479" s="147">
        <v>51414.53</v>
      </c>
    </row>
    <row r="480" spans="2:12" ht="15.6" x14ac:dyDescent="0.3">
      <c r="B480" s="111">
        <v>44317</v>
      </c>
      <c r="C480" s="110">
        <v>425.68709677419355</v>
      </c>
      <c r="D480" s="110">
        <v>20.347580645161287</v>
      </c>
      <c r="E480" s="116">
        <v>221.86531317204302</v>
      </c>
      <c r="F480" s="116">
        <v>216.52127956989247</v>
      </c>
      <c r="G480" s="116">
        <f t="shared" si="63"/>
        <v>5324.7675161290326</v>
      </c>
      <c r="H480" s="116">
        <f t="shared" si="63"/>
        <v>5196.5107096774191</v>
      </c>
      <c r="I480" s="113">
        <v>92.747000000000014</v>
      </c>
      <c r="J480" s="147">
        <v>52193.48</v>
      </c>
    </row>
    <row r="481" spans="2:10" ht="15.6" x14ac:dyDescent="0.3">
      <c r="B481" s="111">
        <v>44348</v>
      </c>
      <c r="C481" s="110">
        <v>407.54111111111109</v>
      </c>
      <c r="D481" s="110">
        <v>20.004722222222213</v>
      </c>
      <c r="E481" s="116">
        <v>221.7900013888889</v>
      </c>
      <c r="F481" s="116">
        <v>216.5242569444444</v>
      </c>
      <c r="G481" s="116">
        <f t="shared" si="63"/>
        <v>5322.9600333333337</v>
      </c>
      <c r="H481" s="116">
        <f t="shared" si="63"/>
        <v>5196.5821666666652</v>
      </c>
      <c r="I481" s="113">
        <v>90.49799999999999</v>
      </c>
      <c r="J481" s="147">
        <v>51710.080000000002</v>
      </c>
    </row>
    <row r="482" spans="2:10" ht="15.6" x14ac:dyDescent="0.3">
      <c r="B482" s="111">
        <v>44378</v>
      </c>
      <c r="C482" s="110">
        <v>407.76559139784939</v>
      </c>
      <c r="D482" s="110">
        <v>19.77741935483871</v>
      </c>
      <c r="E482" s="116">
        <v>221.81295161290322</v>
      </c>
      <c r="F482" s="116">
        <v>216.57226075268824</v>
      </c>
      <c r="G482" s="116">
        <f t="shared" si="63"/>
        <v>5323.510838709677</v>
      </c>
      <c r="H482" s="116">
        <f t="shared" si="63"/>
        <v>5197.7342580645181</v>
      </c>
      <c r="I482" s="113">
        <v>93.530999999999992</v>
      </c>
      <c r="J482" s="147">
        <v>51989.65</v>
      </c>
    </row>
    <row r="483" spans="2:10" ht="15.6" x14ac:dyDescent="0.3">
      <c r="B483" s="111">
        <v>44409</v>
      </c>
      <c r="C483" s="110">
        <v>407.18333333333322</v>
      </c>
      <c r="D483" s="110">
        <v>20.309946236559135</v>
      </c>
      <c r="E483" s="116">
        <v>221.86817607526874</v>
      </c>
      <c r="F483" s="116">
        <v>216.53589247311828</v>
      </c>
      <c r="G483" s="116">
        <f t="shared" si="63"/>
        <v>5324.8362258064499</v>
      </c>
      <c r="H483" s="116">
        <f t="shared" si="63"/>
        <v>5196.8614193548383</v>
      </c>
      <c r="I483" s="113">
        <v>93.183000000000007</v>
      </c>
      <c r="J483" s="147">
        <v>51828.26</v>
      </c>
    </row>
    <row r="484" spans="2:10" ht="15.6" x14ac:dyDescent="0.3">
      <c r="B484" s="111">
        <v>44440</v>
      </c>
      <c r="C484" s="110">
        <v>426.23055555555555</v>
      </c>
      <c r="D484" s="110">
        <v>19.878888888888891</v>
      </c>
      <c r="E484" s="116">
        <v>221.81104027777783</v>
      </c>
      <c r="F484" s="116">
        <v>216.57400277777776</v>
      </c>
      <c r="G484" s="116">
        <f t="shared" si="63"/>
        <v>5323.4649666666683</v>
      </c>
      <c r="H484" s="116">
        <f t="shared" si="63"/>
        <v>5197.7760666666663</v>
      </c>
      <c r="I484" s="113">
        <v>90.27600000000001</v>
      </c>
      <c r="J484" s="147">
        <v>51796.46</v>
      </c>
    </row>
    <row r="485" spans="2:10" ht="15.6" x14ac:dyDescent="0.3">
      <c r="B485" s="111">
        <v>44470</v>
      </c>
      <c r="C485" s="110">
        <v>426.08494623655912</v>
      </c>
      <c r="D485" s="110">
        <v>19.773655913978494</v>
      </c>
      <c r="E485" s="116">
        <v>221.74591129032257</v>
      </c>
      <c r="F485" s="116">
        <v>216.57236827956984</v>
      </c>
      <c r="G485" s="116">
        <f t="shared" si="63"/>
        <v>5321.9018709677421</v>
      </c>
      <c r="H485" s="116">
        <f t="shared" si="63"/>
        <v>5197.7368387096758</v>
      </c>
      <c r="I485" s="113">
        <v>92.633000000000024</v>
      </c>
      <c r="J485" s="147">
        <v>51754.67</v>
      </c>
    </row>
    <row r="486" spans="2:10" ht="15.6" x14ac:dyDescent="0.3">
      <c r="B486" s="111">
        <v>44501</v>
      </c>
      <c r="C486" s="110">
        <v>425.80444444444436</v>
      </c>
      <c r="D486" s="110">
        <v>19.504444444444445</v>
      </c>
      <c r="E486" s="116">
        <v>202.07863472222223</v>
      </c>
      <c r="F486" s="116">
        <v>197.40088888888889</v>
      </c>
      <c r="G486" s="116">
        <f t="shared" si="63"/>
        <v>4849.8872333333338</v>
      </c>
      <c r="H486" s="116">
        <f t="shared" si="63"/>
        <v>4737.6213333333335</v>
      </c>
      <c r="I486" s="113">
        <v>88.981999999999999</v>
      </c>
      <c r="J486" s="147">
        <v>51306.87</v>
      </c>
    </row>
    <row r="487" spans="2:10" ht="15.6" x14ac:dyDescent="0.3">
      <c r="B487" s="111">
        <v>44531</v>
      </c>
      <c r="C487" s="110">
        <v>425.96532258064519</v>
      </c>
      <c r="D487" s="110">
        <v>19.5266129032258</v>
      </c>
      <c r="E487" s="116">
        <v>202.10015053763445</v>
      </c>
      <c r="F487" s="116">
        <v>197.42924596774193</v>
      </c>
      <c r="G487" s="116">
        <f t="shared" si="63"/>
        <v>4850.4036129032265</v>
      </c>
      <c r="H487" s="116">
        <f t="shared" si="63"/>
        <v>4738.3019032258062</v>
      </c>
      <c r="I487" s="113">
        <v>91.225999999999971</v>
      </c>
      <c r="J487" s="147">
        <v>51273.55</v>
      </c>
    </row>
    <row r="488" spans="2:10" ht="15.6" x14ac:dyDescent="0.3">
      <c r="B488" s="114"/>
      <c r="C488" s="108"/>
      <c r="D488" s="108"/>
      <c r="E488" s="108"/>
      <c r="F488" s="108"/>
      <c r="G488" s="108"/>
      <c r="H488" s="108"/>
      <c r="I488" s="141"/>
      <c r="J488" s="150"/>
    </row>
    <row r="489" spans="2:10" ht="15.6" x14ac:dyDescent="0.3">
      <c r="B489" s="155" t="s">
        <v>286</v>
      </c>
      <c r="C489" s="155"/>
      <c r="D489" s="155"/>
      <c r="E489" s="108"/>
      <c r="F489" s="108"/>
      <c r="G489" s="108"/>
      <c r="H489" s="108"/>
      <c r="I489" s="141"/>
      <c r="J489" s="146"/>
    </row>
    <row r="490" spans="2:10" ht="18.600000000000001" x14ac:dyDescent="0.3">
      <c r="B490" s="109" t="s">
        <v>278</v>
      </c>
      <c r="C490" s="110" t="s">
        <v>279</v>
      </c>
      <c r="D490" s="109" t="s">
        <v>280</v>
      </c>
      <c r="E490" s="109" t="s">
        <v>288</v>
      </c>
      <c r="F490" s="109" t="s">
        <v>289</v>
      </c>
      <c r="G490" s="109" t="s">
        <v>281</v>
      </c>
      <c r="H490" s="109" t="s">
        <v>282</v>
      </c>
      <c r="I490" s="113" t="s">
        <v>283</v>
      </c>
      <c r="J490" s="147" t="s">
        <v>284</v>
      </c>
    </row>
    <row r="491" spans="2:10" ht="15.6" x14ac:dyDescent="0.3">
      <c r="B491" s="111">
        <v>44197</v>
      </c>
      <c r="C491" s="110">
        <v>425.69408602150537</v>
      </c>
      <c r="D491" s="110">
        <v>19.260215053763439</v>
      </c>
      <c r="E491" s="116">
        <v>202.13847715053765</v>
      </c>
      <c r="F491" s="116">
        <v>197.42164516129034</v>
      </c>
      <c r="G491" s="116">
        <f>E491*24</f>
        <v>4851.3234516129032</v>
      </c>
      <c r="H491" s="116">
        <f>F491*24</f>
        <v>4738.119483870968</v>
      </c>
      <c r="I491" s="113">
        <v>93.731999999999985</v>
      </c>
      <c r="J491" s="149">
        <v>51592.9</v>
      </c>
    </row>
    <row r="492" spans="2:10" ht="15.6" x14ac:dyDescent="0.3">
      <c r="B492" s="111">
        <v>44228</v>
      </c>
      <c r="C492" s="110">
        <v>425.83928571428567</v>
      </c>
      <c r="D492" s="110">
        <v>20.059523809523807</v>
      </c>
      <c r="E492" s="116">
        <v>202.16071428571428</v>
      </c>
      <c r="F492" s="116">
        <v>197.40421875000001</v>
      </c>
      <c r="G492" s="116">
        <f t="shared" ref="G492:H496" si="64">E492*24</f>
        <v>4851.8571428571431</v>
      </c>
      <c r="H492" s="116">
        <f t="shared" si="64"/>
        <v>4737.7012500000001</v>
      </c>
      <c r="I492" s="113">
        <v>82.823999999999984</v>
      </c>
      <c r="J492" s="147">
        <v>51237.98</v>
      </c>
    </row>
    <row r="493" spans="2:10" ht="15.6" x14ac:dyDescent="0.3">
      <c r="B493" s="111">
        <v>44256</v>
      </c>
      <c r="C493" s="110">
        <v>425.88897849462364</v>
      </c>
      <c r="D493" s="110">
        <v>19.222849462365591</v>
      </c>
      <c r="E493" s="116">
        <v>202.15094220430106</v>
      </c>
      <c r="F493" s="116">
        <v>197.45354704301076</v>
      </c>
      <c r="G493" s="116">
        <f t="shared" si="64"/>
        <v>4851.6226129032257</v>
      </c>
      <c r="H493" s="116">
        <f t="shared" si="64"/>
        <v>4738.8851290322582</v>
      </c>
      <c r="I493" s="113">
        <v>94.52200000000002</v>
      </c>
      <c r="J493" s="147">
        <v>51372.21</v>
      </c>
    </row>
    <row r="494" spans="2:10" ht="15.6" x14ac:dyDescent="0.3">
      <c r="B494" s="111">
        <v>44287</v>
      </c>
      <c r="C494" s="110">
        <v>426.20083333333338</v>
      </c>
      <c r="D494" s="110">
        <v>19.84</v>
      </c>
      <c r="E494" s="116">
        <v>202.11991666666665</v>
      </c>
      <c r="F494" s="116">
        <v>197.49952083333335</v>
      </c>
      <c r="G494" s="116">
        <f t="shared" si="64"/>
        <v>4850.8779999999997</v>
      </c>
      <c r="H494" s="116">
        <f t="shared" si="64"/>
        <v>4739.9885000000004</v>
      </c>
      <c r="I494" s="113">
        <v>91.688000000000002</v>
      </c>
      <c r="J494" s="147">
        <v>51565.18</v>
      </c>
    </row>
    <row r="495" spans="2:10" ht="15.6" x14ac:dyDescent="0.3">
      <c r="B495" s="111">
        <v>44317</v>
      </c>
      <c r="C495" s="110">
        <v>425.93870967741935</v>
      </c>
      <c r="D495" s="110">
        <v>20.022849462365588</v>
      </c>
      <c r="E495" s="116">
        <v>221.69602956989249</v>
      </c>
      <c r="F495" s="116">
        <v>216.58605241935481</v>
      </c>
      <c r="G495" s="116">
        <f t="shared" si="64"/>
        <v>5320.7047096774195</v>
      </c>
      <c r="H495" s="116">
        <f t="shared" si="64"/>
        <v>5198.0652580645155</v>
      </c>
      <c r="I495" s="113">
        <v>91.819000000000003</v>
      </c>
      <c r="J495" s="147">
        <v>52192.89</v>
      </c>
    </row>
    <row r="496" spans="2:10" ht="15.6" x14ac:dyDescent="0.3">
      <c r="B496" s="111">
        <v>44348</v>
      </c>
      <c r="C496" s="110">
        <v>407.38388888888892</v>
      </c>
      <c r="D496" s="110">
        <v>19.593888888888891</v>
      </c>
      <c r="E496" s="116">
        <v>221.77274166666669</v>
      </c>
      <c r="F496" s="116">
        <v>216.56464305555556</v>
      </c>
      <c r="G496" s="116">
        <f t="shared" si="64"/>
        <v>5322.5458000000008</v>
      </c>
      <c r="H496" s="116">
        <f t="shared" si="64"/>
        <v>5197.551433333334</v>
      </c>
      <c r="I496" s="113">
        <v>98.739000000000004</v>
      </c>
      <c r="J496" s="147">
        <v>51740.639999999999</v>
      </c>
    </row>
    <row r="497" spans="10:10" x14ac:dyDescent="0.25">
      <c r="J497" s="152"/>
    </row>
  </sheetData>
  <mergeCells count="64">
    <mergeCell ref="B467:E467"/>
    <mergeCell ref="B468:D468"/>
    <mergeCell ref="B474:D474"/>
    <mergeCell ref="B489:D489"/>
    <mergeCell ref="B412:D412"/>
    <mergeCell ref="B427:D427"/>
    <mergeCell ref="B436:E436"/>
    <mergeCell ref="B437:D437"/>
    <mergeCell ref="B443:D443"/>
    <mergeCell ref="B458:D458"/>
    <mergeCell ref="B406:D406"/>
    <mergeCell ref="B319:D319"/>
    <mergeCell ref="B334:D334"/>
    <mergeCell ref="B343:E343"/>
    <mergeCell ref="B344:D344"/>
    <mergeCell ref="B350:D350"/>
    <mergeCell ref="B365:D365"/>
    <mergeCell ref="B374:E374"/>
    <mergeCell ref="B375:D375"/>
    <mergeCell ref="B381:D381"/>
    <mergeCell ref="B396:D396"/>
    <mergeCell ref="B405:E405"/>
    <mergeCell ref="B313:D313"/>
    <mergeCell ref="B226:D226"/>
    <mergeCell ref="B241:D241"/>
    <mergeCell ref="B250:E250"/>
    <mergeCell ref="B251:D251"/>
    <mergeCell ref="B257:D257"/>
    <mergeCell ref="B272:D272"/>
    <mergeCell ref="B281:E281"/>
    <mergeCell ref="B282:D282"/>
    <mergeCell ref="B288:D288"/>
    <mergeCell ref="B303:D303"/>
    <mergeCell ref="B312:E312"/>
    <mergeCell ref="B220:D220"/>
    <mergeCell ref="B133:D133"/>
    <mergeCell ref="B148:D148"/>
    <mergeCell ref="B157:E157"/>
    <mergeCell ref="B158:D158"/>
    <mergeCell ref="B164:D164"/>
    <mergeCell ref="B179:D179"/>
    <mergeCell ref="B188:E188"/>
    <mergeCell ref="B189:D189"/>
    <mergeCell ref="B195:D195"/>
    <mergeCell ref="B210:D210"/>
    <mergeCell ref="B219:E219"/>
    <mergeCell ref="B127:D127"/>
    <mergeCell ref="B40:D40"/>
    <mergeCell ref="B55:D55"/>
    <mergeCell ref="B64:E64"/>
    <mergeCell ref="B65:D65"/>
    <mergeCell ref="B71:D71"/>
    <mergeCell ref="B86:D86"/>
    <mergeCell ref="B95:E95"/>
    <mergeCell ref="B96:D96"/>
    <mergeCell ref="B102:D102"/>
    <mergeCell ref="B117:D117"/>
    <mergeCell ref="B126:E126"/>
    <mergeCell ref="B34:D34"/>
    <mergeCell ref="B3:D3"/>
    <mergeCell ref="B9:D9"/>
    <mergeCell ref="B24:D24"/>
    <mergeCell ref="B2:E2"/>
    <mergeCell ref="B33:E33"/>
  </mergeCells>
  <phoneticPr fontId="24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C883"/>
  <sheetViews>
    <sheetView zoomScale="80" zoomScaleNormal="80" zoomScaleSheetLayoutView="80" workbookViewId="0">
      <selection activeCell="D7" sqref="D7"/>
    </sheetView>
  </sheetViews>
  <sheetFormatPr defaultColWidth="11.44140625" defaultRowHeight="15.6" x14ac:dyDescent="0.25"/>
  <cols>
    <col min="1" max="1" width="16.77734375" style="14" customWidth="1"/>
    <col min="2" max="2" width="12.6640625" style="13" customWidth="1"/>
    <col min="3" max="3" width="43.77734375" style="12" customWidth="1"/>
    <col min="4" max="4" width="32.88671875" style="12" customWidth="1"/>
    <col min="5" max="5" width="15.109375" style="13" customWidth="1"/>
    <col min="6" max="6" width="13.33203125" style="13" customWidth="1"/>
    <col min="7" max="8" width="13.77734375" style="13" customWidth="1"/>
    <col min="9" max="9" width="14.77734375" style="13" customWidth="1"/>
    <col min="10" max="10" width="14.21875" style="13" customWidth="1"/>
    <col min="11" max="11" width="13.77734375" style="13" customWidth="1"/>
    <col min="12" max="12" width="14.44140625" style="13" customWidth="1"/>
    <col min="13" max="13" width="13.5546875" style="13" customWidth="1"/>
    <col min="14" max="14" width="13.77734375" style="13" customWidth="1"/>
    <col min="15" max="15" width="14.109375" style="13" customWidth="1"/>
    <col min="16" max="16" width="14.44140625" style="13" customWidth="1"/>
    <col min="17" max="17" width="14.33203125" style="13" customWidth="1"/>
    <col min="18" max="133" width="11.44140625" style="14"/>
    <col min="134" max="16384" width="11.44140625" style="55"/>
  </cols>
  <sheetData>
    <row r="1" spans="1:133" s="182" customFormat="1" ht="36.6" customHeight="1" x14ac:dyDescent="0.25">
      <c r="A1" s="181" t="s">
        <v>220</v>
      </c>
    </row>
    <row r="2" spans="1:133" ht="39.6" customHeight="1" x14ac:dyDescent="0.25">
      <c r="A2" s="183" t="s">
        <v>236</v>
      </c>
      <c r="B2" s="183"/>
      <c r="C2" s="184"/>
      <c r="D2" s="184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</row>
    <row r="3" spans="1:133" s="56" customFormat="1" ht="31.2" x14ac:dyDescent="0.25">
      <c r="A3" s="57" t="s">
        <v>8</v>
      </c>
      <c r="B3" s="58" t="s">
        <v>9</v>
      </c>
      <c r="C3" s="34" t="s">
        <v>10</v>
      </c>
      <c r="D3" s="58" t="s">
        <v>341</v>
      </c>
      <c r="E3" s="58" t="s">
        <v>11</v>
      </c>
      <c r="F3" s="16" t="s">
        <v>292</v>
      </c>
      <c r="G3" s="16" t="s">
        <v>292</v>
      </c>
      <c r="H3" s="16" t="s">
        <v>292</v>
      </c>
      <c r="I3" s="16" t="s">
        <v>292</v>
      </c>
      <c r="J3" s="16" t="s">
        <v>292</v>
      </c>
      <c r="K3" s="16" t="s">
        <v>292</v>
      </c>
      <c r="L3" s="16" t="s">
        <v>292</v>
      </c>
      <c r="M3" s="16" t="s">
        <v>292</v>
      </c>
      <c r="N3" s="16" t="s">
        <v>296</v>
      </c>
      <c r="O3" s="16" t="s">
        <v>293</v>
      </c>
      <c r="P3" s="16" t="s">
        <v>294</v>
      </c>
      <c r="Q3" s="16" t="s">
        <v>295</v>
      </c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54"/>
      <c r="CN3" s="54"/>
      <c r="CO3" s="54"/>
      <c r="CP3" s="54"/>
      <c r="CQ3" s="54"/>
      <c r="CR3" s="54"/>
      <c r="CS3" s="54"/>
      <c r="CT3" s="54"/>
      <c r="CU3" s="54"/>
      <c r="CV3" s="54"/>
      <c r="CW3" s="54"/>
      <c r="CX3" s="54"/>
      <c r="CY3" s="54"/>
      <c r="CZ3" s="54"/>
      <c r="DA3" s="54"/>
      <c r="DB3" s="54"/>
      <c r="DC3" s="54"/>
      <c r="DD3" s="54"/>
      <c r="DE3" s="54"/>
      <c r="DF3" s="54"/>
      <c r="DG3" s="54"/>
      <c r="DH3" s="54"/>
      <c r="DI3" s="54"/>
      <c r="DJ3" s="54"/>
      <c r="DK3" s="54"/>
      <c r="DL3" s="54"/>
      <c r="DM3" s="54"/>
      <c r="DN3" s="54"/>
      <c r="DO3" s="54"/>
      <c r="DP3" s="54"/>
      <c r="DQ3" s="54"/>
      <c r="DR3" s="54"/>
      <c r="DS3" s="54"/>
      <c r="DT3" s="54"/>
      <c r="DU3" s="54"/>
      <c r="DV3" s="54"/>
      <c r="DW3" s="54"/>
      <c r="DX3" s="54"/>
      <c r="DY3" s="54"/>
      <c r="DZ3" s="54"/>
      <c r="EA3" s="54"/>
      <c r="EB3" s="54"/>
      <c r="EC3" s="54"/>
    </row>
    <row r="4" spans="1:133" s="56" customFormat="1" x14ac:dyDescent="0.25">
      <c r="A4" s="178" t="s">
        <v>12</v>
      </c>
      <c r="B4" s="178"/>
      <c r="C4" s="179"/>
      <c r="D4" s="179"/>
      <c r="E4" s="178"/>
      <c r="F4" s="16">
        <v>0</v>
      </c>
      <c r="G4" s="16">
        <v>0</v>
      </c>
      <c r="H4" s="16">
        <v>0</v>
      </c>
      <c r="I4" s="16">
        <v>0</v>
      </c>
      <c r="J4" s="16">
        <v>0</v>
      </c>
      <c r="K4" s="16">
        <v>0</v>
      </c>
      <c r="L4" s="16">
        <v>0</v>
      </c>
      <c r="M4" s="16">
        <v>0</v>
      </c>
      <c r="N4" s="16">
        <v>26</v>
      </c>
      <c r="O4" s="16">
        <v>31</v>
      </c>
      <c r="P4" s="16">
        <v>30</v>
      </c>
      <c r="Q4" s="16">
        <v>31</v>
      </c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4"/>
      <c r="CO4" s="54"/>
      <c r="CP4" s="54"/>
      <c r="CQ4" s="54"/>
      <c r="CR4" s="54"/>
      <c r="CS4" s="54"/>
      <c r="CT4" s="54"/>
      <c r="CU4" s="54"/>
      <c r="CV4" s="54"/>
      <c r="CW4" s="54"/>
      <c r="CX4" s="54"/>
      <c r="CY4" s="54"/>
      <c r="CZ4" s="54"/>
      <c r="DA4" s="54"/>
      <c r="DB4" s="54"/>
      <c r="DC4" s="54"/>
      <c r="DD4" s="54"/>
      <c r="DE4" s="54"/>
      <c r="DF4" s="54"/>
      <c r="DG4" s="54"/>
      <c r="DH4" s="54"/>
      <c r="DI4" s="54"/>
      <c r="DJ4" s="54"/>
      <c r="DK4" s="54"/>
      <c r="DL4" s="54"/>
      <c r="DM4" s="54"/>
      <c r="DN4" s="54"/>
      <c r="DO4" s="54"/>
      <c r="DP4" s="54"/>
      <c r="DQ4" s="54"/>
      <c r="DR4" s="54"/>
      <c r="DS4" s="54"/>
      <c r="DT4" s="54"/>
      <c r="DU4" s="54"/>
      <c r="DV4" s="54"/>
      <c r="DW4" s="54"/>
      <c r="DX4" s="54"/>
      <c r="DY4" s="54"/>
      <c r="DZ4" s="54"/>
      <c r="EA4" s="54"/>
      <c r="EB4" s="54"/>
      <c r="EC4" s="54"/>
    </row>
    <row r="5" spans="1:133" ht="46.8" x14ac:dyDescent="0.25">
      <c r="A5" s="59" t="s">
        <v>13</v>
      </c>
      <c r="B5" s="60" t="s">
        <v>14</v>
      </c>
      <c r="C5" s="53" t="s">
        <v>15</v>
      </c>
      <c r="D5" s="53" t="s">
        <v>369</v>
      </c>
      <c r="E5" s="61">
        <f>SUM(N5:Q5)</f>
        <v>549.8084023043574</v>
      </c>
      <c r="F5" s="62">
        <v>0</v>
      </c>
      <c r="G5" s="62">
        <v>0</v>
      </c>
      <c r="H5" s="62">
        <v>0</v>
      </c>
      <c r="I5" s="62">
        <v>0</v>
      </c>
      <c r="J5" s="62">
        <v>0</v>
      </c>
      <c r="K5" s="62">
        <v>0</v>
      </c>
      <c r="L5" s="62">
        <v>0</v>
      </c>
      <c r="M5" s="62">
        <v>0</v>
      </c>
      <c r="N5" s="62">
        <f t="shared" ref="N5:Q5" si="0">$E$6*$E$7*N8*$E$19</f>
        <v>121.0050392686742</v>
      </c>
      <c r="O5" s="62">
        <f t="shared" si="0"/>
        <v>144.43765397863484</v>
      </c>
      <c r="P5" s="62">
        <f t="shared" si="0"/>
        <v>139.83613925336618</v>
      </c>
      <c r="Q5" s="62">
        <f t="shared" si="0"/>
        <v>144.52956980368222</v>
      </c>
    </row>
    <row r="6" spans="1:133" ht="31.2" x14ac:dyDescent="0.25">
      <c r="A6" s="63" t="s">
        <v>16</v>
      </c>
      <c r="B6" s="60" t="s">
        <v>193</v>
      </c>
      <c r="C6" s="35" t="s">
        <v>17</v>
      </c>
      <c r="D6" s="35" t="s">
        <v>205</v>
      </c>
      <c r="E6" s="176">
        <v>28</v>
      </c>
      <c r="F6" s="176"/>
      <c r="G6" s="176"/>
      <c r="H6" s="176"/>
      <c r="I6" s="176"/>
      <c r="J6" s="176"/>
      <c r="K6" s="176"/>
      <c r="L6" s="176"/>
      <c r="M6" s="176"/>
      <c r="N6" s="176"/>
      <c r="O6" s="176"/>
      <c r="P6" s="176"/>
      <c r="Q6" s="176"/>
    </row>
    <row r="7" spans="1:133" ht="64.8" x14ac:dyDescent="0.25">
      <c r="A7" s="63" t="s">
        <v>18</v>
      </c>
      <c r="B7" s="25" t="s">
        <v>194</v>
      </c>
      <c r="C7" s="35" t="s">
        <v>20</v>
      </c>
      <c r="D7" s="35" t="s">
        <v>394</v>
      </c>
      <c r="E7" s="176">
        <v>0.21</v>
      </c>
      <c r="F7" s="176"/>
      <c r="G7" s="176"/>
      <c r="H7" s="176"/>
      <c r="I7" s="176"/>
      <c r="J7" s="176"/>
      <c r="K7" s="176"/>
      <c r="L7" s="176"/>
      <c r="M7" s="176"/>
      <c r="N7" s="176"/>
      <c r="O7" s="176"/>
      <c r="P7" s="176"/>
      <c r="Q7" s="176"/>
    </row>
    <row r="8" spans="1:133" ht="46.8" x14ac:dyDescent="0.25">
      <c r="A8" s="35" t="s">
        <v>21</v>
      </c>
      <c r="B8" s="25" t="s">
        <v>195</v>
      </c>
      <c r="C8" s="53" t="s">
        <v>22</v>
      </c>
      <c r="D8" s="53" t="s">
        <v>370</v>
      </c>
      <c r="E8" s="64">
        <f t="shared" ref="E8:Q8" si="1">E16*E9</f>
        <v>185.270166890604</v>
      </c>
      <c r="F8" s="64" t="s">
        <v>297</v>
      </c>
      <c r="G8" s="64" t="s">
        <v>297</v>
      </c>
      <c r="H8" s="64" t="s">
        <v>297</v>
      </c>
      <c r="I8" s="64" t="s">
        <v>297</v>
      </c>
      <c r="J8" s="64" t="s">
        <v>297</v>
      </c>
      <c r="K8" s="64" t="s">
        <v>297</v>
      </c>
      <c r="L8" s="64" t="s">
        <v>297</v>
      </c>
      <c r="M8" s="64" t="s">
        <v>297</v>
      </c>
      <c r="N8" s="64">
        <f>N16*N9</f>
        <v>40.775338692443412</v>
      </c>
      <c r="O8" s="64">
        <f t="shared" si="1"/>
        <v>48.671479274875594</v>
      </c>
      <c r="P8" s="64">
        <f t="shared" si="1"/>
        <v>47.120896567286906</v>
      </c>
      <c r="Q8" s="64">
        <f t="shared" si="1"/>
        <v>48.702452355998105</v>
      </c>
    </row>
    <row r="9" spans="1:133" ht="46.8" x14ac:dyDescent="0.25">
      <c r="A9" s="35" t="s">
        <v>23</v>
      </c>
      <c r="B9" s="25" t="s">
        <v>197</v>
      </c>
      <c r="C9" s="35" t="s">
        <v>191</v>
      </c>
      <c r="D9" s="35" t="s">
        <v>371</v>
      </c>
      <c r="E9" s="20">
        <f>SUM(F9:Q9)</f>
        <v>194.96703064051192</v>
      </c>
      <c r="F9" s="20" t="s">
        <v>297</v>
      </c>
      <c r="G9" s="20" t="s">
        <v>297</v>
      </c>
      <c r="H9" s="20" t="s">
        <v>297</v>
      </c>
      <c r="I9" s="20" t="s">
        <v>297</v>
      </c>
      <c r="J9" s="20" t="s">
        <v>297</v>
      </c>
      <c r="K9" s="20" t="s">
        <v>297</v>
      </c>
      <c r="L9" s="20" t="s">
        <v>297</v>
      </c>
      <c r="M9" s="20" t="s">
        <v>297</v>
      </c>
      <c r="N9" s="20">
        <f t="shared" ref="N9:Q9" si="2">N11*N14</f>
        <v>42.909481011700016</v>
      </c>
      <c r="O9" s="20">
        <f t="shared" si="2"/>
        <v>51.218898057704308</v>
      </c>
      <c r="P9" s="20">
        <f t="shared" si="2"/>
        <v>49.587159330769403</v>
      </c>
      <c r="Q9" s="20">
        <f t="shared" si="2"/>
        <v>51.251492240338195</v>
      </c>
    </row>
    <row r="10" spans="1:133" ht="62.4" x14ac:dyDescent="0.25">
      <c r="A10" s="17" t="s">
        <v>334</v>
      </c>
      <c r="B10" s="60" t="s">
        <v>192</v>
      </c>
      <c r="C10" s="35" t="s">
        <v>25</v>
      </c>
      <c r="D10" s="35" t="s">
        <v>333</v>
      </c>
      <c r="E10" s="121">
        <f>AVERAGE(N10:Q10)</f>
        <v>3878.0961817204302</v>
      </c>
      <c r="F10" s="20" t="s">
        <v>297</v>
      </c>
      <c r="G10" s="20" t="s">
        <v>297</v>
      </c>
      <c r="H10" s="20" t="s">
        <v>297</v>
      </c>
      <c r="I10" s="20" t="s">
        <v>297</v>
      </c>
      <c r="J10" s="20" t="s">
        <v>297</v>
      </c>
      <c r="K10" s="20" t="s">
        <v>297</v>
      </c>
      <c r="L10" s="20" t="s">
        <v>297</v>
      </c>
      <c r="M10" s="20" t="s">
        <v>297</v>
      </c>
      <c r="N10" s="121">
        <v>3877.9935</v>
      </c>
      <c r="O10" s="121">
        <v>3877.6687096774199</v>
      </c>
      <c r="P10" s="121">
        <v>3878.3650333333298</v>
      </c>
      <c r="Q10" s="121">
        <v>3878.3574838709701</v>
      </c>
    </row>
    <row r="11" spans="1:133" ht="46.8" x14ac:dyDescent="0.25">
      <c r="A11" s="35" t="s">
        <v>26</v>
      </c>
      <c r="B11" s="60" t="s">
        <v>198</v>
      </c>
      <c r="C11" s="35" t="s">
        <v>27</v>
      </c>
      <c r="D11" s="35" t="s">
        <v>206</v>
      </c>
      <c r="E11" s="65">
        <f>SUM(N11:Q11)</f>
        <v>457615.59399999998</v>
      </c>
      <c r="F11" s="65" t="s">
        <v>297</v>
      </c>
      <c r="G11" s="65" t="s">
        <v>297</v>
      </c>
      <c r="H11" s="65" t="s">
        <v>297</v>
      </c>
      <c r="I11" s="65" t="s">
        <v>297</v>
      </c>
      <c r="J11" s="65" t="s">
        <v>297</v>
      </c>
      <c r="K11" s="65" t="s">
        <v>297</v>
      </c>
      <c r="L11" s="65" t="s">
        <v>297</v>
      </c>
      <c r="M11" s="65" t="s">
        <v>297</v>
      </c>
      <c r="N11" s="65">
        <f t="shared" ref="N11:Q11" si="3">N10*N4</f>
        <v>100827.83100000001</v>
      </c>
      <c r="O11" s="65">
        <f t="shared" si="3"/>
        <v>120207.73000000001</v>
      </c>
      <c r="P11" s="65">
        <f t="shared" si="3"/>
        <v>116350.9509999999</v>
      </c>
      <c r="Q11" s="65">
        <f t="shared" si="3"/>
        <v>120229.08200000007</v>
      </c>
    </row>
    <row r="12" spans="1:133" ht="62.4" x14ac:dyDescent="0.25">
      <c r="A12" s="35" t="s">
        <v>350</v>
      </c>
      <c r="B12" s="60" t="s">
        <v>199</v>
      </c>
      <c r="C12" s="35" t="s">
        <v>29</v>
      </c>
      <c r="D12" s="35" t="s">
        <v>332</v>
      </c>
      <c r="E12" s="125">
        <f>AVERAGE(N12:Q12)</f>
        <v>426.03161359250072</v>
      </c>
      <c r="F12" s="66" t="s">
        <v>298</v>
      </c>
      <c r="G12" s="66" t="s">
        <v>298</v>
      </c>
      <c r="H12" s="66" t="s">
        <v>298</v>
      </c>
      <c r="I12" s="66" t="s">
        <v>298</v>
      </c>
      <c r="J12" s="66" t="s">
        <v>298</v>
      </c>
      <c r="K12" s="66" t="s">
        <v>298</v>
      </c>
      <c r="L12" s="66" t="s">
        <v>298</v>
      </c>
      <c r="M12" s="66" t="s">
        <v>298</v>
      </c>
      <c r="N12" s="119">
        <v>425.57179487179502</v>
      </c>
      <c r="O12" s="119">
        <v>426.08655913978498</v>
      </c>
      <c r="P12" s="119">
        <v>426.18611111111113</v>
      </c>
      <c r="Q12" s="119">
        <v>426.28198924731174</v>
      </c>
    </row>
    <row r="13" spans="1:133" ht="62.4" x14ac:dyDescent="0.25">
      <c r="A13" s="35" t="s">
        <v>30</v>
      </c>
      <c r="B13" s="60" t="s">
        <v>199</v>
      </c>
      <c r="C13" s="35" t="s">
        <v>31</v>
      </c>
      <c r="D13" s="35" t="s">
        <v>331</v>
      </c>
      <c r="E13" s="125">
        <f>AVERAGE(N13:Q13)</f>
        <v>19.937456231044926</v>
      </c>
      <c r="F13" s="65" t="s">
        <v>297</v>
      </c>
      <c r="G13" s="65" t="s">
        <v>297</v>
      </c>
      <c r="H13" s="65" t="s">
        <v>297</v>
      </c>
      <c r="I13" s="65" t="s">
        <v>297</v>
      </c>
      <c r="J13" s="65" t="s">
        <v>297</v>
      </c>
      <c r="K13" s="65" t="s">
        <v>297</v>
      </c>
      <c r="L13" s="65" t="s">
        <v>297</v>
      </c>
      <c r="M13" s="65" t="s">
        <v>297</v>
      </c>
      <c r="N13" s="119">
        <v>20.3160256410256</v>
      </c>
      <c r="O13" s="119">
        <v>19.950537634408605</v>
      </c>
      <c r="P13" s="119">
        <v>19.722777777777768</v>
      </c>
      <c r="Q13" s="119">
        <v>19.76048387096774</v>
      </c>
    </row>
    <row r="14" spans="1:133" ht="62.4" x14ac:dyDescent="0.25">
      <c r="A14" s="35" t="s">
        <v>32</v>
      </c>
      <c r="B14" s="60" t="s">
        <v>200</v>
      </c>
      <c r="C14" s="35" t="s">
        <v>34</v>
      </c>
      <c r="D14" s="35" t="s">
        <v>338</v>
      </c>
      <c r="E14" s="122">
        <f>E12/1000000</f>
        <v>4.260316135925007E-4</v>
      </c>
      <c r="F14" s="65" t="s">
        <v>297</v>
      </c>
      <c r="G14" s="65" t="s">
        <v>297</v>
      </c>
      <c r="H14" s="65" t="s">
        <v>297</v>
      </c>
      <c r="I14" s="65" t="s">
        <v>297</v>
      </c>
      <c r="J14" s="65" t="s">
        <v>297</v>
      </c>
      <c r="K14" s="65" t="s">
        <v>297</v>
      </c>
      <c r="L14" s="65" t="s">
        <v>297</v>
      </c>
      <c r="M14" s="65" t="s">
        <v>297</v>
      </c>
      <c r="N14" s="120">
        <f t="shared" ref="N14:Q14" si="4">N12/1000000</f>
        <v>4.2557179487179503E-4</v>
      </c>
      <c r="O14" s="120">
        <f t="shared" si="4"/>
        <v>4.2608655913978498E-4</v>
      </c>
      <c r="P14" s="120">
        <f t="shared" si="4"/>
        <v>4.2618611111111114E-4</v>
      </c>
      <c r="Q14" s="120">
        <f t="shared" si="4"/>
        <v>4.2628198924731176E-4</v>
      </c>
    </row>
    <row r="15" spans="1:133" ht="62.4" x14ac:dyDescent="0.25">
      <c r="A15" s="35" t="s">
        <v>30</v>
      </c>
      <c r="B15" s="60" t="s">
        <v>33</v>
      </c>
      <c r="C15" s="35" t="s">
        <v>35</v>
      </c>
      <c r="D15" s="35" t="s">
        <v>339</v>
      </c>
      <c r="E15" s="122">
        <f>E13/1000000</f>
        <v>1.9937456231044926E-5</v>
      </c>
      <c r="F15" s="65" t="s">
        <v>297</v>
      </c>
      <c r="G15" s="65" t="s">
        <v>297</v>
      </c>
      <c r="H15" s="65" t="s">
        <v>297</v>
      </c>
      <c r="I15" s="65" t="s">
        <v>297</v>
      </c>
      <c r="J15" s="65" t="s">
        <v>297</v>
      </c>
      <c r="K15" s="65" t="s">
        <v>297</v>
      </c>
      <c r="L15" s="65" t="s">
        <v>297</v>
      </c>
      <c r="M15" s="65" t="s">
        <v>297</v>
      </c>
      <c r="N15" s="120">
        <f t="shared" ref="N15:Q15" si="5">N13/1000000</f>
        <v>2.0316025641025602E-5</v>
      </c>
      <c r="O15" s="120">
        <f t="shared" si="5"/>
        <v>1.9950537634408605E-5</v>
      </c>
      <c r="P15" s="120">
        <f t="shared" si="5"/>
        <v>1.9722777777777769E-5</v>
      </c>
      <c r="Q15" s="120">
        <f t="shared" si="5"/>
        <v>1.9760483870967739E-5</v>
      </c>
    </row>
    <row r="16" spans="1:133" ht="46.8" x14ac:dyDescent="0.25">
      <c r="A16" s="63" t="s">
        <v>36</v>
      </c>
      <c r="B16" s="25" t="s">
        <v>201</v>
      </c>
      <c r="C16" s="35" t="s">
        <v>38</v>
      </c>
      <c r="D16" s="35" t="s">
        <v>368</v>
      </c>
      <c r="E16" s="68">
        <f>(1-(E17/E18))</f>
        <v>0.95026408455803291</v>
      </c>
      <c r="F16" s="65" t="s">
        <v>297</v>
      </c>
      <c r="G16" s="65" t="s">
        <v>297</v>
      </c>
      <c r="H16" s="65" t="s">
        <v>297</v>
      </c>
      <c r="I16" s="65" t="s">
        <v>297</v>
      </c>
      <c r="J16" s="65" t="s">
        <v>297</v>
      </c>
      <c r="K16" s="65" t="s">
        <v>297</v>
      </c>
      <c r="L16" s="65" t="s">
        <v>297</v>
      </c>
      <c r="M16" s="65" t="s">
        <v>297</v>
      </c>
      <c r="N16" s="68">
        <f>E16</f>
        <v>0.95026408455803291</v>
      </c>
      <c r="O16" s="68">
        <f>E16</f>
        <v>0.95026408455803291</v>
      </c>
      <c r="P16" s="68">
        <f>E16</f>
        <v>0.95026408455803291</v>
      </c>
      <c r="Q16" s="68">
        <f>E16</f>
        <v>0.95026408455803291</v>
      </c>
    </row>
    <row r="17" spans="1:133" ht="31.2" x14ac:dyDescent="0.25">
      <c r="A17" s="35" t="s">
        <v>39</v>
      </c>
      <c r="B17" s="25" t="s">
        <v>196</v>
      </c>
      <c r="C17" s="35" t="s">
        <v>40</v>
      </c>
      <c r="D17" s="35" t="s">
        <v>351</v>
      </c>
      <c r="E17" s="52">
        <f>SUM(N17:Q17)</f>
        <v>9.5947407395999988</v>
      </c>
      <c r="F17" s="29" t="s">
        <v>297</v>
      </c>
      <c r="G17" s="29" t="s">
        <v>297</v>
      </c>
      <c r="H17" s="29" t="s">
        <v>297</v>
      </c>
      <c r="I17" s="29" t="s">
        <v>297</v>
      </c>
      <c r="J17" s="29" t="s">
        <v>297</v>
      </c>
      <c r="K17" s="29" t="s">
        <v>297</v>
      </c>
      <c r="L17" s="29" t="s">
        <v>297</v>
      </c>
      <c r="M17" s="29" t="s">
        <v>297</v>
      </c>
      <c r="N17" s="52">
        <v>2.1140954172000002</v>
      </c>
      <c r="O17" s="52">
        <v>2.5206522281999999</v>
      </c>
      <c r="P17" s="52">
        <v>2.4393408659999998</v>
      </c>
      <c r="Q17" s="52">
        <v>2.5206522281999999</v>
      </c>
    </row>
    <row r="18" spans="1:133" ht="31.2" x14ac:dyDescent="0.25">
      <c r="A18" s="63" t="s">
        <v>41</v>
      </c>
      <c r="B18" s="25" t="s">
        <v>24</v>
      </c>
      <c r="C18" s="35" t="s">
        <v>42</v>
      </c>
      <c r="D18" s="35" t="s">
        <v>351</v>
      </c>
      <c r="E18" s="52">
        <f>SUM(N18:Q18)</f>
        <v>192.91372551080002</v>
      </c>
      <c r="F18" s="29" t="s">
        <v>297</v>
      </c>
      <c r="G18" s="29" t="s">
        <v>297</v>
      </c>
      <c r="H18" s="29" t="s">
        <v>297</v>
      </c>
      <c r="I18" s="29" t="s">
        <v>297</v>
      </c>
      <c r="J18" s="29" t="s">
        <v>297</v>
      </c>
      <c r="K18" s="29" t="s">
        <v>297</v>
      </c>
      <c r="L18" s="29" t="s">
        <v>297</v>
      </c>
      <c r="M18" s="29" t="s">
        <v>297</v>
      </c>
      <c r="N18" s="52">
        <v>42.5064140956</v>
      </c>
      <c r="O18" s="52">
        <v>50.680724498600007</v>
      </c>
      <c r="P18" s="52">
        <v>49.045862418000006</v>
      </c>
      <c r="Q18" s="52">
        <v>50.680724498600007</v>
      </c>
    </row>
    <row r="19" spans="1:133" ht="31.2" x14ac:dyDescent="0.25">
      <c r="A19" s="53" t="s">
        <v>43</v>
      </c>
      <c r="B19" s="25" t="s">
        <v>201</v>
      </c>
      <c r="C19" s="53" t="s">
        <v>44</v>
      </c>
      <c r="D19" s="35" t="s">
        <v>372</v>
      </c>
      <c r="E19" s="177">
        <f>E20*E21*0.89</f>
        <v>0.50469447884225127</v>
      </c>
      <c r="F19" s="177"/>
      <c r="G19" s="177"/>
      <c r="H19" s="177"/>
      <c r="I19" s="177"/>
      <c r="J19" s="177"/>
      <c r="K19" s="177"/>
      <c r="L19" s="177"/>
      <c r="M19" s="177"/>
      <c r="N19" s="177"/>
      <c r="O19" s="177"/>
      <c r="P19" s="177"/>
      <c r="Q19" s="177"/>
    </row>
    <row r="20" spans="1:133" ht="31.2" x14ac:dyDescent="0.25">
      <c r="A20" s="70" t="s">
        <v>45</v>
      </c>
      <c r="B20" s="25" t="s">
        <v>201</v>
      </c>
      <c r="C20" s="53" t="s">
        <v>46</v>
      </c>
      <c r="D20" s="35" t="s">
        <v>373</v>
      </c>
      <c r="E20" s="162">
        <v>0.7</v>
      </c>
      <c r="F20" s="163"/>
      <c r="G20" s="163"/>
      <c r="H20" s="163"/>
      <c r="I20" s="163"/>
      <c r="J20" s="163"/>
      <c r="K20" s="163"/>
      <c r="L20" s="163"/>
      <c r="M20" s="163"/>
      <c r="N20" s="163"/>
      <c r="O20" s="163"/>
      <c r="P20" s="163"/>
      <c r="Q20" s="164"/>
    </row>
    <row r="21" spans="1:133" ht="36" customHeight="1" x14ac:dyDescent="0.25">
      <c r="A21" s="70" t="s">
        <v>47</v>
      </c>
      <c r="B21" s="25" t="s">
        <v>37</v>
      </c>
      <c r="C21" s="53" t="s">
        <v>48</v>
      </c>
      <c r="D21" s="35" t="s">
        <v>374</v>
      </c>
      <c r="E21" s="159">
        <f>(N22*N27+O22*O27+P22*P27+Q22*Q27)/(N16*N14*N11+O16*O11*O14+P16*P14*P11+Q16*Q14*Q11)</f>
        <v>0.81010349733908726</v>
      </c>
      <c r="F21" s="160"/>
      <c r="G21" s="160"/>
      <c r="H21" s="160"/>
      <c r="I21" s="160"/>
      <c r="J21" s="160"/>
      <c r="K21" s="160"/>
      <c r="L21" s="160"/>
      <c r="M21" s="160"/>
      <c r="N21" s="160"/>
      <c r="O21" s="160"/>
      <c r="P21" s="160"/>
      <c r="Q21" s="161"/>
    </row>
    <row r="22" spans="1:133" s="9" customFormat="1" ht="46.8" x14ac:dyDescent="0.4">
      <c r="A22" s="71" t="s">
        <v>49</v>
      </c>
      <c r="B22" s="25" t="s">
        <v>37</v>
      </c>
      <c r="C22" s="53" t="s">
        <v>50</v>
      </c>
      <c r="D22" s="53" t="s">
        <v>375</v>
      </c>
      <c r="E22" s="72">
        <f>AVERAGE(F22:Q22)</f>
        <v>0.59570807831091876</v>
      </c>
      <c r="F22" s="65" t="s">
        <v>297</v>
      </c>
      <c r="G22" s="65" t="s">
        <v>297</v>
      </c>
      <c r="H22" s="65" t="s">
        <v>297</v>
      </c>
      <c r="I22" s="65" t="s">
        <v>297</v>
      </c>
      <c r="J22" s="65" t="s">
        <v>297</v>
      </c>
      <c r="K22" s="65" t="s">
        <v>297</v>
      </c>
      <c r="L22" s="65" t="s">
        <v>297</v>
      </c>
      <c r="M22" s="65" t="s">
        <v>297</v>
      </c>
      <c r="N22" s="72">
        <f t="shared" ref="N22:Q22" si="6">IF(N26&lt;283,0,IF(N26&gt;303,1,EXP(($E$23*(N26-$E$24))/($E$25*$E$24*N26))))</f>
        <v>0.88152221926734242</v>
      </c>
      <c r="O22" s="72">
        <f t="shared" si="6"/>
        <v>0.62729263560178183</v>
      </c>
      <c r="P22" s="72">
        <f t="shared" si="6"/>
        <v>0.55084569341606926</v>
      </c>
      <c r="Q22" s="72">
        <f t="shared" si="6"/>
        <v>0.32317176495848171</v>
      </c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  <c r="AJ22" s="78"/>
      <c r="AK22" s="78"/>
      <c r="AL22" s="78"/>
      <c r="AM22" s="78"/>
      <c r="AN22" s="78"/>
      <c r="AO22" s="78"/>
      <c r="AP22" s="78"/>
      <c r="AQ22" s="78"/>
      <c r="AR22" s="78"/>
      <c r="AS22" s="78"/>
      <c r="AT22" s="78"/>
      <c r="AU22" s="78"/>
      <c r="AV22" s="78"/>
      <c r="AW22" s="78"/>
      <c r="AX22" s="78"/>
      <c r="AY22" s="78"/>
      <c r="AZ22" s="78"/>
      <c r="BA22" s="78"/>
      <c r="BB22" s="78"/>
      <c r="BC22" s="78"/>
      <c r="BD22" s="78"/>
      <c r="BE22" s="78"/>
      <c r="BF22" s="78"/>
      <c r="BG22" s="78"/>
      <c r="BH22" s="78"/>
      <c r="BI22" s="78"/>
      <c r="BJ22" s="78"/>
      <c r="BK22" s="78"/>
      <c r="BL22" s="78"/>
      <c r="BM22" s="78"/>
      <c r="BN22" s="78"/>
      <c r="BO22" s="78"/>
      <c r="BP22" s="78"/>
      <c r="BQ22" s="78"/>
      <c r="BR22" s="78"/>
      <c r="BS22" s="78"/>
      <c r="BT22" s="78"/>
      <c r="BU22" s="78"/>
      <c r="BV22" s="78"/>
      <c r="BW22" s="78"/>
      <c r="BX22" s="78"/>
      <c r="BY22" s="78"/>
      <c r="BZ22" s="78"/>
      <c r="CA22" s="78"/>
      <c r="CB22" s="78"/>
      <c r="CC22" s="78"/>
      <c r="CD22" s="78"/>
      <c r="CE22" s="78"/>
      <c r="CF22" s="78"/>
      <c r="CG22" s="78"/>
      <c r="CH22" s="78"/>
      <c r="CI22" s="78"/>
      <c r="CJ22" s="78"/>
      <c r="CK22" s="78"/>
      <c r="CL22" s="78"/>
      <c r="CM22" s="78"/>
      <c r="CN22" s="78"/>
      <c r="CO22" s="78"/>
      <c r="CP22" s="78"/>
      <c r="CQ22" s="78"/>
      <c r="CR22" s="78"/>
      <c r="CS22" s="78"/>
      <c r="CT22" s="78"/>
      <c r="CU22" s="78"/>
      <c r="CV22" s="78"/>
      <c r="CW22" s="78"/>
      <c r="CX22" s="78"/>
      <c r="CY22" s="78"/>
      <c r="CZ22" s="78"/>
      <c r="DA22" s="78"/>
      <c r="DB22" s="78"/>
      <c r="DC22" s="78"/>
      <c r="DD22" s="78"/>
      <c r="DE22" s="78"/>
      <c r="DF22" s="78"/>
      <c r="DG22" s="78"/>
      <c r="DH22" s="78"/>
      <c r="DI22" s="78"/>
      <c r="DJ22" s="78"/>
      <c r="DK22" s="78"/>
      <c r="DL22" s="78"/>
      <c r="DM22" s="78"/>
      <c r="DN22" s="78"/>
      <c r="DO22" s="78"/>
      <c r="DP22" s="78"/>
      <c r="DQ22" s="78"/>
      <c r="DR22" s="78"/>
      <c r="DS22" s="78"/>
      <c r="DT22" s="78"/>
      <c r="DU22" s="78"/>
      <c r="DV22" s="78"/>
      <c r="DW22" s="78"/>
      <c r="DX22" s="78"/>
      <c r="DY22" s="78"/>
      <c r="DZ22" s="78"/>
      <c r="EA22" s="78"/>
      <c r="EB22" s="78"/>
      <c r="EC22" s="78"/>
    </row>
    <row r="23" spans="1:133" s="9" customFormat="1" x14ac:dyDescent="0.25">
      <c r="A23" s="73" t="s">
        <v>51</v>
      </c>
      <c r="B23" s="60" t="s">
        <v>202</v>
      </c>
      <c r="C23" s="53" t="s">
        <v>53</v>
      </c>
      <c r="D23" s="53" t="s">
        <v>376</v>
      </c>
      <c r="E23" s="162">
        <v>15175</v>
      </c>
      <c r="F23" s="163"/>
      <c r="G23" s="163"/>
      <c r="H23" s="163"/>
      <c r="I23" s="163"/>
      <c r="J23" s="163"/>
      <c r="K23" s="163"/>
      <c r="L23" s="163"/>
      <c r="M23" s="163"/>
      <c r="N23" s="163"/>
      <c r="O23" s="163"/>
      <c r="P23" s="163"/>
      <c r="Q23" s="164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  <c r="AJ23" s="78"/>
      <c r="AK23" s="78"/>
      <c r="AL23" s="78"/>
      <c r="AM23" s="78"/>
      <c r="AN23" s="78"/>
      <c r="AO23" s="78"/>
      <c r="AP23" s="78"/>
      <c r="AQ23" s="78"/>
      <c r="AR23" s="78"/>
      <c r="AS23" s="78"/>
      <c r="AT23" s="78"/>
      <c r="AU23" s="78"/>
      <c r="AV23" s="78"/>
      <c r="AW23" s="78"/>
      <c r="AX23" s="78"/>
      <c r="AY23" s="78"/>
      <c r="AZ23" s="78"/>
      <c r="BA23" s="78"/>
      <c r="BB23" s="78"/>
      <c r="BC23" s="78"/>
      <c r="BD23" s="78"/>
      <c r="BE23" s="78"/>
      <c r="BF23" s="78"/>
      <c r="BG23" s="78"/>
      <c r="BH23" s="78"/>
      <c r="BI23" s="78"/>
      <c r="BJ23" s="78"/>
      <c r="BK23" s="78"/>
      <c r="BL23" s="78"/>
      <c r="BM23" s="78"/>
      <c r="BN23" s="78"/>
      <c r="BO23" s="78"/>
      <c r="BP23" s="78"/>
      <c r="BQ23" s="78"/>
      <c r="BR23" s="78"/>
      <c r="BS23" s="78"/>
      <c r="BT23" s="78"/>
      <c r="BU23" s="78"/>
      <c r="BV23" s="78"/>
      <c r="BW23" s="78"/>
      <c r="BX23" s="78"/>
      <c r="BY23" s="78"/>
      <c r="BZ23" s="78"/>
      <c r="CA23" s="78"/>
      <c r="CB23" s="78"/>
      <c r="CC23" s="78"/>
      <c r="CD23" s="78"/>
      <c r="CE23" s="78"/>
      <c r="CF23" s="78"/>
      <c r="CG23" s="78"/>
      <c r="CH23" s="78"/>
      <c r="CI23" s="78"/>
      <c r="CJ23" s="78"/>
      <c r="CK23" s="78"/>
      <c r="CL23" s="78"/>
      <c r="CM23" s="78"/>
      <c r="CN23" s="78"/>
      <c r="CO23" s="78"/>
      <c r="CP23" s="78"/>
      <c r="CQ23" s="78"/>
      <c r="CR23" s="78"/>
      <c r="CS23" s="78"/>
      <c r="CT23" s="78"/>
      <c r="CU23" s="78"/>
      <c r="CV23" s="78"/>
      <c r="CW23" s="78"/>
      <c r="CX23" s="78"/>
      <c r="CY23" s="78"/>
      <c r="CZ23" s="78"/>
      <c r="DA23" s="78"/>
      <c r="DB23" s="78"/>
      <c r="DC23" s="78"/>
      <c r="DD23" s="78"/>
      <c r="DE23" s="78"/>
      <c r="DF23" s="78"/>
      <c r="DG23" s="78"/>
      <c r="DH23" s="78"/>
      <c r="DI23" s="78"/>
      <c r="DJ23" s="78"/>
      <c r="DK23" s="78"/>
      <c r="DL23" s="78"/>
      <c r="DM23" s="78"/>
      <c r="DN23" s="78"/>
      <c r="DO23" s="78"/>
      <c r="DP23" s="78"/>
      <c r="DQ23" s="78"/>
      <c r="DR23" s="78"/>
      <c r="DS23" s="78"/>
      <c r="DT23" s="78"/>
      <c r="DU23" s="78"/>
      <c r="DV23" s="78"/>
      <c r="DW23" s="78"/>
      <c r="DX23" s="78"/>
      <c r="DY23" s="78"/>
      <c r="DZ23" s="78"/>
      <c r="EA23" s="78"/>
      <c r="EB23" s="78"/>
      <c r="EC23" s="78"/>
    </row>
    <row r="24" spans="1:133" s="9" customFormat="1" ht="18" x14ac:dyDescent="0.25">
      <c r="A24" s="73" t="s">
        <v>54</v>
      </c>
      <c r="B24" s="60" t="s">
        <v>203</v>
      </c>
      <c r="C24" s="53" t="s">
        <v>56</v>
      </c>
      <c r="D24" s="53" t="s">
        <v>376</v>
      </c>
      <c r="E24" s="162">
        <v>303.16000000000003</v>
      </c>
      <c r="F24" s="163"/>
      <c r="G24" s="163"/>
      <c r="H24" s="163"/>
      <c r="I24" s="163"/>
      <c r="J24" s="163"/>
      <c r="K24" s="163"/>
      <c r="L24" s="163"/>
      <c r="M24" s="163"/>
      <c r="N24" s="163"/>
      <c r="O24" s="163"/>
      <c r="P24" s="163"/>
      <c r="Q24" s="164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  <c r="AJ24" s="78"/>
      <c r="AK24" s="78"/>
      <c r="AL24" s="78"/>
      <c r="AM24" s="78"/>
      <c r="AN24" s="78"/>
      <c r="AO24" s="78"/>
      <c r="AP24" s="78"/>
      <c r="AQ24" s="78"/>
      <c r="AR24" s="78"/>
      <c r="AS24" s="78"/>
      <c r="AT24" s="78"/>
      <c r="AU24" s="78"/>
      <c r="AV24" s="78"/>
      <c r="AW24" s="78"/>
      <c r="AX24" s="78"/>
      <c r="AY24" s="78"/>
      <c r="AZ24" s="78"/>
      <c r="BA24" s="78"/>
      <c r="BB24" s="78"/>
      <c r="BC24" s="78"/>
      <c r="BD24" s="78"/>
      <c r="BE24" s="78"/>
      <c r="BF24" s="78"/>
      <c r="BG24" s="78"/>
      <c r="BH24" s="78"/>
      <c r="BI24" s="78"/>
      <c r="BJ24" s="78"/>
      <c r="BK24" s="78"/>
      <c r="BL24" s="78"/>
      <c r="BM24" s="78"/>
      <c r="BN24" s="78"/>
      <c r="BO24" s="78"/>
      <c r="BP24" s="78"/>
      <c r="BQ24" s="78"/>
      <c r="BR24" s="78"/>
      <c r="BS24" s="78"/>
      <c r="BT24" s="78"/>
      <c r="BU24" s="78"/>
      <c r="BV24" s="78"/>
      <c r="BW24" s="78"/>
      <c r="BX24" s="78"/>
      <c r="BY24" s="78"/>
      <c r="BZ24" s="78"/>
      <c r="CA24" s="78"/>
      <c r="CB24" s="78"/>
      <c r="CC24" s="78"/>
      <c r="CD24" s="78"/>
      <c r="CE24" s="78"/>
      <c r="CF24" s="78"/>
      <c r="CG24" s="78"/>
      <c r="CH24" s="78"/>
      <c r="CI24" s="78"/>
      <c r="CJ24" s="78"/>
      <c r="CK24" s="78"/>
      <c r="CL24" s="78"/>
      <c r="CM24" s="78"/>
      <c r="CN24" s="78"/>
      <c r="CO24" s="78"/>
      <c r="CP24" s="78"/>
      <c r="CQ24" s="78"/>
      <c r="CR24" s="78"/>
      <c r="CS24" s="78"/>
      <c r="CT24" s="78"/>
      <c r="CU24" s="78"/>
      <c r="CV24" s="78"/>
      <c r="CW24" s="78"/>
      <c r="CX24" s="78"/>
      <c r="CY24" s="78"/>
      <c r="CZ24" s="78"/>
      <c r="DA24" s="78"/>
      <c r="DB24" s="78"/>
      <c r="DC24" s="78"/>
      <c r="DD24" s="78"/>
      <c r="DE24" s="78"/>
      <c r="DF24" s="78"/>
      <c r="DG24" s="78"/>
      <c r="DH24" s="78"/>
      <c r="DI24" s="78"/>
      <c r="DJ24" s="78"/>
      <c r="DK24" s="78"/>
      <c r="DL24" s="78"/>
      <c r="DM24" s="78"/>
      <c r="DN24" s="78"/>
      <c r="DO24" s="78"/>
      <c r="DP24" s="78"/>
      <c r="DQ24" s="78"/>
      <c r="DR24" s="78"/>
      <c r="DS24" s="78"/>
      <c r="DT24" s="78"/>
      <c r="DU24" s="78"/>
      <c r="DV24" s="78"/>
      <c r="DW24" s="78"/>
      <c r="DX24" s="78"/>
      <c r="DY24" s="78"/>
      <c r="DZ24" s="78"/>
      <c r="EA24" s="78"/>
      <c r="EB24" s="78"/>
      <c r="EC24" s="78"/>
    </row>
    <row r="25" spans="1:133" s="9" customFormat="1" x14ac:dyDescent="0.25">
      <c r="A25" s="73" t="s">
        <v>57</v>
      </c>
      <c r="B25" s="60" t="s">
        <v>204</v>
      </c>
      <c r="C25" s="53" t="s">
        <v>59</v>
      </c>
      <c r="D25" s="53" t="s">
        <v>376</v>
      </c>
      <c r="E25" s="162">
        <v>1.9870000000000001</v>
      </c>
      <c r="F25" s="163"/>
      <c r="G25" s="163"/>
      <c r="H25" s="163"/>
      <c r="I25" s="163"/>
      <c r="J25" s="163"/>
      <c r="K25" s="163"/>
      <c r="L25" s="163"/>
      <c r="M25" s="163"/>
      <c r="N25" s="163"/>
      <c r="O25" s="163"/>
      <c r="P25" s="163"/>
      <c r="Q25" s="164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  <c r="AJ25" s="78"/>
      <c r="AK25" s="78"/>
      <c r="AL25" s="78"/>
      <c r="AM25" s="78"/>
      <c r="AN25" s="78"/>
      <c r="AO25" s="78"/>
      <c r="AP25" s="78"/>
      <c r="AQ25" s="78"/>
      <c r="AR25" s="78"/>
      <c r="AS25" s="78"/>
      <c r="AT25" s="78"/>
      <c r="AU25" s="78"/>
      <c r="AV25" s="78"/>
      <c r="AW25" s="78"/>
      <c r="AX25" s="78"/>
      <c r="AY25" s="78"/>
      <c r="AZ25" s="78"/>
      <c r="BA25" s="78"/>
      <c r="BB25" s="78"/>
      <c r="BC25" s="78"/>
      <c r="BD25" s="78"/>
      <c r="BE25" s="78"/>
      <c r="BF25" s="78"/>
      <c r="BG25" s="78"/>
      <c r="BH25" s="78"/>
      <c r="BI25" s="78"/>
      <c r="BJ25" s="78"/>
      <c r="BK25" s="78"/>
      <c r="BL25" s="78"/>
      <c r="BM25" s="78"/>
      <c r="BN25" s="78"/>
      <c r="BO25" s="78"/>
      <c r="BP25" s="78"/>
      <c r="BQ25" s="78"/>
      <c r="BR25" s="78"/>
      <c r="BS25" s="78"/>
      <c r="BT25" s="78"/>
      <c r="BU25" s="78"/>
      <c r="BV25" s="78"/>
      <c r="BW25" s="78"/>
      <c r="BX25" s="78"/>
      <c r="BY25" s="78"/>
      <c r="BZ25" s="78"/>
      <c r="CA25" s="78"/>
      <c r="CB25" s="78"/>
      <c r="CC25" s="78"/>
      <c r="CD25" s="78"/>
      <c r="CE25" s="78"/>
      <c r="CF25" s="78"/>
      <c r="CG25" s="78"/>
      <c r="CH25" s="78"/>
      <c r="CI25" s="78"/>
      <c r="CJ25" s="78"/>
      <c r="CK25" s="78"/>
      <c r="CL25" s="78"/>
      <c r="CM25" s="78"/>
      <c r="CN25" s="78"/>
      <c r="CO25" s="78"/>
      <c r="CP25" s="78"/>
      <c r="CQ25" s="78"/>
      <c r="CR25" s="78"/>
      <c r="CS25" s="78"/>
      <c r="CT25" s="78"/>
      <c r="CU25" s="78"/>
      <c r="CV25" s="78"/>
      <c r="CW25" s="78"/>
      <c r="CX25" s="78"/>
      <c r="CY25" s="78"/>
      <c r="CZ25" s="78"/>
      <c r="DA25" s="78"/>
      <c r="DB25" s="78"/>
      <c r="DC25" s="78"/>
      <c r="DD25" s="78"/>
      <c r="DE25" s="78"/>
      <c r="DF25" s="78"/>
      <c r="DG25" s="78"/>
      <c r="DH25" s="78"/>
      <c r="DI25" s="78"/>
      <c r="DJ25" s="78"/>
      <c r="DK25" s="78"/>
      <c r="DL25" s="78"/>
      <c r="DM25" s="78"/>
      <c r="DN25" s="78"/>
      <c r="DO25" s="78"/>
      <c r="DP25" s="78"/>
      <c r="DQ25" s="78"/>
      <c r="DR25" s="78"/>
      <c r="DS25" s="78"/>
      <c r="DT25" s="78"/>
      <c r="DU25" s="78"/>
      <c r="DV25" s="78"/>
      <c r="DW25" s="78"/>
      <c r="DX25" s="78"/>
      <c r="DY25" s="78"/>
      <c r="DZ25" s="78"/>
      <c r="EA25" s="78"/>
      <c r="EB25" s="78"/>
      <c r="EC25" s="78"/>
    </row>
    <row r="26" spans="1:133" s="9" customFormat="1" ht="31.2" x14ac:dyDescent="0.25">
      <c r="A26" s="73" t="s">
        <v>60</v>
      </c>
      <c r="B26" s="60" t="s">
        <v>203</v>
      </c>
      <c r="C26" s="53" t="s">
        <v>61</v>
      </c>
      <c r="D26" s="143" t="s">
        <v>363</v>
      </c>
      <c r="E26" s="98">
        <f>AVERAGE(F26:Q26)</f>
        <v>296.39999999999998</v>
      </c>
      <c r="F26" s="65" t="s">
        <v>297</v>
      </c>
      <c r="G26" s="65" t="s">
        <v>297</v>
      </c>
      <c r="H26" s="65" t="s">
        <v>297</v>
      </c>
      <c r="I26" s="65" t="s">
        <v>297</v>
      </c>
      <c r="J26" s="65" t="s">
        <v>297</v>
      </c>
      <c r="K26" s="65" t="s">
        <v>297</v>
      </c>
      <c r="L26" s="65" t="s">
        <v>297</v>
      </c>
      <c r="M26" s="65" t="s">
        <v>297</v>
      </c>
      <c r="N26" s="60">
        <v>301.64999999999998</v>
      </c>
      <c r="O26" s="60">
        <v>297.64999999999998</v>
      </c>
      <c r="P26" s="60">
        <v>296.14999999999998</v>
      </c>
      <c r="Q26" s="60">
        <v>290.14999999999998</v>
      </c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  <c r="AJ26" s="78"/>
      <c r="AK26" s="78"/>
      <c r="AL26" s="78"/>
      <c r="AM26" s="78"/>
      <c r="AN26" s="78"/>
      <c r="AO26" s="78"/>
      <c r="AP26" s="78"/>
      <c r="AQ26" s="78"/>
      <c r="AR26" s="78"/>
      <c r="AS26" s="78"/>
      <c r="AT26" s="78"/>
      <c r="AU26" s="78"/>
      <c r="AV26" s="78"/>
      <c r="AW26" s="78"/>
      <c r="AX26" s="78"/>
      <c r="AY26" s="78"/>
      <c r="AZ26" s="78"/>
      <c r="BA26" s="78"/>
      <c r="BB26" s="78"/>
      <c r="BC26" s="78"/>
      <c r="BD26" s="78"/>
      <c r="BE26" s="78"/>
      <c r="BF26" s="78"/>
      <c r="BG26" s="78"/>
      <c r="BH26" s="78"/>
      <c r="BI26" s="78"/>
      <c r="BJ26" s="78"/>
      <c r="BK26" s="78"/>
      <c r="BL26" s="78"/>
      <c r="BM26" s="78"/>
      <c r="BN26" s="78"/>
      <c r="BO26" s="78"/>
      <c r="BP26" s="78"/>
      <c r="BQ26" s="78"/>
      <c r="BR26" s="78"/>
      <c r="BS26" s="78"/>
      <c r="BT26" s="78"/>
      <c r="BU26" s="78"/>
      <c r="BV26" s="78"/>
      <c r="BW26" s="78"/>
      <c r="BX26" s="78"/>
      <c r="BY26" s="78"/>
      <c r="BZ26" s="78"/>
      <c r="CA26" s="78"/>
      <c r="CB26" s="78"/>
      <c r="CC26" s="78"/>
      <c r="CD26" s="78"/>
      <c r="CE26" s="78"/>
      <c r="CF26" s="78"/>
      <c r="CG26" s="78"/>
      <c r="CH26" s="78"/>
      <c r="CI26" s="78"/>
      <c r="CJ26" s="78"/>
      <c r="CK26" s="78"/>
      <c r="CL26" s="78"/>
      <c r="CM26" s="78"/>
      <c r="CN26" s="78"/>
      <c r="CO26" s="78"/>
      <c r="CP26" s="78"/>
      <c r="CQ26" s="78"/>
      <c r="CR26" s="78"/>
      <c r="CS26" s="78"/>
      <c r="CT26" s="78"/>
      <c r="CU26" s="78"/>
      <c r="CV26" s="78"/>
      <c r="CW26" s="78"/>
      <c r="CX26" s="78"/>
      <c r="CY26" s="78"/>
      <c r="CZ26" s="78"/>
      <c r="DA26" s="78"/>
      <c r="DB26" s="78"/>
      <c r="DC26" s="78"/>
      <c r="DD26" s="78"/>
      <c r="DE26" s="78"/>
      <c r="DF26" s="78"/>
      <c r="DG26" s="78"/>
      <c r="DH26" s="78"/>
      <c r="DI26" s="78"/>
      <c r="DJ26" s="78"/>
      <c r="DK26" s="78"/>
      <c r="DL26" s="78"/>
      <c r="DM26" s="78"/>
      <c r="DN26" s="78"/>
      <c r="DO26" s="78"/>
      <c r="DP26" s="78"/>
      <c r="DQ26" s="78"/>
      <c r="DR26" s="78"/>
      <c r="DS26" s="78"/>
      <c r="DT26" s="78"/>
      <c r="DU26" s="78"/>
      <c r="DV26" s="78"/>
      <c r="DW26" s="78"/>
      <c r="DX26" s="78"/>
      <c r="DY26" s="78"/>
      <c r="DZ26" s="78"/>
      <c r="EA26" s="78"/>
      <c r="EB26" s="78"/>
      <c r="EC26" s="78"/>
    </row>
    <row r="27" spans="1:133" s="9" customFormat="1" ht="31.2" x14ac:dyDescent="0.4">
      <c r="A27" s="71" t="s">
        <v>62</v>
      </c>
      <c r="B27" s="60" t="s">
        <v>196</v>
      </c>
      <c r="C27" s="53" t="s">
        <v>63</v>
      </c>
      <c r="D27" s="53" t="s">
        <v>377</v>
      </c>
      <c r="E27" s="74">
        <f>SUM(F27:Q27)</f>
        <v>280.46323221608202</v>
      </c>
      <c r="F27" s="65" t="s">
        <v>297</v>
      </c>
      <c r="G27" s="65" t="s">
        <v>297</v>
      </c>
      <c r="H27" s="65" t="s">
        <v>297</v>
      </c>
      <c r="I27" s="65" t="s">
        <v>297</v>
      </c>
      <c r="J27" s="65" t="s">
        <v>297</v>
      </c>
      <c r="K27" s="65" t="s">
        <v>297</v>
      </c>
      <c r="L27" s="65" t="s">
        <v>297</v>
      </c>
      <c r="M27" s="65" t="s">
        <v>297</v>
      </c>
      <c r="N27" s="74">
        <f>N16*N11*N14+(1-N22)*0</f>
        <v>40.775338692443412</v>
      </c>
      <c r="O27" s="74">
        <f t="shared" ref="O27:Q27" si="7">O16*O11*O14+(1-O22)*N27</f>
        <v>63.868748291380868</v>
      </c>
      <c r="P27" s="74">
        <f t="shared" si="7"/>
        <v>75.807819918485691</v>
      </c>
      <c r="Q27" s="74">
        <f t="shared" si="7"/>
        <v>100.01132531377202</v>
      </c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  <c r="AJ27" s="78"/>
      <c r="AK27" s="78"/>
      <c r="AL27" s="78"/>
      <c r="AM27" s="78"/>
      <c r="AN27" s="78"/>
      <c r="AO27" s="78"/>
      <c r="AP27" s="78"/>
      <c r="AQ27" s="78"/>
      <c r="AR27" s="78"/>
      <c r="AS27" s="78"/>
      <c r="AT27" s="78"/>
      <c r="AU27" s="78"/>
      <c r="AV27" s="78"/>
      <c r="AW27" s="78"/>
      <c r="AX27" s="78"/>
      <c r="AY27" s="78"/>
      <c r="AZ27" s="78"/>
      <c r="BA27" s="78"/>
      <c r="BB27" s="78"/>
      <c r="BC27" s="78"/>
      <c r="BD27" s="78"/>
      <c r="BE27" s="78"/>
      <c r="BF27" s="78"/>
      <c r="BG27" s="78"/>
      <c r="BH27" s="78"/>
      <c r="BI27" s="78"/>
      <c r="BJ27" s="78"/>
      <c r="BK27" s="78"/>
      <c r="BL27" s="78"/>
      <c r="BM27" s="78"/>
      <c r="BN27" s="78"/>
      <c r="BO27" s="78"/>
      <c r="BP27" s="78"/>
      <c r="BQ27" s="78"/>
      <c r="BR27" s="78"/>
      <c r="BS27" s="78"/>
      <c r="BT27" s="78"/>
      <c r="BU27" s="78"/>
      <c r="BV27" s="78"/>
      <c r="BW27" s="78"/>
      <c r="BX27" s="78"/>
      <c r="BY27" s="78"/>
      <c r="BZ27" s="78"/>
      <c r="CA27" s="78"/>
      <c r="CB27" s="78"/>
      <c r="CC27" s="78"/>
      <c r="CD27" s="78"/>
      <c r="CE27" s="78"/>
      <c r="CF27" s="78"/>
      <c r="CG27" s="78"/>
      <c r="CH27" s="78"/>
      <c r="CI27" s="78"/>
      <c r="CJ27" s="78"/>
      <c r="CK27" s="78"/>
      <c r="CL27" s="78"/>
      <c r="CM27" s="78"/>
      <c r="CN27" s="78"/>
      <c r="CO27" s="78"/>
      <c r="CP27" s="78"/>
      <c r="CQ27" s="78"/>
      <c r="CR27" s="78"/>
      <c r="CS27" s="78"/>
      <c r="CT27" s="78"/>
      <c r="CU27" s="78"/>
      <c r="CV27" s="78"/>
      <c r="CW27" s="78"/>
      <c r="CX27" s="78"/>
      <c r="CY27" s="78"/>
      <c r="CZ27" s="78"/>
      <c r="DA27" s="78"/>
      <c r="DB27" s="78"/>
      <c r="DC27" s="78"/>
      <c r="DD27" s="78"/>
      <c r="DE27" s="78"/>
      <c r="DF27" s="78"/>
      <c r="DG27" s="78"/>
      <c r="DH27" s="78"/>
      <c r="DI27" s="78"/>
      <c r="DJ27" s="78"/>
      <c r="DK27" s="78"/>
      <c r="DL27" s="78"/>
      <c r="DM27" s="78"/>
      <c r="DN27" s="78"/>
      <c r="DO27" s="78"/>
      <c r="DP27" s="78"/>
      <c r="DQ27" s="78"/>
      <c r="DR27" s="78"/>
      <c r="DS27" s="78"/>
      <c r="DT27" s="78"/>
      <c r="DU27" s="78"/>
      <c r="DV27" s="78"/>
      <c r="DW27" s="78"/>
      <c r="DX27" s="78"/>
      <c r="DY27" s="78"/>
      <c r="DZ27" s="78"/>
      <c r="EA27" s="78"/>
      <c r="EB27" s="78"/>
      <c r="EC27" s="78"/>
    </row>
    <row r="29" spans="1:133" x14ac:dyDescent="0.25">
      <c r="A29" s="158" t="s">
        <v>64</v>
      </c>
      <c r="B29" s="158"/>
      <c r="C29" s="158"/>
      <c r="D29" s="158"/>
      <c r="E29" s="158"/>
    </row>
    <row r="30" spans="1:133" x14ac:dyDescent="0.25">
      <c r="A30" s="57" t="s">
        <v>8</v>
      </c>
      <c r="B30" s="58" t="s">
        <v>9</v>
      </c>
      <c r="C30" s="34" t="s">
        <v>10</v>
      </c>
      <c r="D30" s="34" t="s">
        <v>340</v>
      </c>
      <c r="E30" s="16" t="s">
        <v>65</v>
      </c>
    </row>
    <row r="31" spans="1:133" ht="46.8" x14ac:dyDescent="0.25">
      <c r="A31" s="59" t="s">
        <v>66</v>
      </c>
      <c r="B31" s="60" t="s">
        <v>14</v>
      </c>
      <c r="C31" s="53" t="s">
        <v>67</v>
      </c>
      <c r="D31" s="53" t="s">
        <v>68</v>
      </c>
      <c r="E31" s="75">
        <v>0</v>
      </c>
    </row>
    <row r="32" spans="1:133" ht="46.8" x14ac:dyDescent="0.25">
      <c r="A32" s="63" t="s">
        <v>69</v>
      </c>
      <c r="B32" s="25" t="s">
        <v>70</v>
      </c>
      <c r="C32" s="35" t="s">
        <v>71</v>
      </c>
      <c r="D32" s="53" t="str">
        <f>D38</f>
        <v>Historical data on site in the FSR (It was calculated with conservative value)</v>
      </c>
      <c r="E32" s="74">
        <f>E38</f>
        <v>85.544811389889887</v>
      </c>
    </row>
    <row r="34" spans="1:5" x14ac:dyDescent="0.25">
      <c r="A34" s="174" t="s">
        <v>72</v>
      </c>
      <c r="B34" s="174"/>
      <c r="C34" s="175"/>
      <c r="D34" s="175"/>
      <c r="E34" s="174"/>
    </row>
    <row r="35" spans="1:5" x14ac:dyDescent="0.25">
      <c r="A35" s="59" t="s">
        <v>8</v>
      </c>
      <c r="B35" s="16" t="s">
        <v>9</v>
      </c>
      <c r="C35" s="38" t="s">
        <v>10</v>
      </c>
      <c r="D35" s="38" t="s">
        <v>340</v>
      </c>
      <c r="E35" s="16" t="s">
        <v>65</v>
      </c>
    </row>
    <row r="36" spans="1:5" ht="33.6" x14ac:dyDescent="0.4">
      <c r="A36" s="76" t="s">
        <v>73</v>
      </c>
      <c r="B36" s="25" t="s">
        <v>74</v>
      </c>
      <c r="C36" s="35" t="s">
        <v>75</v>
      </c>
      <c r="D36" s="35" t="s">
        <v>378</v>
      </c>
      <c r="E36" s="50">
        <f>E37*E40*E41*E42*E43*E44</f>
        <v>0.3474600101831139</v>
      </c>
    </row>
    <row r="37" spans="1:5" ht="46.8" x14ac:dyDescent="0.4">
      <c r="A37" s="77" t="s">
        <v>207</v>
      </c>
      <c r="B37" s="25" t="s">
        <v>76</v>
      </c>
      <c r="C37" s="35" t="s">
        <v>77</v>
      </c>
      <c r="D37" s="35" t="s">
        <v>379</v>
      </c>
      <c r="E37" s="52">
        <f>E38/E39</f>
        <v>17.108962277977977</v>
      </c>
    </row>
    <row r="38" spans="1:5" ht="46.8" x14ac:dyDescent="0.25">
      <c r="A38" s="63" t="s">
        <v>208</v>
      </c>
      <c r="B38" s="25" t="s">
        <v>78</v>
      </c>
      <c r="C38" s="35" t="s">
        <v>79</v>
      </c>
      <c r="D38" s="53" t="s">
        <v>352</v>
      </c>
      <c r="E38" s="52">
        <f>0.000186935962216991*E11</f>
        <v>85.544811389889887</v>
      </c>
    </row>
    <row r="39" spans="1:5" ht="31.2" x14ac:dyDescent="0.25">
      <c r="A39" s="63" t="s">
        <v>209</v>
      </c>
      <c r="B39" s="25" t="s">
        <v>80</v>
      </c>
      <c r="C39" s="35" t="s">
        <v>81</v>
      </c>
      <c r="D39" s="35" t="s">
        <v>353</v>
      </c>
      <c r="E39" s="25">
        <f>5</f>
        <v>5</v>
      </c>
    </row>
    <row r="40" spans="1:5" ht="62.4" x14ac:dyDescent="0.25">
      <c r="A40" s="63" t="s">
        <v>210</v>
      </c>
      <c r="B40" s="25" t="s">
        <v>82</v>
      </c>
      <c r="C40" s="35" t="s">
        <v>83</v>
      </c>
      <c r="D40" s="53" t="s">
        <v>354</v>
      </c>
      <c r="E40" s="25">
        <f>15*2</f>
        <v>30</v>
      </c>
    </row>
    <row r="41" spans="1:5" ht="172.2" x14ac:dyDescent="0.25">
      <c r="A41" s="63" t="s">
        <v>211</v>
      </c>
      <c r="B41" s="25" t="s">
        <v>84</v>
      </c>
      <c r="C41" s="35" t="s">
        <v>85</v>
      </c>
      <c r="D41" s="35" t="s">
        <v>355</v>
      </c>
      <c r="E41" s="25">
        <f>25.1/100</f>
        <v>0.251</v>
      </c>
    </row>
    <row r="42" spans="1:5" ht="156" x14ac:dyDescent="0.25">
      <c r="A42" s="63" t="s">
        <v>212</v>
      </c>
      <c r="B42" s="25" t="s">
        <v>87</v>
      </c>
      <c r="C42" s="35" t="s">
        <v>86</v>
      </c>
      <c r="D42" s="35" t="s">
        <v>356</v>
      </c>
      <c r="E42" s="25">
        <f>0.84/1000</f>
        <v>8.3999999999999993E-4</v>
      </c>
    </row>
    <row r="43" spans="1:5" ht="171.6" x14ac:dyDescent="0.25">
      <c r="A43" s="63" t="s">
        <v>213</v>
      </c>
      <c r="B43" s="25" t="s">
        <v>88</v>
      </c>
      <c r="C43" s="35" t="s">
        <v>89</v>
      </c>
      <c r="D43" s="35" t="s">
        <v>357</v>
      </c>
      <c r="E43" s="25">
        <f>43.33/1000</f>
        <v>4.333E-2</v>
      </c>
    </row>
    <row r="44" spans="1:5" ht="62.4" x14ac:dyDescent="0.25">
      <c r="A44" s="63" t="s">
        <v>214</v>
      </c>
      <c r="B44" s="25" t="s">
        <v>90</v>
      </c>
      <c r="C44" s="35" t="s">
        <v>91</v>
      </c>
      <c r="D44" s="35" t="s">
        <v>358</v>
      </c>
      <c r="E44" s="25">
        <v>74.099999999999994</v>
      </c>
    </row>
    <row r="46" spans="1:5" x14ac:dyDescent="0.25">
      <c r="A46" s="158" t="s">
        <v>93</v>
      </c>
      <c r="B46" s="158"/>
      <c r="C46" s="158"/>
      <c r="D46" s="158"/>
      <c r="E46" s="158"/>
    </row>
    <row r="47" spans="1:5" x14ac:dyDescent="0.25">
      <c r="A47" s="57" t="s">
        <v>8</v>
      </c>
      <c r="B47" s="58" t="s">
        <v>9</v>
      </c>
      <c r="C47" s="34" t="s">
        <v>10</v>
      </c>
      <c r="D47" s="34" t="s">
        <v>340</v>
      </c>
      <c r="E47" s="16" t="s">
        <v>65</v>
      </c>
    </row>
    <row r="48" spans="1:5" ht="64.8" x14ac:dyDescent="0.25">
      <c r="A48" s="15" t="s">
        <v>94</v>
      </c>
      <c r="B48" s="25" t="s">
        <v>95</v>
      </c>
      <c r="C48" s="35" t="s">
        <v>96</v>
      </c>
      <c r="D48" s="35" t="s">
        <v>97</v>
      </c>
      <c r="E48" s="16">
        <v>0</v>
      </c>
    </row>
    <row r="50" spans="1:133" x14ac:dyDescent="0.25">
      <c r="A50" s="158" t="s">
        <v>98</v>
      </c>
      <c r="B50" s="158"/>
      <c r="C50" s="158"/>
      <c r="D50" s="158"/>
      <c r="E50" s="158"/>
    </row>
    <row r="51" spans="1:133" x14ac:dyDescent="0.25">
      <c r="A51" s="57" t="s">
        <v>8</v>
      </c>
      <c r="B51" s="58" t="s">
        <v>9</v>
      </c>
      <c r="C51" s="34" t="s">
        <v>10</v>
      </c>
      <c r="D51" s="34" t="s">
        <v>340</v>
      </c>
      <c r="E51" s="16" t="s">
        <v>65</v>
      </c>
    </row>
    <row r="52" spans="1:133" ht="49.2" x14ac:dyDescent="0.25">
      <c r="A52" s="15" t="s">
        <v>99</v>
      </c>
      <c r="B52" s="25" t="s">
        <v>95</v>
      </c>
      <c r="C52" s="35" t="s">
        <v>100</v>
      </c>
      <c r="D52" s="35" t="s">
        <v>101</v>
      </c>
      <c r="E52" s="16">
        <v>0</v>
      </c>
    </row>
    <row r="54" spans="1:133" x14ac:dyDescent="0.25">
      <c r="A54" s="57" t="s">
        <v>8</v>
      </c>
      <c r="B54" s="58" t="s">
        <v>9</v>
      </c>
      <c r="C54" s="34" t="s">
        <v>10</v>
      </c>
      <c r="D54" s="34" t="s">
        <v>340</v>
      </c>
      <c r="E54" s="16" t="s">
        <v>65</v>
      </c>
    </row>
    <row r="55" spans="1:133" ht="18" x14ac:dyDescent="0.25">
      <c r="A55" s="59" t="s">
        <v>102</v>
      </c>
      <c r="B55" s="25" t="s">
        <v>103</v>
      </c>
      <c r="C55" s="35" t="s">
        <v>104</v>
      </c>
      <c r="D55" s="53" t="s">
        <v>380</v>
      </c>
      <c r="E55" s="18">
        <f>ROUNDDOWN(E5+E36+E31+E48+E52,0)</f>
        <v>550</v>
      </c>
    </row>
    <row r="57" spans="1:133" s="183" customFormat="1" ht="36" customHeight="1" x14ac:dyDescent="0.25">
      <c r="A57" s="183" t="s">
        <v>237</v>
      </c>
    </row>
    <row r="58" spans="1:133" s="56" customFormat="1" ht="31.2" x14ac:dyDescent="0.25">
      <c r="A58" s="92" t="s">
        <v>8</v>
      </c>
      <c r="B58" s="93" t="s">
        <v>9</v>
      </c>
      <c r="C58" s="94" t="s">
        <v>10</v>
      </c>
      <c r="D58" s="93" t="s">
        <v>341</v>
      </c>
      <c r="E58" s="93" t="s">
        <v>11</v>
      </c>
      <c r="F58" s="16" t="s">
        <v>292</v>
      </c>
      <c r="G58" s="16" t="s">
        <v>292</v>
      </c>
      <c r="H58" s="16" t="s">
        <v>292</v>
      </c>
      <c r="I58" s="16" t="s">
        <v>292</v>
      </c>
      <c r="J58" s="16" t="s">
        <v>292</v>
      </c>
      <c r="K58" s="16" t="s">
        <v>292</v>
      </c>
      <c r="L58" s="16" t="s">
        <v>292</v>
      </c>
      <c r="M58" s="16" t="s">
        <v>292</v>
      </c>
      <c r="N58" s="16" t="s">
        <v>299</v>
      </c>
      <c r="O58" s="16" t="s">
        <v>293</v>
      </c>
      <c r="P58" s="16" t="s">
        <v>294</v>
      </c>
      <c r="Q58" s="16" t="s">
        <v>295</v>
      </c>
      <c r="R58" s="54"/>
      <c r="S58" s="54"/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F58" s="54"/>
      <c r="AG58" s="54"/>
      <c r="AH58" s="54"/>
      <c r="AI58" s="54"/>
      <c r="AJ58" s="54"/>
      <c r="AK58" s="54"/>
      <c r="AL58" s="54"/>
      <c r="AM58" s="54"/>
      <c r="AN58" s="54"/>
      <c r="AO58" s="54"/>
      <c r="AP58" s="54"/>
      <c r="AQ58" s="54"/>
      <c r="AR58" s="54"/>
      <c r="AS58" s="54"/>
      <c r="AT58" s="54"/>
      <c r="AU58" s="54"/>
      <c r="AV58" s="54"/>
      <c r="AW58" s="54"/>
      <c r="AX58" s="54"/>
      <c r="AY58" s="54"/>
      <c r="AZ58" s="54"/>
      <c r="BA58" s="54"/>
      <c r="BB58" s="54"/>
      <c r="BC58" s="54"/>
      <c r="BD58" s="54"/>
      <c r="BE58" s="54"/>
      <c r="BF58" s="54"/>
      <c r="BG58" s="54"/>
      <c r="BH58" s="54"/>
      <c r="BI58" s="54"/>
      <c r="BJ58" s="54"/>
      <c r="BK58" s="54"/>
      <c r="BL58" s="54"/>
      <c r="BM58" s="54"/>
      <c r="BN58" s="54"/>
      <c r="BO58" s="54"/>
      <c r="BP58" s="54"/>
      <c r="BQ58" s="54"/>
      <c r="BR58" s="54"/>
      <c r="BS58" s="54"/>
      <c r="BT58" s="54"/>
      <c r="BU58" s="54"/>
      <c r="BV58" s="54"/>
      <c r="BW58" s="54"/>
      <c r="BX58" s="54"/>
      <c r="BY58" s="54"/>
      <c r="BZ58" s="54"/>
      <c r="CA58" s="54"/>
      <c r="CB58" s="54"/>
      <c r="CC58" s="54"/>
      <c r="CD58" s="54"/>
      <c r="CE58" s="54"/>
      <c r="CF58" s="54"/>
      <c r="CG58" s="54"/>
      <c r="CH58" s="54"/>
      <c r="CI58" s="54"/>
      <c r="CJ58" s="54"/>
      <c r="CK58" s="54"/>
      <c r="CL58" s="54"/>
      <c r="CM58" s="54"/>
      <c r="CN58" s="54"/>
      <c r="CO58" s="54"/>
      <c r="CP58" s="54"/>
      <c r="CQ58" s="54"/>
      <c r="CR58" s="54"/>
      <c r="CS58" s="54"/>
      <c r="CT58" s="54"/>
      <c r="CU58" s="54"/>
      <c r="CV58" s="54"/>
      <c r="CW58" s="54"/>
      <c r="CX58" s="54"/>
      <c r="CY58" s="54"/>
      <c r="CZ58" s="54"/>
      <c r="DA58" s="54"/>
      <c r="DB58" s="54"/>
      <c r="DC58" s="54"/>
      <c r="DD58" s="54"/>
      <c r="DE58" s="54"/>
      <c r="DF58" s="54"/>
      <c r="DG58" s="54"/>
      <c r="DH58" s="54"/>
      <c r="DI58" s="54"/>
      <c r="DJ58" s="54"/>
      <c r="DK58" s="54"/>
      <c r="DL58" s="54"/>
      <c r="DM58" s="54"/>
      <c r="DN58" s="54"/>
      <c r="DO58" s="54"/>
      <c r="DP58" s="54"/>
      <c r="DQ58" s="54"/>
      <c r="DR58" s="54"/>
      <c r="DS58" s="54"/>
      <c r="DT58" s="54"/>
      <c r="DU58" s="54"/>
      <c r="DV58" s="54"/>
      <c r="DW58" s="54"/>
      <c r="DX58" s="54"/>
      <c r="DY58" s="54"/>
      <c r="DZ58" s="54"/>
      <c r="EA58" s="54"/>
      <c r="EB58" s="54"/>
      <c r="EC58" s="54"/>
    </row>
    <row r="59" spans="1:133" s="56" customFormat="1" x14ac:dyDescent="0.25">
      <c r="A59" s="178" t="s">
        <v>12</v>
      </c>
      <c r="B59" s="178"/>
      <c r="C59" s="179"/>
      <c r="D59" s="179"/>
      <c r="E59" s="178"/>
      <c r="F59" s="16" t="s">
        <v>292</v>
      </c>
      <c r="G59" s="16" t="s">
        <v>292</v>
      </c>
      <c r="H59" s="16" t="s">
        <v>292</v>
      </c>
      <c r="I59" s="16" t="s">
        <v>292</v>
      </c>
      <c r="J59" s="16" t="s">
        <v>292</v>
      </c>
      <c r="K59" s="16" t="s">
        <v>292</v>
      </c>
      <c r="L59" s="16" t="s">
        <v>292</v>
      </c>
      <c r="M59" s="16" t="s">
        <v>292</v>
      </c>
      <c r="N59" s="16">
        <v>23</v>
      </c>
      <c r="O59" s="16">
        <v>31</v>
      </c>
      <c r="P59" s="16">
        <v>30</v>
      </c>
      <c r="Q59" s="16">
        <v>31</v>
      </c>
      <c r="R59" s="54"/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54"/>
      <c r="AK59" s="54"/>
      <c r="AL59" s="54"/>
      <c r="AM59" s="54"/>
      <c r="AN59" s="54"/>
      <c r="AO59" s="54"/>
      <c r="AP59" s="54"/>
      <c r="AQ59" s="54"/>
      <c r="AR59" s="54"/>
      <c r="AS59" s="54"/>
      <c r="AT59" s="54"/>
      <c r="AU59" s="54"/>
      <c r="AV59" s="54"/>
      <c r="AW59" s="54"/>
      <c r="AX59" s="54"/>
      <c r="AY59" s="54"/>
      <c r="AZ59" s="54"/>
      <c r="BA59" s="54"/>
      <c r="BB59" s="54"/>
      <c r="BC59" s="54"/>
      <c r="BD59" s="54"/>
      <c r="BE59" s="54"/>
      <c r="BF59" s="54"/>
      <c r="BG59" s="54"/>
      <c r="BH59" s="54"/>
      <c r="BI59" s="54"/>
      <c r="BJ59" s="54"/>
      <c r="BK59" s="54"/>
      <c r="BL59" s="54"/>
      <c r="BM59" s="54"/>
      <c r="BN59" s="54"/>
      <c r="BO59" s="54"/>
      <c r="BP59" s="54"/>
      <c r="BQ59" s="54"/>
      <c r="BR59" s="54"/>
      <c r="BS59" s="54"/>
      <c r="BT59" s="54"/>
      <c r="BU59" s="54"/>
      <c r="BV59" s="54"/>
      <c r="BW59" s="54"/>
      <c r="BX59" s="54"/>
      <c r="BY59" s="54"/>
      <c r="BZ59" s="54"/>
      <c r="CA59" s="54"/>
      <c r="CB59" s="54"/>
      <c r="CC59" s="54"/>
      <c r="CD59" s="54"/>
      <c r="CE59" s="54"/>
      <c r="CF59" s="54"/>
      <c r="CG59" s="54"/>
      <c r="CH59" s="54"/>
      <c r="CI59" s="54"/>
      <c r="CJ59" s="54"/>
      <c r="CK59" s="54"/>
      <c r="CL59" s="54"/>
      <c r="CM59" s="54"/>
      <c r="CN59" s="54"/>
      <c r="CO59" s="54"/>
      <c r="CP59" s="54"/>
      <c r="CQ59" s="54"/>
      <c r="CR59" s="54"/>
      <c r="CS59" s="54"/>
      <c r="CT59" s="54"/>
      <c r="CU59" s="54"/>
      <c r="CV59" s="54"/>
      <c r="CW59" s="54"/>
      <c r="CX59" s="54"/>
      <c r="CY59" s="54"/>
      <c r="CZ59" s="54"/>
      <c r="DA59" s="54"/>
      <c r="DB59" s="54"/>
      <c r="DC59" s="54"/>
      <c r="DD59" s="54"/>
      <c r="DE59" s="54"/>
      <c r="DF59" s="54"/>
      <c r="DG59" s="54"/>
      <c r="DH59" s="54"/>
      <c r="DI59" s="54"/>
      <c r="DJ59" s="54"/>
      <c r="DK59" s="54"/>
      <c r="DL59" s="54"/>
      <c r="DM59" s="54"/>
      <c r="DN59" s="54"/>
      <c r="DO59" s="54"/>
      <c r="DP59" s="54"/>
      <c r="DQ59" s="54"/>
      <c r="DR59" s="54"/>
      <c r="DS59" s="54"/>
      <c r="DT59" s="54"/>
      <c r="DU59" s="54"/>
      <c r="DV59" s="54"/>
      <c r="DW59" s="54"/>
      <c r="DX59" s="54"/>
      <c r="DY59" s="54"/>
      <c r="DZ59" s="54"/>
      <c r="EA59" s="54"/>
      <c r="EB59" s="54"/>
      <c r="EC59" s="54"/>
    </row>
    <row r="60" spans="1:133" ht="46.8" x14ac:dyDescent="0.25">
      <c r="A60" s="59" t="s">
        <v>13</v>
      </c>
      <c r="B60" s="60" t="s">
        <v>14</v>
      </c>
      <c r="C60" s="53" t="s">
        <v>15</v>
      </c>
      <c r="D60" s="53" t="s">
        <v>369</v>
      </c>
      <c r="E60" s="61">
        <f>SUM(F60:Q60)</f>
        <v>835.2011409034435</v>
      </c>
      <c r="F60" s="62">
        <v>0</v>
      </c>
      <c r="G60" s="62">
        <v>0</v>
      </c>
      <c r="H60" s="62">
        <v>0</v>
      </c>
      <c r="I60" s="62">
        <v>0</v>
      </c>
      <c r="J60" s="62">
        <v>0</v>
      </c>
      <c r="K60" s="62">
        <v>0</v>
      </c>
      <c r="L60" s="62">
        <v>0</v>
      </c>
      <c r="M60" s="62">
        <v>0</v>
      </c>
      <c r="N60" s="62">
        <f>$E$61*$E$62*N63*$E$74</f>
        <v>178.62516471747878</v>
      </c>
      <c r="O60" s="62">
        <f>$E$61*$E$62*O63*$E$74</f>
        <v>240.99953423326775</v>
      </c>
      <c r="P60" s="62">
        <f>$E$61*$E$62*P63*$E$74</f>
        <v>204.51394410473102</v>
      </c>
      <c r="Q60" s="62">
        <f>$E$61*$E$62*Q63*$E$74</f>
        <v>211.06249784796597</v>
      </c>
    </row>
    <row r="61" spans="1:133" ht="31.2" x14ac:dyDescent="0.25">
      <c r="A61" s="63" t="s">
        <v>16</v>
      </c>
      <c r="B61" s="60" t="s">
        <v>193</v>
      </c>
      <c r="C61" s="35" t="s">
        <v>17</v>
      </c>
      <c r="D61" s="35" t="s">
        <v>205</v>
      </c>
      <c r="E61" s="176">
        <v>28</v>
      </c>
      <c r="F61" s="176"/>
      <c r="G61" s="176"/>
      <c r="H61" s="176"/>
      <c r="I61" s="176"/>
      <c r="J61" s="176"/>
      <c r="K61" s="176"/>
      <c r="L61" s="176"/>
      <c r="M61" s="176"/>
      <c r="N61" s="176"/>
      <c r="O61" s="176"/>
      <c r="P61" s="176"/>
      <c r="Q61" s="176"/>
    </row>
    <row r="62" spans="1:133" ht="64.8" x14ac:dyDescent="0.25">
      <c r="A62" s="63" t="s">
        <v>18</v>
      </c>
      <c r="B62" s="25" t="s">
        <v>194</v>
      </c>
      <c r="C62" s="35" t="s">
        <v>20</v>
      </c>
      <c r="D62" s="35" t="s">
        <v>394</v>
      </c>
      <c r="E62" s="176">
        <v>0.21</v>
      </c>
      <c r="F62" s="176"/>
      <c r="G62" s="176"/>
      <c r="H62" s="176"/>
      <c r="I62" s="176"/>
      <c r="J62" s="176"/>
      <c r="K62" s="176"/>
      <c r="L62" s="176"/>
      <c r="M62" s="176"/>
      <c r="N62" s="176"/>
      <c r="O62" s="176"/>
      <c r="P62" s="176"/>
      <c r="Q62" s="176"/>
    </row>
    <row r="63" spans="1:133" ht="46.8" x14ac:dyDescent="0.25">
      <c r="A63" s="35" t="s">
        <v>21</v>
      </c>
      <c r="B63" s="25" t="s">
        <v>195</v>
      </c>
      <c r="C63" s="53" t="s">
        <v>22</v>
      </c>
      <c r="D63" s="53" t="s">
        <v>370</v>
      </c>
      <c r="E63" s="64">
        <f t="shared" ref="E63:Q63" si="8">E71*E64</f>
        <v>279.08166206185865</v>
      </c>
      <c r="F63" s="64" t="s">
        <v>297</v>
      </c>
      <c r="G63" s="64" t="s">
        <v>297</v>
      </c>
      <c r="H63" s="64" t="s">
        <v>297</v>
      </c>
      <c r="I63" s="64" t="s">
        <v>297</v>
      </c>
      <c r="J63" s="64" t="s">
        <v>297</v>
      </c>
      <c r="K63" s="64" t="s">
        <v>297</v>
      </c>
      <c r="L63" s="64" t="s">
        <v>297</v>
      </c>
      <c r="M63" s="64" t="s">
        <v>297</v>
      </c>
      <c r="N63" s="64">
        <f t="shared" si="8"/>
        <v>59.687427870971341</v>
      </c>
      <c r="O63" s="64">
        <f t="shared" si="8"/>
        <v>80.529763761098408</v>
      </c>
      <c r="P63" s="64">
        <f t="shared" si="8"/>
        <v>68.338138731269865</v>
      </c>
      <c r="Q63" s="64">
        <f t="shared" si="8"/>
        <v>70.526331698519058</v>
      </c>
    </row>
    <row r="64" spans="1:133" ht="46.8" x14ac:dyDescent="0.25">
      <c r="A64" s="35" t="s">
        <v>23</v>
      </c>
      <c r="B64" s="25" t="s">
        <v>197</v>
      </c>
      <c r="C64" s="35" t="s">
        <v>191</v>
      </c>
      <c r="D64" s="35" t="s">
        <v>371</v>
      </c>
      <c r="E64" s="20">
        <f>SUM(F64:Q64)</f>
        <v>294.0530231908005</v>
      </c>
      <c r="F64" s="64" t="s">
        <v>297</v>
      </c>
      <c r="G64" s="64" t="s">
        <v>297</v>
      </c>
      <c r="H64" s="64" t="s">
        <v>297</v>
      </c>
      <c r="I64" s="64" t="s">
        <v>297</v>
      </c>
      <c r="J64" s="64" t="s">
        <v>297</v>
      </c>
      <c r="K64" s="64" t="s">
        <v>297</v>
      </c>
      <c r="L64" s="64" t="s">
        <v>297</v>
      </c>
      <c r="M64" s="64" t="s">
        <v>297</v>
      </c>
      <c r="N64" s="20">
        <f t="shared" ref="N64:Q64" si="9">N66*N69</f>
        <v>62.889365364506524</v>
      </c>
      <c r="O64" s="20">
        <f t="shared" si="9"/>
        <v>84.849790257961345</v>
      </c>
      <c r="P64" s="20">
        <f t="shared" si="9"/>
        <v>72.004144395227797</v>
      </c>
      <c r="Q64" s="20">
        <f t="shared" si="9"/>
        <v>74.309723173104842</v>
      </c>
    </row>
    <row r="65" spans="1:133" ht="62.4" x14ac:dyDescent="0.25">
      <c r="A65" s="17" t="s">
        <v>334</v>
      </c>
      <c r="B65" s="60" t="s">
        <v>192</v>
      </c>
      <c r="C65" s="35" t="s">
        <v>25</v>
      </c>
      <c r="D65" s="35" t="s">
        <v>333</v>
      </c>
      <c r="E65" s="121">
        <f>AVERAGE(N65:Q65)</f>
        <v>5481.442287774662</v>
      </c>
      <c r="F65" s="64" t="s">
        <v>297</v>
      </c>
      <c r="G65" s="64" t="s">
        <v>297</v>
      </c>
      <c r="H65" s="64" t="s">
        <v>297</v>
      </c>
      <c r="I65" s="64" t="s">
        <v>297</v>
      </c>
      <c r="J65" s="64" t="s">
        <v>297</v>
      </c>
      <c r="K65" s="64" t="s">
        <v>297</v>
      </c>
      <c r="L65" s="64" t="s">
        <v>297</v>
      </c>
      <c r="M65" s="64" t="s">
        <v>297</v>
      </c>
      <c r="N65" s="121">
        <v>5841.1446521739135</v>
      </c>
      <c r="O65" s="121">
        <v>5841.3429677419363</v>
      </c>
      <c r="P65" s="121">
        <v>5122.3284666666677</v>
      </c>
      <c r="Q65" s="121">
        <v>5120.9530645161285</v>
      </c>
    </row>
    <row r="66" spans="1:133" ht="46.8" x14ac:dyDescent="0.25">
      <c r="A66" s="35" t="s">
        <v>26</v>
      </c>
      <c r="B66" s="60" t="s">
        <v>198</v>
      </c>
      <c r="C66" s="35" t="s">
        <v>27</v>
      </c>
      <c r="D66" s="35" t="s">
        <v>206</v>
      </c>
      <c r="E66" s="65">
        <f>SUM(F66:Q66)</f>
        <v>627847.35800000001</v>
      </c>
      <c r="F66" s="64" t="s">
        <v>297</v>
      </c>
      <c r="G66" s="64" t="s">
        <v>297</v>
      </c>
      <c r="H66" s="64" t="s">
        <v>297</v>
      </c>
      <c r="I66" s="64" t="s">
        <v>297</v>
      </c>
      <c r="J66" s="64" t="s">
        <v>297</v>
      </c>
      <c r="K66" s="64" t="s">
        <v>297</v>
      </c>
      <c r="L66" s="64" t="s">
        <v>297</v>
      </c>
      <c r="M66" s="64" t="s">
        <v>297</v>
      </c>
      <c r="N66" s="65">
        <f t="shared" ref="N66:Q66" si="10">N65*N59</f>
        <v>134346.32700000002</v>
      </c>
      <c r="O66" s="65">
        <f t="shared" si="10"/>
        <v>181081.63200000001</v>
      </c>
      <c r="P66" s="65">
        <f t="shared" si="10"/>
        <v>153669.85400000002</v>
      </c>
      <c r="Q66" s="65">
        <f t="shared" si="10"/>
        <v>158749.54499999998</v>
      </c>
    </row>
    <row r="67" spans="1:133" ht="62.4" x14ac:dyDescent="0.25">
      <c r="A67" s="35" t="s">
        <v>28</v>
      </c>
      <c r="B67" s="60" t="s">
        <v>199</v>
      </c>
      <c r="C67" s="35" t="s">
        <v>29</v>
      </c>
      <c r="D67" s="35" t="s">
        <v>332</v>
      </c>
      <c r="E67" s="125">
        <f>AVERAGE(N67:Q67)</f>
        <v>468.33594650927228</v>
      </c>
      <c r="F67" s="64" t="s">
        <v>297</v>
      </c>
      <c r="G67" s="64" t="s">
        <v>297</v>
      </c>
      <c r="H67" s="64" t="s">
        <v>297</v>
      </c>
      <c r="I67" s="64" t="s">
        <v>297</v>
      </c>
      <c r="J67" s="64" t="s">
        <v>297</v>
      </c>
      <c r="K67" s="64" t="s">
        <v>297</v>
      </c>
      <c r="L67" s="64" t="s">
        <v>297</v>
      </c>
      <c r="M67" s="64" t="s">
        <v>297</v>
      </c>
      <c r="N67" s="123">
        <v>468.11376811594198</v>
      </c>
      <c r="O67" s="123">
        <v>468.57204301075302</v>
      </c>
      <c r="P67" s="123">
        <v>468.56388888888893</v>
      </c>
      <c r="Q67" s="123">
        <v>468.0940860215054</v>
      </c>
    </row>
    <row r="68" spans="1:133" ht="62.4" x14ac:dyDescent="0.25">
      <c r="A68" s="35" t="s">
        <v>30</v>
      </c>
      <c r="B68" s="60" t="s">
        <v>199</v>
      </c>
      <c r="C68" s="35" t="s">
        <v>31</v>
      </c>
      <c r="D68" s="35" t="s">
        <v>331</v>
      </c>
      <c r="E68" s="125">
        <f>AVERAGE(N68:Q68)</f>
        <v>22.436204223157233</v>
      </c>
      <c r="F68" s="64" t="s">
        <v>297</v>
      </c>
      <c r="G68" s="64" t="s">
        <v>297</v>
      </c>
      <c r="H68" s="64" t="s">
        <v>297</v>
      </c>
      <c r="I68" s="64" t="s">
        <v>297</v>
      </c>
      <c r="J68" s="64" t="s">
        <v>297</v>
      </c>
      <c r="K68" s="64" t="s">
        <v>297</v>
      </c>
      <c r="L68" s="64" t="s">
        <v>297</v>
      </c>
      <c r="M68" s="64" t="s">
        <v>297</v>
      </c>
      <c r="N68" s="123">
        <v>22.591304347826082</v>
      </c>
      <c r="O68" s="123">
        <v>22.20779569892473</v>
      </c>
      <c r="P68" s="123">
        <v>22.717222222222226</v>
      </c>
      <c r="Q68" s="123">
        <v>22.228494623655912</v>
      </c>
    </row>
    <row r="69" spans="1:133" ht="62.4" x14ac:dyDescent="0.25">
      <c r="A69" s="35" t="s">
        <v>32</v>
      </c>
      <c r="B69" s="60" t="s">
        <v>200</v>
      </c>
      <c r="C69" s="35" t="s">
        <v>34</v>
      </c>
      <c r="D69" s="35" t="s">
        <v>338</v>
      </c>
      <c r="E69" s="122">
        <f>E67/1000000</f>
        <v>4.6833594650927228E-4</v>
      </c>
      <c r="F69" s="64" t="s">
        <v>297</v>
      </c>
      <c r="G69" s="64" t="s">
        <v>297</v>
      </c>
      <c r="H69" s="64" t="s">
        <v>297</v>
      </c>
      <c r="I69" s="64" t="s">
        <v>297</v>
      </c>
      <c r="J69" s="64" t="s">
        <v>297</v>
      </c>
      <c r="K69" s="64" t="s">
        <v>297</v>
      </c>
      <c r="L69" s="64" t="s">
        <v>297</v>
      </c>
      <c r="M69" s="64" t="s">
        <v>297</v>
      </c>
      <c r="N69" s="120">
        <f t="shared" ref="N69:Q69" si="11">N67/1000000</f>
        <v>4.6811376811594198E-4</v>
      </c>
      <c r="O69" s="120">
        <f t="shared" si="11"/>
        <v>4.68572043010753E-4</v>
      </c>
      <c r="P69" s="120">
        <f t="shared" si="11"/>
        <v>4.6856388888888895E-4</v>
      </c>
      <c r="Q69" s="120">
        <f t="shared" si="11"/>
        <v>4.6809408602150541E-4</v>
      </c>
    </row>
    <row r="70" spans="1:133" ht="62.4" x14ac:dyDescent="0.25">
      <c r="A70" s="35" t="s">
        <v>30</v>
      </c>
      <c r="B70" s="60" t="s">
        <v>33</v>
      </c>
      <c r="C70" s="35" t="s">
        <v>35</v>
      </c>
      <c r="D70" s="35" t="s">
        <v>339</v>
      </c>
      <c r="E70" s="122">
        <f>E68/1000000</f>
        <v>2.2436204223157232E-5</v>
      </c>
      <c r="F70" s="64" t="s">
        <v>297</v>
      </c>
      <c r="G70" s="64" t="s">
        <v>297</v>
      </c>
      <c r="H70" s="64" t="s">
        <v>297</v>
      </c>
      <c r="I70" s="64" t="s">
        <v>297</v>
      </c>
      <c r="J70" s="64" t="s">
        <v>297</v>
      </c>
      <c r="K70" s="64" t="s">
        <v>297</v>
      </c>
      <c r="L70" s="64" t="s">
        <v>297</v>
      </c>
      <c r="M70" s="64" t="s">
        <v>297</v>
      </c>
      <c r="N70" s="120">
        <f t="shared" ref="N70:Q70" si="12">N68/1000000</f>
        <v>2.2591304347826083E-5</v>
      </c>
      <c r="O70" s="120">
        <f t="shared" si="12"/>
        <v>2.2207795698924731E-5</v>
      </c>
      <c r="P70" s="120">
        <f t="shared" si="12"/>
        <v>2.2717222222222224E-5</v>
      </c>
      <c r="Q70" s="120">
        <f t="shared" si="12"/>
        <v>2.2228494623655911E-5</v>
      </c>
    </row>
    <row r="71" spans="1:133" ht="46.8" x14ac:dyDescent="0.25">
      <c r="A71" s="63" t="s">
        <v>36</v>
      </c>
      <c r="B71" s="25" t="s">
        <v>201</v>
      </c>
      <c r="C71" s="35" t="s">
        <v>38</v>
      </c>
      <c r="D71" s="35" t="s">
        <v>368</v>
      </c>
      <c r="E71" s="68">
        <f>(1-(E72/E73))</f>
        <v>0.94908618531962019</v>
      </c>
      <c r="F71" s="64" t="s">
        <v>297</v>
      </c>
      <c r="G71" s="64" t="s">
        <v>297</v>
      </c>
      <c r="H71" s="64" t="s">
        <v>297</v>
      </c>
      <c r="I71" s="64" t="s">
        <v>297</v>
      </c>
      <c r="J71" s="64" t="s">
        <v>297</v>
      </c>
      <c r="K71" s="64" t="s">
        <v>297</v>
      </c>
      <c r="L71" s="64" t="s">
        <v>297</v>
      </c>
      <c r="M71" s="64" t="s">
        <v>297</v>
      </c>
      <c r="N71" s="68">
        <f>E71</f>
        <v>0.94908618531962019</v>
      </c>
      <c r="O71" s="68">
        <f>E71</f>
        <v>0.94908618531962019</v>
      </c>
      <c r="P71" s="68">
        <f>E71</f>
        <v>0.94908618531962019</v>
      </c>
      <c r="Q71" s="68">
        <f>E71</f>
        <v>0.94908618531962019</v>
      </c>
    </row>
    <row r="72" spans="1:133" ht="31.2" x14ac:dyDescent="0.25">
      <c r="A72" s="35" t="s">
        <v>39</v>
      </c>
      <c r="B72" s="25" t="s">
        <v>196</v>
      </c>
      <c r="C72" s="35" t="s">
        <v>40</v>
      </c>
      <c r="D72" s="35" t="s">
        <v>351</v>
      </c>
      <c r="E72" s="52">
        <f>SUM(N72:Q72)</f>
        <v>13.863338446499998</v>
      </c>
      <c r="F72" s="136" t="s">
        <v>297</v>
      </c>
      <c r="G72" s="136" t="s">
        <v>297</v>
      </c>
      <c r="H72" s="136" t="s">
        <v>297</v>
      </c>
      <c r="I72" s="136" t="s">
        <v>297</v>
      </c>
      <c r="J72" s="136" t="s">
        <v>297</v>
      </c>
      <c r="K72" s="136" t="s">
        <v>297</v>
      </c>
      <c r="L72" s="136" t="s">
        <v>297</v>
      </c>
      <c r="M72" s="136" t="s">
        <v>297</v>
      </c>
      <c r="N72" s="52">
        <v>2.7726676893000004</v>
      </c>
      <c r="O72" s="52">
        <v>3.7370738421</v>
      </c>
      <c r="P72" s="52">
        <v>3.6165230729999998</v>
      </c>
      <c r="Q72" s="52">
        <v>3.7370738421</v>
      </c>
    </row>
    <row r="73" spans="1:133" ht="31.2" x14ac:dyDescent="0.25">
      <c r="A73" s="63" t="s">
        <v>41</v>
      </c>
      <c r="B73" s="25" t="s">
        <v>24</v>
      </c>
      <c r="C73" s="35" t="s">
        <v>42</v>
      </c>
      <c r="D73" s="35" t="s">
        <v>351</v>
      </c>
      <c r="E73" s="52">
        <f>SUM(N73:Q73)</f>
        <v>272.29031125499995</v>
      </c>
      <c r="F73" s="136" t="s">
        <v>297</v>
      </c>
      <c r="G73" s="136" t="s">
        <v>297</v>
      </c>
      <c r="H73" s="136" t="s">
        <v>297</v>
      </c>
      <c r="I73" s="136" t="s">
        <v>297</v>
      </c>
      <c r="J73" s="136" t="s">
        <v>297</v>
      </c>
      <c r="K73" s="136" t="s">
        <v>297</v>
      </c>
      <c r="L73" s="136" t="s">
        <v>297</v>
      </c>
      <c r="M73" s="136" t="s">
        <v>297</v>
      </c>
      <c r="N73" s="52">
        <v>54.458062250999994</v>
      </c>
      <c r="O73" s="52">
        <v>73.399996946999991</v>
      </c>
      <c r="P73" s="52">
        <v>71.032255109999994</v>
      </c>
      <c r="Q73" s="52">
        <v>73.399996946999991</v>
      </c>
    </row>
    <row r="74" spans="1:133" ht="31.2" x14ac:dyDescent="0.25">
      <c r="A74" s="53" t="s">
        <v>43</v>
      </c>
      <c r="B74" s="25" t="s">
        <v>201</v>
      </c>
      <c r="C74" s="53" t="s">
        <v>44</v>
      </c>
      <c r="D74" s="35" t="s">
        <v>372</v>
      </c>
      <c r="E74" s="177">
        <f>E75*E76*0.89</f>
        <v>0.5089585940843544</v>
      </c>
      <c r="F74" s="177"/>
      <c r="G74" s="177"/>
      <c r="H74" s="177"/>
      <c r="I74" s="177"/>
      <c r="J74" s="177"/>
      <c r="K74" s="177"/>
      <c r="L74" s="177"/>
      <c r="M74" s="177"/>
      <c r="N74" s="177"/>
      <c r="O74" s="177"/>
      <c r="P74" s="177"/>
      <c r="Q74" s="177"/>
    </row>
    <row r="75" spans="1:133" ht="31.2" x14ac:dyDescent="0.25">
      <c r="A75" s="70" t="s">
        <v>45</v>
      </c>
      <c r="B75" s="25" t="s">
        <v>201</v>
      </c>
      <c r="C75" s="53" t="s">
        <v>46</v>
      </c>
      <c r="D75" s="35" t="s">
        <v>373</v>
      </c>
      <c r="E75" s="162">
        <v>0.7</v>
      </c>
      <c r="F75" s="163"/>
      <c r="G75" s="163"/>
      <c r="H75" s="163"/>
      <c r="I75" s="163"/>
      <c r="J75" s="163"/>
      <c r="K75" s="163"/>
      <c r="L75" s="163"/>
      <c r="M75" s="163"/>
      <c r="N75" s="163"/>
      <c r="O75" s="163"/>
      <c r="P75" s="163"/>
      <c r="Q75" s="164"/>
    </row>
    <row r="76" spans="1:133" ht="36" customHeight="1" x14ac:dyDescent="0.25">
      <c r="A76" s="70" t="s">
        <v>47</v>
      </c>
      <c r="B76" s="25" t="s">
        <v>37</v>
      </c>
      <c r="C76" s="53" t="s">
        <v>48</v>
      </c>
      <c r="D76" s="35" t="s">
        <v>374</v>
      </c>
      <c r="E76" s="159">
        <f>(N77*N82+O77*O82+P77*P82+Q77*Q82)/(N71*N69*N66+O71*O66*O69+P71*P69*P66+Q71*Q69*Q66)</f>
        <v>0.81694798408403602</v>
      </c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1"/>
    </row>
    <row r="77" spans="1:133" s="9" customFormat="1" ht="46.8" x14ac:dyDescent="0.4">
      <c r="A77" s="71" t="s">
        <v>49</v>
      </c>
      <c r="B77" s="25" t="s">
        <v>37</v>
      </c>
      <c r="C77" s="53" t="s">
        <v>50</v>
      </c>
      <c r="D77" s="53" t="s">
        <v>375</v>
      </c>
      <c r="E77" s="72">
        <f>AVERAGE(F77:Q77)</f>
        <v>0.59570807831091876</v>
      </c>
      <c r="F77" s="64" t="s">
        <v>297</v>
      </c>
      <c r="G77" s="64" t="s">
        <v>297</v>
      </c>
      <c r="H77" s="64" t="s">
        <v>297</v>
      </c>
      <c r="I77" s="64" t="s">
        <v>297</v>
      </c>
      <c r="J77" s="64" t="s">
        <v>297</v>
      </c>
      <c r="K77" s="64" t="s">
        <v>297</v>
      </c>
      <c r="L77" s="64" t="s">
        <v>297</v>
      </c>
      <c r="M77" s="64" t="s">
        <v>297</v>
      </c>
      <c r="N77" s="72">
        <f t="shared" ref="N77:Q77" si="13">IF(N81&lt;283,0,IF(N81&gt;303,1,EXP(($E$23*(N81-$E$24))/($E$25*$E$24*N81))))</f>
        <v>0.88152221926734242</v>
      </c>
      <c r="O77" s="72">
        <f t="shared" si="13"/>
        <v>0.62729263560178183</v>
      </c>
      <c r="P77" s="72">
        <f t="shared" si="13"/>
        <v>0.55084569341606926</v>
      </c>
      <c r="Q77" s="72">
        <f t="shared" si="13"/>
        <v>0.32317176495848171</v>
      </c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  <c r="AE77" s="78"/>
      <c r="AF77" s="78"/>
      <c r="AG77" s="78"/>
      <c r="AH77" s="78"/>
      <c r="AI77" s="78"/>
      <c r="AJ77" s="78"/>
      <c r="AK77" s="78"/>
      <c r="AL77" s="78"/>
      <c r="AM77" s="78"/>
      <c r="AN77" s="78"/>
      <c r="AO77" s="78"/>
      <c r="AP77" s="78"/>
      <c r="AQ77" s="78"/>
      <c r="AR77" s="78"/>
      <c r="AS77" s="78"/>
      <c r="AT77" s="78"/>
      <c r="AU77" s="78"/>
      <c r="AV77" s="78"/>
      <c r="AW77" s="78"/>
      <c r="AX77" s="78"/>
      <c r="AY77" s="78"/>
      <c r="AZ77" s="78"/>
      <c r="BA77" s="78"/>
      <c r="BB77" s="78"/>
      <c r="BC77" s="78"/>
      <c r="BD77" s="78"/>
      <c r="BE77" s="78"/>
      <c r="BF77" s="78"/>
      <c r="BG77" s="78"/>
      <c r="BH77" s="78"/>
      <c r="BI77" s="78"/>
      <c r="BJ77" s="78"/>
      <c r="BK77" s="78"/>
      <c r="BL77" s="78"/>
      <c r="BM77" s="78"/>
      <c r="BN77" s="78"/>
      <c r="BO77" s="78"/>
      <c r="BP77" s="78"/>
      <c r="BQ77" s="78"/>
      <c r="BR77" s="78"/>
      <c r="BS77" s="78"/>
      <c r="BT77" s="78"/>
      <c r="BU77" s="78"/>
      <c r="BV77" s="78"/>
      <c r="BW77" s="78"/>
      <c r="BX77" s="78"/>
      <c r="BY77" s="78"/>
      <c r="BZ77" s="78"/>
      <c r="CA77" s="78"/>
      <c r="CB77" s="78"/>
      <c r="CC77" s="78"/>
      <c r="CD77" s="78"/>
      <c r="CE77" s="78"/>
      <c r="CF77" s="78"/>
      <c r="CG77" s="78"/>
      <c r="CH77" s="78"/>
      <c r="CI77" s="78"/>
      <c r="CJ77" s="78"/>
      <c r="CK77" s="78"/>
      <c r="CL77" s="78"/>
      <c r="CM77" s="78"/>
      <c r="CN77" s="78"/>
      <c r="CO77" s="78"/>
      <c r="CP77" s="78"/>
      <c r="CQ77" s="78"/>
      <c r="CR77" s="78"/>
      <c r="CS77" s="78"/>
      <c r="CT77" s="78"/>
      <c r="CU77" s="78"/>
      <c r="CV77" s="78"/>
      <c r="CW77" s="78"/>
      <c r="CX77" s="78"/>
      <c r="CY77" s="78"/>
      <c r="CZ77" s="78"/>
      <c r="DA77" s="78"/>
      <c r="DB77" s="78"/>
      <c r="DC77" s="78"/>
      <c r="DD77" s="78"/>
      <c r="DE77" s="78"/>
      <c r="DF77" s="78"/>
      <c r="DG77" s="78"/>
      <c r="DH77" s="78"/>
      <c r="DI77" s="78"/>
      <c r="DJ77" s="78"/>
      <c r="DK77" s="78"/>
      <c r="DL77" s="78"/>
      <c r="DM77" s="78"/>
      <c r="DN77" s="78"/>
      <c r="DO77" s="78"/>
      <c r="DP77" s="78"/>
      <c r="DQ77" s="78"/>
      <c r="DR77" s="78"/>
      <c r="DS77" s="78"/>
      <c r="DT77" s="78"/>
      <c r="DU77" s="78"/>
      <c r="DV77" s="78"/>
      <c r="DW77" s="78"/>
      <c r="DX77" s="78"/>
      <c r="DY77" s="78"/>
      <c r="DZ77" s="78"/>
      <c r="EA77" s="78"/>
      <c r="EB77" s="78"/>
      <c r="EC77" s="78"/>
    </row>
    <row r="78" spans="1:133" s="9" customFormat="1" x14ac:dyDescent="0.25">
      <c r="A78" s="73" t="s">
        <v>51</v>
      </c>
      <c r="B78" s="60" t="s">
        <v>202</v>
      </c>
      <c r="C78" s="53" t="s">
        <v>53</v>
      </c>
      <c r="D78" s="53" t="s">
        <v>376</v>
      </c>
      <c r="E78" s="162">
        <v>15175</v>
      </c>
      <c r="F78" s="163"/>
      <c r="G78" s="163"/>
      <c r="H78" s="163"/>
      <c r="I78" s="163"/>
      <c r="J78" s="163"/>
      <c r="K78" s="163"/>
      <c r="L78" s="163"/>
      <c r="M78" s="163"/>
      <c r="N78" s="163"/>
      <c r="O78" s="163"/>
      <c r="P78" s="163"/>
      <c r="Q78" s="164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  <c r="AE78" s="78"/>
      <c r="AF78" s="78"/>
      <c r="AG78" s="78"/>
      <c r="AH78" s="78"/>
      <c r="AI78" s="78"/>
      <c r="AJ78" s="78"/>
      <c r="AK78" s="78"/>
      <c r="AL78" s="78"/>
      <c r="AM78" s="78"/>
      <c r="AN78" s="78"/>
      <c r="AO78" s="78"/>
      <c r="AP78" s="78"/>
      <c r="AQ78" s="78"/>
      <c r="AR78" s="78"/>
      <c r="AS78" s="78"/>
      <c r="AT78" s="78"/>
      <c r="AU78" s="78"/>
      <c r="AV78" s="78"/>
      <c r="AW78" s="78"/>
      <c r="AX78" s="78"/>
      <c r="AY78" s="78"/>
      <c r="AZ78" s="78"/>
      <c r="BA78" s="78"/>
      <c r="BB78" s="78"/>
      <c r="BC78" s="78"/>
      <c r="BD78" s="78"/>
      <c r="BE78" s="78"/>
      <c r="BF78" s="78"/>
      <c r="BG78" s="78"/>
      <c r="BH78" s="78"/>
      <c r="BI78" s="78"/>
      <c r="BJ78" s="78"/>
      <c r="BK78" s="78"/>
      <c r="BL78" s="78"/>
      <c r="BM78" s="78"/>
      <c r="BN78" s="78"/>
      <c r="BO78" s="78"/>
      <c r="BP78" s="78"/>
      <c r="BQ78" s="78"/>
      <c r="BR78" s="78"/>
      <c r="BS78" s="78"/>
      <c r="BT78" s="78"/>
      <c r="BU78" s="78"/>
      <c r="BV78" s="78"/>
      <c r="BW78" s="78"/>
      <c r="BX78" s="78"/>
      <c r="BY78" s="78"/>
      <c r="BZ78" s="78"/>
      <c r="CA78" s="78"/>
      <c r="CB78" s="78"/>
      <c r="CC78" s="78"/>
      <c r="CD78" s="78"/>
      <c r="CE78" s="78"/>
      <c r="CF78" s="78"/>
      <c r="CG78" s="78"/>
      <c r="CH78" s="78"/>
      <c r="CI78" s="78"/>
      <c r="CJ78" s="78"/>
      <c r="CK78" s="78"/>
      <c r="CL78" s="78"/>
      <c r="CM78" s="78"/>
      <c r="CN78" s="78"/>
      <c r="CO78" s="78"/>
      <c r="CP78" s="78"/>
      <c r="CQ78" s="78"/>
      <c r="CR78" s="78"/>
      <c r="CS78" s="78"/>
      <c r="CT78" s="78"/>
      <c r="CU78" s="78"/>
      <c r="CV78" s="78"/>
      <c r="CW78" s="78"/>
      <c r="CX78" s="78"/>
      <c r="CY78" s="78"/>
      <c r="CZ78" s="78"/>
      <c r="DA78" s="78"/>
      <c r="DB78" s="78"/>
      <c r="DC78" s="78"/>
      <c r="DD78" s="78"/>
      <c r="DE78" s="78"/>
      <c r="DF78" s="78"/>
      <c r="DG78" s="78"/>
      <c r="DH78" s="78"/>
      <c r="DI78" s="78"/>
      <c r="DJ78" s="78"/>
      <c r="DK78" s="78"/>
      <c r="DL78" s="78"/>
      <c r="DM78" s="78"/>
      <c r="DN78" s="78"/>
      <c r="DO78" s="78"/>
      <c r="DP78" s="78"/>
      <c r="DQ78" s="78"/>
      <c r="DR78" s="78"/>
      <c r="DS78" s="78"/>
      <c r="DT78" s="78"/>
      <c r="DU78" s="78"/>
      <c r="DV78" s="78"/>
      <c r="DW78" s="78"/>
      <c r="DX78" s="78"/>
      <c r="DY78" s="78"/>
      <c r="DZ78" s="78"/>
      <c r="EA78" s="78"/>
      <c r="EB78" s="78"/>
      <c r="EC78" s="78"/>
    </row>
    <row r="79" spans="1:133" s="9" customFormat="1" ht="18" x14ac:dyDescent="0.25">
      <c r="A79" s="73" t="s">
        <v>54</v>
      </c>
      <c r="B79" s="60" t="s">
        <v>203</v>
      </c>
      <c r="C79" s="53" t="s">
        <v>56</v>
      </c>
      <c r="D79" s="53" t="s">
        <v>376</v>
      </c>
      <c r="E79" s="162">
        <v>303.16000000000003</v>
      </c>
      <c r="F79" s="163"/>
      <c r="G79" s="163"/>
      <c r="H79" s="163"/>
      <c r="I79" s="163"/>
      <c r="J79" s="163"/>
      <c r="K79" s="163"/>
      <c r="L79" s="163"/>
      <c r="M79" s="163"/>
      <c r="N79" s="163"/>
      <c r="O79" s="163"/>
      <c r="P79" s="163"/>
      <c r="Q79" s="164"/>
      <c r="R79" s="78"/>
      <c r="S79" s="78"/>
      <c r="T79" s="78"/>
      <c r="U79" s="78"/>
      <c r="V79" s="78"/>
      <c r="W79" s="78"/>
      <c r="X79" s="78"/>
      <c r="Y79" s="78"/>
      <c r="Z79" s="78"/>
      <c r="AA79" s="78"/>
      <c r="AB79" s="78"/>
      <c r="AC79" s="78"/>
      <c r="AD79" s="78"/>
      <c r="AE79" s="78"/>
      <c r="AF79" s="78"/>
      <c r="AG79" s="78"/>
      <c r="AH79" s="78"/>
      <c r="AI79" s="78"/>
      <c r="AJ79" s="78"/>
      <c r="AK79" s="78"/>
      <c r="AL79" s="78"/>
      <c r="AM79" s="78"/>
      <c r="AN79" s="78"/>
      <c r="AO79" s="78"/>
      <c r="AP79" s="78"/>
      <c r="AQ79" s="78"/>
      <c r="AR79" s="78"/>
      <c r="AS79" s="78"/>
      <c r="AT79" s="78"/>
      <c r="AU79" s="78"/>
      <c r="AV79" s="78"/>
      <c r="AW79" s="78"/>
      <c r="AX79" s="78"/>
      <c r="AY79" s="78"/>
      <c r="AZ79" s="78"/>
      <c r="BA79" s="78"/>
      <c r="BB79" s="78"/>
      <c r="BC79" s="78"/>
      <c r="BD79" s="78"/>
      <c r="BE79" s="78"/>
      <c r="BF79" s="78"/>
      <c r="BG79" s="78"/>
      <c r="BH79" s="78"/>
      <c r="BI79" s="78"/>
      <c r="BJ79" s="78"/>
      <c r="BK79" s="78"/>
      <c r="BL79" s="78"/>
      <c r="BM79" s="78"/>
      <c r="BN79" s="78"/>
      <c r="BO79" s="78"/>
      <c r="BP79" s="78"/>
      <c r="BQ79" s="78"/>
      <c r="BR79" s="78"/>
      <c r="BS79" s="78"/>
      <c r="BT79" s="78"/>
      <c r="BU79" s="78"/>
      <c r="BV79" s="78"/>
      <c r="BW79" s="78"/>
      <c r="BX79" s="78"/>
      <c r="BY79" s="78"/>
      <c r="BZ79" s="78"/>
      <c r="CA79" s="78"/>
      <c r="CB79" s="78"/>
      <c r="CC79" s="78"/>
      <c r="CD79" s="78"/>
      <c r="CE79" s="78"/>
      <c r="CF79" s="78"/>
      <c r="CG79" s="78"/>
      <c r="CH79" s="78"/>
      <c r="CI79" s="78"/>
      <c r="CJ79" s="78"/>
      <c r="CK79" s="78"/>
      <c r="CL79" s="78"/>
      <c r="CM79" s="78"/>
      <c r="CN79" s="78"/>
      <c r="CO79" s="78"/>
      <c r="CP79" s="78"/>
      <c r="CQ79" s="78"/>
      <c r="CR79" s="78"/>
      <c r="CS79" s="78"/>
      <c r="CT79" s="78"/>
      <c r="CU79" s="78"/>
      <c r="CV79" s="78"/>
      <c r="CW79" s="78"/>
      <c r="CX79" s="78"/>
      <c r="CY79" s="78"/>
      <c r="CZ79" s="78"/>
      <c r="DA79" s="78"/>
      <c r="DB79" s="78"/>
      <c r="DC79" s="78"/>
      <c r="DD79" s="78"/>
      <c r="DE79" s="78"/>
      <c r="DF79" s="78"/>
      <c r="DG79" s="78"/>
      <c r="DH79" s="78"/>
      <c r="DI79" s="78"/>
      <c r="DJ79" s="78"/>
      <c r="DK79" s="78"/>
      <c r="DL79" s="78"/>
      <c r="DM79" s="78"/>
      <c r="DN79" s="78"/>
      <c r="DO79" s="78"/>
      <c r="DP79" s="78"/>
      <c r="DQ79" s="78"/>
      <c r="DR79" s="78"/>
      <c r="DS79" s="78"/>
      <c r="DT79" s="78"/>
      <c r="DU79" s="78"/>
      <c r="DV79" s="78"/>
      <c r="DW79" s="78"/>
      <c r="DX79" s="78"/>
      <c r="DY79" s="78"/>
      <c r="DZ79" s="78"/>
      <c r="EA79" s="78"/>
      <c r="EB79" s="78"/>
      <c r="EC79" s="78"/>
    </row>
    <row r="80" spans="1:133" s="9" customFormat="1" x14ac:dyDescent="0.25">
      <c r="A80" s="73" t="s">
        <v>57</v>
      </c>
      <c r="B80" s="60" t="s">
        <v>204</v>
      </c>
      <c r="C80" s="53" t="s">
        <v>59</v>
      </c>
      <c r="D80" s="53" t="s">
        <v>376</v>
      </c>
      <c r="E80" s="162">
        <v>1.9870000000000001</v>
      </c>
      <c r="F80" s="163"/>
      <c r="G80" s="163"/>
      <c r="H80" s="163"/>
      <c r="I80" s="163"/>
      <c r="J80" s="163"/>
      <c r="K80" s="163"/>
      <c r="L80" s="163"/>
      <c r="M80" s="163"/>
      <c r="N80" s="163"/>
      <c r="O80" s="163"/>
      <c r="P80" s="163"/>
      <c r="Q80" s="164"/>
      <c r="R80" s="78"/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78"/>
      <c r="AD80" s="78"/>
      <c r="AE80" s="78"/>
      <c r="AF80" s="78"/>
      <c r="AG80" s="78"/>
      <c r="AH80" s="78"/>
      <c r="AI80" s="78"/>
      <c r="AJ80" s="78"/>
      <c r="AK80" s="78"/>
      <c r="AL80" s="78"/>
      <c r="AM80" s="78"/>
      <c r="AN80" s="78"/>
      <c r="AO80" s="78"/>
      <c r="AP80" s="78"/>
      <c r="AQ80" s="78"/>
      <c r="AR80" s="78"/>
      <c r="AS80" s="78"/>
      <c r="AT80" s="78"/>
      <c r="AU80" s="78"/>
      <c r="AV80" s="78"/>
      <c r="AW80" s="78"/>
      <c r="AX80" s="78"/>
      <c r="AY80" s="78"/>
      <c r="AZ80" s="78"/>
      <c r="BA80" s="78"/>
      <c r="BB80" s="78"/>
      <c r="BC80" s="78"/>
      <c r="BD80" s="78"/>
      <c r="BE80" s="78"/>
      <c r="BF80" s="78"/>
      <c r="BG80" s="78"/>
      <c r="BH80" s="78"/>
      <c r="BI80" s="78"/>
      <c r="BJ80" s="78"/>
      <c r="BK80" s="78"/>
      <c r="BL80" s="78"/>
      <c r="BM80" s="78"/>
      <c r="BN80" s="78"/>
      <c r="BO80" s="78"/>
      <c r="BP80" s="78"/>
      <c r="BQ80" s="78"/>
      <c r="BR80" s="78"/>
      <c r="BS80" s="78"/>
      <c r="BT80" s="78"/>
      <c r="BU80" s="78"/>
      <c r="BV80" s="78"/>
      <c r="BW80" s="78"/>
      <c r="BX80" s="78"/>
      <c r="BY80" s="78"/>
      <c r="BZ80" s="78"/>
      <c r="CA80" s="78"/>
      <c r="CB80" s="78"/>
      <c r="CC80" s="78"/>
      <c r="CD80" s="78"/>
      <c r="CE80" s="78"/>
      <c r="CF80" s="78"/>
      <c r="CG80" s="78"/>
      <c r="CH80" s="78"/>
      <c r="CI80" s="78"/>
      <c r="CJ80" s="78"/>
      <c r="CK80" s="78"/>
      <c r="CL80" s="78"/>
      <c r="CM80" s="78"/>
      <c r="CN80" s="78"/>
      <c r="CO80" s="78"/>
      <c r="CP80" s="78"/>
      <c r="CQ80" s="78"/>
      <c r="CR80" s="78"/>
      <c r="CS80" s="78"/>
      <c r="CT80" s="78"/>
      <c r="CU80" s="78"/>
      <c r="CV80" s="78"/>
      <c r="CW80" s="78"/>
      <c r="CX80" s="78"/>
      <c r="CY80" s="78"/>
      <c r="CZ80" s="78"/>
      <c r="DA80" s="78"/>
      <c r="DB80" s="78"/>
      <c r="DC80" s="78"/>
      <c r="DD80" s="78"/>
      <c r="DE80" s="78"/>
      <c r="DF80" s="78"/>
      <c r="DG80" s="78"/>
      <c r="DH80" s="78"/>
      <c r="DI80" s="78"/>
      <c r="DJ80" s="78"/>
      <c r="DK80" s="78"/>
      <c r="DL80" s="78"/>
      <c r="DM80" s="78"/>
      <c r="DN80" s="78"/>
      <c r="DO80" s="78"/>
      <c r="DP80" s="78"/>
      <c r="DQ80" s="78"/>
      <c r="DR80" s="78"/>
      <c r="DS80" s="78"/>
      <c r="DT80" s="78"/>
      <c r="DU80" s="78"/>
      <c r="DV80" s="78"/>
      <c r="DW80" s="78"/>
      <c r="DX80" s="78"/>
      <c r="DY80" s="78"/>
      <c r="DZ80" s="78"/>
      <c r="EA80" s="78"/>
      <c r="EB80" s="78"/>
      <c r="EC80" s="78"/>
    </row>
    <row r="81" spans="1:133" s="9" customFormat="1" ht="31.2" x14ac:dyDescent="0.25">
      <c r="A81" s="73" t="s">
        <v>60</v>
      </c>
      <c r="B81" s="60" t="s">
        <v>203</v>
      </c>
      <c r="C81" s="53" t="s">
        <v>61</v>
      </c>
      <c r="D81" s="143" t="s">
        <v>363</v>
      </c>
      <c r="E81" s="98">
        <f>AVERAGE(F81:Q81)</f>
        <v>296.39999999999998</v>
      </c>
      <c r="F81" s="64" t="s">
        <v>297</v>
      </c>
      <c r="G81" s="64" t="s">
        <v>297</v>
      </c>
      <c r="H81" s="64" t="s">
        <v>297</v>
      </c>
      <c r="I81" s="64" t="s">
        <v>297</v>
      </c>
      <c r="J81" s="64" t="s">
        <v>297</v>
      </c>
      <c r="K81" s="64" t="s">
        <v>297</v>
      </c>
      <c r="L81" s="64" t="s">
        <v>297</v>
      </c>
      <c r="M81" s="64" t="s">
        <v>297</v>
      </c>
      <c r="N81" s="60">
        <v>301.64999999999998</v>
      </c>
      <c r="O81" s="60">
        <v>297.64999999999998</v>
      </c>
      <c r="P81" s="60">
        <v>296.14999999999998</v>
      </c>
      <c r="Q81" s="60">
        <v>290.14999999999998</v>
      </c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  <c r="AE81" s="78"/>
      <c r="AF81" s="78"/>
      <c r="AG81" s="78"/>
      <c r="AH81" s="78"/>
      <c r="AI81" s="78"/>
      <c r="AJ81" s="78"/>
      <c r="AK81" s="78"/>
      <c r="AL81" s="78"/>
      <c r="AM81" s="78"/>
      <c r="AN81" s="78"/>
      <c r="AO81" s="78"/>
      <c r="AP81" s="78"/>
      <c r="AQ81" s="78"/>
      <c r="AR81" s="78"/>
      <c r="AS81" s="78"/>
      <c r="AT81" s="78"/>
      <c r="AU81" s="78"/>
      <c r="AV81" s="78"/>
      <c r="AW81" s="78"/>
      <c r="AX81" s="78"/>
      <c r="AY81" s="78"/>
      <c r="AZ81" s="78"/>
      <c r="BA81" s="78"/>
      <c r="BB81" s="78"/>
      <c r="BC81" s="78"/>
      <c r="BD81" s="78"/>
      <c r="BE81" s="78"/>
      <c r="BF81" s="78"/>
      <c r="BG81" s="78"/>
      <c r="BH81" s="78"/>
      <c r="BI81" s="78"/>
      <c r="BJ81" s="78"/>
      <c r="BK81" s="78"/>
      <c r="BL81" s="78"/>
      <c r="BM81" s="78"/>
      <c r="BN81" s="78"/>
      <c r="BO81" s="78"/>
      <c r="BP81" s="78"/>
      <c r="BQ81" s="78"/>
      <c r="BR81" s="78"/>
      <c r="BS81" s="78"/>
      <c r="BT81" s="78"/>
      <c r="BU81" s="78"/>
      <c r="BV81" s="78"/>
      <c r="BW81" s="78"/>
      <c r="BX81" s="78"/>
      <c r="BY81" s="78"/>
      <c r="BZ81" s="78"/>
      <c r="CA81" s="78"/>
      <c r="CB81" s="78"/>
      <c r="CC81" s="78"/>
      <c r="CD81" s="78"/>
      <c r="CE81" s="78"/>
      <c r="CF81" s="78"/>
      <c r="CG81" s="78"/>
      <c r="CH81" s="78"/>
      <c r="CI81" s="78"/>
      <c r="CJ81" s="78"/>
      <c r="CK81" s="78"/>
      <c r="CL81" s="78"/>
      <c r="CM81" s="78"/>
      <c r="CN81" s="78"/>
      <c r="CO81" s="78"/>
      <c r="CP81" s="78"/>
      <c r="CQ81" s="78"/>
      <c r="CR81" s="78"/>
      <c r="CS81" s="78"/>
      <c r="CT81" s="78"/>
      <c r="CU81" s="78"/>
      <c r="CV81" s="78"/>
      <c r="CW81" s="78"/>
      <c r="CX81" s="78"/>
      <c r="CY81" s="78"/>
      <c r="CZ81" s="78"/>
      <c r="DA81" s="78"/>
      <c r="DB81" s="78"/>
      <c r="DC81" s="78"/>
      <c r="DD81" s="78"/>
      <c r="DE81" s="78"/>
      <c r="DF81" s="78"/>
      <c r="DG81" s="78"/>
      <c r="DH81" s="78"/>
      <c r="DI81" s="78"/>
      <c r="DJ81" s="78"/>
      <c r="DK81" s="78"/>
      <c r="DL81" s="78"/>
      <c r="DM81" s="78"/>
      <c r="DN81" s="78"/>
      <c r="DO81" s="78"/>
      <c r="DP81" s="78"/>
      <c r="DQ81" s="78"/>
      <c r="DR81" s="78"/>
      <c r="DS81" s="78"/>
      <c r="DT81" s="78"/>
      <c r="DU81" s="78"/>
      <c r="DV81" s="78"/>
      <c r="DW81" s="78"/>
      <c r="DX81" s="78"/>
      <c r="DY81" s="78"/>
      <c r="DZ81" s="78"/>
      <c r="EA81" s="78"/>
      <c r="EB81" s="78"/>
      <c r="EC81" s="78"/>
    </row>
    <row r="82" spans="1:133" s="9" customFormat="1" ht="31.2" x14ac:dyDescent="0.4">
      <c r="A82" s="71" t="s">
        <v>62</v>
      </c>
      <c r="B82" s="60" t="s">
        <v>196</v>
      </c>
      <c r="C82" s="53" t="s">
        <v>63</v>
      </c>
      <c r="D82" s="53" t="s">
        <v>377</v>
      </c>
      <c r="E82" s="74">
        <f>SUM(F82:Q82)</f>
        <v>424.98678721165066</v>
      </c>
      <c r="F82" s="64" t="s">
        <v>297</v>
      </c>
      <c r="G82" s="64" t="s">
        <v>297</v>
      </c>
      <c r="H82" s="64" t="s">
        <v>297</v>
      </c>
      <c r="I82" s="64" t="s">
        <v>297</v>
      </c>
      <c r="J82" s="64" t="s">
        <v>297</v>
      </c>
      <c r="K82" s="64" t="s">
        <v>297</v>
      </c>
      <c r="L82" s="64" t="s">
        <v>297</v>
      </c>
      <c r="M82" s="64" t="s">
        <v>297</v>
      </c>
      <c r="N82" s="74">
        <f>N71*N66*N69+(1-N77)*0</f>
        <v>59.687427870971341</v>
      </c>
      <c r="O82" s="74">
        <f t="shared" ref="O82:Q82" si="14">O71*O66*O69+(1-O77)*N82</f>
        <v>102.7757076905969</v>
      </c>
      <c r="P82" s="74">
        <f t="shared" si="14"/>
        <v>114.50029045271268</v>
      </c>
      <c r="Q82" s="74">
        <f t="shared" si="14"/>
        <v>148.02336119736975</v>
      </c>
      <c r="R82" s="78"/>
      <c r="S82" s="78"/>
      <c r="T82" s="78"/>
      <c r="U82" s="78"/>
      <c r="V82" s="78"/>
      <c r="W82" s="78"/>
      <c r="X82" s="78"/>
      <c r="Y82" s="78"/>
      <c r="Z82" s="78"/>
      <c r="AA82" s="78"/>
      <c r="AB82" s="78"/>
      <c r="AC82" s="78"/>
      <c r="AD82" s="78"/>
      <c r="AE82" s="78"/>
      <c r="AF82" s="78"/>
      <c r="AG82" s="78"/>
      <c r="AH82" s="78"/>
      <c r="AI82" s="78"/>
      <c r="AJ82" s="78"/>
      <c r="AK82" s="78"/>
      <c r="AL82" s="78"/>
      <c r="AM82" s="78"/>
      <c r="AN82" s="78"/>
      <c r="AO82" s="78"/>
      <c r="AP82" s="78"/>
      <c r="AQ82" s="78"/>
      <c r="AR82" s="78"/>
      <c r="AS82" s="78"/>
      <c r="AT82" s="78"/>
      <c r="AU82" s="78"/>
      <c r="AV82" s="78"/>
      <c r="AW82" s="78"/>
      <c r="AX82" s="78"/>
      <c r="AY82" s="78"/>
      <c r="AZ82" s="78"/>
      <c r="BA82" s="78"/>
      <c r="BB82" s="78"/>
      <c r="BC82" s="78"/>
      <c r="BD82" s="78"/>
      <c r="BE82" s="78"/>
      <c r="BF82" s="78"/>
      <c r="BG82" s="78"/>
      <c r="BH82" s="78"/>
      <c r="BI82" s="78"/>
      <c r="BJ82" s="78"/>
      <c r="BK82" s="78"/>
      <c r="BL82" s="78"/>
      <c r="BM82" s="78"/>
      <c r="BN82" s="78"/>
      <c r="BO82" s="78"/>
      <c r="BP82" s="78"/>
      <c r="BQ82" s="78"/>
      <c r="BR82" s="78"/>
      <c r="BS82" s="78"/>
      <c r="BT82" s="78"/>
      <c r="BU82" s="78"/>
      <c r="BV82" s="78"/>
      <c r="BW82" s="78"/>
      <c r="BX82" s="78"/>
      <c r="BY82" s="78"/>
      <c r="BZ82" s="78"/>
      <c r="CA82" s="78"/>
      <c r="CB82" s="78"/>
      <c r="CC82" s="78"/>
      <c r="CD82" s="78"/>
      <c r="CE82" s="78"/>
      <c r="CF82" s="78"/>
      <c r="CG82" s="78"/>
      <c r="CH82" s="78"/>
      <c r="CI82" s="78"/>
      <c r="CJ82" s="78"/>
      <c r="CK82" s="78"/>
      <c r="CL82" s="78"/>
      <c r="CM82" s="78"/>
      <c r="CN82" s="78"/>
      <c r="CO82" s="78"/>
      <c r="CP82" s="78"/>
      <c r="CQ82" s="78"/>
      <c r="CR82" s="78"/>
      <c r="CS82" s="78"/>
      <c r="CT82" s="78"/>
      <c r="CU82" s="78"/>
      <c r="CV82" s="78"/>
      <c r="CW82" s="78"/>
      <c r="CX82" s="78"/>
      <c r="CY82" s="78"/>
      <c r="CZ82" s="78"/>
      <c r="DA82" s="78"/>
      <c r="DB82" s="78"/>
      <c r="DC82" s="78"/>
      <c r="DD82" s="78"/>
      <c r="DE82" s="78"/>
      <c r="DF82" s="78"/>
      <c r="DG82" s="78"/>
      <c r="DH82" s="78"/>
      <c r="DI82" s="78"/>
      <c r="DJ82" s="78"/>
      <c r="DK82" s="78"/>
      <c r="DL82" s="78"/>
      <c r="DM82" s="78"/>
      <c r="DN82" s="78"/>
      <c r="DO82" s="78"/>
      <c r="DP82" s="78"/>
      <c r="DQ82" s="78"/>
      <c r="DR82" s="78"/>
      <c r="DS82" s="78"/>
      <c r="DT82" s="78"/>
      <c r="DU82" s="78"/>
      <c r="DV82" s="78"/>
      <c r="DW82" s="78"/>
      <c r="DX82" s="78"/>
      <c r="DY82" s="78"/>
      <c r="DZ82" s="78"/>
      <c r="EA82" s="78"/>
      <c r="EB82" s="78"/>
      <c r="EC82" s="78"/>
    </row>
    <row r="84" spans="1:133" x14ac:dyDescent="0.25">
      <c r="A84" s="158" t="s">
        <v>64</v>
      </c>
      <c r="B84" s="158"/>
      <c r="C84" s="158"/>
      <c r="D84" s="158"/>
      <c r="E84" s="158"/>
    </row>
    <row r="85" spans="1:133" x14ac:dyDescent="0.25">
      <c r="A85" s="57" t="s">
        <v>8</v>
      </c>
      <c r="B85" s="58" t="s">
        <v>9</v>
      </c>
      <c r="C85" s="34" t="s">
        <v>10</v>
      </c>
      <c r="D85" s="34" t="s">
        <v>340</v>
      </c>
      <c r="E85" s="16" t="s">
        <v>65</v>
      </c>
    </row>
    <row r="86" spans="1:133" ht="46.8" x14ac:dyDescent="0.25">
      <c r="A86" s="59" t="s">
        <v>66</v>
      </c>
      <c r="B86" s="60" t="s">
        <v>14</v>
      </c>
      <c r="C86" s="53" t="s">
        <v>67</v>
      </c>
      <c r="D86" s="53" t="s">
        <v>68</v>
      </c>
      <c r="E86" s="75">
        <v>0</v>
      </c>
    </row>
    <row r="87" spans="1:133" ht="46.8" x14ac:dyDescent="0.25">
      <c r="A87" s="63" t="s">
        <v>69</v>
      </c>
      <c r="B87" s="25" t="s">
        <v>70</v>
      </c>
      <c r="C87" s="35" t="s">
        <v>71</v>
      </c>
      <c r="D87" s="53" t="str">
        <f>D93</f>
        <v>Historical data on site in the FSR (It was calculated with conservative value)</v>
      </c>
      <c r="E87" s="74">
        <f>E93</f>
        <v>116.52291453528696</v>
      </c>
    </row>
    <row r="89" spans="1:133" x14ac:dyDescent="0.25">
      <c r="A89" s="174" t="s">
        <v>72</v>
      </c>
      <c r="B89" s="174"/>
      <c r="C89" s="175"/>
      <c r="D89" s="175"/>
      <c r="E89" s="174"/>
    </row>
    <row r="90" spans="1:133" x14ac:dyDescent="0.25">
      <c r="A90" s="59" t="s">
        <v>8</v>
      </c>
      <c r="B90" s="16" t="s">
        <v>9</v>
      </c>
      <c r="C90" s="38" t="s">
        <v>10</v>
      </c>
      <c r="D90" s="38" t="s">
        <v>340</v>
      </c>
      <c r="E90" s="16" t="s">
        <v>65</v>
      </c>
    </row>
    <row r="91" spans="1:133" ht="33.6" x14ac:dyDescent="0.4">
      <c r="A91" s="76" t="s">
        <v>73</v>
      </c>
      <c r="B91" s="25" t="s">
        <v>74</v>
      </c>
      <c r="C91" s="35" t="s">
        <v>75</v>
      </c>
      <c r="D91" s="35" t="s">
        <v>378</v>
      </c>
      <c r="E91" s="50">
        <f>E92*E95*E96*E97*E98*E99</f>
        <v>0.47328473127923537</v>
      </c>
    </row>
    <row r="92" spans="1:133" ht="46.8" x14ac:dyDescent="0.4">
      <c r="A92" s="77" t="s">
        <v>207</v>
      </c>
      <c r="B92" s="25" t="s">
        <v>76</v>
      </c>
      <c r="C92" s="35" t="s">
        <v>77</v>
      </c>
      <c r="D92" s="35" t="s">
        <v>379</v>
      </c>
      <c r="E92" s="52">
        <f>E93/E94</f>
        <v>23.304582907057391</v>
      </c>
    </row>
    <row r="93" spans="1:133" ht="46.8" x14ac:dyDescent="0.25">
      <c r="A93" s="63" t="s">
        <v>208</v>
      </c>
      <c r="B93" s="25" t="s">
        <v>78</v>
      </c>
      <c r="C93" s="35" t="s">
        <v>79</v>
      </c>
      <c r="D93" s="53" t="s">
        <v>352</v>
      </c>
      <c r="E93" s="52">
        <f>0.000185591152133648*E66</f>
        <v>116.52291453528696</v>
      </c>
    </row>
    <row r="94" spans="1:133" ht="31.2" x14ac:dyDescent="0.25">
      <c r="A94" s="63" t="s">
        <v>209</v>
      </c>
      <c r="B94" s="25" t="s">
        <v>80</v>
      </c>
      <c r="C94" s="35" t="s">
        <v>81</v>
      </c>
      <c r="D94" s="35" t="s">
        <v>353</v>
      </c>
      <c r="E94" s="25">
        <f>5</f>
        <v>5</v>
      </c>
    </row>
    <row r="95" spans="1:133" ht="62.4" x14ac:dyDescent="0.25">
      <c r="A95" s="63" t="s">
        <v>210</v>
      </c>
      <c r="B95" s="25" t="s">
        <v>82</v>
      </c>
      <c r="C95" s="35" t="s">
        <v>83</v>
      </c>
      <c r="D95" s="53" t="s">
        <v>354</v>
      </c>
      <c r="E95" s="25">
        <f>15*2</f>
        <v>30</v>
      </c>
    </row>
    <row r="96" spans="1:133" ht="172.2" x14ac:dyDescent="0.25">
      <c r="A96" s="63" t="s">
        <v>211</v>
      </c>
      <c r="B96" s="25" t="s">
        <v>84</v>
      </c>
      <c r="C96" s="35" t="s">
        <v>85</v>
      </c>
      <c r="D96" s="35" t="s">
        <v>355</v>
      </c>
      <c r="E96" s="25">
        <f>25.1/100</f>
        <v>0.251</v>
      </c>
    </row>
    <row r="97" spans="1:5" ht="156" x14ac:dyDescent="0.25">
      <c r="A97" s="63" t="s">
        <v>212</v>
      </c>
      <c r="B97" s="25" t="s">
        <v>87</v>
      </c>
      <c r="C97" s="35" t="s">
        <v>86</v>
      </c>
      <c r="D97" s="35" t="s">
        <v>356</v>
      </c>
      <c r="E97" s="25">
        <f>0.84/1000</f>
        <v>8.3999999999999993E-4</v>
      </c>
    </row>
    <row r="98" spans="1:5" ht="171.6" x14ac:dyDescent="0.25">
      <c r="A98" s="63" t="s">
        <v>213</v>
      </c>
      <c r="B98" s="25" t="s">
        <v>88</v>
      </c>
      <c r="C98" s="35" t="s">
        <v>89</v>
      </c>
      <c r="D98" s="35" t="s">
        <v>357</v>
      </c>
      <c r="E98" s="25">
        <f>43.33/1000</f>
        <v>4.333E-2</v>
      </c>
    </row>
    <row r="99" spans="1:5" ht="62.4" x14ac:dyDescent="0.25">
      <c r="A99" s="63" t="s">
        <v>214</v>
      </c>
      <c r="B99" s="25" t="s">
        <v>90</v>
      </c>
      <c r="C99" s="35" t="s">
        <v>91</v>
      </c>
      <c r="D99" s="35" t="s">
        <v>358</v>
      </c>
      <c r="E99" s="25">
        <v>74.099999999999994</v>
      </c>
    </row>
    <row r="101" spans="1:5" x14ac:dyDescent="0.25">
      <c r="A101" s="158" t="s">
        <v>93</v>
      </c>
      <c r="B101" s="158"/>
      <c r="C101" s="158"/>
      <c r="D101" s="158"/>
      <c r="E101" s="158"/>
    </row>
    <row r="102" spans="1:5" x14ac:dyDescent="0.25">
      <c r="A102" s="57" t="s">
        <v>8</v>
      </c>
      <c r="B102" s="58" t="s">
        <v>9</v>
      </c>
      <c r="C102" s="34" t="s">
        <v>10</v>
      </c>
      <c r="D102" s="34" t="s">
        <v>340</v>
      </c>
      <c r="E102" s="16" t="s">
        <v>65</v>
      </c>
    </row>
    <row r="103" spans="1:5" ht="64.8" x14ac:dyDescent="0.25">
      <c r="A103" s="15" t="s">
        <v>94</v>
      </c>
      <c r="B103" s="25" t="s">
        <v>95</v>
      </c>
      <c r="C103" s="35" t="s">
        <v>96</v>
      </c>
      <c r="D103" s="35" t="s">
        <v>97</v>
      </c>
      <c r="E103" s="16">
        <v>0</v>
      </c>
    </row>
    <row r="105" spans="1:5" x14ac:dyDescent="0.25">
      <c r="A105" s="158" t="s">
        <v>98</v>
      </c>
      <c r="B105" s="158"/>
      <c r="C105" s="158"/>
      <c r="D105" s="158"/>
      <c r="E105" s="158"/>
    </row>
    <row r="106" spans="1:5" x14ac:dyDescent="0.25">
      <c r="A106" s="57" t="s">
        <v>8</v>
      </c>
      <c r="B106" s="58" t="s">
        <v>9</v>
      </c>
      <c r="C106" s="34" t="s">
        <v>10</v>
      </c>
      <c r="D106" s="34" t="s">
        <v>340</v>
      </c>
      <c r="E106" s="16" t="s">
        <v>65</v>
      </c>
    </row>
    <row r="107" spans="1:5" ht="49.2" x14ac:dyDescent="0.25">
      <c r="A107" s="15" t="s">
        <v>99</v>
      </c>
      <c r="B107" s="25" t="s">
        <v>95</v>
      </c>
      <c r="C107" s="35" t="s">
        <v>100</v>
      </c>
      <c r="D107" s="35" t="s">
        <v>101</v>
      </c>
      <c r="E107" s="16">
        <v>0</v>
      </c>
    </row>
    <row r="109" spans="1:5" x14ac:dyDescent="0.25">
      <c r="A109" s="57" t="s">
        <v>8</v>
      </c>
      <c r="B109" s="58" t="s">
        <v>9</v>
      </c>
      <c r="C109" s="34" t="s">
        <v>10</v>
      </c>
      <c r="D109" s="34" t="s">
        <v>340</v>
      </c>
      <c r="E109" s="16" t="s">
        <v>65</v>
      </c>
    </row>
    <row r="110" spans="1:5" ht="18" x14ac:dyDescent="0.25">
      <c r="A110" s="101" t="s">
        <v>102</v>
      </c>
      <c r="B110" s="95" t="s">
        <v>103</v>
      </c>
      <c r="C110" s="96" t="s">
        <v>104</v>
      </c>
      <c r="D110" s="97" t="s">
        <v>380</v>
      </c>
      <c r="E110" s="102">
        <f>ROUNDDOWN(E60+E91+E86+E103+E107,0)</f>
        <v>835</v>
      </c>
    </row>
    <row r="111" spans="1:5" s="166" customFormat="1" ht="38.4" customHeight="1" x14ac:dyDescent="0.25">
      <c r="A111" s="165" t="s">
        <v>221</v>
      </c>
    </row>
    <row r="112" spans="1:5" s="167" customFormat="1" ht="43.2" customHeight="1" x14ac:dyDescent="0.25">
      <c r="A112" s="167" t="s">
        <v>222</v>
      </c>
    </row>
    <row r="113" spans="1:133" s="56" customFormat="1" ht="31.2" x14ac:dyDescent="0.25">
      <c r="A113" s="92" t="s">
        <v>8</v>
      </c>
      <c r="B113" s="93" t="s">
        <v>9</v>
      </c>
      <c r="C113" s="94" t="s">
        <v>10</v>
      </c>
      <c r="D113" s="93" t="s">
        <v>341</v>
      </c>
      <c r="E113" s="93" t="s">
        <v>11</v>
      </c>
      <c r="F113" s="16" t="s">
        <v>292</v>
      </c>
      <c r="G113" s="16" t="s">
        <v>292</v>
      </c>
      <c r="H113" s="16" t="s">
        <v>292</v>
      </c>
      <c r="I113" s="16" t="s">
        <v>292</v>
      </c>
      <c r="J113" s="16" t="s">
        <v>292</v>
      </c>
      <c r="K113" s="16" t="s">
        <v>292</v>
      </c>
      <c r="L113" s="16" t="s">
        <v>292</v>
      </c>
      <c r="M113" s="16" t="s">
        <v>292</v>
      </c>
      <c r="N113" s="16" t="s">
        <v>300</v>
      </c>
      <c r="O113" s="16" t="s">
        <v>293</v>
      </c>
      <c r="P113" s="16" t="s">
        <v>294</v>
      </c>
      <c r="Q113" s="16" t="s">
        <v>295</v>
      </c>
      <c r="R113" s="54"/>
      <c r="S113" s="54"/>
      <c r="T113" s="54"/>
      <c r="U113" s="54"/>
      <c r="V113" s="54"/>
      <c r="W113" s="54"/>
      <c r="X113" s="54"/>
      <c r="Y113" s="54"/>
      <c r="Z113" s="54"/>
      <c r="AA113" s="54"/>
      <c r="AB113" s="54"/>
      <c r="AC113" s="54"/>
      <c r="AD113" s="54"/>
      <c r="AE113" s="54"/>
      <c r="AF113" s="54"/>
      <c r="AG113" s="54"/>
      <c r="AH113" s="54"/>
      <c r="AI113" s="54"/>
      <c r="AJ113" s="54"/>
      <c r="AK113" s="54"/>
      <c r="AL113" s="54"/>
      <c r="AM113" s="54"/>
      <c r="AN113" s="54"/>
      <c r="AO113" s="54"/>
      <c r="AP113" s="54"/>
      <c r="AQ113" s="54"/>
      <c r="AR113" s="54"/>
      <c r="AS113" s="54"/>
      <c r="AT113" s="54"/>
      <c r="AU113" s="54"/>
      <c r="AV113" s="54"/>
      <c r="AW113" s="54"/>
      <c r="AX113" s="54"/>
      <c r="AY113" s="54"/>
      <c r="AZ113" s="54"/>
      <c r="BA113" s="54"/>
      <c r="BB113" s="54"/>
      <c r="BC113" s="54"/>
      <c r="BD113" s="54"/>
      <c r="BE113" s="54"/>
      <c r="BF113" s="54"/>
      <c r="BG113" s="54"/>
      <c r="BH113" s="54"/>
      <c r="BI113" s="54"/>
      <c r="BJ113" s="54"/>
      <c r="BK113" s="54"/>
      <c r="BL113" s="54"/>
      <c r="BM113" s="54"/>
      <c r="BN113" s="54"/>
      <c r="BO113" s="54"/>
      <c r="BP113" s="54"/>
      <c r="BQ113" s="54"/>
      <c r="BR113" s="54"/>
      <c r="BS113" s="54"/>
      <c r="BT113" s="54"/>
      <c r="BU113" s="54"/>
      <c r="BV113" s="54"/>
      <c r="BW113" s="54"/>
      <c r="BX113" s="54"/>
      <c r="BY113" s="54"/>
      <c r="BZ113" s="54"/>
      <c r="CA113" s="54"/>
      <c r="CB113" s="54"/>
      <c r="CC113" s="54"/>
      <c r="CD113" s="54"/>
      <c r="CE113" s="54"/>
      <c r="CF113" s="54"/>
      <c r="CG113" s="54"/>
      <c r="CH113" s="54"/>
      <c r="CI113" s="54"/>
      <c r="CJ113" s="54"/>
      <c r="CK113" s="54"/>
      <c r="CL113" s="54"/>
      <c r="CM113" s="54"/>
      <c r="CN113" s="54"/>
      <c r="CO113" s="54"/>
      <c r="CP113" s="54"/>
      <c r="CQ113" s="54"/>
      <c r="CR113" s="54"/>
      <c r="CS113" s="54"/>
      <c r="CT113" s="54"/>
      <c r="CU113" s="54"/>
      <c r="CV113" s="54"/>
      <c r="CW113" s="54"/>
      <c r="CX113" s="54"/>
      <c r="CY113" s="54"/>
      <c r="CZ113" s="54"/>
      <c r="DA113" s="54"/>
      <c r="DB113" s="54"/>
      <c r="DC113" s="54"/>
      <c r="DD113" s="54"/>
      <c r="DE113" s="54"/>
      <c r="DF113" s="54"/>
      <c r="DG113" s="54"/>
      <c r="DH113" s="54"/>
      <c r="DI113" s="54"/>
      <c r="DJ113" s="54"/>
      <c r="DK113" s="54"/>
      <c r="DL113" s="54"/>
      <c r="DM113" s="54"/>
      <c r="DN113" s="54"/>
      <c r="DO113" s="54"/>
      <c r="DP113" s="54"/>
      <c r="DQ113" s="54"/>
      <c r="DR113" s="54"/>
      <c r="DS113" s="54"/>
      <c r="DT113" s="54"/>
      <c r="DU113" s="54"/>
      <c r="DV113" s="54"/>
      <c r="DW113" s="54"/>
      <c r="DX113" s="54"/>
      <c r="DY113" s="54"/>
      <c r="DZ113" s="54"/>
      <c r="EA113" s="54"/>
      <c r="EB113" s="54"/>
      <c r="EC113" s="54"/>
    </row>
    <row r="114" spans="1:133" s="56" customFormat="1" x14ac:dyDescent="0.25">
      <c r="A114" s="178" t="s">
        <v>12</v>
      </c>
      <c r="B114" s="178"/>
      <c r="C114" s="179"/>
      <c r="D114" s="179"/>
      <c r="E114" s="178"/>
      <c r="F114" s="16" t="s">
        <v>297</v>
      </c>
      <c r="G114" s="16" t="s">
        <v>297</v>
      </c>
      <c r="H114" s="16" t="s">
        <v>297</v>
      </c>
      <c r="I114" s="16" t="s">
        <v>297</v>
      </c>
      <c r="J114" s="16" t="s">
        <v>297</v>
      </c>
      <c r="K114" s="16" t="s">
        <v>297</v>
      </c>
      <c r="L114" s="16" t="s">
        <v>297</v>
      </c>
      <c r="M114" s="16" t="s">
        <v>297</v>
      </c>
      <c r="N114" s="16">
        <v>28</v>
      </c>
      <c r="O114" s="16">
        <v>31</v>
      </c>
      <c r="P114" s="16">
        <v>30</v>
      </c>
      <c r="Q114" s="16">
        <v>31</v>
      </c>
      <c r="R114" s="54"/>
      <c r="S114" s="54"/>
      <c r="T114" s="54"/>
      <c r="U114" s="54"/>
      <c r="V114" s="54"/>
      <c r="W114" s="54"/>
      <c r="X114" s="54"/>
      <c r="Y114" s="54"/>
      <c r="Z114" s="54"/>
      <c r="AA114" s="54"/>
      <c r="AB114" s="54"/>
      <c r="AC114" s="54"/>
      <c r="AD114" s="54"/>
      <c r="AE114" s="54"/>
      <c r="AF114" s="54"/>
      <c r="AG114" s="54"/>
      <c r="AH114" s="54"/>
      <c r="AI114" s="54"/>
      <c r="AJ114" s="54"/>
      <c r="AK114" s="54"/>
      <c r="AL114" s="54"/>
      <c r="AM114" s="54"/>
      <c r="AN114" s="54"/>
      <c r="AO114" s="54"/>
      <c r="AP114" s="54"/>
      <c r="AQ114" s="54"/>
      <c r="AR114" s="54"/>
      <c r="AS114" s="54"/>
      <c r="AT114" s="54"/>
      <c r="AU114" s="54"/>
      <c r="AV114" s="54"/>
      <c r="AW114" s="54"/>
      <c r="AX114" s="54"/>
      <c r="AY114" s="54"/>
      <c r="AZ114" s="54"/>
      <c r="BA114" s="54"/>
      <c r="BB114" s="54"/>
      <c r="BC114" s="54"/>
      <c r="BD114" s="54"/>
      <c r="BE114" s="54"/>
      <c r="BF114" s="54"/>
      <c r="BG114" s="54"/>
      <c r="BH114" s="54"/>
      <c r="BI114" s="54"/>
      <c r="BJ114" s="54"/>
      <c r="BK114" s="54"/>
      <c r="BL114" s="54"/>
      <c r="BM114" s="54"/>
      <c r="BN114" s="54"/>
      <c r="BO114" s="54"/>
      <c r="BP114" s="54"/>
      <c r="BQ114" s="54"/>
      <c r="BR114" s="54"/>
      <c r="BS114" s="54"/>
      <c r="BT114" s="54"/>
      <c r="BU114" s="54"/>
      <c r="BV114" s="54"/>
      <c r="BW114" s="54"/>
      <c r="BX114" s="54"/>
      <c r="BY114" s="54"/>
      <c r="BZ114" s="54"/>
      <c r="CA114" s="54"/>
      <c r="CB114" s="54"/>
      <c r="CC114" s="54"/>
      <c r="CD114" s="54"/>
      <c r="CE114" s="54"/>
      <c r="CF114" s="54"/>
      <c r="CG114" s="54"/>
      <c r="CH114" s="54"/>
      <c r="CI114" s="54"/>
      <c r="CJ114" s="54"/>
      <c r="CK114" s="54"/>
      <c r="CL114" s="54"/>
      <c r="CM114" s="54"/>
      <c r="CN114" s="54"/>
      <c r="CO114" s="54"/>
      <c r="CP114" s="54"/>
      <c r="CQ114" s="54"/>
      <c r="CR114" s="54"/>
      <c r="CS114" s="54"/>
      <c r="CT114" s="54"/>
      <c r="CU114" s="54"/>
      <c r="CV114" s="54"/>
      <c r="CW114" s="54"/>
      <c r="CX114" s="54"/>
      <c r="CY114" s="54"/>
      <c r="CZ114" s="54"/>
      <c r="DA114" s="54"/>
      <c r="DB114" s="54"/>
      <c r="DC114" s="54"/>
      <c r="DD114" s="54"/>
      <c r="DE114" s="54"/>
      <c r="DF114" s="54"/>
      <c r="DG114" s="54"/>
      <c r="DH114" s="54"/>
      <c r="DI114" s="54"/>
      <c r="DJ114" s="54"/>
      <c r="DK114" s="54"/>
      <c r="DL114" s="54"/>
      <c r="DM114" s="54"/>
      <c r="DN114" s="54"/>
      <c r="DO114" s="54"/>
      <c r="DP114" s="54"/>
      <c r="DQ114" s="54"/>
      <c r="DR114" s="54"/>
      <c r="DS114" s="54"/>
      <c r="DT114" s="54"/>
      <c r="DU114" s="54"/>
      <c r="DV114" s="54"/>
      <c r="DW114" s="54"/>
      <c r="DX114" s="54"/>
      <c r="DY114" s="54"/>
      <c r="DZ114" s="54"/>
      <c r="EA114" s="54"/>
      <c r="EB114" s="54"/>
      <c r="EC114" s="54"/>
    </row>
    <row r="115" spans="1:133" ht="46.8" x14ac:dyDescent="0.25">
      <c r="A115" s="59" t="s">
        <v>13</v>
      </c>
      <c r="B115" s="60" t="s">
        <v>14</v>
      </c>
      <c r="C115" s="53" t="s">
        <v>15</v>
      </c>
      <c r="D115" s="53" t="s">
        <v>369</v>
      </c>
      <c r="E115" s="61">
        <f>SUM(F115:Q115)</f>
        <v>223.0953868820018</v>
      </c>
      <c r="F115" s="62" t="s">
        <v>297</v>
      </c>
      <c r="G115" s="62" t="s">
        <v>297</v>
      </c>
      <c r="H115" s="62" t="s">
        <v>297</v>
      </c>
      <c r="I115" s="62" t="s">
        <v>297</v>
      </c>
      <c r="J115" s="62" t="s">
        <v>297</v>
      </c>
      <c r="K115" s="62" t="s">
        <v>297</v>
      </c>
      <c r="L115" s="62" t="s">
        <v>297</v>
      </c>
      <c r="M115" s="62" t="s">
        <v>297</v>
      </c>
      <c r="N115" s="62">
        <f>$E$116*$E$117*N118*$E$129</f>
        <v>57.529536018518215</v>
      </c>
      <c r="O115" s="62">
        <f>$E$116*$E$117*O118*$E$129</f>
        <v>63.723269730255382</v>
      </c>
      <c r="P115" s="62">
        <f>$E$116*$E$117*P118*$E$129</f>
        <v>50.077053912982656</v>
      </c>
      <c r="Q115" s="62">
        <f>$E$116*$E$117*Q118*$E$129</f>
        <v>51.765527220245559</v>
      </c>
    </row>
    <row r="116" spans="1:133" ht="31.2" x14ac:dyDescent="0.25">
      <c r="A116" s="63" t="s">
        <v>16</v>
      </c>
      <c r="B116" s="60" t="s">
        <v>193</v>
      </c>
      <c r="C116" s="35" t="s">
        <v>17</v>
      </c>
      <c r="D116" s="35" t="s">
        <v>205</v>
      </c>
      <c r="E116" s="176">
        <v>28</v>
      </c>
      <c r="F116" s="176"/>
      <c r="G116" s="176"/>
      <c r="H116" s="176"/>
      <c r="I116" s="176"/>
      <c r="J116" s="176"/>
      <c r="K116" s="176"/>
      <c r="L116" s="176"/>
      <c r="M116" s="176"/>
      <c r="N116" s="176"/>
      <c r="O116" s="176"/>
      <c r="P116" s="176"/>
      <c r="Q116" s="176"/>
    </row>
    <row r="117" spans="1:133" ht="64.8" x14ac:dyDescent="0.25">
      <c r="A117" s="63" t="s">
        <v>18</v>
      </c>
      <c r="B117" s="25" t="s">
        <v>194</v>
      </c>
      <c r="C117" s="35" t="s">
        <v>20</v>
      </c>
      <c r="D117" s="35" t="s">
        <v>394</v>
      </c>
      <c r="E117" s="176">
        <v>0.21</v>
      </c>
      <c r="F117" s="176"/>
      <c r="G117" s="176"/>
      <c r="H117" s="176"/>
      <c r="I117" s="176"/>
      <c r="J117" s="176"/>
      <c r="K117" s="176"/>
      <c r="L117" s="176"/>
      <c r="M117" s="176"/>
      <c r="N117" s="176"/>
      <c r="O117" s="176"/>
      <c r="P117" s="176"/>
      <c r="Q117" s="176"/>
    </row>
    <row r="118" spans="1:133" ht="46.8" x14ac:dyDescent="0.25">
      <c r="A118" s="35" t="s">
        <v>21</v>
      </c>
      <c r="B118" s="25" t="s">
        <v>195</v>
      </c>
      <c r="C118" s="53" t="s">
        <v>22</v>
      </c>
      <c r="D118" s="53" t="s">
        <v>370</v>
      </c>
      <c r="E118" s="64">
        <f t="shared" ref="E118:Q118" si="15">E126*E119</f>
        <v>72.875297067148438</v>
      </c>
      <c r="F118" s="16" t="s">
        <v>292</v>
      </c>
      <c r="G118" s="16" t="s">
        <v>292</v>
      </c>
      <c r="H118" s="16" t="s">
        <v>292</v>
      </c>
      <c r="I118" s="16" t="s">
        <v>292</v>
      </c>
      <c r="J118" s="16" t="s">
        <v>292</v>
      </c>
      <c r="K118" s="16" t="s">
        <v>292</v>
      </c>
      <c r="L118" s="16" t="s">
        <v>292</v>
      </c>
      <c r="M118" s="16" t="s">
        <v>292</v>
      </c>
      <c r="N118" s="64">
        <f t="shared" si="15"/>
        <v>18.792329532578783</v>
      </c>
      <c r="O118" s="64">
        <f t="shared" si="15"/>
        <v>20.815545657779946</v>
      </c>
      <c r="P118" s="64">
        <f t="shared" si="15"/>
        <v>16.35793653629614</v>
      </c>
      <c r="Q118" s="64">
        <f t="shared" si="15"/>
        <v>16.909485340493585</v>
      </c>
    </row>
    <row r="119" spans="1:133" ht="46.8" x14ac:dyDescent="0.25">
      <c r="A119" s="35" t="s">
        <v>23</v>
      </c>
      <c r="B119" s="25" t="s">
        <v>197</v>
      </c>
      <c r="C119" s="35" t="s">
        <v>191</v>
      </c>
      <c r="D119" s="35" t="s">
        <v>371</v>
      </c>
      <c r="E119" s="20">
        <f>SUM(F119:Q119)</f>
        <v>77.345258307604212</v>
      </c>
      <c r="F119" s="16" t="s">
        <v>292</v>
      </c>
      <c r="G119" s="16" t="s">
        <v>292</v>
      </c>
      <c r="H119" s="16" t="s">
        <v>292</v>
      </c>
      <c r="I119" s="16" t="s">
        <v>292</v>
      </c>
      <c r="J119" s="16" t="s">
        <v>292</v>
      </c>
      <c r="K119" s="16" t="s">
        <v>292</v>
      </c>
      <c r="L119" s="16" t="s">
        <v>292</v>
      </c>
      <c r="M119" s="16" t="s">
        <v>292</v>
      </c>
      <c r="N119" s="20">
        <f t="shared" ref="N119:Q119" si="16">N121*N124</f>
        <v>19.944997007142895</v>
      </c>
      <c r="O119" s="20">
        <f t="shared" si="16"/>
        <v>22.092311393684678</v>
      </c>
      <c r="P119" s="20">
        <f t="shared" si="16"/>
        <v>17.361285342184448</v>
      </c>
      <c r="Q119" s="20">
        <f t="shared" si="16"/>
        <v>17.946664564592204</v>
      </c>
    </row>
    <row r="120" spans="1:133" ht="62.4" x14ac:dyDescent="0.25">
      <c r="A120" s="17" t="s">
        <v>334</v>
      </c>
      <c r="B120" s="60" t="s">
        <v>192</v>
      </c>
      <c r="C120" s="35" t="s">
        <v>25</v>
      </c>
      <c r="D120" s="35" t="s">
        <v>333</v>
      </c>
      <c r="E120" s="20">
        <f>AVERAGE(N120:Q120)</f>
        <v>2338.0822225614443</v>
      </c>
      <c r="F120" s="16" t="s">
        <v>292</v>
      </c>
      <c r="G120" s="16" t="s">
        <v>292</v>
      </c>
      <c r="H120" s="16" t="s">
        <v>292</v>
      </c>
      <c r="I120" s="16" t="s">
        <v>292</v>
      </c>
      <c r="J120" s="16" t="s">
        <v>292</v>
      </c>
      <c r="K120" s="16" t="s">
        <v>292</v>
      </c>
      <c r="L120" s="16" t="s">
        <v>292</v>
      </c>
      <c r="M120" s="16" t="s">
        <v>292</v>
      </c>
      <c r="N120" s="121">
        <v>2579.2723214285725</v>
      </c>
      <c r="O120" s="121">
        <v>2580.056161290323</v>
      </c>
      <c r="P120" s="121">
        <v>2096.4866333333334</v>
      </c>
      <c r="Q120" s="121">
        <v>2096.5137741935487</v>
      </c>
    </row>
    <row r="121" spans="1:133" ht="46.8" x14ac:dyDescent="0.25">
      <c r="A121" s="35" t="s">
        <v>26</v>
      </c>
      <c r="B121" s="60" t="s">
        <v>198</v>
      </c>
      <c r="C121" s="35" t="s">
        <v>27</v>
      </c>
      <c r="D121" s="35" t="s">
        <v>206</v>
      </c>
      <c r="E121" s="65">
        <f>SUM(N121:Q121)</f>
        <v>280087.89200000005</v>
      </c>
      <c r="F121" s="16" t="s">
        <v>292</v>
      </c>
      <c r="G121" s="16" t="s">
        <v>292</v>
      </c>
      <c r="H121" s="16" t="s">
        <v>292</v>
      </c>
      <c r="I121" s="16" t="s">
        <v>292</v>
      </c>
      <c r="J121" s="16" t="s">
        <v>292</v>
      </c>
      <c r="K121" s="16" t="s">
        <v>292</v>
      </c>
      <c r="L121" s="16" t="s">
        <v>292</v>
      </c>
      <c r="M121" s="16" t="s">
        <v>292</v>
      </c>
      <c r="N121" s="65">
        <f t="shared" ref="N121:Q121" si="17">N120*N114</f>
        <v>72219.625000000029</v>
      </c>
      <c r="O121" s="65">
        <f t="shared" si="17"/>
        <v>79981.741000000009</v>
      </c>
      <c r="P121" s="65">
        <f t="shared" si="17"/>
        <v>62894.599000000002</v>
      </c>
      <c r="Q121" s="65">
        <f t="shared" si="17"/>
        <v>64991.927000000011</v>
      </c>
    </row>
    <row r="122" spans="1:133" ht="62.4" x14ac:dyDescent="0.25">
      <c r="A122" s="35" t="s">
        <v>28</v>
      </c>
      <c r="B122" s="60" t="s">
        <v>199</v>
      </c>
      <c r="C122" s="35" t="s">
        <v>29</v>
      </c>
      <c r="D122" s="35" t="s">
        <v>332</v>
      </c>
      <c r="E122" s="125">
        <f>AVERAGE(N122:Q122)</f>
        <v>276.14074244751674</v>
      </c>
      <c r="F122" s="16" t="s">
        <v>292</v>
      </c>
      <c r="G122" s="16" t="s">
        <v>292</v>
      </c>
      <c r="H122" s="16" t="s">
        <v>292</v>
      </c>
      <c r="I122" s="16" t="s">
        <v>292</v>
      </c>
      <c r="J122" s="16" t="s">
        <v>292</v>
      </c>
      <c r="K122" s="16" t="s">
        <v>292</v>
      </c>
      <c r="L122" s="16" t="s">
        <v>292</v>
      </c>
      <c r="M122" s="16" t="s">
        <v>292</v>
      </c>
      <c r="N122" s="124">
        <v>276.17142857142898</v>
      </c>
      <c r="O122" s="124">
        <v>276.21693548387094</v>
      </c>
      <c r="P122" s="124">
        <v>276.03777777777782</v>
      </c>
      <c r="Q122" s="124">
        <v>276.13682795698924</v>
      </c>
    </row>
    <row r="123" spans="1:133" ht="62.4" x14ac:dyDescent="0.25">
      <c r="A123" s="35" t="s">
        <v>30</v>
      </c>
      <c r="B123" s="60" t="s">
        <v>199</v>
      </c>
      <c r="C123" s="35" t="s">
        <v>31</v>
      </c>
      <c r="D123" s="35" t="s">
        <v>331</v>
      </c>
      <c r="E123" s="125">
        <f>AVERAGE(N123:Q123)</f>
        <v>15.474466525857654</v>
      </c>
      <c r="F123" s="16" t="s">
        <v>292</v>
      </c>
      <c r="G123" s="16" t="s">
        <v>292</v>
      </c>
      <c r="H123" s="16" t="s">
        <v>292</v>
      </c>
      <c r="I123" s="16" t="s">
        <v>292</v>
      </c>
      <c r="J123" s="16" t="s">
        <v>292</v>
      </c>
      <c r="K123" s="16" t="s">
        <v>292</v>
      </c>
      <c r="L123" s="16" t="s">
        <v>292</v>
      </c>
      <c r="M123" s="16" t="s">
        <v>292</v>
      </c>
      <c r="N123" s="124">
        <v>15.359523809523806</v>
      </c>
      <c r="O123" s="124">
        <v>15.602956989247311</v>
      </c>
      <c r="P123" s="124">
        <v>15.330277777777775</v>
      </c>
      <c r="Q123" s="124">
        <v>15.605107526881723</v>
      </c>
    </row>
    <row r="124" spans="1:133" ht="62.4" x14ac:dyDescent="0.25">
      <c r="A124" s="35" t="s">
        <v>32</v>
      </c>
      <c r="B124" s="60" t="s">
        <v>200</v>
      </c>
      <c r="C124" s="35" t="s">
        <v>34</v>
      </c>
      <c r="D124" s="35" t="s">
        <v>338</v>
      </c>
      <c r="E124" s="122">
        <f>E122/1000000</f>
        <v>2.7614074244751674E-4</v>
      </c>
      <c r="F124" s="16" t="s">
        <v>292</v>
      </c>
      <c r="G124" s="16" t="s">
        <v>292</v>
      </c>
      <c r="H124" s="16" t="s">
        <v>292</v>
      </c>
      <c r="I124" s="16" t="s">
        <v>292</v>
      </c>
      <c r="J124" s="16" t="s">
        <v>292</v>
      </c>
      <c r="K124" s="16" t="s">
        <v>292</v>
      </c>
      <c r="L124" s="16" t="s">
        <v>292</v>
      </c>
      <c r="M124" s="16" t="s">
        <v>292</v>
      </c>
      <c r="N124" s="22">
        <f t="shared" ref="N124:Q124" si="18">N122/1000000</f>
        <v>2.7617142857142896E-4</v>
      </c>
      <c r="O124" s="22">
        <f t="shared" si="18"/>
        <v>2.7621693548387095E-4</v>
      </c>
      <c r="P124" s="22">
        <f t="shared" si="18"/>
        <v>2.7603777777777781E-4</v>
      </c>
      <c r="Q124" s="22">
        <f t="shared" si="18"/>
        <v>2.7613682795698922E-4</v>
      </c>
    </row>
    <row r="125" spans="1:133" ht="62.4" x14ac:dyDescent="0.25">
      <c r="A125" s="35" t="s">
        <v>30</v>
      </c>
      <c r="B125" s="60" t="s">
        <v>33</v>
      </c>
      <c r="C125" s="35" t="s">
        <v>35</v>
      </c>
      <c r="D125" s="35" t="s">
        <v>339</v>
      </c>
      <c r="E125" s="67">
        <f>E123/1000000</f>
        <v>1.5474466525857653E-5</v>
      </c>
      <c r="F125" s="16" t="s">
        <v>292</v>
      </c>
      <c r="G125" s="16" t="s">
        <v>292</v>
      </c>
      <c r="H125" s="16" t="s">
        <v>292</v>
      </c>
      <c r="I125" s="16" t="s">
        <v>292</v>
      </c>
      <c r="J125" s="16" t="s">
        <v>292</v>
      </c>
      <c r="K125" s="16" t="s">
        <v>292</v>
      </c>
      <c r="L125" s="16" t="s">
        <v>292</v>
      </c>
      <c r="M125" s="16" t="s">
        <v>292</v>
      </c>
      <c r="N125" s="120">
        <f t="shared" ref="N125:Q125" si="19">N123/1000000</f>
        <v>1.5359523809523805E-5</v>
      </c>
      <c r="O125" s="120">
        <f t="shared" si="19"/>
        <v>1.5602956989247312E-5</v>
      </c>
      <c r="P125" s="120">
        <f t="shared" si="19"/>
        <v>1.5330277777777777E-5</v>
      </c>
      <c r="Q125" s="120">
        <f t="shared" si="19"/>
        <v>1.5605107526881723E-5</v>
      </c>
    </row>
    <row r="126" spans="1:133" ht="46.8" x14ac:dyDescent="0.25">
      <c r="A126" s="63" t="s">
        <v>36</v>
      </c>
      <c r="B126" s="25" t="s">
        <v>201</v>
      </c>
      <c r="C126" s="35" t="s">
        <v>38</v>
      </c>
      <c r="D126" s="35" t="s">
        <v>368</v>
      </c>
      <c r="E126" s="68">
        <f>(1-(E127/E128))</f>
        <v>0.94220768876769911</v>
      </c>
      <c r="F126" s="16" t="s">
        <v>292</v>
      </c>
      <c r="G126" s="16" t="s">
        <v>292</v>
      </c>
      <c r="H126" s="16" t="s">
        <v>292</v>
      </c>
      <c r="I126" s="16" t="s">
        <v>292</v>
      </c>
      <c r="J126" s="16" t="s">
        <v>292</v>
      </c>
      <c r="K126" s="16" t="s">
        <v>292</v>
      </c>
      <c r="L126" s="16" t="s">
        <v>292</v>
      </c>
      <c r="M126" s="16" t="s">
        <v>292</v>
      </c>
      <c r="N126" s="68">
        <f>E126</f>
        <v>0.94220768876769911</v>
      </c>
      <c r="O126" s="68">
        <f>E126</f>
        <v>0.94220768876769911</v>
      </c>
      <c r="P126" s="68">
        <f>E126</f>
        <v>0.94220768876769911</v>
      </c>
      <c r="Q126" s="68">
        <f>E126</f>
        <v>0.94220768876769911</v>
      </c>
    </row>
    <row r="127" spans="1:133" ht="31.2" x14ac:dyDescent="0.25">
      <c r="A127" s="35" t="s">
        <v>39</v>
      </c>
      <c r="B127" s="25" t="s">
        <v>196</v>
      </c>
      <c r="C127" s="35" t="s">
        <v>40</v>
      </c>
      <c r="D127" s="35" t="s">
        <v>351</v>
      </c>
      <c r="E127" s="52">
        <f>SUM(F127:Q127)</f>
        <v>3.9719444160000004</v>
      </c>
      <c r="F127" s="41" t="s">
        <v>292</v>
      </c>
      <c r="G127" s="41" t="s">
        <v>292</v>
      </c>
      <c r="H127" s="41" t="s">
        <v>292</v>
      </c>
      <c r="I127" s="41" t="s">
        <v>292</v>
      </c>
      <c r="J127" s="41" t="s">
        <v>292</v>
      </c>
      <c r="K127" s="41" t="s">
        <v>292</v>
      </c>
      <c r="L127" s="41" t="s">
        <v>292</v>
      </c>
      <c r="M127" s="41" t="s">
        <v>292</v>
      </c>
      <c r="N127" s="52">
        <v>0.9267870304000001</v>
      </c>
      <c r="O127" s="52">
        <v>1.0260856408000001</v>
      </c>
      <c r="P127" s="52">
        <v>0.9929861040000002</v>
      </c>
      <c r="Q127" s="52">
        <v>1.0260856408000001</v>
      </c>
    </row>
    <row r="128" spans="1:133" ht="31.2" x14ac:dyDescent="0.25">
      <c r="A128" s="63" t="s">
        <v>41</v>
      </c>
      <c r="B128" s="25" t="s">
        <v>24</v>
      </c>
      <c r="C128" s="35" t="s">
        <v>42</v>
      </c>
      <c r="D128" s="35" t="s">
        <v>351</v>
      </c>
      <c r="E128" s="52">
        <f>SUM(F128:Q128)</f>
        <v>68.727903959999992</v>
      </c>
      <c r="F128" s="41" t="s">
        <v>292</v>
      </c>
      <c r="G128" s="41" t="s">
        <v>292</v>
      </c>
      <c r="H128" s="41" t="s">
        <v>292</v>
      </c>
      <c r="I128" s="41" t="s">
        <v>292</v>
      </c>
      <c r="J128" s="41" t="s">
        <v>292</v>
      </c>
      <c r="K128" s="41" t="s">
        <v>292</v>
      </c>
      <c r="L128" s="41" t="s">
        <v>292</v>
      </c>
      <c r="M128" s="41" t="s">
        <v>292</v>
      </c>
      <c r="N128" s="52">
        <v>16.036510923999998</v>
      </c>
      <c r="O128" s="52">
        <v>17.754708522999998</v>
      </c>
      <c r="P128" s="52">
        <v>17.181975989999998</v>
      </c>
      <c r="Q128" s="52">
        <v>17.754708522999998</v>
      </c>
    </row>
    <row r="129" spans="1:133" ht="31.2" x14ac:dyDescent="0.25">
      <c r="A129" s="53" t="s">
        <v>43</v>
      </c>
      <c r="B129" s="25" t="s">
        <v>201</v>
      </c>
      <c r="C129" s="53" t="s">
        <v>44</v>
      </c>
      <c r="D129" s="35" t="s">
        <v>372</v>
      </c>
      <c r="E129" s="177">
        <f>E130*E131*0.89</f>
        <v>0.52063447908708016</v>
      </c>
      <c r="F129" s="177"/>
      <c r="G129" s="177"/>
      <c r="H129" s="177"/>
      <c r="I129" s="177"/>
      <c r="J129" s="177"/>
      <c r="K129" s="177"/>
      <c r="L129" s="177"/>
      <c r="M129" s="177"/>
      <c r="N129" s="177"/>
      <c r="O129" s="177"/>
      <c r="P129" s="177"/>
      <c r="Q129" s="177"/>
    </row>
    <row r="130" spans="1:133" ht="31.2" x14ac:dyDescent="0.25">
      <c r="A130" s="70" t="s">
        <v>45</v>
      </c>
      <c r="B130" s="25" t="s">
        <v>201</v>
      </c>
      <c r="C130" s="53" t="s">
        <v>46</v>
      </c>
      <c r="D130" s="35" t="s">
        <v>373</v>
      </c>
      <c r="E130" s="162">
        <v>0.7</v>
      </c>
      <c r="F130" s="163"/>
      <c r="G130" s="163"/>
      <c r="H130" s="163"/>
      <c r="I130" s="163"/>
      <c r="J130" s="163"/>
      <c r="K130" s="163"/>
      <c r="L130" s="163"/>
      <c r="M130" s="163"/>
      <c r="N130" s="163"/>
      <c r="O130" s="163"/>
      <c r="P130" s="163"/>
      <c r="Q130" s="164"/>
    </row>
    <row r="131" spans="1:133" ht="36" customHeight="1" x14ac:dyDescent="0.25">
      <c r="A131" s="70" t="s">
        <v>47</v>
      </c>
      <c r="B131" s="25" t="s">
        <v>37</v>
      </c>
      <c r="C131" s="53" t="s">
        <v>48</v>
      </c>
      <c r="D131" s="35" t="s">
        <v>374</v>
      </c>
      <c r="E131" s="159">
        <f>(N132*N137+O132*O137+P132*P137+Q132*Q137)/(N126*N124*N121+O126*O121*O124+P126*P124*P121+Q126*Q124*Q121)</f>
        <v>0.83568937253142894</v>
      </c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1"/>
    </row>
    <row r="132" spans="1:133" s="9" customFormat="1" ht="46.8" x14ac:dyDescent="0.4">
      <c r="A132" s="71" t="s">
        <v>49</v>
      </c>
      <c r="B132" s="25" t="s">
        <v>37</v>
      </c>
      <c r="C132" s="53" t="s">
        <v>50</v>
      </c>
      <c r="D132" s="53" t="s">
        <v>375</v>
      </c>
      <c r="E132" s="72">
        <f>AVERAGE(F132:Q132)</f>
        <v>0.58867830239581709</v>
      </c>
      <c r="F132" s="16" t="s">
        <v>292</v>
      </c>
      <c r="G132" s="16" t="s">
        <v>292</v>
      </c>
      <c r="H132" s="16" t="s">
        <v>292</v>
      </c>
      <c r="I132" s="16" t="s">
        <v>292</v>
      </c>
      <c r="J132" s="16" t="s">
        <v>292</v>
      </c>
      <c r="K132" s="16" t="s">
        <v>292</v>
      </c>
      <c r="L132" s="16" t="s">
        <v>292</v>
      </c>
      <c r="M132" s="16" t="s">
        <v>292</v>
      </c>
      <c r="N132" s="72">
        <f t="shared" ref="N132:Q132" si="20">IF(N136&lt;283,0,IF(N136&gt;303,1,EXP(($E$23*(N136-$E$24))/($E$25*$E$24*N136))))</f>
        <v>0.88152221926734242</v>
      </c>
      <c r="O132" s="72">
        <f t="shared" si="20"/>
        <v>0.62729263560178183</v>
      </c>
      <c r="P132" s="72">
        <f t="shared" si="20"/>
        <v>0.55084569341606926</v>
      </c>
      <c r="Q132" s="72">
        <f t="shared" si="20"/>
        <v>0.29505266129807517</v>
      </c>
      <c r="R132" s="78"/>
      <c r="S132" s="78"/>
      <c r="T132" s="78"/>
      <c r="U132" s="78"/>
      <c r="V132" s="78"/>
      <c r="W132" s="78"/>
      <c r="X132" s="78"/>
      <c r="Y132" s="78"/>
      <c r="Z132" s="78"/>
      <c r="AA132" s="78"/>
      <c r="AB132" s="78"/>
      <c r="AC132" s="78"/>
      <c r="AD132" s="78"/>
      <c r="AE132" s="78"/>
      <c r="AF132" s="78"/>
      <c r="AG132" s="78"/>
      <c r="AH132" s="78"/>
      <c r="AI132" s="78"/>
      <c r="AJ132" s="78"/>
      <c r="AK132" s="78"/>
      <c r="AL132" s="78"/>
      <c r="AM132" s="78"/>
      <c r="AN132" s="78"/>
      <c r="AO132" s="78"/>
      <c r="AP132" s="78"/>
      <c r="AQ132" s="78"/>
      <c r="AR132" s="78"/>
      <c r="AS132" s="78"/>
      <c r="AT132" s="78"/>
      <c r="AU132" s="78"/>
      <c r="AV132" s="78"/>
      <c r="AW132" s="78"/>
      <c r="AX132" s="78"/>
      <c r="AY132" s="78"/>
      <c r="AZ132" s="78"/>
      <c r="BA132" s="78"/>
      <c r="BB132" s="78"/>
      <c r="BC132" s="78"/>
      <c r="BD132" s="78"/>
      <c r="BE132" s="78"/>
      <c r="BF132" s="78"/>
      <c r="BG132" s="78"/>
      <c r="BH132" s="78"/>
      <c r="BI132" s="78"/>
      <c r="BJ132" s="78"/>
      <c r="BK132" s="78"/>
      <c r="BL132" s="78"/>
      <c r="BM132" s="78"/>
      <c r="BN132" s="78"/>
      <c r="BO132" s="78"/>
      <c r="BP132" s="78"/>
      <c r="BQ132" s="78"/>
      <c r="BR132" s="78"/>
      <c r="BS132" s="78"/>
      <c r="BT132" s="78"/>
      <c r="BU132" s="78"/>
      <c r="BV132" s="78"/>
      <c r="BW132" s="78"/>
      <c r="BX132" s="78"/>
      <c r="BY132" s="78"/>
      <c r="BZ132" s="78"/>
      <c r="CA132" s="78"/>
      <c r="CB132" s="78"/>
      <c r="CC132" s="78"/>
      <c r="CD132" s="78"/>
      <c r="CE132" s="78"/>
      <c r="CF132" s="78"/>
      <c r="CG132" s="78"/>
      <c r="CH132" s="78"/>
      <c r="CI132" s="78"/>
      <c r="CJ132" s="78"/>
      <c r="CK132" s="78"/>
      <c r="CL132" s="78"/>
      <c r="CM132" s="78"/>
      <c r="CN132" s="78"/>
      <c r="CO132" s="78"/>
      <c r="CP132" s="78"/>
      <c r="CQ132" s="78"/>
      <c r="CR132" s="78"/>
      <c r="CS132" s="78"/>
      <c r="CT132" s="78"/>
      <c r="CU132" s="78"/>
      <c r="CV132" s="78"/>
      <c r="CW132" s="78"/>
      <c r="CX132" s="78"/>
      <c r="CY132" s="78"/>
      <c r="CZ132" s="78"/>
      <c r="DA132" s="78"/>
      <c r="DB132" s="78"/>
      <c r="DC132" s="78"/>
      <c r="DD132" s="78"/>
      <c r="DE132" s="78"/>
      <c r="DF132" s="78"/>
      <c r="DG132" s="78"/>
      <c r="DH132" s="78"/>
      <c r="DI132" s="78"/>
      <c r="DJ132" s="78"/>
      <c r="DK132" s="78"/>
      <c r="DL132" s="78"/>
      <c r="DM132" s="78"/>
      <c r="DN132" s="78"/>
      <c r="DO132" s="78"/>
      <c r="DP132" s="78"/>
      <c r="DQ132" s="78"/>
      <c r="DR132" s="78"/>
      <c r="DS132" s="78"/>
      <c r="DT132" s="78"/>
      <c r="DU132" s="78"/>
      <c r="DV132" s="78"/>
      <c r="DW132" s="78"/>
      <c r="DX132" s="78"/>
      <c r="DY132" s="78"/>
      <c r="DZ132" s="78"/>
      <c r="EA132" s="78"/>
      <c r="EB132" s="78"/>
      <c r="EC132" s="78"/>
    </row>
    <row r="133" spans="1:133" s="9" customFormat="1" x14ac:dyDescent="0.25">
      <c r="A133" s="73" t="s">
        <v>51</v>
      </c>
      <c r="B133" s="60" t="s">
        <v>202</v>
      </c>
      <c r="C133" s="53" t="s">
        <v>53</v>
      </c>
      <c r="D133" s="53" t="s">
        <v>376</v>
      </c>
      <c r="E133" s="162">
        <v>15175</v>
      </c>
      <c r="F133" s="163"/>
      <c r="G133" s="163"/>
      <c r="H133" s="163"/>
      <c r="I133" s="163"/>
      <c r="J133" s="163"/>
      <c r="K133" s="163"/>
      <c r="L133" s="163"/>
      <c r="M133" s="163"/>
      <c r="N133" s="163"/>
      <c r="O133" s="163"/>
      <c r="P133" s="163"/>
      <c r="Q133" s="164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78"/>
      <c r="AG133" s="78"/>
      <c r="AH133" s="78"/>
      <c r="AI133" s="78"/>
      <c r="AJ133" s="78"/>
      <c r="AK133" s="78"/>
      <c r="AL133" s="78"/>
      <c r="AM133" s="78"/>
      <c r="AN133" s="78"/>
      <c r="AO133" s="78"/>
      <c r="AP133" s="78"/>
      <c r="AQ133" s="78"/>
      <c r="AR133" s="78"/>
      <c r="AS133" s="78"/>
      <c r="AT133" s="78"/>
      <c r="AU133" s="78"/>
      <c r="AV133" s="78"/>
      <c r="AW133" s="78"/>
      <c r="AX133" s="78"/>
      <c r="AY133" s="78"/>
      <c r="AZ133" s="78"/>
      <c r="BA133" s="78"/>
      <c r="BB133" s="78"/>
      <c r="BC133" s="78"/>
      <c r="BD133" s="78"/>
      <c r="BE133" s="78"/>
      <c r="BF133" s="78"/>
      <c r="BG133" s="78"/>
      <c r="BH133" s="78"/>
      <c r="BI133" s="78"/>
      <c r="BJ133" s="78"/>
      <c r="BK133" s="78"/>
      <c r="BL133" s="78"/>
      <c r="BM133" s="78"/>
      <c r="BN133" s="78"/>
      <c r="BO133" s="78"/>
      <c r="BP133" s="78"/>
      <c r="BQ133" s="78"/>
      <c r="BR133" s="78"/>
      <c r="BS133" s="78"/>
      <c r="BT133" s="78"/>
      <c r="BU133" s="78"/>
      <c r="BV133" s="78"/>
      <c r="BW133" s="78"/>
      <c r="BX133" s="78"/>
      <c r="BY133" s="78"/>
      <c r="BZ133" s="78"/>
      <c r="CA133" s="78"/>
      <c r="CB133" s="78"/>
      <c r="CC133" s="78"/>
      <c r="CD133" s="78"/>
      <c r="CE133" s="78"/>
      <c r="CF133" s="78"/>
      <c r="CG133" s="78"/>
      <c r="CH133" s="78"/>
      <c r="CI133" s="78"/>
      <c r="CJ133" s="78"/>
      <c r="CK133" s="78"/>
      <c r="CL133" s="78"/>
      <c r="CM133" s="78"/>
      <c r="CN133" s="78"/>
      <c r="CO133" s="78"/>
      <c r="CP133" s="78"/>
      <c r="CQ133" s="78"/>
      <c r="CR133" s="78"/>
      <c r="CS133" s="78"/>
      <c r="CT133" s="78"/>
      <c r="CU133" s="78"/>
      <c r="CV133" s="78"/>
      <c r="CW133" s="78"/>
      <c r="CX133" s="78"/>
      <c r="CY133" s="78"/>
      <c r="CZ133" s="78"/>
      <c r="DA133" s="78"/>
      <c r="DB133" s="78"/>
      <c r="DC133" s="78"/>
      <c r="DD133" s="78"/>
      <c r="DE133" s="78"/>
      <c r="DF133" s="78"/>
      <c r="DG133" s="78"/>
      <c r="DH133" s="78"/>
      <c r="DI133" s="78"/>
      <c r="DJ133" s="78"/>
      <c r="DK133" s="78"/>
      <c r="DL133" s="78"/>
      <c r="DM133" s="78"/>
      <c r="DN133" s="78"/>
      <c r="DO133" s="78"/>
      <c r="DP133" s="78"/>
      <c r="DQ133" s="78"/>
      <c r="DR133" s="78"/>
      <c r="DS133" s="78"/>
      <c r="DT133" s="78"/>
      <c r="DU133" s="78"/>
      <c r="DV133" s="78"/>
      <c r="DW133" s="78"/>
      <c r="DX133" s="78"/>
      <c r="DY133" s="78"/>
      <c r="DZ133" s="78"/>
      <c r="EA133" s="78"/>
      <c r="EB133" s="78"/>
      <c r="EC133" s="78"/>
    </row>
    <row r="134" spans="1:133" s="9" customFormat="1" ht="18" x14ac:dyDescent="0.25">
      <c r="A134" s="73" t="s">
        <v>54</v>
      </c>
      <c r="B134" s="60" t="s">
        <v>203</v>
      </c>
      <c r="C134" s="53" t="s">
        <v>56</v>
      </c>
      <c r="D134" s="53" t="s">
        <v>376</v>
      </c>
      <c r="E134" s="162">
        <v>303.16000000000003</v>
      </c>
      <c r="F134" s="163"/>
      <c r="G134" s="163"/>
      <c r="H134" s="163"/>
      <c r="I134" s="163"/>
      <c r="J134" s="163"/>
      <c r="K134" s="163"/>
      <c r="L134" s="163"/>
      <c r="M134" s="163"/>
      <c r="N134" s="163"/>
      <c r="O134" s="163"/>
      <c r="P134" s="163"/>
      <c r="Q134" s="164"/>
      <c r="R134" s="78"/>
      <c r="S134" s="78"/>
      <c r="T134" s="78"/>
      <c r="U134" s="78"/>
      <c r="V134" s="78"/>
      <c r="W134" s="78"/>
      <c r="X134" s="78"/>
      <c r="Y134" s="78"/>
      <c r="Z134" s="78"/>
      <c r="AA134" s="78"/>
      <c r="AB134" s="78"/>
      <c r="AC134" s="78"/>
      <c r="AD134" s="78"/>
      <c r="AE134" s="78"/>
      <c r="AF134" s="78"/>
      <c r="AG134" s="78"/>
      <c r="AH134" s="78"/>
      <c r="AI134" s="78"/>
      <c r="AJ134" s="78"/>
      <c r="AK134" s="78"/>
      <c r="AL134" s="78"/>
      <c r="AM134" s="78"/>
      <c r="AN134" s="78"/>
      <c r="AO134" s="78"/>
      <c r="AP134" s="78"/>
      <c r="AQ134" s="78"/>
      <c r="AR134" s="78"/>
      <c r="AS134" s="78"/>
      <c r="AT134" s="78"/>
      <c r="AU134" s="78"/>
      <c r="AV134" s="78"/>
      <c r="AW134" s="78"/>
      <c r="AX134" s="78"/>
      <c r="AY134" s="78"/>
      <c r="AZ134" s="78"/>
      <c r="BA134" s="78"/>
      <c r="BB134" s="78"/>
      <c r="BC134" s="78"/>
      <c r="BD134" s="78"/>
      <c r="BE134" s="78"/>
      <c r="BF134" s="78"/>
      <c r="BG134" s="78"/>
      <c r="BH134" s="78"/>
      <c r="BI134" s="78"/>
      <c r="BJ134" s="78"/>
      <c r="BK134" s="78"/>
      <c r="BL134" s="78"/>
      <c r="BM134" s="78"/>
      <c r="BN134" s="78"/>
      <c r="BO134" s="78"/>
      <c r="BP134" s="78"/>
      <c r="BQ134" s="78"/>
      <c r="BR134" s="78"/>
      <c r="BS134" s="78"/>
      <c r="BT134" s="78"/>
      <c r="BU134" s="78"/>
      <c r="BV134" s="78"/>
      <c r="BW134" s="78"/>
      <c r="BX134" s="78"/>
      <c r="BY134" s="78"/>
      <c r="BZ134" s="78"/>
      <c r="CA134" s="78"/>
      <c r="CB134" s="78"/>
      <c r="CC134" s="78"/>
      <c r="CD134" s="78"/>
      <c r="CE134" s="78"/>
      <c r="CF134" s="78"/>
      <c r="CG134" s="78"/>
      <c r="CH134" s="78"/>
      <c r="CI134" s="78"/>
      <c r="CJ134" s="78"/>
      <c r="CK134" s="78"/>
      <c r="CL134" s="78"/>
      <c r="CM134" s="78"/>
      <c r="CN134" s="78"/>
      <c r="CO134" s="78"/>
      <c r="CP134" s="78"/>
      <c r="CQ134" s="78"/>
      <c r="CR134" s="78"/>
      <c r="CS134" s="78"/>
      <c r="CT134" s="78"/>
      <c r="CU134" s="78"/>
      <c r="CV134" s="78"/>
      <c r="CW134" s="78"/>
      <c r="CX134" s="78"/>
      <c r="CY134" s="78"/>
      <c r="CZ134" s="78"/>
      <c r="DA134" s="78"/>
      <c r="DB134" s="78"/>
      <c r="DC134" s="78"/>
      <c r="DD134" s="78"/>
      <c r="DE134" s="78"/>
      <c r="DF134" s="78"/>
      <c r="DG134" s="78"/>
      <c r="DH134" s="78"/>
      <c r="DI134" s="78"/>
      <c r="DJ134" s="78"/>
      <c r="DK134" s="78"/>
      <c r="DL134" s="78"/>
      <c r="DM134" s="78"/>
      <c r="DN134" s="78"/>
      <c r="DO134" s="78"/>
      <c r="DP134" s="78"/>
      <c r="DQ134" s="78"/>
      <c r="DR134" s="78"/>
      <c r="DS134" s="78"/>
      <c r="DT134" s="78"/>
      <c r="DU134" s="78"/>
      <c r="DV134" s="78"/>
      <c r="DW134" s="78"/>
      <c r="DX134" s="78"/>
      <c r="DY134" s="78"/>
      <c r="DZ134" s="78"/>
      <c r="EA134" s="78"/>
      <c r="EB134" s="78"/>
      <c r="EC134" s="78"/>
    </row>
    <row r="135" spans="1:133" s="9" customFormat="1" x14ac:dyDescent="0.25">
      <c r="A135" s="73" t="s">
        <v>57</v>
      </c>
      <c r="B135" s="60" t="s">
        <v>204</v>
      </c>
      <c r="C135" s="53" t="s">
        <v>59</v>
      </c>
      <c r="D135" s="53" t="s">
        <v>376</v>
      </c>
      <c r="E135" s="162">
        <v>1.9870000000000001</v>
      </c>
      <c r="F135" s="163"/>
      <c r="G135" s="163"/>
      <c r="H135" s="163"/>
      <c r="I135" s="163"/>
      <c r="J135" s="163"/>
      <c r="K135" s="163"/>
      <c r="L135" s="163"/>
      <c r="M135" s="163"/>
      <c r="N135" s="163"/>
      <c r="O135" s="163"/>
      <c r="P135" s="163"/>
      <c r="Q135" s="164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78"/>
      <c r="AG135" s="78"/>
      <c r="AH135" s="78"/>
      <c r="AI135" s="78"/>
      <c r="AJ135" s="78"/>
      <c r="AK135" s="78"/>
      <c r="AL135" s="78"/>
      <c r="AM135" s="78"/>
      <c r="AN135" s="78"/>
      <c r="AO135" s="78"/>
      <c r="AP135" s="78"/>
      <c r="AQ135" s="78"/>
      <c r="AR135" s="78"/>
      <c r="AS135" s="78"/>
      <c r="AT135" s="78"/>
      <c r="AU135" s="78"/>
      <c r="AV135" s="78"/>
      <c r="AW135" s="78"/>
      <c r="AX135" s="78"/>
      <c r="AY135" s="78"/>
      <c r="AZ135" s="78"/>
      <c r="BA135" s="78"/>
      <c r="BB135" s="78"/>
      <c r="BC135" s="78"/>
      <c r="BD135" s="78"/>
      <c r="BE135" s="78"/>
      <c r="BF135" s="78"/>
      <c r="BG135" s="78"/>
      <c r="BH135" s="78"/>
      <c r="BI135" s="78"/>
      <c r="BJ135" s="78"/>
      <c r="BK135" s="78"/>
      <c r="BL135" s="78"/>
      <c r="BM135" s="78"/>
      <c r="BN135" s="78"/>
      <c r="BO135" s="78"/>
      <c r="BP135" s="78"/>
      <c r="BQ135" s="78"/>
      <c r="BR135" s="78"/>
      <c r="BS135" s="78"/>
      <c r="BT135" s="78"/>
      <c r="BU135" s="78"/>
      <c r="BV135" s="78"/>
      <c r="BW135" s="78"/>
      <c r="BX135" s="78"/>
      <c r="BY135" s="78"/>
      <c r="BZ135" s="78"/>
      <c r="CA135" s="78"/>
      <c r="CB135" s="78"/>
      <c r="CC135" s="78"/>
      <c r="CD135" s="78"/>
      <c r="CE135" s="78"/>
      <c r="CF135" s="78"/>
      <c r="CG135" s="78"/>
      <c r="CH135" s="78"/>
      <c r="CI135" s="78"/>
      <c r="CJ135" s="78"/>
      <c r="CK135" s="78"/>
      <c r="CL135" s="78"/>
      <c r="CM135" s="78"/>
      <c r="CN135" s="78"/>
      <c r="CO135" s="78"/>
      <c r="CP135" s="78"/>
      <c r="CQ135" s="78"/>
      <c r="CR135" s="78"/>
      <c r="CS135" s="78"/>
      <c r="CT135" s="78"/>
      <c r="CU135" s="78"/>
      <c r="CV135" s="78"/>
      <c r="CW135" s="78"/>
      <c r="CX135" s="78"/>
      <c r="CY135" s="78"/>
      <c r="CZ135" s="78"/>
      <c r="DA135" s="78"/>
      <c r="DB135" s="78"/>
      <c r="DC135" s="78"/>
      <c r="DD135" s="78"/>
      <c r="DE135" s="78"/>
      <c r="DF135" s="78"/>
      <c r="DG135" s="78"/>
      <c r="DH135" s="78"/>
      <c r="DI135" s="78"/>
      <c r="DJ135" s="78"/>
      <c r="DK135" s="78"/>
      <c r="DL135" s="78"/>
      <c r="DM135" s="78"/>
      <c r="DN135" s="78"/>
      <c r="DO135" s="78"/>
      <c r="DP135" s="78"/>
      <c r="DQ135" s="78"/>
      <c r="DR135" s="78"/>
      <c r="DS135" s="78"/>
      <c r="DT135" s="78"/>
      <c r="DU135" s="78"/>
      <c r="DV135" s="78"/>
      <c r="DW135" s="78"/>
      <c r="DX135" s="78"/>
      <c r="DY135" s="78"/>
      <c r="DZ135" s="78"/>
      <c r="EA135" s="78"/>
      <c r="EB135" s="78"/>
      <c r="EC135" s="78"/>
    </row>
    <row r="136" spans="1:133" s="9" customFormat="1" ht="31.2" x14ac:dyDescent="0.25">
      <c r="A136" s="73" t="s">
        <v>60</v>
      </c>
      <c r="B136" s="60" t="s">
        <v>203</v>
      </c>
      <c r="C136" s="53" t="s">
        <v>61</v>
      </c>
      <c r="D136" s="143" t="s">
        <v>363</v>
      </c>
      <c r="E136" s="98">
        <f>AVERAGE(N136:Q136)</f>
        <v>296.14999999999998</v>
      </c>
      <c r="F136" s="16" t="s">
        <v>292</v>
      </c>
      <c r="G136" s="16" t="s">
        <v>292</v>
      </c>
      <c r="H136" s="16" t="s">
        <v>292</v>
      </c>
      <c r="I136" s="16" t="s">
        <v>292</v>
      </c>
      <c r="J136" s="16" t="s">
        <v>292</v>
      </c>
      <c r="K136" s="16" t="s">
        <v>292</v>
      </c>
      <c r="L136" s="16" t="s">
        <v>292</v>
      </c>
      <c r="M136" s="16" t="s">
        <v>292</v>
      </c>
      <c r="N136" s="60">
        <v>301.64999999999998</v>
      </c>
      <c r="O136" s="60">
        <v>297.64999999999998</v>
      </c>
      <c r="P136" s="60">
        <v>296.14999999999998</v>
      </c>
      <c r="Q136" s="60">
        <v>289.14999999999998</v>
      </c>
      <c r="R136" s="78"/>
      <c r="S136" s="78"/>
      <c r="T136" s="78"/>
      <c r="U136" s="78"/>
      <c r="V136" s="78"/>
      <c r="W136" s="78"/>
      <c r="X136" s="78"/>
      <c r="Y136" s="78"/>
      <c r="Z136" s="78"/>
      <c r="AA136" s="78"/>
      <c r="AB136" s="78"/>
      <c r="AC136" s="78"/>
      <c r="AD136" s="78"/>
      <c r="AE136" s="78"/>
      <c r="AF136" s="78"/>
      <c r="AG136" s="78"/>
      <c r="AH136" s="78"/>
      <c r="AI136" s="78"/>
      <c r="AJ136" s="78"/>
      <c r="AK136" s="78"/>
      <c r="AL136" s="78"/>
      <c r="AM136" s="78"/>
      <c r="AN136" s="78"/>
      <c r="AO136" s="78"/>
      <c r="AP136" s="78"/>
      <c r="AQ136" s="78"/>
      <c r="AR136" s="78"/>
      <c r="AS136" s="78"/>
      <c r="AT136" s="78"/>
      <c r="AU136" s="78"/>
      <c r="AV136" s="78"/>
      <c r="AW136" s="78"/>
      <c r="AX136" s="78"/>
      <c r="AY136" s="78"/>
      <c r="AZ136" s="78"/>
      <c r="BA136" s="78"/>
      <c r="BB136" s="78"/>
      <c r="BC136" s="78"/>
      <c r="BD136" s="78"/>
      <c r="BE136" s="78"/>
      <c r="BF136" s="78"/>
      <c r="BG136" s="78"/>
      <c r="BH136" s="78"/>
      <c r="BI136" s="78"/>
      <c r="BJ136" s="78"/>
      <c r="BK136" s="78"/>
      <c r="BL136" s="78"/>
      <c r="BM136" s="78"/>
      <c r="BN136" s="78"/>
      <c r="BO136" s="78"/>
      <c r="BP136" s="78"/>
      <c r="BQ136" s="78"/>
      <c r="BR136" s="78"/>
      <c r="BS136" s="78"/>
      <c r="BT136" s="78"/>
      <c r="BU136" s="78"/>
      <c r="BV136" s="78"/>
      <c r="BW136" s="78"/>
      <c r="BX136" s="78"/>
      <c r="BY136" s="78"/>
      <c r="BZ136" s="78"/>
      <c r="CA136" s="78"/>
      <c r="CB136" s="78"/>
      <c r="CC136" s="78"/>
      <c r="CD136" s="78"/>
      <c r="CE136" s="78"/>
      <c r="CF136" s="78"/>
      <c r="CG136" s="78"/>
      <c r="CH136" s="78"/>
      <c r="CI136" s="78"/>
      <c r="CJ136" s="78"/>
      <c r="CK136" s="78"/>
      <c r="CL136" s="78"/>
      <c r="CM136" s="78"/>
      <c r="CN136" s="78"/>
      <c r="CO136" s="78"/>
      <c r="CP136" s="78"/>
      <c r="CQ136" s="78"/>
      <c r="CR136" s="78"/>
      <c r="CS136" s="78"/>
      <c r="CT136" s="78"/>
      <c r="CU136" s="78"/>
      <c r="CV136" s="78"/>
      <c r="CW136" s="78"/>
      <c r="CX136" s="78"/>
      <c r="CY136" s="78"/>
      <c r="CZ136" s="78"/>
      <c r="DA136" s="78"/>
      <c r="DB136" s="78"/>
      <c r="DC136" s="78"/>
      <c r="DD136" s="78"/>
      <c r="DE136" s="78"/>
      <c r="DF136" s="78"/>
      <c r="DG136" s="78"/>
      <c r="DH136" s="78"/>
      <c r="DI136" s="78"/>
      <c r="DJ136" s="78"/>
      <c r="DK136" s="78"/>
      <c r="DL136" s="78"/>
      <c r="DM136" s="78"/>
      <c r="DN136" s="78"/>
      <c r="DO136" s="78"/>
      <c r="DP136" s="78"/>
      <c r="DQ136" s="78"/>
      <c r="DR136" s="78"/>
      <c r="DS136" s="78"/>
      <c r="DT136" s="78"/>
      <c r="DU136" s="78"/>
      <c r="DV136" s="78"/>
      <c r="DW136" s="78"/>
      <c r="DX136" s="78"/>
      <c r="DY136" s="78"/>
      <c r="DZ136" s="78"/>
      <c r="EA136" s="78"/>
      <c r="EB136" s="78"/>
      <c r="EC136" s="78"/>
    </row>
    <row r="137" spans="1:133" s="9" customFormat="1" ht="31.2" x14ac:dyDescent="0.4">
      <c r="A137" s="71" t="s">
        <v>62</v>
      </c>
      <c r="B137" s="60" t="s">
        <v>196</v>
      </c>
      <c r="C137" s="53" t="s">
        <v>63</v>
      </c>
      <c r="D137" s="53" t="s">
        <v>377</v>
      </c>
      <c r="E137" s="74">
        <f>SUM(N137:Q137)</f>
        <v>112.71462602314126</v>
      </c>
      <c r="F137" s="16" t="s">
        <v>292</v>
      </c>
      <c r="G137" s="16" t="s">
        <v>292</v>
      </c>
      <c r="H137" s="16" t="s">
        <v>292</v>
      </c>
      <c r="I137" s="16" t="s">
        <v>292</v>
      </c>
      <c r="J137" s="16" t="s">
        <v>292</v>
      </c>
      <c r="K137" s="16" t="s">
        <v>292</v>
      </c>
      <c r="L137" s="16" t="s">
        <v>292</v>
      </c>
      <c r="M137" s="16" t="s">
        <v>292</v>
      </c>
      <c r="N137" s="74">
        <f>N126*N121*N124+(1-N132)*0</f>
        <v>18.792329532578783</v>
      </c>
      <c r="O137" s="74">
        <f t="shared" ref="O137:Q137" si="21">O126*O121*O124+(1-O132)*N137</f>
        <v>27.819585268770183</v>
      </c>
      <c r="P137" s="74">
        <f t="shared" si="21"/>
        <v>28.853223067143148</v>
      </c>
      <c r="Q137" s="74">
        <f t="shared" si="21"/>
        <v>37.249488154649143</v>
      </c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78"/>
      <c r="AG137" s="78"/>
      <c r="AH137" s="78"/>
      <c r="AI137" s="78"/>
      <c r="AJ137" s="78"/>
      <c r="AK137" s="78"/>
      <c r="AL137" s="78"/>
      <c r="AM137" s="78"/>
      <c r="AN137" s="78"/>
      <c r="AO137" s="78"/>
      <c r="AP137" s="78"/>
      <c r="AQ137" s="78"/>
      <c r="AR137" s="78"/>
      <c r="AS137" s="78"/>
      <c r="AT137" s="78"/>
      <c r="AU137" s="78"/>
      <c r="AV137" s="78"/>
      <c r="AW137" s="78"/>
      <c r="AX137" s="78"/>
      <c r="AY137" s="78"/>
      <c r="AZ137" s="78"/>
      <c r="BA137" s="78"/>
      <c r="BB137" s="78"/>
      <c r="BC137" s="78"/>
      <c r="BD137" s="78"/>
      <c r="BE137" s="78"/>
      <c r="BF137" s="78"/>
      <c r="BG137" s="78"/>
      <c r="BH137" s="78"/>
      <c r="BI137" s="78"/>
      <c r="BJ137" s="78"/>
      <c r="BK137" s="78"/>
      <c r="BL137" s="78"/>
      <c r="BM137" s="78"/>
      <c r="BN137" s="78"/>
      <c r="BO137" s="78"/>
      <c r="BP137" s="78"/>
      <c r="BQ137" s="78"/>
      <c r="BR137" s="78"/>
      <c r="BS137" s="78"/>
      <c r="BT137" s="78"/>
      <c r="BU137" s="78"/>
      <c r="BV137" s="78"/>
      <c r="BW137" s="78"/>
      <c r="BX137" s="78"/>
      <c r="BY137" s="78"/>
      <c r="BZ137" s="78"/>
      <c r="CA137" s="78"/>
      <c r="CB137" s="78"/>
      <c r="CC137" s="78"/>
      <c r="CD137" s="78"/>
      <c r="CE137" s="78"/>
      <c r="CF137" s="78"/>
      <c r="CG137" s="78"/>
      <c r="CH137" s="78"/>
      <c r="CI137" s="78"/>
      <c r="CJ137" s="78"/>
      <c r="CK137" s="78"/>
      <c r="CL137" s="78"/>
      <c r="CM137" s="78"/>
      <c r="CN137" s="78"/>
      <c r="CO137" s="78"/>
      <c r="CP137" s="78"/>
      <c r="CQ137" s="78"/>
      <c r="CR137" s="78"/>
      <c r="CS137" s="78"/>
      <c r="CT137" s="78"/>
      <c r="CU137" s="78"/>
      <c r="CV137" s="78"/>
      <c r="CW137" s="78"/>
      <c r="CX137" s="78"/>
      <c r="CY137" s="78"/>
      <c r="CZ137" s="78"/>
      <c r="DA137" s="78"/>
      <c r="DB137" s="78"/>
      <c r="DC137" s="78"/>
      <c r="DD137" s="78"/>
      <c r="DE137" s="78"/>
      <c r="DF137" s="78"/>
      <c r="DG137" s="78"/>
      <c r="DH137" s="78"/>
      <c r="DI137" s="78"/>
      <c r="DJ137" s="78"/>
      <c r="DK137" s="78"/>
      <c r="DL137" s="78"/>
      <c r="DM137" s="78"/>
      <c r="DN137" s="78"/>
      <c r="DO137" s="78"/>
      <c r="DP137" s="78"/>
      <c r="DQ137" s="78"/>
      <c r="DR137" s="78"/>
      <c r="DS137" s="78"/>
      <c r="DT137" s="78"/>
      <c r="DU137" s="78"/>
      <c r="DV137" s="78"/>
      <c r="DW137" s="78"/>
      <c r="DX137" s="78"/>
      <c r="DY137" s="78"/>
      <c r="DZ137" s="78"/>
      <c r="EA137" s="78"/>
      <c r="EB137" s="78"/>
      <c r="EC137" s="78"/>
    </row>
    <row r="139" spans="1:133" x14ac:dyDescent="0.25">
      <c r="A139" s="158" t="s">
        <v>64</v>
      </c>
      <c r="B139" s="158"/>
      <c r="C139" s="158"/>
      <c r="D139" s="158"/>
      <c r="E139" s="158"/>
    </row>
    <row r="140" spans="1:133" x14ac:dyDescent="0.25">
      <c r="A140" s="57" t="s">
        <v>8</v>
      </c>
      <c r="B140" s="58" t="s">
        <v>9</v>
      </c>
      <c r="C140" s="34" t="s">
        <v>10</v>
      </c>
      <c r="D140" s="34" t="s">
        <v>340</v>
      </c>
      <c r="E140" s="16" t="s">
        <v>65</v>
      </c>
    </row>
    <row r="141" spans="1:133" ht="46.8" x14ac:dyDescent="0.25">
      <c r="A141" s="59" t="s">
        <v>66</v>
      </c>
      <c r="B141" s="60" t="s">
        <v>14</v>
      </c>
      <c r="C141" s="53" t="s">
        <v>67</v>
      </c>
      <c r="D141" s="53" t="s">
        <v>68</v>
      </c>
      <c r="E141" s="75">
        <v>0</v>
      </c>
    </row>
    <row r="142" spans="1:133" ht="46.8" x14ac:dyDescent="0.25">
      <c r="A142" s="63" t="s">
        <v>69</v>
      </c>
      <c r="B142" s="25" t="s">
        <v>70</v>
      </c>
      <c r="C142" s="35" t="s">
        <v>71</v>
      </c>
      <c r="D142" s="53" t="str">
        <f>D148</f>
        <v>Historical data on site in the FSR (It was calculated with conservative value)</v>
      </c>
      <c r="E142" s="74">
        <f>E148</f>
        <v>52.272767763286929</v>
      </c>
    </row>
    <row r="144" spans="1:133" x14ac:dyDescent="0.25">
      <c r="A144" s="174" t="s">
        <v>72</v>
      </c>
      <c r="B144" s="174"/>
      <c r="C144" s="175"/>
      <c r="D144" s="175"/>
      <c r="E144" s="174"/>
    </row>
    <row r="145" spans="1:5" x14ac:dyDescent="0.25">
      <c r="A145" s="59" t="s">
        <v>8</v>
      </c>
      <c r="B145" s="16" t="s">
        <v>9</v>
      </c>
      <c r="C145" s="38" t="s">
        <v>10</v>
      </c>
      <c r="D145" s="38" t="s">
        <v>340</v>
      </c>
      <c r="E145" s="16" t="s">
        <v>65</v>
      </c>
    </row>
    <row r="146" spans="1:5" ht="33.6" x14ac:dyDescent="0.4">
      <c r="A146" s="76" t="s">
        <v>73</v>
      </c>
      <c r="B146" s="25" t="s">
        <v>74</v>
      </c>
      <c r="C146" s="35" t="s">
        <v>75</v>
      </c>
      <c r="D146" s="35" t="s">
        <v>378</v>
      </c>
      <c r="E146" s="50">
        <f>E147*E150*E151*E152*E153*E154</f>
        <v>0.21231791997939664</v>
      </c>
    </row>
    <row r="147" spans="1:5" ht="46.8" x14ac:dyDescent="0.4">
      <c r="A147" s="77" t="s">
        <v>207</v>
      </c>
      <c r="B147" s="25" t="s">
        <v>76</v>
      </c>
      <c r="C147" s="35" t="s">
        <v>77</v>
      </c>
      <c r="D147" s="35" t="s">
        <v>379</v>
      </c>
      <c r="E147" s="52">
        <f>E148/E149</f>
        <v>10.454553552657385</v>
      </c>
    </row>
    <row r="148" spans="1:5" ht="46.8" x14ac:dyDescent="0.25">
      <c r="A148" s="63" t="s">
        <v>208</v>
      </c>
      <c r="B148" s="25" t="s">
        <v>78</v>
      </c>
      <c r="C148" s="35" t="s">
        <v>79</v>
      </c>
      <c r="D148" s="53" t="s">
        <v>352</v>
      </c>
      <c r="E148" s="52">
        <f>0.000186629873180262*E121</f>
        <v>52.272767763286929</v>
      </c>
    </row>
    <row r="149" spans="1:5" ht="31.2" x14ac:dyDescent="0.25">
      <c r="A149" s="63" t="s">
        <v>209</v>
      </c>
      <c r="B149" s="25" t="s">
        <v>80</v>
      </c>
      <c r="C149" s="35" t="s">
        <v>81</v>
      </c>
      <c r="D149" s="35" t="s">
        <v>353</v>
      </c>
      <c r="E149" s="25">
        <f>5</f>
        <v>5</v>
      </c>
    </row>
    <row r="150" spans="1:5" ht="62.4" x14ac:dyDescent="0.25">
      <c r="A150" s="63" t="s">
        <v>210</v>
      </c>
      <c r="B150" s="25" t="s">
        <v>82</v>
      </c>
      <c r="C150" s="35" t="s">
        <v>83</v>
      </c>
      <c r="D150" s="53" t="s">
        <v>354</v>
      </c>
      <c r="E150" s="25">
        <f>15*2</f>
        <v>30</v>
      </c>
    </row>
    <row r="151" spans="1:5" ht="172.2" x14ac:dyDescent="0.25">
      <c r="A151" s="63" t="s">
        <v>211</v>
      </c>
      <c r="B151" s="25" t="s">
        <v>84</v>
      </c>
      <c r="C151" s="35" t="s">
        <v>85</v>
      </c>
      <c r="D151" s="35" t="s">
        <v>355</v>
      </c>
      <c r="E151" s="25">
        <f>25.1/100</f>
        <v>0.251</v>
      </c>
    </row>
    <row r="152" spans="1:5" ht="156" x14ac:dyDescent="0.25">
      <c r="A152" s="63" t="s">
        <v>212</v>
      </c>
      <c r="B152" s="25" t="s">
        <v>87</v>
      </c>
      <c r="C152" s="35" t="s">
        <v>86</v>
      </c>
      <c r="D152" s="35" t="s">
        <v>356</v>
      </c>
      <c r="E152" s="25">
        <f>0.84/1000</f>
        <v>8.3999999999999993E-4</v>
      </c>
    </row>
    <row r="153" spans="1:5" ht="171.6" x14ac:dyDescent="0.25">
      <c r="A153" s="63" t="s">
        <v>213</v>
      </c>
      <c r="B153" s="25" t="s">
        <v>88</v>
      </c>
      <c r="C153" s="35" t="s">
        <v>89</v>
      </c>
      <c r="D153" s="35" t="s">
        <v>357</v>
      </c>
      <c r="E153" s="25">
        <f>43.33/1000</f>
        <v>4.333E-2</v>
      </c>
    </row>
    <row r="154" spans="1:5" ht="62.4" x14ac:dyDescent="0.25">
      <c r="A154" s="63" t="s">
        <v>214</v>
      </c>
      <c r="B154" s="25" t="s">
        <v>90</v>
      </c>
      <c r="C154" s="35" t="s">
        <v>91</v>
      </c>
      <c r="D154" s="35" t="s">
        <v>358</v>
      </c>
      <c r="E154" s="25">
        <v>74.099999999999994</v>
      </c>
    </row>
    <row r="156" spans="1:5" x14ac:dyDescent="0.25">
      <c r="A156" s="158" t="s">
        <v>93</v>
      </c>
      <c r="B156" s="158"/>
      <c r="C156" s="158"/>
      <c r="D156" s="158"/>
      <c r="E156" s="158"/>
    </row>
    <row r="157" spans="1:5" x14ac:dyDescent="0.25">
      <c r="A157" s="57" t="s">
        <v>8</v>
      </c>
      <c r="B157" s="58" t="s">
        <v>9</v>
      </c>
      <c r="C157" s="34" t="s">
        <v>10</v>
      </c>
      <c r="D157" s="34" t="s">
        <v>340</v>
      </c>
      <c r="E157" s="16" t="s">
        <v>65</v>
      </c>
    </row>
    <row r="158" spans="1:5" ht="64.8" x14ac:dyDescent="0.25">
      <c r="A158" s="15" t="s">
        <v>94</v>
      </c>
      <c r="B158" s="25" t="s">
        <v>95</v>
      </c>
      <c r="C158" s="35" t="s">
        <v>96</v>
      </c>
      <c r="D158" s="35" t="s">
        <v>97</v>
      </c>
      <c r="E158" s="16">
        <v>0</v>
      </c>
    </row>
    <row r="160" spans="1:5" x14ac:dyDescent="0.25">
      <c r="A160" s="158" t="s">
        <v>98</v>
      </c>
      <c r="B160" s="158"/>
      <c r="C160" s="158"/>
      <c r="D160" s="158"/>
      <c r="E160" s="158"/>
    </row>
    <row r="161" spans="1:133" x14ac:dyDescent="0.25">
      <c r="A161" s="57" t="s">
        <v>8</v>
      </c>
      <c r="B161" s="58" t="s">
        <v>9</v>
      </c>
      <c r="C161" s="34" t="s">
        <v>10</v>
      </c>
      <c r="D161" s="34" t="s">
        <v>340</v>
      </c>
      <c r="E161" s="16" t="s">
        <v>65</v>
      </c>
    </row>
    <row r="162" spans="1:133" ht="49.2" x14ac:dyDescent="0.25">
      <c r="A162" s="15" t="s">
        <v>99</v>
      </c>
      <c r="B162" s="25" t="s">
        <v>95</v>
      </c>
      <c r="C162" s="35" t="s">
        <v>100</v>
      </c>
      <c r="D162" s="35" t="s">
        <v>101</v>
      </c>
      <c r="E162" s="16">
        <v>0</v>
      </c>
    </row>
    <row r="164" spans="1:133" x14ac:dyDescent="0.25">
      <c r="A164" s="57" t="s">
        <v>8</v>
      </c>
      <c r="B164" s="58" t="s">
        <v>9</v>
      </c>
      <c r="C164" s="34" t="s">
        <v>10</v>
      </c>
      <c r="D164" s="34" t="s">
        <v>340</v>
      </c>
      <c r="E164" s="16" t="s">
        <v>65</v>
      </c>
    </row>
    <row r="165" spans="1:133" ht="18" x14ac:dyDescent="0.25">
      <c r="A165" s="59" t="s">
        <v>102</v>
      </c>
      <c r="B165" s="25" t="s">
        <v>103</v>
      </c>
      <c r="C165" s="35" t="s">
        <v>104</v>
      </c>
      <c r="D165" s="53" t="s">
        <v>380</v>
      </c>
      <c r="E165" s="18">
        <f>ROUNDDOWN(E115+E146+E141+E158+E162,0)</f>
        <v>223</v>
      </c>
    </row>
    <row r="166" spans="1:133" s="167" customFormat="1" ht="43.2" customHeight="1" x14ac:dyDescent="0.25">
      <c r="A166" s="167" t="s">
        <v>223</v>
      </c>
    </row>
    <row r="167" spans="1:133" s="56" customFormat="1" ht="31.2" x14ac:dyDescent="0.25">
      <c r="A167" s="92" t="s">
        <v>8</v>
      </c>
      <c r="B167" s="93" t="s">
        <v>9</v>
      </c>
      <c r="C167" s="94" t="s">
        <v>10</v>
      </c>
      <c r="D167" s="93" t="s">
        <v>341</v>
      </c>
      <c r="E167" s="93" t="s">
        <v>11</v>
      </c>
      <c r="F167" s="16" t="s">
        <v>292</v>
      </c>
      <c r="G167" s="16" t="s">
        <v>292</v>
      </c>
      <c r="H167" s="16" t="s">
        <v>292</v>
      </c>
      <c r="I167" s="16" t="s">
        <v>292</v>
      </c>
      <c r="J167" s="16" t="s">
        <v>292</v>
      </c>
      <c r="K167" s="16" t="s">
        <v>292</v>
      </c>
      <c r="L167" s="16" t="s">
        <v>292</v>
      </c>
      <c r="M167" s="16" t="s">
        <v>292</v>
      </c>
      <c r="N167" s="16" t="s">
        <v>301</v>
      </c>
      <c r="O167" s="16" t="s">
        <v>293</v>
      </c>
      <c r="P167" s="16" t="s">
        <v>294</v>
      </c>
      <c r="Q167" s="16" t="s">
        <v>295</v>
      </c>
      <c r="R167" s="54"/>
      <c r="S167" s="54"/>
      <c r="T167" s="54"/>
      <c r="U167" s="54"/>
      <c r="V167" s="54"/>
      <c r="W167" s="54"/>
      <c r="X167" s="54"/>
      <c r="Y167" s="54"/>
      <c r="Z167" s="54"/>
      <c r="AA167" s="54"/>
      <c r="AB167" s="54"/>
      <c r="AC167" s="54"/>
      <c r="AD167" s="54"/>
      <c r="AE167" s="54"/>
      <c r="AF167" s="54"/>
      <c r="AG167" s="54"/>
      <c r="AH167" s="54"/>
      <c r="AI167" s="54"/>
      <c r="AJ167" s="54"/>
      <c r="AK167" s="54"/>
      <c r="AL167" s="54"/>
      <c r="AM167" s="54"/>
      <c r="AN167" s="54"/>
      <c r="AO167" s="54"/>
      <c r="AP167" s="54"/>
      <c r="AQ167" s="54"/>
      <c r="AR167" s="54"/>
      <c r="AS167" s="54"/>
      <c r="AT167" s="54"/>
      <c r="AU167" s="54"/>
      <c r="AV167" s="54"/>
      <c r="AW167" s="54"/>
      <c r="AX167" s="54"/>
      <c r="AY167" s="54"/>
      <c r="AZ167" s="54"/>
      <c r="BA167" s="54"/>
      <c r="BB167" s="54"/>
      <c r="BC167" s="54"/>
      <c r="BD167" s="54"/>
      <c r="BE167" s="54"/>
      <c r="BF167" s="54"/>
      <c r="BG167" s="54"/>
      <c r="BH167" s="54"/>
      <c r="BI167" s="54"/>
      <c r="BJ167" s="54"/>
      <c r="BK167" s="54"/>
      <c r="BL167" s="54"/>
      <c r="BM167" s="54"/>
      <c r="BN167" s="54"/>
      <c r="BO167" s="54"/>
      <c r="BP167" s="54"/>
      <c r="BQ167" s="54"/>
      <c r="BR167" s="54"/>
      <c r="BS167" s="54"/>
      <c r="BT167" s="54"/>
      <c r="BU167" s="54"/>
      <c r="BV167" s="54"/>
      <c r="BW167" s="54"/>
      <c r="BX167" s="54"/>
      <c r="BY167" s="54"/>
      <c r="BZ167" s="54"/>
      <c r="CA167" s="54"/>
      <c r="CB167" s="54"/>
      <c r="CC167" s="54"/>
      <c r="CD167" s="54"/>
      <c r="CE167" s="54"/>
      <c r="CF167" s="54"/>
      <c r="CG167" s="54"/>
      <c r="CH167" s="54"/>
      <c r="CI167" s="54"/>
      <c r="CJ167" s="54"/>
      <c r="CK167" s="54"/>
      <c r="CL167" s="54"/>
      <c r="CM167" s="54"/>
      <c r="CN167" s="54"/>
      <c r="CO167" s="54"/>
      <c r="CP167" s="54"/>
      <c r="CQ167" s="54"/>
      <c r="CR167" s="54"/>
      <c r="CS167" s="54"/>
      <c r="CT167" s="54"/>
      <c r="CU167" s="54"/>
      <c r="CV167" s="54"/>
      <c r="CW167" s="54"/>
      <c r="CX167" s="54"/>
      <c r="CY167" s="54"/>
      <c r="CZ167" s="54"/>
      <c r="DA167" s="54"/>
      <c r="DB167" s="54"/>
      <c r="DC167" s="54"/>
      <c r="DD167" s="54"/>
      <c r="DE167" s="54"/>
      <c r="DF167" s="54"/>
      <c r="DG167" s="54"/>
      <c r="DH167" s="54"/>
      <c r="DI167" s="54"/>
      <c r="DJ167" s="54"/>
      <c r="DK167" s="54"/>
      <c r="DL167" s="54"/>
      <c r="DM167" s="54"/>
      <c r="DN167" s="54"/>
      <c r="DO167" s="54"/>
      <c r="DP167" s="54"/>
      <c r="DQ167" s="54"/>
      <c r="DR167" s="54"/>
      <c r="DS167" s="54"/>
      <c r="DT167" s="54"/>
      <c r="DU167" s="54"/>
      <c r="DV167" s="54"/>
      <c r="DW167" s="54"/>
      <c r="DX167" s="54"/>
      <c r="DY167" s="54"/>
      <c r="DZ167" s="54"/>
      <c r="EA167" s="54"/>
      <c r="EB167" s="54"/>
      <c r="EC167" s="54"/>
    </row>
    <row r="168" spans="1:133" s="56" customFormat="1" x14ac:dyDescent="0.25">
      <c r="A168" s="178" t="s">
        <v>12</v>
      </c>
      <c r="B168" s="178"/>
      <c r="C168" s="179"/>
      <c r="D168" s="179"/>
      <c r="E168" s="178"/>
      <c r="F168" s="16" t="s">
        <v>297</v>
      </c>
      <c r="G168" s="16" t="s">
        <v>297</v>
      </c>
      <c r="H168" s="16" t="s">
        <v>297</v>
      </c>
      <c r="I168" s="16" t="s">
        <v>297</v>
      </c>
      <c r="J168" s="16" t="s">
        <v>297</v>
      </c>
      <c r="K168" s="16" t="s">
        <v>297</v>
      </c>
      <c r="L168" s="16" t="s">
        <v>297</v>
      </c>
      <c r="M168" s="16" t="s">
        <v>297</v>
      </c>
      <c r="N168" s="16">
        <v>25</v>
      </c>
      <c r="O168" s="16">
        <v>31</v>
      </c>
      <c r="P168" s="16">
        <v>30</v>
      </c>
      <c r="Q168" s="16">
        <v>31</v>
      </c>
      <c r="R168" s="54"/>
      <c r="S168" s="54"/>
      <c r="T168" s="54"/>
      <c r="U168" s="54"/>
      <c r="V168" s="54"/>
      <c r="W168" s="54"/>
      <c r="X168" s="54"/>
      <c r="Y168" s="54"/>
      <c r="Z168" s="54"/>
      <c r="AA168" s="54"/>
      <c r="AB168" s="54"/>
      <c r="AC168" s="54"/>
      <c r="AD168" s="54"/>
      <c r="AE168" s="54"/>
      <c r="AF168" s="54"/>
      <c r="AG168" s="54"/>
      <c r="AH168" s="54"/>
      <c r="AI168" s="54"/>
      <c r="AJ168" s="54"/>
      <c r="AK168" s="54"/>
      <c r="AL168" s="54"/>
      <c r="AM168" s="54"/>
      <c r="AN168" s="54"/>
      <c r="AO168" s="54"/>
      <c r="AP168" s="54"/>
      <c r="AQ168" s="54"/>
      <c r="AR168" s="54"/>
      <c r="AS168" s="54"/>
      <c r="AT168" s="54"/>
      <c r="AU168" s="54"/>
      <c r="AV168" s="54"/>
      <c r="AW168" s="54"/>
      <c r="AX168" s="54"/>
      <c r="AY168" s="54"/>
      <c r="AZ168" s="54"/>
      <c r="BA168" s="54"/>
      <c r="BB168" s="54"/>
      <c r="BC168" s="54"/>
      <c r="BD168" s="54"/>
      <c r="BE168" s="54"/>
      <c r="BF168" s="54"/>
      <c r="BG168" s="54"/>
      <c r="BH168" s="54"/>
      <c r="BI168" s="54"/>
      <c r="BJ168" s="54"/>
      <c r="BK168" s="54"/>
      <c r="BL168" s="54"/>
      <c r="BM168" s="54"/>
      <c r="BN168" s="54"/>
      <c r="BO168" s="54"/>
      <c r="BP168" s="54"/>
      <c r="BQ168" s="54"/>
      <c r="BR168" s="54"/>
      <c r="BS168" s="54"/>
      <c r="BT168" s="54"/>
      <c r="BU168" s="54"/>
      <c r="BV168" s="54"/>
      <c r="BW168" s="54"/>
      <c r="BX168" s="54"/>
      <c r="BY168" s="54"/>
      <c r="BZ168" s="54"/>
      <c r="CA168" s="54"/>
      <c r="CB168" s="54"/>
      <c r="CC168" s="54"/>
      <c r="CD168" s="54"/>
      <c r="CE168" s="54"/>
      <c r="CF168" s="54"/>
      <c r="CG168" s="54"/>
      <c r="CH168" s="54"/>
      <c r="CI168" s="54"/>
      <c r="CJ168" s="54"/>
      <c r="CK168" s="54"/>
      <c r="CL168" s="54"/>
      <c r="CM168" s="54"/>
      <c r="CN168" s="54"/>
      <c r="CO168" s="54"/>
      <c r="CP168" s="54"/>
      <c r="CQ168" s="54"/>
      <c r="CR168" s="54"/>
      <c r="CS168" s="54"/>
      <c r="CT168" s="54"/>
      <c r="CU168" s="54"/>
      <c r="CV168" s="54"/>
      <c r="CW168" s="54"/>
      <c r="CX168" s="54"/>
      <c r="CY168" s="54"/>
      <c r="CZ168" s="54"/>
      <c r="DA168" s="54"/>
      <c r="DB168" s="54"/>
      <c r="DC168" s="54"/>
      <c r="DD168" s="54"/>
      <c r="DE168" s="54"/>
      <c r="DF168" s="54"/>
      <c r="DG168" s="54"/>
      <c r="DH168" s="54"/>
      <c r="DI168" s="54"/>
      <c r="DJ168" s="54"/>
      <c r="DK168" s="54"/>
      <c r="DL168" s="54"/>
      <c r="DM168" s="54"/>
      <c r="DN168" s="54"/>
      <c r="DO168" s="54"/>
      <c r="DP168" s="54"/>
      <c r="DQ168" s="54"/>
      <c r="DR168" s="54"/>
      <c r="DS168" s="54"/>
      <c r="DT168" s="54"/>
      <c r="DU168" s="54"/>
      <c r="DV168" s="54"/>
      <c r="DW168" s="54"/>
      <c r="DX168" s="54"/>
      <c r="DY168" s="54"/>
      <c r="DZ168" s="54"/>
      <c r="EA168" s="54"/>
      <c r="EB168" s="54"/>
      <c r="EC168" s="54"/>
    </row>
    <row r="169" spans="1:133" ht="46.8" x14ac:dyDescent="0.25">
      <c r="A169" s="59" t="s">
        <v>13</v>
      </c>
      <c r="B169" s="60" t="s">
        <v>14</v>
      </c>
      <c r="C169" s="53" t="s">
        <v>15</v>
      </c>
      <c r="D169" s="53" t="s">
        <v>369</v>
      </c>
      <c r="E169" s="61">
        <f>SUM(N169:Q169)</f>
        <v>712.35671278748919</v>
      </c>
      <c r="F169" s="62" t="s">
        <v>297</v>
      </c>
      <c r="G169" s="62" t="s">
        <v>297</v>
      </c>
      <c r="H169" s="62" t="s">
        <v>297</v>
      </c>
      <c r="I169" s="62" t="s">
        <v>297</v>
      </c>
      <c r="J169" s="62" t="s">
        <v>297</v>
      </c>
      <c r="K169" s="62" t="s">
        <v>297</v>
      </c>
      <c r="L169" s="62" t="s">
        <v>297</v>
      </c>
      <c r="M169" s="62" t="s">
        <v>297</v>
      </c>
      <c r="N169" s="62">
        <f>$E$170*$E$171*N172*$E$183</f>
        <v>159.66615240474266</v>
      </c>
      <c r="O169" s="62">
        <f t="shared" ref="O169:Q169" si="22">$E$170*$E$171*O172*$E$183</f>
        <v>198.06285795974398</v>
      </c>
      <c r="P169" s="62">
        <f t="shared" si="22"/>
        <v>174.50097437444833</v>
      </c>
      <c r="Q169" s="62">
        <f t="shared" si="22"/>
        <v>180.1267280485543</v>
      </c>
    </row>
    <row r="170" spans="1:133" ht="31.2" x14ac:dyDescent="0.25">
      <c r="A170" s="63" t="s">
        <v>16</v>
      </c>
      <c r="B170" s="60" t="s">
        <v>193</v>
      </c>
      <c r="C170" s="35" t="s">
        <v>17</v>
      </c>
      <c r="D170" s="35" t="s">
        <v>205</v>
      </c>
      <c r="E170" s="168">
        <v>28</v>
      </c>
      <c r="F170" s="169"/>
      <c r="G170" s="169"/>
      <c r="H170" s="169"/>
      <c r="I170" s="169"/>
      <c r="J170" s="169"/>
      <c r="K170" s="169"/>
      <c r="L170" s="169"/>
      <c r="M170" s="169"/>
      <c r="N170" s="169"/>
      <c r="O170" s="169"/>
      <c r="P170" s="169"/>
      <c r="Q170" s="170"/>
    </row>
    <row r="171" spans="1:133" ht="64.8" x14ac:dyDescent="0.25">
      <c r="A171" s="63" t="s">
        <v>18</v>
      </c>
      <c r="B171" s="25" t="s">
        <v>194</v>
      </c>
      <c r="C171" s="35" t="s">
        <v>20</v>
      </c>
      <c r="D171" s="35" t="s">
        <v>394</v>
      </c>
      <c r="E171" s="176">
        <v>0.21</v>
      </c>
      <c r="F171" s="176"/>
      <c r="G171" s="176"/>
      <c r="H171" s="176"/>
      <c r="I171" s="176"/>
      <c r="J171" s="176"/>
      <c r="K171" s="176"/>
      <c r="L171" s="176"/>
      <c r="M171" s="176"/>
      <c r="N171" s="176"/>
      <c r="O171" s="176"/>
      <c r="P171" s="176"/>
      <c r="Q171" s="176"/>
    </row>
    <row r="172" spans="1:133" ht="46.8" x14ac:dyDescent="0.25">
      <c r="A172" s="35" t="s">
        <v>21</v>
      </c>
      <c r="B172" s="25" t="s">
        <v>195</v>
      </c>
      <c r="C172" s="53" t="s">
        <v>22</v>
      </c>
      <c r="D172" s="53" t="s">
        <v>370</v>
      </c>
      <c r="E172" s="64">
        <f t="shared" ref="E172:Q172" si="23">E180*E173</f>
        <v>240.63030242243715</v>
      </c>
      <c r="F172" s="64" t="s">
        <v>297</v>
      </c>
      <c r="G172" s="64" t="s">
        <v>297</v>
      </c>
      <c r="H172" s="64" t="s">
        <v>297</v>
      </c>
      <c r="I172" s="64" t="s">
        <v>297</v>
      </c>
      <c r="J172" s="64" t="s">
        <v>297</v>
      </c>
      <c r="K172" s="64" t="s">
        <v>297</v>
      </c>
      <c r="L172" s="64" t="s">
        <v>297</v>
      </c>
      <c r="M172" s="64" t="s">
        <v>297</v>
      </c>
      <c r="N172" s="64">
        <f t="shared" si="23"/>
        <v>53.934375643683723</v>
      </c>
      <c r="O172" s="64">
        <f t="shared" si="23"/>
        <v>66.904578217575306</v>
      </c>
      <c r="P172" s="64">
        <f t="shared" si="23"/>
        <v>58.945499470937115</v>
      </c>
      <c r="Q172" s="64">
        <f t="shared" si="23"/>
        <v>60.845849090240989</v>
      </c>
    </row>
    <row r="173" spans="1:133" ht="46.8" x14ac:dyDescent="0.25">
      <c r="A173" s="35" t="s">
        <v>23</v>
      </c>
      <c r="B173" s="25" t="s">
        <v>197</v>
      </c>
      <c r="C173" s="35" t="s">
        <v>191</v>
      </c>
      <c r="D173" s="35" t="s">
        <v>371</v>
      </c>
      <c r="E173" s="20">
        <f>SUM(F173:Q173)</f>
        <v>253.18454885138647</v>
      </c>
      <c r="F173" s="20" t="s">
        <v>297</v>
      </c>
      <c r="G173" s="20" t="s">
        <v>297</v>
      </c>
      <c r="H173" s="20" t="s">
        <v>297</v>
      </c>
      <c r="I173" s="20" t="s">
        <v>297</v>
      </c>
      <c r="J173" s="20" t="s">
        <v>297</v>
      </c>
      <c r="K173" s="20" t="s">
        <v>297</v>
      </c>
      <c r="L173" s="20" t="s">
        <v>297</v>
      </c>
      <c r="M173" s="20" t="s">
        <v>297</v>
      </c>
      <c r="N173" s="20">
        <f t="shared" ref="N173:Q173" si="24">N175*N178</f>
        <v>56.74825833429199</v>
      </c>
      <c r="O173" s="20">
        <f t="shared" si="24"/>
        <v>70.395146752430108</v>
      </c>
      <c r="P173" s="20">
        <f t="shared" si="24"/>
        <v>62.020824227569449</v>
      </c>
      <c r="Q173" s="20">
        <f t="shared" si="24"/>
        <v>64.020319537094906</v>
      </c>
    </row>
    <row r="174" spans="1:133" ht="62.4" x14ac:dyDescent="0.25">
      <c r="A174" s="17" t="s">
        <v>334</v>
      </c>
      <c r="B174" s="60" t="s">
        <v>192</v>
      </c>
      <c r="C174" s="35" t="s">
        <v>25</v>
      </c>
      <c r="D174" s="35" t="s">
        <v>333</v>
      </c>
      <c r="E174" s="121">
        <f>AVERAGE(N174:Q174)</f>
        <v>5090.1603757526882</v>
      </c>
      <c r="F174" s="20" t="s">
        <v>297</v>
      </c>
      <c r="G174" s="20" t="s">
        <v>297</v>
      </c>
      <c r="H174" s="20" t="s">
        <v>297</v>
      </c>
      <c r="I174" s="20" t="s">
        <v>297</v>
      </c>
      <c r="J174" s="20" t="s">
        <v>297</v>
      </c>
      <c r="K174" s="20" t="s">
        <v>297</v>
      </c>
      <c r="L174" s="20" t="s">
        <v>297</v>
      </c>
      <c r="M174" s="20" t="s">
        <v>297</v>
      </c>
      <c r="N174" s="121">
        <v>5329.6259599999994</v>
      </c>
      <c r="O174" s="121">
        <v>5329.829677419355</v>
      </c>
      <c r="P174" s="121">
        <v>4851.2198333333345</v>
      </c>
      <c r="Q174" s="121">
        <v>4849.9660322580639</v>
      </c>
    </row>
    <row r="175" spans="1:133" ht="46.8" x14ac:dyDescent="0.25">
      <c r="A175" s="35" t="s">
        <v>26</v>
      </c>
      <c r="B175" s="60" t="s">
        <v>198</v>
      </c>
      <c r="C175" s="35" t="s">
        <v>27</v>
      </c>
      <c r="D175" s="35" t="s">
        <v>206</v>
      </c>
      <c r="E175" s="65">
        <f>SUM(N175:Q175)</f>
        <v>594350.91099999996</v>
      </c>
      <c r="F175" s="65" t="s">
        <v>297</v>
      </c>
      <c r="G175" s="65" t="s">
        <v>297</v>
      </c>
      <c r="H175" s="65" t="s">
        <v>297</v>
      </c>
      <c r="I175" s="65" t="s">
        <v>297</v>
      </c>
      <c r="J175" s="65" t="s">
        <v>297</v>
      </c>
      <c r="K175" s="65" t="s">
        <v>297</v>
      </c>
      <c r="L175" s="65" t="s">
        <v>297</v>
      </c>
      <c r="M175" s="65" t="s">
        <v>297</v>
      </c>
      <c r="N175" s="65">
        <f t="shared" ref="N175:Q175" si="25">N174*N168</f>
        <v>133240.64899999998</v>
      </c>
      <c r="O175" s="65">
        <f t="shared" si="25"/>
        <v>165224.72</v>
      </c>
      <c r="P175" s="65">
        <f t="shared" si="25"/>
        <v>145536.59500000003</v>
      </c>
      <c r="Q175" s="65">
        <f t="shared" si="25"/>
        <v>150348.94699999999</v>
      </c>
    </row>
    <row r="176" spans="1:133" ht="62.4" x14ac:dyDescent="0.25">
      <c r="A176" s="35" t="s">
        <v>28</v>
      </c>
      <c r="B176" s="60" t="s">
        <v>199</v>
      </c>
      <c r="C176" s="35" t="s">
        <v>29</v>
      </c>
      <c r="D176" s="35" t="s">
        <v>332</v>
      </c>
      <c r="E176" s="125">
        <f>AVERAGE(N176:Q176)</f>
        <v>425.98233154121863</v>
      </c>
      <c r="F176" s="66" t="s">
        <v>297</v>
      </c>
      <c r="G176" s="66" t="s">
        <v>297</v>
      </c>
      <c r="H176" s="66" t="s">
        <v>297</v>
      </c>
      <c r="I176" s="66" t="s">
        <v>297</v>
      </c>
      <c r="J176" s="66" t="s">
        <v>297</v>
      </c>
      <c r="K176" s="66" t="s">
        <v>297</v>
      </c>
      <c r="L176" s="66" t="s">
        <v>297</v>
      </c>
      <c r="M176" s="66" t="s">
        <v>297</v>
      </c>
      <c r="N176" s="123">
        <v>425.90800000000002</v>
      </c>
      <c r="O176" s="123">
        <v>426.05698924731183</v>
      </c>
      <c r="P176" s="123">
        <v>426.15277777777771</v>
      </c>
      <c r="Q176" s="123">
        <v>425.81155913978506</v>
      </c>
    </row>
    <row r="177" spans="1:133" ht="62.4" x14ac:dyDescent="0.25">
      <c r="A177" s="35" t="s">
        <v>30</v>
      </c>
      <c r="B177" s="60" t="s">
        <v>199</v>
      </c>
      <c r="C177" s="35" t="s">
        <v>31</v>
      </c>
      <c r="D177" s="35" t="s">
        <v>331</v>
      </c>
      <c r="E177" s="125">
        <f>AVERAGE(N177:Q177)</f>
        <v>19.868731630824371</v>
      </c>
      <c r="F177" s="65" t="s">
        <v>297</v>
      </c>
      <c r="G177" s="65" t="s">
        <v>297</v>
      </c>
      <c r="H177" s="65" t="s">
        <v>297</v>
      </c>
      <c r="I177" s="65" t="s">
        <v>297</v>
      </c>
      <c r="J177" s="65" t="s">
        <v>297</v>
      </c>
      <c r="K177" s="65" t="s">
        <v>297</v>
      </c>
      <c r="L177" s="65" t="s">
        <v>297</v>
      </c>
      <c r="M177" s="65" t="s">
        <v>297</v>
      </c>
      <c r="N177" s="123">
        <v>19.713000000000001</v>
      </c>
      <c r="O177" s="123">
        <v>20.147580645161291</v>
      </c>
      <c r="P177" s="123">
        <v>19.711388888888884</v>
      </c>
      <c r="Q177" s="123">
        <v>19.902956989247315</v>
      </c>
    </row>
    <row r="178" spans="1:133" ht="62.4" x14ac:dyDescent="0.25">
      <c r="A178" s="35" t="s">
        <v>32</v>
      </c>
      <c r="B178" s="60" t="s">
        <v>200</v>
      </c>
      <c r="C178" s="35" t="s">
        <v>34</v>
      </c>
      <c r="D178" s="35" t="s">
        <v>338</v>
      </c>
      <c r="E178" s="122">
        <f>E176/1000000</f>
        <v>4.2598233154121862E-4</v>
      </c>
      <c r="F178" s="120" t="s">
        <v>297</v>
      </c>
      <c r="G178" s="120" t="s">
        <v>297</v>
      </c>
      <c r="H178" s="120" t="s">
        <v>297</v>
      </c>
      <c r="I178" s="120" t="s">
        <v>297</v>
      </c>
      <c r="J178" s="120" t="s">
        <v>297</v>
      </c>
      <c r="K178" s="120" t="s">
        <v>297</v>
      </c>
      <c r="L178" s="120" t="s">
        <v>297</v>
      </c>
      <c r="M178" s="120" t="s">
        <v>297</v>
      </c>
      <c r="N178" s="120">
        <f t="shared" ref="N178:Q178" si="26">N176/1000000</f>
        <v>4.2590800000000002E-4</v>
      </c>
      <c r="O178" s="120">
        <f t="shared" si="26"/>
        <v>4.2605698924731185E-4</v>
      </c>
      <c r="P178" s="120">
        <f t="shared" si="26"/>
        <v>4.2615277777777774E-4</v>
      </c>
      <c r="Q178" s="120">
        <f t="shared" si="26"/>
        <v>4.2581155913978504E-4</v>
      </c>
    </row>
    <row r="179" spans="1:133" ht="62.4" x14ac:dyDescent="0.25">
      <c r="A179" s="35" t="s">
        <v>30</v>
      </c>
      <c r="B179" s="60" t="s">
        <v>33</v>
      </c>
      <c r="C179" s="35" t="s">
        <v>35</v>
      </c>
      <c r="D179" s="35" t="s">
        <v>339</v>
      </c>
      <c r="E179" s="122">
        <f>E177/1000000</f>
        <v>1.9868731630824372E-5</v>
      </c>
      <c r="F179" s="22" t="s">
        <v>297</v>
      </c>
      <c r="G179" s="22" t="s">
        <v>297</v>
      </c>
      <c r="H179" s="22" t="s">
        <v>297</v>
      </c>
      <c r="I179" s="22" t="s">
        <v>297</v>
      </c>
      <c r="J179" s="22" t="s">
        <v>297</v>
      </c>
      <c r="K179" s="22" t="s">
        <v>297</v>
      </c>
      <c r="L179" s="22" t="s">
        <v>297</v>
      </c>
      <c r="M179" s="22" t="s">
        <v>297</v>
      </c>
      <c r="N179" s="120">
        <f t="shared" ref="N179:Q179" si="27">N177/1000000</f>
        <v>1.9713000000000003E-5</v>
      </c>
      <c r="O179" s="120">
        <f t="shared" si="27"/>
        <v>2.0147580645161291E-5</v>
      </c>
      <c r="P179" s="120">
        <f t="shared" si="27"/>
        <v>1.9711388888888883E-5</v>
      </c>
      <c r="Q179" s="120">
        <f t="shared" si="27"/>
        <v>1.9902956989247315E-5</v>
      </c>
    </row>
    <row r="180" spans="1:133" ht="46.8" x14ac:dyDescent="0.25">
      <c r="A180" s="63" t="s">
        <v>36</v>
      </c>
      <c r="B180" s="25" t="s">
        <v>201</v>
      </c>
      <c r="C180" s="35" t="s">
        <v>38</v>
      </c>
      <c r="D180" s="35" t="s">
        <v>368</v>
      </c>
      <c r="E180" s="68">
        <f>(1-(E181/E182))</f>
        <v>0.95041464226034433</v>
      </c>
      <c r="F180" s="68" t="s">
        <v>297</v>
      </c>
      <c r="G180" s="68" t="s">
        <v>297</v>
      </c>
      <c r="H180" s="68" t="s">
        <v>297</v>
      </c>
      <c r="I180" s="68" t="s">
        <v>297</v>
      </c>
      <c r="J180" s="68" t="s">
        <v>297</v>
      </c>
      <c r="K180" s="68" t="s">
        <v>297</v>
      </c>
      <c r="L180" s="68" t="s">
        <v>297</v>
      </c>
      <c r="M180" s="68" t="s">
        <v>297</v>
      </c>
      <c r="N180" s="68">
        <f>E180</f>
        <v>0.95041464226034433</v>
      </c>
      <c r="O180" s="68">
        <f>E180</f>
        <v>0.95041464226034433</v>
      </c>
      <c r="P180" s="68">
        <f>E180</f>
        <v>0.95041464226034433</v>
      </c>
      <c r="Q180" s="68">
        <f>E180</f>
        <v>0.95041464226034433</v>
      </c>
    </row>
    <row r="181" spans="1:133" ht="31.2" x14ac:dyDescent="0.25">
      <c r="A181" s="35" t="s">
        <v>39</v>
      </c>
      <c r="B181" s="25" t="s">
        <v>196</v>
      </c>
      <c r="C181" s="35" t="s">
        <v>40</v>
      </c>
      <c r="D181" s="35" t="s">
        <v>351</v>
      </c>
      <c r="E181" s="52">
        <f>SUM(F181:Q181)</f>
        <v>11.857536475200002</v>
      </c>
      <c r="F181" s="52" t="s">
        <v>297</v>
      </c>
      <c r="G181" s="52" t="s">
        <v>297</v>
      </c>
      <c r="H181" s="52" t="s">
        <v>297</v>
      </c>
      <c r="I181" s="52" t="s">
        <v>297</v>
      </c>
      <c r="J181" s="52" t="s">
        <v>297</v>
      </c>
      <c r="K181" s="52" t="s">
        <v>297</v>
      </c>
      <c r="L181" s="52" t="s">
        <v>297</v>
      </c>
      <c r="M181" s="52" t="s">
        <v>297</v>
      </c>
      <c r="N181" s="52">
        <v>2.53366164</v>
      </c>
      <c r="O181" s="52">
        <v>3.1417404336000003</v>
      </c>
      <c r="P181" s="52">
        <v>3.0403939680000005</v>
      </c>
      <c r="Q181" s="52">
        <v>3.1417404336000003</v>
      </c>
    </row>
    <row r="182" spans="1:133" ht="31.2" x14ac:dyDescent="0.25">
      <c r="A182" s="63" t="s">
        <v>41</v>
      </c>
      <c r="B182" s="25" t="s">
        <v>24</v>
      </c>
      <c r="C182" s="35" t="s">
        <v>42</v>
      </c>
      <c r="D182" s="35" t="s">
        <v>351</v>
      </c>
      <c r="E182" s="52">
        <f>SUM(F182:Q182)</f>
        <v>239.13382933439999</v>
      </c>
      <c r="F182" s="52" t="s">
        <v>297</v>
      </c>
      <c r="G182" s="52" t="s">
        <v>297</v>
      </c>
      <c r="H182" s="52" t="s">
        <v>297</v>
      </c>
      <c r="I182" s="52" t="s">
        <v>297</v>
      </c>
      <c r="J182" s="52" t="s">
        <v>297</v>
      </c>
      <c r="K182" s="52" t="s">
        <v>297</v>
      </c>
      <c r="L182" s="52" t="s">
        <v>297</v>
      </c>
      <c r="M182" s="52" t="s">
        <v>297</v>
      </c>
      <c r="N182" s="52">
        <v>51.09697208</v>
      </c>
      <c r="O182" s="52">
        <v>63.360245379199995</v>
      </c>
      <c r="P182" s="52">
        <v>61.316366496000008</v>
      </c>
      <c r="Q182" s="52">
        <v>63.360245379199995</v>
      </c>
    </row>
    <row r="183" spans="1:133" ht="31.2" x14ac:dyDescent="0.25">
      <c r="A183" s="53" t="s">
        <v>43</v>
      </c>
      <c r="B183" s="25" t="s">
        <v>201</v>
      </c>
      <c r="C183" s="53" t="s">
        <v>44</v>
      </c>
      <c r="D183" s="35" t="s">
        <v>372</v>
      </c>
      <c r="E183" s="177">
        <f>E184*E185*0.89</f>
        <v>0.50346568821376558</v>
      </c>
      <c r="F183" s="177"/>
      <c r="G183" s="177"/>
      <c r="H183" s="177"/>
      <c r="I183" s="177"/>
      <c r="J183" s="177"/>
      <c r="K183" s="177"/>
      <c r="L183" s="177"/>
      <c r="M183" s="177"/>
      <c r="N183" s="177"/>
      <c r="O183" s="177"/>
      <c r="P183" s="177"/>
      <c r="Q183" s="177"/>
    </row>
    <row r="184" spans="1:133" ht="31.2" x14ac:dyDescent="0.25">
      <c r="A184" s="70" t="s">
        <v>45</v>
      </c>
      <c r="B184" s="25" t="s">
        <v>201</v>
      </c>
      <c r="C184" s="53" t="s">
        <v>46</v>
      </c>
      <c r="D184" s="35" t="s">
        <v>373</v>
      </c>
      <c r="E184" s="162">
        <v>0.7</v>
      </c>
      <c r="F184" s="163"/>
      <c r="G184" s="163"/>
      <c r="H184" s="163"/>
      <c r="I184" s="163"/>
      <c r="J184" s="163"/>
      <c r="K184" s="163"/>
      <c r="L184" s="163"/>
      <c r="M184" s="163"/>
      <c r="N184" s="163"/>
      <c r="O184" s="163"/>
      <c r="P184" s="163"/>
      <c r="Q184" s="164"/>
    </row>
    <row r="185" spans="1:133" ht="36" customHeight="1" x14ac:dyDescent="0.25">
      <c r="A185" s="70" t="s">
        <v>47</v>
      </c>
      <c r="B185" s="25" t="s">
        <v>37</v>
      </c>
      <c r="C185" s="53" t="s">
        <v>48</v>
      </c>
      <c r="D185" s="35" t="s">
        <v>374</v>
      </c>
      <c r="E185" s="159">
        <f>(N186*N191+O186*O191+P186*P191+Q186*Q191)/(N180*N178*N175+O180*O175*O178+P180*P178*P175+Q180*Q178*Q175)</f>
        <v>0.80813112072835569</v>
      </c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1"/>
    </row>
    <row r="186" spans="1:133" s="9" customFormat="1" ht="46.8" x14ac:dyDescent="0.4">
      <c r="A186" s="71" t="s">
        <v>49</v>
      </c>
      <c r="B186" s="25" t="s">
        <v>37</v>
      </c>
      <c r="C186" s="53" t="s">
        <v>50</v>
      </c>
      <c r="D186" s="53" t="s">
        <v>375</v>
      </c>
      <c r="E186" s="72">
        <f>AVERAGE(N186:Q186)</f>
        <v>0.58867830239581709</v>
      </c>
      <c r="F186" s="72" t="s">
        <v>297</v>
      </c>
      <c r="G186" s="72" t="s">
        <v>297</v>
      </c>
      <c r="H186" s="72" t="s">
        <v>297</v>
      </c>
      <c r="I186" s="72" t="s">
        <v>297</v>
      </c>
      <c r="J186" s="72" t="s">
        <v>297</v>
      </c>
      <c r="K186" s="72" t="s">
        <v>297</v>
      </c>
      <c r="L186" s="72" t="s">
        <v>297</v>
      </c>
      <c r="M186" s="72" t="s">
        <v>297</v>
      </c>
      <c r="N186" s="72">
        <f t="shared" ref="N186:Q186" si="28">IF(N190&lt;283,0,IF(N190&gt;303,1,EXP(($E$23*(N190-$E$24))/($E$25*$E$24*N190))))</f>
        <v>0.88152221926734242</v>
      </c>
      <c r="O186" s="72">
        <f t="shared" si="28"/>
        <v>0.62729263560178183</v>
      </c>
      <c r="P186" s="72">
        <f t="shared" si="28"/>
        <v>0.55084569341606926</v>
      </c>
      <c r="Q186" s="72">
        <f t="shared" si="28"/>
        <v>0.29505266129807517</v>
      </c>
      <c r="R186" s="78"/>
      <c r="S186" s="78"/>
      <c r="T186" s="78"/>
      <c r="U186" s="78"/>
      <c r="V186" s="78"/>
      <c r="W186" s="78"/>
      <c r="X186" s="78"/>
      <c r="Y186" s="78"/>
      <c r="Z186" s="78"/>
      <c r="AA186" s="78"/>
      <c r="AB186" s="78"/>
      <c r="AC186" s="78"/>
      <c r="AD186" s="78"/>
      <c r="AE186" s="78"/>
      <c r="AF186" s="78"/>
      <c r="AG186" s="78"/>
      <c r="AH186" s="78"/>
      <c r="AI186" s="78"/>
      <c r="AJ186" s="78"/>
      <c r="AK186" s="78"/>
      <c r="AL186" s="78"/>
      <c r="AM186" s="78"/>
      <c r="AN186" s="78"/>
      <c r="AO186" s="78"/>
      <c r="AP186" s="78"/>
      <c r="AQ186" s="78"/>
      <c r="AR186" s="78"/>
      <c r="AS186" s="78"/>
      <c r="AT186" s="78"/>
      <c r="AU186" s="78"/>
      <c r="AV186" s="78"/>
      <c r="AW186" s="78"/>
      <c r="AX186" s="78"/>
      <c r="AY186" s="78"/>
      <c r="AZ186" s="78"/>
      <c r="BA186" s="78"/>
      <c r="BB186" s="78"/>
      <c r="BC186" s="78"/>
      <c r="BD186" s="78"/>
      <c r="BE186" s="78"/>
      <c r="BF186" s="78"/>
      <c r="BG186" s="78"/>
      <c r="BH186" s="78"/>
      <c r="BI186" s="78"/>
      <c r="BJ186" s="78"/>
      <c r="BK186" s="78"/>
      <c r="BL186" s="78"/>
      <c r="BM186" s="78"/>
      <c r="BN186" s="78"/>
      <c r="BO186" s="78"/>
      <c r="BP186" s="78"/>
      <c r="BQ186" s="78"/>
      <c r="BR186" s="78"/>
      <c r="BS186" s="78"/>
      <c r="BT186" s="78"/>
      <c r="BU186" s="78"/>
      <c r="BV186" s="78"/>
      <c r="BW186" s="78"/>
      <c r="BX186" s="78"/>
      <c r="BY186" s="78"/>
      <c r="BZ186" s="78"/>
      <c r="CA186" s="78"/>
      <c r="CB186" s="78"/>
      <c r="CC186" s="78"/>
      <c r="CD186" s="78"/>
      <c r="CE186" s="78"/>
      <c r="CF186" s="78"/>
      <c r="CG186" s="78"/>
      <c r="CH186" s="78"/>
      <c r="CI186" s="78"/>
      <c r="CJ186" s="78"/>
      <c r="CK186" s="78"/>
      <c r="CL186" s="78"/>
      <c r="CM186" s="78"/>
      <c r="CN186" s="78"/>
      <c r="CO186" s="78"/>
      <c r="CP186" s="78"/>
      <c r="CQ186" s="78"/>
      <c r="CR186" s="78"/>
      <c r="CS186" s="78"/>
      <c r="CT186" s="78"/>
      <c r="CU186" s="78"/>
      <c r="CV186" s="78"/>
      <c r="CW186" s="78"/>
      <c r="CX186" s="78"/>
      <c r="CY186" s="78"/>
      <c r="CZ186" s="78"/>
      <c r="DA186" s="78"/>
      <c r="DB186" s="78"/>
      <c r="DC186" s="78"/>
      <c r="DD186" s="78"/>
      <c r="DE186" s="78"/>
      <c r="DF186" s="78"/>
      <c r="DG186" s="78"/>
      <c r="DH186" s="78"/>
      <c r="DI186" s="78"/>
      <c r="DJ186" s="78"/>
      <c r="DK186" s="78"/>
      <c r="DL186" s="78"/>
      <c r="DM186" s="78"/>
      <c r="DN186" s="78"/>
      <c r="DO186" s="78"/>
      <c r="DP186" s="78"/>
      <c r="DQ186" s="78"/>
      <c r="DR186" s="78"/>
      <c r="DS186" s="78"/>
      <c r="DT186" s="78"/>
      <c r="DU186" s="78"/>
      <c r="DV186" s="78"/>
      <c r="DW186" s="78"/>
      <c r="DX186" s="78"/>
      <c r="DY186" s="78"/>
      <c r="DZ186" s="78"/>
      <c r="EA186" s="78"/>
      <c r="EB186" s="78"/>
      <c r="EC186" s="78"/>
    </row>
    <row r="187" spans="1:133" s="9" customFormat="1" x14ac:dyDescent="0.25">
      <c r="A187" s="73" t="s">
        <v>51</v>
      </c>
      <c r="B187" s="60" t="s">
        <v>202</v>
      </c>
      <c r="C187" s="53" t="s">
        <v>53</v>
      </c>
      <c r="D187" s="53" t="s">
        <v>376</v>
      </c>
      <c r="E187" s="162">
        <v>15175</v>
      </c>
      <c r="F187" s="163"/>
      <c r="G187" s="163"/>
      <c r="H187" s="163"/>
      <c r="I187" s="163"/>
      <c r="J187" s="163"/>
      <c r="K187" s="163"/>
      <c r="L187" s="163"/>
      <c r="M187" s="163"/>
      <c r="N187" s="163"/>
      <c r="O187" s="163"/>
      <c r="P187" s="163"/>
      <c r="Q187" s="164"/>
      <c r="R187" s="78"/>
      <c r="S187" s="78"/>
      <c r="T187" s="78"/>
      <c r="U187" s="78"/>
      <c r="V187" s="78"/>
      <c r="W187" s="78"/>
      <c r="X187" s="78"/>
      <c r="Y187" s="78"/>
      <c r="Z187" s="78"/>
      <c r="AA187" s="78"/>
      <c r="AB187" s="78"/>
      <c r="AC187" s="78"/>
      <c r="AD187" s="78"/>
      <c r="AE187" s="78"/>
      <c r="AF187" s="78"/>
      <c r="AG187" s="78"/>
      <c r="AH187" s="78"/>
      <c r="AI187" s="78"/>
      <c r="AJ187" s="78"/>
      <c r="AK187" s="78"/>
      <c r="AL187" s="78"/>
      <c r="AM187" s="78"/>
      <c r="AN187" s="78"/>
      <c r="AO187" s="78"/>
      <c r="AP187" s="78"/>
      <c r="AQ187" s="78"/>
      <c r="AR187" s="78"/>
      <c r="AS187" s="78"/>
      <c r="AT187" s="78"/>
      <c r="AU187" s="78"/>
      <c r="AV187" s="78"/>
      <c r="AW187" s="78"/>
      <c r="AX187" s="78"/>
      <c r="AY187" s="78"/>
      <c r="AZ187" s="78"/>
      <c r="BA187" s="78"/>
      <c r="BB187" s="78"/>
      <c r="BC187" s="78"/>
      <c r="BD187" s="78"/>
      <c r="BE187" s="78"/>
      <c r="BF187" s="78"/>
      <c r="BG187" s="78"/>
      <c r="BH187" s="78"/>
      <c r="BI187" s="78"/>
      <c r="BJ187" s="78"/>
      <c r="BK187" s="78"/>
      <c r="BL187" s="78"/>
      <c r="BM187" s="78"/>
      <c r="BN187" s="78"/>
      <c r="BO187" s="78"/>
      <c r="BP187" s="78"/>
      <c r="BQ187" s="78"/>
      <c r="BR187" s="78"/>
      <c r="BS187" s="78"/>
      <c r="BT187" s="78"/>
      <c r="BU187" s="78"/>
      <c r="BV187" s="78"/>
      <c r="BW187" s="78"/>
      <c r="BX187" s="78"/>
      <c r="BY187" s="78"/>
      <c r="BZ187" s="78"/>
      <c r="CA187" s="78"/>
      <c r="CB187" s="78"/>
      <c r="CC187" s="78"/>
      <c r="CD187" s="78"/>
      <c r="CE187" s="78"/>
      <c r="CF187" s="78"/>
      <c r="CG187" s="78"/>
      <c r="CH187" s="78"/>
      <c r="CI187" s="78"/>
      <c r="CJ187" s="78"/>
      <c r="CK187" s="78"/>
      <c r="CL187" s="78"/>
      <c r="CM187" s="78"/>
      <c r="CN187" s="78"/>
      <c r="CO187" s="78"/>
      <c r="CP187" s="78"/>
      <c r="CQ187" s="78"/>
      <c r="CR187" s="78"/>
      <c r="CS187" s="78"/>
      <c r="CT187" s="78"/>
      <c r="CU187" s="78"/>
      <c r="CV187" s="78"/>
      <c r="CW187" s="78"/>
      <c r="CX187" s="78"/>
      <c r="CY187" s="78"/>
      <c r="CZ187" s="78"/>
      <c r="DA187" s="78"/>
      <c r="DB187" s="78"/>
      <c r="DC187" s="78"/>
      <c r="DD187" s="78"/>
      <c r="DE187" s="78"/>
      <c r="DF187" s="78"/>
      <c r="DG187" s="78"/>
      <c r="DH187" s="78"/>
      <c r="DI187" s="78"/>
      <c r="DJ187" s="78"/>
      <c r="DK187" s="78"/>
      <c r="DL187" s="78"/>
      <c r="DM187" s="78"/>
      <c r="DN187" s="78"/>
      <c r="DO187" s="78"/>
      <c r="DP187" s="78"/>
      <c r="DQ187" s="78"/>
      <c r="DR187" s="78"/>
      <c r="DS187" s="78"/>
      <c r="DT187" s="78"/>
      <c r="DU187" s="78"/>
      <c r="DV187" s="78"/>
      <c r="DW187" s="78"/>
      <c r="DX187" s="78"/>
      <c r="DY187" s="78"/>
      <c r="DZ187" s="78"/>
      <c r="EA187" s="78"/>
      <c r="EB187" s="78"/>
      <c r="EC187" s="78"/>
    </row>
    <row r="188" spans="1:133" s="9" customFormat="1" ht="18" x14ac:dyDescent="0.25">
      <c r="A188" s="73" t="s">
        <v>54</v>
      </c>
      <c r="B188" s="60" t="s">
        <v>203</v>
      </c>
      <c r="C188" s="53" t="s">
        <v>56</v>
      </c>
      <c r="D188" s="53" t="s">
        <v>376</v>
      </c>
      <c r="E188" s="162">
        <v>303.16000000000003</v>
      </c>
      <c r="F188" s="163"/>
      <c r="G188" s="163"/>
      <c r="H188" s="163"/>
      <c r="I188" s="163"/>
      <c r="J188" s="163"/>
      <c r="K188" s="163"/>
      <c r="L188" s="163"/>
      <c r="M188" s="163"/>
      <c r="N188" s="163"/>
      <c r="O188" s="163"/>
      <c r="P188" s="163"/>
      <c r="Q188" s="164"/>
      <c r="R188" s="78"/>
      <c r="S188" s="78"/>
      <c r="T188" s="78"/>
      <c r="U188" s="78"/>
      <c r="V188" s="78"/>
      <c r="W188" s="78"/>
      <c r="X188" s="78"/>
      <c r="Y188" s="78"/>
      <c r="Z188" s="78"/>
      <c r="AA188" s="78"/>
      <c r="AB188" s="78"/>
      <c r="AC188" s="78"/>
      <c r="AD188" s="78"/>
      <c r="AE188" s="78"/>
      <c r="AF188" s="78"/>
      <c r="AG188" s="78"/>
      <c r="AH188" s="78"/>
      <c r="AI188" s="78"/>
      <c r="AJ188" s="78"/>
      <c r="AK188" s="78"/>
      <c r="AL188" s="78"/>
      <c r="AM188" s="78"/>
      <c r="AN188" s="78"/>
      <c r="AO188" s="78"/>
      <c r="AP188" s="78"/>
      <c r="AQ188" s="78"/>
      <c r="AR188" s="78"/>
      <c r="AS188" s="78"/>
      <c r="AT188" s="78"/>
      <c r="AU188" s="78"/>
      <c r="AV188" s="78"/>
      <c r="AW188" s="78"/>
      <c r="AX188" s="78"/>
      <c r="AY188" s="78"/>
      <c r="AZ188" s="78"/>
      <c r="BA188" s="78"/>
      <c r="BB188" s="78"/>
      <c r="BC188" s="78"/>
      <c r="BD188" s="78"/>
      <c r="BE188" s="78"/>
      <c r="BF188" s="78"/>
      <c r="BG188" s="78"/>
      <c r="BH188" s="78"/>
      <c r="BI188" s="78"/>
      <c r="BJ188" s="78"/>
      <c r="BK188" s="78"/>
      <c r="BL188" s="78"/>
      <c r="BM188" s="78"/>
      <c r="BN188" s="78"/>
      <c r="BO188" s="78"/>
      <c r="BP188" s="78"/>
      <c r="BQ188" s="78"/>
      <c r="BR188" s="78"/>
      <c r="BS188" s="78"/>
      <c r="BT188" s="78"/>
      <c r="BU188" s="78"/>
      <c r="BV188" s="78"/>
      <c r="BW188" s="78"/>
      <c r="BX188" s="78"/>
      <c r="BY188" s="78"/>
      <c r="BZ188" s="78"/>
      <c r="CA188" s="78"/>
      <c r="CB188" s="78"/>
      <c r="CC188" s="78"/>
      <c r="CD188" s="78"/>
      <c r="CE188" s="78"/>
      <c r="CF188" s="78"/>
      <c r="CG188" s="78"/>
      <c r="CH188" s="78"/>
      <c r="CI188" s="78"/>
      <c r="CJ188" s="78"/>
      <c r="CK188" s="78"/>
      <c r="CL188" s="78"/>
      <c r="CM188" s="78"/>
      <c r="CN188" s="78"/>
      <c r="CO188" s="78"/>
      <c r="CP188" s="78"/>
      <c r="CQ188" s="78"/>
      <c r="CR188" s="78"/>
      <c r="CS188" s="78"/>
      <c r="CT188" s="78"/>
      <c r="CU188" s="78"/>
      <c r="CV188" s="78"/>
      <c r="CW188" s="78"/>
      <c r="CX188" s="78"/>
      <c r="CY188" s="78"/>
      <c r="CZ188" s="78"/>
      <c r="DA188" s="78"/>
      <c r="DB188" s="78"/>
      <c r="DC188" s="78"/>
      <c r="DD188" s="78"/>
      <c r="DE188" s="78"/>
      <c r="DF188" s="78"/>
      <c r="DG188" s="78"/>
      <c r="DH188" s="78"/>
      <c r="DI188" s="78"/>
      <c r="DJ188" s="78"/>
      <c r="DK188" s="78"/>
      <c r="DL188" s="78"/>
      <c r="DM188" s="78"/>
      <c r="DN188" s="78"/>
      <c r="DO188" s="78"/>
      <c r="DP188" s="78"/>
      <c r="DQ188" s="78"/>
      <c r="DR188" s="78"/>
      <c r="DS188" s="78"/>
      <c r="DT188" s="78"/>
      <c r="DU188" s="78"/>
      <c r="DV188" s="78"/>
      <c r="DW188" s="78"/>
      <c r="DX188" s="78"/>
      <c r="DY188" s="78"/>
      <c r="DZ188" s="78"/>
      <c r="EA188" s="78"/>
      <c r="EB188" s="78"/>
      <c r="EC188" s="78"/>
    </row>
    <row r="189" spans="1:133" s="9" customFormat="1" x14ac:dyDescent="0.25">
      <c r="A189" s="73" t="s">
        <v>57</v>
      </c>
      <c r="B189" s="60" t="s">
        <v>204</v>
      </c>
      <c r="C189" s="53" t="s">
        <v>59</v>
      </c>
      <c r="D189" s="53" t="s">
        <v>376</v>
      </c>
      <c r="E189" s="162">
        <v>1.9870000000000001</v>
      </c>
      <c r="F189" s="163"/>
      <c r="G189" s="163"/>
      <c r="H189" s="163"/>
      <c r="I189" s="163"/>
      <c r="J189" s="163"/>
      <c r="K189" s="163"/>
      <c r="L189" s="163"/>
      <c r="M189" s="163"/>
      <c r="N189" s="163"/>
      <c r="O189" s="163"/>
      <c r="P189" s="163"/>
      <c r="Q189" s="164"/>
      <c r="R189" s="78"/>
      <c r="S189" s="78"/>
      <c r="T189" s="78"/>
      <c r="U189" s="78"/>
      <c r="V189" s="78"/>
      <c r="W189" s="78"/>
      <c r="X189" s="78"/>
      <c r="Y189" s="78"/>
      <c r="Z189" s="78"/>
      <c r="AA189" s="78"/>
      <c r="AB189" s="78"/>
      <c r="AC189" s="78"/>
      <c r="AD189" s="78"/>
      <c r="AE189" s="78"/>
      <c r="AF189" s="78"/>
      <c r="AG189" s="78"/>
      <c r="AH189" s="78"/>
      <c r="AI189" s="78"/>
      <c r="AJ189" s="78"/>
      <c r="AK189" s="78"/>
      <c r="AL189" s="78"/>
      <c r="AM189" s="78"/>
      <c r="AN189" s="78"/>
      <c r="AO189" s="78"/>
      <c r="AP189" s="78"/>
      <c r="AQ189" s="78"/>
      <c r="AR189" s="78"/>
      <c r="AS189" s="78"/>
      <c r="AT189" s="78"/>
      <c r="AU189" s="78"/>
      <c r="AV189" s="78"/>
      <c r="AW189" s="78"/>
      <c r="AX189" s="78"/>
      <c r="AY189" s="78"/>
      <c r="AZ189" s="78"/>
      <c r="BA189" s="78"/>
      <c r="BB189" s="78"/>
      <c r="BC189" s="78"/>
      <c r="BD189" s="78"/>
      <c r="BE189" s="78"/>
      <c r="BF189" s="78"/>
      <c r="BG189" s="78"/>
      <c r="BH189" s="78"/>
      <c r="BI189" s="78"/>
      <c r="BJ189" s="78"/>
      <c r="BK189" s="78"/>
      <c r="BL189" s="78"/>
      <c r="BM189" s="78"/>
      <c r="BN189" s="78"/>
      <c r="BO189" s="78"/>
      <c r="BP189" s="78"/>
      <c r="BQ189" s="78"/>
      <c r="BR189" s="78"/>
      <c r="BS189" s="78"/>
      <c r="BT189" s="78"/>
      <c r="BU189" s="78"/>
      <c r="BV189" s="78"/>
      <c r="BW189" s="78"/>
      <c r="BX189" s="78"/>
      <c r="BY189" s="78"/>
      <c r="BZ189" s="78"/>
      <c r="CA189" s="78"/>
      <c r="CB189" s="78"/>
      <c r="CC189" s="78"/>
      <c r="CD189" s="78"/>
      <c r="CE189" s="78"/>
      <c r="CF189" s="78"/>
      <c r="CG189" s="78"/>
      <c r="CH189" s="78"/>
      <c r="CI189" s="78"/>
      <c r="CJ189" s="78"/>
      <c r="CK189" s="78"/>
      <c r="CL189" s="78"/>
      <c r="CM189" s="78"/>
      <c r="CN189" s="78"/>
      <c r="CO189" s="78"/>
      <c r="CP189" s="78"/>
      <c r="CQ189" s="78"/>
      <c r="CR189" s="78"/>
      <c r="CS189" s="78"/>
      <c r="CT189" s="78"/>
      <c r="CU189" s="78"/>
      <c r="CV189" s="78"/>
      <c r="CW189" s="78"/>
      <c r="CX189" s="78"/>
      <c r="CY189" s="78"/>
      <c r="CZ189" s="78"/>
      <c r="DA189" s="78"/>
      <c r="DB189" s="78"/>
      <c r="DC189" s="78"/>
      <c r="DD189" s="78"/>
      <c r="DE189" s="78"/>
      <c r="DF189" s="78"/>
      <c r="DG189" s="78"/>
      <c r="DH189" s="78"/>
      <c r="DI189" s="78"/>
      <c r="DJ189" s="78"/>
      <c r="DK189" s="78"/>
      <c r="DL189" s="78"/>
      <c r="DM189" s="78"/>
      <c r="DN189" s="78"/>
      <c r="DO189" s="78"/>
      <c r="DP189" s="78"/>
      <c r="DQ189" s="78"/>
      <c r="DR189" s="78"/>
      <c r="DS189" s="78"/>
      <c r="DT189" s="78"/>
      <c r="DU189" s="78"/>
      <c r="DV189" s="78"/>
      <c r="DW189" s="78"/>
      <c r="DX189" s="78"/>
      <c r="DY189" s="78"/>
      <c r="DZ189" s="78"/>
      <c r="EA189" s="78"/>
      <c r="EB189" s="78"/>
      <c r="EC189" s="78"/>
    </row>
    <row r="190" spans="1:133" s="9" customFormat="1" ht="31.2" x14ac:dyDescent="0.25">
      <c r="A190" s="73" t="s">
        <v>60</v>
      </c>
      <c r="B190" s="60" t="s">
        <v>203</v>
      </c>
      <c r="C190" s="53" t="s">
        <v>61</v>
      </c>
      <c r="D190" s="143" t="s">
        <v>363</v>
      </c>
      <c r="E190" s="98">
        <f>AVERAGE(N190:Q190)</f>
        <v>296.14999999999998</v>
      </c>
      <c r="F190" s="60" t="s">
        <v>297</v>
      </c>
      <c r="G190" s="60" t="s">
        <v>297</v>
      </c>
      <c r="H190" s="60" t="s">
        <v>297</v>
      </c>
      <c r="I190" s="60" t="s">
        <v>297</v>
      </c>
      <c r="J190" s="60" t="s">
        <v>297</v>
      </c>
      <c r="K190" s="60" t="s">
        <v>297</v>
      </c>
      <c r="L190" s="60" t="s">
        <v>297</v>
      </c>
      <c r="M190" s="60" t="s">
        <v>297</v>
      </c>
      <c r="N190" s="60">
        <v>301.64999999999998</v>
      </c>
      <c r="O190" s="60">
        <v>297.64999999999998</v>
      </c>
      <c r="P190" s="60">
        <v>296.14999999999998</v>
      </c>
      <c r="Q190" s="60">
        <v>289.14999999999998</v>
      </c>
      <c r="R190" s="78"/>
      <c r="S190" s="78"/>
      <c r="T190" s="78"/>
      <c r="U190" s="78"/>
      <c r="V190" s="78"/>
      <c r="W190" s="78"/>
      <c r="X190" s="78"/>
      <c r="Y190" s="78"/>
      <c r="Z190" s="78"/>
      <c r="AA190" s="78"/>
      <c r="AB190" s="78"/>
      <c r="AC190" s="78"/>
      <c r="AD190" s="78"/>
      <c r="AE190" s="78"/>
      <c r="AF190" s="78"/>
      <c r="AG190" s="78"/>
      <c r="AH190" s="78"/>
      <c r="AI190" s="78"/>
      <c r="AJ190" s="78"/>
      <c r="AK190" s="78"/>
      <c r="AL190" s="78"/>
      <c r="AM190" s="78"/>
      <c r="AN190" s="78"/>
      <c r="AO190" s="78"/>
      <c r="AP190" s="78"/>
      <c r="AQ190" s="78"/>
      <c r="AR190" s="78"/>
      <c r="AS190" s="78"/>
      <c r="AT190" s="78"/>
      <c r="AU190" s="78"/>
      <c r="AV190" s="78"/>
      <c r="AW190" s="78"/>
      <c r="AX190" s="78"/>
      <c r="AY190" s="78"/>
      <c r="AZ190" s="78"/>
      <c r="BA190" s="78"/>
      <c r="BB190" s="78"/>
      <c r="BC190" s="78"/>
      <c r="BD190" s="78"/>
      <c r="BE190" s="78"/>
      <c r="BF190" s="78"/>
      <c r="BG190" s="78"/>
      <c r="BH190" s="78"/>
      <c r="BI190" s="78"/>
      <c r="BJ190" s="78"/>
      <c r="BK190" s="78"/>
      <c r="BL190" s="78"/>
      <c r="BM190" s="78"/>
      <c r="BN190" s="78"/>
      <c r="BO190" s="78"/>
      <c r="BP190" s="78"/>
      <c r="BQ190" s="78"/>
      <c r="BR190" s="78"/>
      <c r="BS190" s="78"/>
      <c r="BT190" s="78"/>
      <c r="BU190" s="78"/>
      <c r="BV190" s="78"/>
      <c r="BW190" s="78"/>
      <c r="BX190" s="78"/>
      <c r="BY190" s="78"/>
      <c r="BZ190" s="78"/>
      <c r="CA190" s="78"/>
      <c r="CB190" s="78"/>
      <c r="CC190" s="78"/>
      <c r="CD190" s="78"/>
      <c r="CE190" s="78"/>
      <c r="CF190" s="78"/>
      <c r="CG190" s="78"/>
      <c r="CH190" s="78"/>
      <c r="CI190" s="78"/>
      <c r="CJ190" s="78"/>
      <c r="CK190" s="78"/>
      <c r="CL190" s="78"/>
      <c r="CM190" s="78"/>
      <c r="CN190" s="78"/>
      <c r="CO190" s="78"/>
      <c r="CP190" s="78"/>
      <c r="CQ190" s="78"/>
      <c r="CR190" s="78"/>
      <c r="CS190" s="78"/>
      <c r="CT190" s="78"/>
      <c r="CU190" s="78"/>
      <c r="CV190" s="78"/>
      <c r="CW190" s="78"/>
      <c r="CX190" s="78"/>
      <c r="CY190" s="78"/>
      <c r="CZ190" s="78"/>
      <c r="DA190" s="78"/>
      <c r="DB190" s="78"/>
      <c r="DC190" s="78"/>
      <c r="DD190" s="78"/>
      <c r="DE190" s="78"/>
      <c r="DF190" s="78"/>
      <c r="DG190" s="78"/>
      <c r="DH190" s="78"/>
      <c r="DI190" s="78"/>
      <c r="DJ190" s="78"/>
      <c r="DK190" s="78"/>
      <c r="DL190" s="78"/>
      <c r="DM190" s="78"/>
      <c r="DN190" s="78"/>
      <c r="DO190" s="78"/>
      <c r="DP190" s="78"/>
      <c r="DQ190" s="78"/>
      <c r="DR190" s="78"/>
      <c r="DS190" s="78"/>
      <c r="DT190" s="78"/>
      <c r="DU190" s="78"/>
      <c r="DV190" s="78"/>
      <c r="DW190" s="78"/>
      <c r="DX190" s="78"/>
      <c r="DY190" s="78"/>
      <c r="DZ190" s="78"/>
      <c r="EA190" s="78"/>
      <c r="EB190" s="78"/>
      <c r="EC190" s="78"/>
    </row>
    <row r="191" spans="1:133" s="9" customFormat="1" ht="31.2" x14ac:dyDescent="0.4">
      <c r="A191" s="71" t="s">
        <v>62</v>
      </c>
      <c r="B191" s="60" t="s">
        <v>196</v>
      </c>
      <c r="C191" s="53" t="s">
        <v>63</v>
      </c>
      <c r="D191" s="53" t="s">
        <v>377</v>
      </c>
      <c r="E191" s="74">
        <f>SUM(N191:Q191)</f>
        <v>368.91359827576423</v>
      </c>
      <c r="F191" s="74" t="s">
        <v>297</v>
      </c>
      <c r="G191" s="74" t="s">
        <v>297</v>
      </c>
      <c r="H191" s="74" t="s">
        <v>297</v>
      </c>
      <c r="I191" s="74" t="s">
        <v>297</v>
      </c>
      <c r="J191" s="74" t="s">
        <v>297</v>
      </c>
      <c r="K191" s="74" t="s">
        <v>297</v>
      </c>
      <c r="L191" s="74" t="s">
        <v>297</v>
      </c>
      <c r="M191" s="74" t="s">
        <v>297</v>
      </c>
      <c r="N191" s="74">
        <f>N180*N175*N178+(1-N186)*0</f>
        <v>53.93437564368373</v>
      </c>
      <c r="O191" s="74">
        <f t="shared" ref="O191:Q191" si="29">O180*O175*O178+(1-O186)*N191</f>
        <v>87.006317214196102</v>
      </c>
      <c r="P191" s="74">
        <f t="shared" si="29"/>
        <v>98.024761547700876</v>
      </c>
      <c r="Q191" s="74">
        <f t="shared" si="29"/>
        <v>129.94814387018349</v>
      </c>
      <c r="R191" s="78"/>
      <c r="S191" s="78"/>
      <c r="T191" s="78"/>
      <c r="U191" s="78"/>
      <c r="V191" s="78"/>
      <c r="W191" s="78"/>
      <c r="X191" s="78"/>
      <c r="Y191" s="78"/>
      <c r="Z191" s="78"/>
      <c r="AA191" s="78"/>
      <c r="AB191" s="78"/>
      <c r="AC191" s="78"/>
      <c r="AD191" s="78"/>
      <c r="AE191" s="78"/>
      <c r="AF191" s="78"/>
      <c r="AG191" s="78"/>
      <c r="AH191" s="78"/>
      <c r="AI191" s="78"/>
      <c r="AJ191" s="78"/>
      <c r="AK191" s="78"/>
      <c r="AL191" s="78"/>
      <c r="AM191" s="78"/>
      <c r="AN191" s="78"/>
      <c r="AO191" s="78"/>
      <c r="AP191" s="78"/>
      <c r="AQ191" s="78"/>
      <c r="AR191" s="78"/>
      <c r="AS191" s="78"/>
      <c r="AT191" s="78"/>
      <c r="AU191" s="78"/>
      <c r="AV191" s="78"/>
      <c r="AW191" s="78"/>
      <c r="AX191" s="78"/>
      <c r="AY191" s="78"/>
      <c r="AZ191" s="78"/>
      <c r="BA191" s="78"/>
      <c r="BB191" s="78"/>
      <c r="BC191" s="78"/>
      <c r="BD191" s="78"/>
      <c r="BE191" s="78"/>
      <c r="BF191" s="78"/>
      <c r="BG191" s="78"/>
      <c r="BH191" s="78"/>
      <c r="BI191" s="78"/>
      <c r="BJ191" s="78"/>
      <c r="BK191" s="78"/>
      <c r="BL191" s="78"/>
      <c r="BM191" s="78"/>
      <c r="BN191" s="78"/>
      <c r="BO191" s="78"/>
      <c r="BP191" s="78"/>
      <c r="BQ191" s="78"/>
      <c r="BR191" s="78"/>
      <c r="BS191" s="78"/>
      <c r="BT191" s="78"/>
      <c r="BU191" s="78"/>
      <c r="BV191" s="78"/>
      <c r="BW191" s="78"/>
      <c r="BX191" s="78"/>
      <c r="BY191" s="78"/>
      <c r="BZ191" s="78"/>
      <c r="CA191" s="78"/>
      <c r="CB191" s="78"/>
      <c r="CC191" s="78"/>
      <c r="CD191" s="78"/>
      <c r="CE191" s="78"/>
      <c r="CF191" s="78"/>
      <c r="CG191" s="78"/>
      <c r="CH191" s="78"/>
      <c r="CI191" s="78"/>
      <c r="CJ191" s="78"/>
      <c r="CK191" s="78"/>
      <c r="CL191" s="78"/>
      <c r="CM191" s="78"/>
      <c r="CN191" s="78"/>
      <c r="CO191" s="78"/>
      <c r="CP191" s="78"/>
      <c r="CQ191" s="78"/>
      <c r="CR191" s="78"/>
      <c r="CS191" s="78"/>
      <c r="CT191" s="78"/>
      <c r="CU191" s="78"/>
      <c r="CV191" s="78"/>
      <c r="CW191" s="78"/>
      <c r="CX191" s="78"/>
      <c r="CY191" s="78"/>
      <c r="CZ191" s="78"/>
      <c r="DA191" s="78"/>
      <c r="DB191" s="78"/>
      <c r="DC191" s="78"/>
      <c r="DD191" s="78"/>
      <c r="DE191" s="78"/>
      <c r="DF191" s="78"/>
      <c r="DG191" s="78"/>
      <c r="DH191" s="78"/>
      <c r="DI191" s="78"/>
      <c r="DJ191" s="78"/>
      <c r="DK191" s="78"/>
      <c r="DL191" s="78"/>
      <c r="DM191" s="78"/>
      <c r="DN191" s="78"/>
      <c r="DO191" s="78"/>
      <c r="DP191" s="78"/>
      <c r="DQ191" s="78"/>
      <c r="DR191" s="78"/>
      <c r="DS191" s="78"/>
      <c r="DT191" s="78"/>
      <c r="DU191" s="78"/>
      <c r="DV191" s="78"/>
      <c r="DW191" s="78"/>
      <c r="DX191" s="78"/>
      <c r="DY191" s="78"/>
      <c r="DZ191" s="78"/>
      <c r="EA191" s="78"/>
      <c r="EB191" s="78"/>
      <c r="EC191" s="78"/>
    </row>
    <row r="193" spans="1:5" x14ac:dyDescent="0.25">
      <c r="A193" s="158" t="s">
        <v>64</v>
      </c>
      <c r="B193" s="158"/>
      <c r="C193" s="158"/>
      <c r="D193" s="158"/>
      <c r="E193" s="158"/>
    </row>
    <row r="194" spans="1:5" x14ac:dyDescent="0.25">
      <c r="A194" s="57" t="s">
        <v>8</v>
      </c>
      <c r="B194" s="58" t="s">
        <v>9</v>
      </c>
      <c r="C194" s="34" t="s">
        <v>10</v>
      </c>
      <c r="D194" s="34" t="s">
        <v>340</v>
      </c>
      <c r="E194" s="16" t="s">
        <v>65</v>
      </c>
    </row>
    <row r="195" spans="1:5" ht="46.8" x14ac:dyDescent="0.25">
      <c r="A195" s="59" t="s">
        <v>66</v>
      </c>
      <c r="B195" s="60" t="s">
        <v>14</v>
      </c>
      <c r="C195" s="53" t="s">
        <v>67</v>
      </c>
      <c r="D195" s="53" t="s">
        <v>68</v>
      </c>
      <c r="E195" s="75">
        <v>0</v>
      </c>
    </row>
    <row r="196" spans="1:5" ht="46.8" x14ac:dyDescent="0.25">
      <c r="A196" s="63" t="s">
        <v>69</v>
      </c>
      <c r="B196" s="25" t="s">
        <v>70</v>
      </c>
      <c r="C196" s="35" t="s">
        <v>71</v>
      </c>
      <c r="D196" s="53" t="str">
        <f>D202</f>
        <v>Historical data on site in the FSR (It was calculated with conservative value)</v>
      </c>
      <c r="E196" s="74">
        <f>E202</f>
        <v>110.46809395334864</v>
      </c>
    </row>
    <row r="198" spans="1:5" x14ac:dyDescent="0.25">
      <c r="A198" s="174" t="s">
        <v>72</v>
      </c>
      <c r="B198" s="174"/>
      <c r="C198" s="175"/>
      <c r="D198" s="175"/>
      <c r="E198" s="174"/>
    </row>
    <row r="199" spans="1:5" x14ac:dyDescent="0.25">
      <c r="A199" s="59" t="s">
        <v>8</v>
      </c>
      <c r="B199" s="16" t="s">
        <v>9</v>
      </c>
      <c r="C199" s="38" t="s">
        <v>10</v>
      </c>
      <c r="D199" s="38" t="s">
        <v>340</v>
      </c>
      <c r="E199" s="16" t="s">
        <v>65</v>
      </c>
    </row>
    <row r="200" spans="1:5" ht="33.6" x14ac:dyDescent="0.4">
      <c r="A200" s="76" t="s">
        <v>73</v>
      </c>
      <c r="B200" s="25" t="s">
        <v>74</v>
      </c>
      <c r="C200" s="35" t="s">
        <v>75</v>
      </c>
      <c r="D200" s="35" t="s">
        <v>378</v>
      </c>
      <c r="E200" s="50">
        <f>E201*E204*E205*E206*E207*E208</f>
        <v>0.4486916789727825</v>
      </c>
    </row>
    <row r="201" spans="1:5" ht="46.8" x14ac:dyDescent="0.4">
      <c r="A201" s="77" t="s">
        <v>207</v>
      </c>
      <c r="B201" s="25" t="s">
        <v>76</v>
      </c>
      <c r="C201" s="35" t="s">
        <v>77</v>
      </c>
      <c r="D201" s="35" t="s">
        <v>379</v>
      </c>
      <c r="E201" s="52">
        <f>E202/E203</f>
        <v>22.09361879066973</v>
      </c>
    </row>
    <row r="202" spans="1:5" ht="46.8" x14ac:dyDescent="0.25">
      <c r="A202" s="63" t="s">
        <v>208</v>
      </c>
      <c r="B202" s="25" t="s">
        <v>78</v>
      </c>
      <c r="C202" s="35" t="s">
        <v>79</v>
      </c>
      <c r="D202" s="53" t="s">
        <v>352</v>
      </c>
      <c r="E202" s="52">
        <f>0.000185863421606413*E175</f>
        <v>110.46809395334864</v>
      </c>
    </row>
    <row r="203" spans="1:5" ht="31.2" x14ac:dyDescent="0.25">
      <c r="A203" s="63" t="s">
        <v>209</v>
      </c>
      <c r="B203" s="25" t="s">
        <v>80</v>
      </c>
      <c r="C203" s="35" t="s">
        <v>81</v>
      </c>
      <c r="D203" s="35" t="s">
        <v>353</v>
      </c>
      <c r="E203" s="25">
        <f>5</f>
        <v>5</v>
      </c>
    </row>
    <row r="204" spans="1:5" ht="62.4" x14ac:dyDescent="0.25">
      <c r="A204" s="63" t="s">
        <v>210</v>
      </c>
      <c r="B204" s="25" t="s">
        <v>82</v>
      </c>
      <c r="C204" s="35" t="s">
        <v>83</v>
      </c>
      <c r="D204" s="53" t="s">
        <v>354</v>
      </c>
      <c r="E204" s="25">
        <f>15*2</f>
        <v>30</v>
      </c>
    </row>
    <row r="205" spans="1:5" ht="172.2" x14ac:dyDescent="0.25">
      <c r="A205" s="63" t="s">
        <v>211</v>
      </c>
      <c r="B205" s="25" t="s">
        <v>84</v>
      </c>
      <c r="C205" s="35" t="s">
        <v>85</v>
      </c>
      <c r="D205" s="35" t="s">
        <v>355</v>
      </c>
      <c r="E205" s="25">
        <f>25.1/100</f>
        <v>0.251</v>
      </c>
    </row>
    <row r="206" spans="1:5" ht="156" x14ac:dyDescent="0.25">
      <c r="A206" s="63" t="s">
        <v>212</v>
      </c>
      <c r="B206" s="25" t="s">
        <v>87</v>
      </c>
      <c r="C206" s="35" t="s">
        <v>86</v>
      </c>
      <c r="D206" s="35" t="s">
        <v>356</v>
      </c>
      <c r="E206" s="25">
        <f>0.84/1000</f>
        <v>8.3999999999999993E-4</v>
      </c>
    </row>
    <row r="207" spans="1:5" ht="171.6" x14ac:dyDescent="0.25">
      <c r="A207" s="63" t="s">
        <v>213</v>
      </c>
      <c r="B207" s="25" t="s">
        <v>88</v>
      </c>
      <c r="C207" s="35" t="s">
        <v>89</v>
      </c>
      <c r="D207" s="35" t="s">
        <v>357</v>
      </c>
      <c r="E207" s="25">
        <f>43.33/1000</f>
        <v>4.333E-2</v>
      </c>
    </row>
    <row r="208" spans="1:5" ht="62.4" x14ac:dyDescent="0.25">
      <c r="A208" s="63" t="s">
        <v>214</v>
      </c>
      <c r="B208" s="25" t="s">
        <v>90</v>
      </c>
      <c r="C208" s="35" t="s">
        <v>91</v>
      </c>
      <c r="D208" s="35" t="s">
        <v>358</v>
      </c>
      <c r="E208" s="25">
        <v>74.099999999999994</v>
      </c>
    </row>
    <row r="210" spans="1:133" x14ac:dyDescent="0.25">
      <c r="A210" s="158" t="s">
        <v>93</v>
      </c>
      <c r="B210" s="158"/>
      <c r="C210" s="158"/>
      <c r="D210" s="158"/>
      <c r="E210" s="158"/>
    </row>
    <row r="211" spans="1:133" x14ac:dyDescent="0.25">
      <c r="A211" s="57" t="s">
        <v>8</v>
      </c>
      <c r="B211" s="58" t="s">
        <v>9</v>
      </c>
      <c r="C211" s="34" t="s">
        <v>10</v>
      </c>
      <c r="D211" s="34" t="s">
        <v>340</v>
      </c>
      <c r="E211" s="16" t="s">
        <v>65</v>
      </c>
    </row>
    <row r="212" spans="1:133" ht="64.8" x14ac:dyDescent="0.25">
      <c r="A212" s="15" t="s">
        <v>94</v>
      </c>
      <c r="B212" s="25" t="s">
        <v>95</v>
      </c>
      <c r="C212" s="35" t="s">
        <v>96</v>
      </c>
      <c r="D212" s="35" t="s">
        <v>97</v>
      </c>
      <c r="E212" s="16">
        <v>0</v>
      </c>
    </row>
    <row r="214" spans="1:133" x14ac:dyDescent="0.25">
      <c r="A214" s="158" t="s">
        <v>98</v>
      </c>
      <c r="B214" s="158"/>
      <c r="C214" s="158"/>
      <c r="D214" s="158"/>
      <c r="E214" s="158"/>
    </row>
    <row r="215" spans="1:133" x14ac:dyDescent="0.25">
      <c r="A215" s="57" t="s">
        <v>8</v>
      </c>
      <c r="B215" s="58" t="s">
        <v>9</v>
      </c>
      <c r="C215" s="34" t="s">
        <v>10</v>
      </c>
      <c r="D215" s="34" t="s">
        <v>340</v>
      </c>
      <c r="E215" s="16" t="s">
        <v>65</v>
      </c>
    </row>
    <row r="216" spans="1:133" ht="49.2" x14ac:dyDescent="0.25">
      <c r="A216" s="15" t="s">
        <v>99</v>
      </c>
      <c r="B216" s="25" t="s">
        <v>95</v>
      </c>
      <c r="C216" s="35" t="s">
        <v>100</v>
      </c>
      <c r="D216" s="35" t="s">
        <v>101</v>
      </c>
      <c r="E216" s="16">
        <v>0</v>
      </c>
    </row>
    <row r="218" spans="1:133" x14ac:dyDescent="0.25">
      <c r="A218" s="57" t="s">
        <v>8</v>
      </c>
      <c r="B218" s="58" t="s">
        <v>9</v>
      </c>
      <c r="C218" s="34" t="s">
        <v>10</v>
      </c>
      <c r="D218" s="34" t="s">
        <v>340</v>
      </c>
      <c r="E218" s="16" t="s">
        <v>65</v>
      </c>
    </row>
    <row r="219" spans="1:133" ht="18" x14ac:dyDescent="0.25">
      <c r="A219" s="59" t="s">
        <v>102</v>
      </c>
      <c r="B219" s="25" t="s">
        <v>103</v>
      </c>
      <c r="C219" s="35" t="s">
        <v>104</v>
      </c>
      <c r="D219" s="53" t="s">
        <v>380</v>
      </c>
      <c r="E219" s="18">
        <f>ROUNDDOWN(E169+E200+E195+E212+E216,0)</f>
        <v>712</v>
      </c>
    </row>
    <row r="220" spans="1:133" s="166" customFormat="1" ht="38.4" customHeight="1" x14ac:dyDescent="0.25">
      <c r="A220" s="165" t="s">
        <v>224</v>
      </c>
    </row>
    <row r="221" spans="1:133" s="180" customFormat="1" ht="38.4" customHeight="1" x14ac:dyDescent="0.25">
      <c r="A221" s="180" t="s">
        <v>242</v>
      </c>
    </row>
    <row r="222" spans="1:133" s="56" customFormat="1" ht="31.2" x14ac:dyDescent="0.25">
      <c r="A222" s="92" t="s">
        <v>8</v>
      </c>
      <c r="B222" s="93" t="s">
        <v>9</v>
      </c>
      <c r="C222" s="94" t="s">
        <v>10</v>
      </c>
      <c r="D222" s="93" t="s">
        <v>341</v>
      </c>
      <c r="E222" s="93" t="s">
        <v>11</v>
      </c>
      <c r="F222" s="16" t="s">
        <v>292</v>
      </c>
      <c r="G222" s="16" t="s">
        <v>292</v>
      </c>
      <c r="H222" s="16" t="s">
        <v>292</v>
      </c>
      <c r="I222" s="16" t="s">
        <v>292</v>
      </c>
      <c r="J222" s="16" t="s">
        <v>292</v>
      </c>
      <c r="K222" s="16" t="s">
        <v>292</v>
      </c>
      <c r="L222" s="16" t="s">
        <v>292</v>
      </c>
      <c r="M222" s="16" t="s">
        <v>292</v>
      </c>
      <c r="N222" s="16" t="s">
        <v>302</v>
      </c>
      <c r="O222" s="16" t="s">
        <v>293</v>
      </c>
      <c r="P222" s="16" t="s">
        <v>294</v>
      </c>
      <c r="Q222" s="16" t="s">
        <v>295</v>
      </c>
      <c r="R222" s="54"/>
      <c r="S222" s="54"/>
      <c r="T222" s="54"/>
      <c r="U222" s="54"/>
      <c r="V222" s="54"/>
      <c r="W222" s="54"/>
      <c r="X222" s="54"/>
      <c r="Y222" s="54"/>
      <c r="Z222" s="54"/>
      <c r="AA222" s="54"/>
      <c r="AB222" s="54"/>
      <c r="AC222" s="54"/>
      <c r="AD222" s="54"/>
      <c r="AE222" s="54"/>
      <c r="AF222" s="54"/>
      <c r="AG222" s="54"/>
      <c r="AH222" s="54"/>
      <c r="AI222" s="54"/>
      <c r="AJ222" s="54"/>
      <c r="AK222" s="54"/>
      <c r="AL222" s="54"/>
      <c r="AM222" s="54"/>
      <c r="AN222" s="54"/>
      <c r="AO222" s="54"/>
      <c r="AP222" s="54"/>
      <c r="AQ222" s="54"/>
      <c r="AR222" s="54"/>
      <c r="AS222" s="54"/>
      <c r="AT222" s="54"/>
      <c r="AU222" s="54"/>
      <c r="AV222" s="54"/>
      <c r="AW222" s="54"/>
      <c r="AX222" s="54"/>
      <c r="AY222" s="54"/>
      <c r="AZ222" s="54"/>
      <c r="BA222" s="54"/>
      <c r="BB222" s="54"/>
      <c r="BC222" s="54"/>
      <c r="BD222" s="54"/>
      <c r="BE222" s="54"/>
      <c r="BF222" s="54"/>
      <c r="BG222" s="54"/>
      <c r="BH222" s="54"/>
      <c r="BI222" s="54"/>
      <c r="BJ222" s="54"/>
      <c r="BK222" s="54"/>
      <c r="BL222" s="54"/>
      <c r="BM222" s="54"/>
      <c r="BN222" s="54"/>
      <c r="BO222" s="54"/>
      <c r="BP222" s="54"/>
      <c r="BQ222" s="54"/>
      <c r="BR222" s="54"/>
      <c r="BS222" s="54"/>
      <c r="BT222" s="54"/>
      <c r="BU222" s="54"/>
      <c r="BV222" s="54"/>
      <c r="BW222" s="54"/>
      <c r="BX222" s="54"/>
      <c r="BY222" s="54"/>
      <c r="BZ222" s="54"/>
      <c r="CA222" s="54"/>
      <c r="CB222" s="54"/>
      <c r="CC222" s="54"/>
      <c r="CD222" s="54"/>
      <c r="CE222" s="54"/>
      <c r="CF222" s="54"/>
      <c r="CG222" s="54"/>
      <c r="CH222" s="54"/>
      <c r="CI222" s="54"/>
      <c r="CJ222" s="54"/>
      <c r="CK222" s="54"/>
      <c r="CL222" s="54"/>
      <c r="CM222" s="54"/>
      <c r="CN222" s="54"/>
      <c r="CO222" s="54"/>
      <c r="CP222" s="54"/>
      <c r="CQ222" s="54"/>
      <c r="CR222" s="54"/>
      <c r="CS222" s="54"/>
      <c r="CT222" s="54"/>
      <c r="CU222" s="54"/>
      <c r="CV222" s="54"/>
      <c r="CW222" s="54"/>
      <c r="CX222" s="54"/>
      <c r="CY222" s="54"/>
      <c r="CZ222" s="54"/>
      <c r="DA222" s="54"/>
      <c r="DB222" s="54"/>
      <c r="DC222" s="54"/>
      <c r="DD222" s="54"/>
      <c r="DE222" s="54"/>
      <c r="DF222" s="54"/>
      <c r="DG222" s="54"/>
      <c r="DH222" s="54"/>
      <c r="DI222" s="54"/>
      <c r="DJ222" s="54"/>
      <c r="DK222" s="54"/>
      <c r="DL222" s="54"/>
      <c r="DM222" s="54"/>
      <c r="DN222" s="54"/>
      <c r="DO222" s="54"/>
      <c r="DP222" s="54"/>
      <c r="DQ222" s="54"/>
      <c r="DR222" s="54"/>
      <c r="DS222" s="54"/>
      <c r="DT222" s="54"/>
      <c r="DU222" s="54"/>
      <c r="DV222" s="54"/>
      <c r="DW222" s="54"/>
      <c r="DX222" s="54"/>
      <c r="DY222" s="54"/>
      <c r="DZ222" s="54"/>
      <c r="EA222" s="54"/>
      <c r="EB222" s="54"/>
      <c r="EC222" s="54"/>
    </row>
    <row r="223" spans="1:133" s="56" customFormat="1" x14ac:dyDescent="0.25">
      <c r="A223" s="178" t="s">
        <v>12</v>
      </c>
      <c r="B223" s="178"/>
      <c r="C223" s="179"/>
      <c r="D223" s="179"/>
      <c r="E223" s="178"/>
      <c r="F223" s="16" t="s">
        <v>297</v>
      </c>
      <c r="G223" s="16" t="s">
        <v>297</v>
      </c>
      <c r="H223" s="16" t="s">
        <v>297</v>
      </c>
      <c r="I223" s="16" t="s">
        <v>297</v>
      </c>
      <c r="J223" s="16" t="s">
        <v>297</v>
      </c>
      <c r="K223" s="16" t="s">
        <v>297</v>
      </c>
      <c r="L223" s="16" t="s">
        <v>297</v>
      </c>
      <c r="M223" s="16" t="s">
        <v>297</v>
      </c>
      <c r="N223" s="16">
        <v>18</v>
      </c>
      <c r="O223" s="16">
        <v>31</v>
      </c>
      <c r="P223" s="16">
        <v>30</v>
      </c>
      <c r="Q223" s="16">
        <v>31</v>
      </c>
      <c r="R223" s="54"/>
      <c r="S223" s="54"/>
      <c r="T223" s="54"/>
      <c r="U223" s="54"/>
      <c r="V223" s="54"/>
      <c r="W223" s="54"/>
      <c r="X223" s="54"/>
      <c r="Y223" s="54"/>
      <c r="Z223" s="54"/>
      <c r="AA223" s="54"/>
      <c r="AB223" s="54"/>
      <c r="AC223" s="54"/>
      <c r="AD223" s="54"/>
      <c r="AE223" s="54"/>
      <c r="AF223" s="54"/>
      <c r="AG223" s="54"/>
      <c r="AH223" s="54"/>
      <c r="AI223" s="54"/>
      <c r="AJ223" s="54"/>
      <c r="AK223" s="54"/>
      <c r="AL223" s="54"/>
      <c r="AM223" s="54"/>
      <c r="AN223" s="54"/>
      <c r="AO223" s="54"/>
      <c r="AP223" s="54"/>
      <c r="AQ223" s="54"/>
      <c r="AR223" s="54"/>
      <c r="AS223" s="54"/>
      <c r="AT223" s="54"/>
      <c r="AU223" s="54"/>
      <c r="AV223" s="54"/>
      <c r="AW223" s="54"/>
      <c r="AX223" s="54"/>
      <c r="AY223" s="54"/>
      <c r="AZ223" s="54"/>
      <c r="BA223" s="54"/>
      <c r="BB223" s="54"/>
      <c r="BC223" s="54"/>
      <c r="BD223" s="54"/>
      <c r="BE223" s="54"/>
      <c r="BF223" s="54"/>
      <c r="BG223" s="54"/>
      <c r="BH223" s="54"/>
      <c r="BI223" s="54"/>
      <c r="BJ223" s="54"/>
      <c r="BK223" s="54"/>
      <c r="BL223" s="54"/>
      <c r="BM223" s="54"/>
      <c r="BN223" s="54"/>
      <c r="BO223" s="54"/>
      <c r="BP223" s="54"/>
      <c r="BQ223" s="54"/>
      <c r="BR223" s="54"/>
      <c r="BS223" s="54"/>
      <c r="BT223" s="54"/>
      <c r="BU223" s="54"/>
      <c r="BV223" s="54"/>
      <c r="BW223" s="54"/>
      <c r="BX223" s="54"/>
      <c r="BY223" s="54"/>
      <c r="BZ223" s="54"/>
      <c r="CA223" s="54"/>
      <c r="CB223" s="54"/>
      <c r="CC223" s="54"/>
      <c r="CD223" s="54"/>
      <c r="CE223" s="54"/>
      <c r="CF223" s="54"/>
      <c r="CG223" s="54"/>
      <c r="CH223" s="54"/>
      <c r="CI223" s="54"/>
      <c r="CJ223" s="54"/>
      <c r="CK223" s="54"/>
      <c r="CL223" s="54"/>
      <c r="CM223" s="54"/>
      <c r="CN223" s="54"/>
      <c r="CO223" s="54"/>
      <c r="CP223" s="54"/>
      <c r="CQ223" s="54"/>
      <c r="CR223" s="54"/>
      <c r="CS223" s="54"/>
      <c r="CT223" s="54"/>
      <c r="CU223" s="54"/>
      <c r="CV223" s="54"/>
      <c r="CW223" s="54"/>
      <c r="CX223" s="54"/>
      <c r="CY223" s="54"/>
      <c r="CZ223" s="54"/>
      <c r="DA223" s="54"/>
      <c r="DB223" s="54"/>
      <c r="DC223" s="54"/>
      <c r="DD223" s="54"/>
      <c r="DE223" s="54"/>
      <c r="DF223" s="54"/>
      <c r="DG223" s="54"/>
      <c r="DH223" s="54"/>
      <c r="DI223" s="54"/>
      <c r="DJ223" s="54"/>
      <c r="DK223" s="54"/>
      <c r="DL223" s="54"/>
      <c r="DM223" s="54"/>
      <c r="DN223" s="54"/>
      <c r="DO223" s="54"/>
      <c r="DP223" s="54"/>
      <c r="DQ223" s="54"/>
      <c r="DR223" s="54"/>
      <c r="DS223" s="54"/>
      <c r="DT223" s="54"/>
      <c r="DU223" s="54"/>
      <c r="DV223" s="54"/>
      <c r="DW223" s="54"/>
      <c r="DX223" s="54"/>
      <c r="DY223" s="54"/>
      <c r="DZ223" s="54"/>
      <c r="EA223" s="54"/>
      <c r="EB223" s="54"/>
      <c r="EC223" s="54"/>
    </row>
    <row r="224" spans="1:133" ht="46.8" x14ac:dyDescent="0.25">
      <c r="A224" s="59" t="s">
        <v>13</v>
      </c>
      <c r="B224" s="60" t="s">
        <v>14</v>
      </c>
      <c r="C224" s="53" t="s">
        <v>15</v>
      </c>
      <c r="D224" s="53" t="s">
        <v>369</v>
      </c>
      <c r="E224" s="61">
        <f>SUM(F224:Q224)</f>
        <v>1192.8499436961579</v>
      </c>
      <c r="F224" s="62" t="s">
        <v>297</v>
      </c>
      <c r="G224" s="62" t="s">
        <v>297</v>
      </c>
      <c r="H224" s="62" t="s">
        <v>297</v>
      </c>
      <c r="I224" s="62" t="s">
        <v>297</v>
      </c>
      <c r="J224" s="62" t="s">
        <v>297</v>
      </c>
      <c r="K224" s="62" t="s">
        <v>297</v>
      </c>
      <c r="L224" s="62" t="s">
        <v>297</v>
      </c>
      <c r="M224" s="62" t="s">
        <v>297</v>
      </c>
      <c r="N224" s="62">
        <f>$E$225*$E$226*N227*$E$238</f>
        <v>201.08397808786182</v>
      </c>
      <c r="O224" s="62">
        <f t="shared" ref="O224:Q224" si="30">$E$225*$E$226*O227*$E$238</f>
        <v>346.52638545659977</v>
      </c>
      <c r="P224" s="62">
        <f t="shared" si="30"/>
        <v>317.43229247100038</v>
      </c>
      <c r="Q224" s="62">
        <f t="shared" si="30"/>
        <v>327.80728768069599</v>
      </c>
    </row>
    <row r="225" spans="1:17" ht="31.2" x14ac:dyDescent="0.25">
      <c r="A225" s="63" t="s">
        <v>16</v>
      </c>
      <c r="B225" s="60" t="s">
        <v>193</v>
      </c>
      <c r="C225" s="35" t="s">
        <v>17</v>
      </c>
      <c r="D225" s="35" t="s">
        <v>205</v>
      </c>
      <c r="E225" s="176">
        <v>28</v>
      </c>
      <c r="F225" s="176"/>
      <c r="G225" s="176"/>
      <c r="H225" s="176"/>
      <c r="I225" s="176"/>
      <c r="J225" s="176"/>
      <c r="K225" s="176"/>
      <c r="L225" s="176"/>
      <c r="M225" s="176"/>
      <c r="N225" s="176"/>
      <c r="O225" s="176"/>
      <c r="P225" s="176"/>
      <c r="Q225" s="176"/>
    </row>
    <row r="226" spans="1:17" ht="64.8" x14ac:dyDescent="0.25">
      <c r="A226" s="63" t="s">
        <v>18</v>
      </c>
      <c r="B226" s="25" t="s">
        <v>194</v>
      </c>
      <c r="C226" s="35" t="s">
        <v>20</v>
      </c>
      <c r="D226" s="35" t="s">
        <v>394</v>
      </c>
      <c r="E226" s="176">
        <v>0.21</v>
      </c>
      <c r="F226" s="176"/>
      <c r="G226" s="176"/>
      <c r="H226" s="176"/>
      <c r="I226" s="176"/>
      <c r="J226" s="176"/>
      <c r="K226" s="176"/>
      <c r="L226" s="176"/>
      <c r="M226" s="176"/>
      <c r="N226" s="176"/>
      <c r="O226" s="176"/>
      <c r="P226" s="176"/>
      <c r="Q226" s="176"/>
    </row>
    <row r="227" spans="1:17" ht="46.8" x14ac:dyDescent="0.25">
      <c r="A227" s="35" t="s">
        <v>21</v>
      </c>
      <c r="B227" s="25" t="s">
        <v>195</v>
      </c>
      <c r="C227" s="53" t="s">
        <v>22</v>
      </c>
      <c r="D227" s="53" t="s">
        <v>370</v>
      </c>
      <c r="E227" s="64">
        <f t="shared" ref="E227:Q227" si="31">E235*E228</f>
        <v>419.58166776021613</v>
      </c>
      <c r="F227" s="64" t="s">
        <v>297</v>
      </c>
      <c r="G227" s="64" t="s">
        <v>297</v>
      </c>
      <c r="H227" s="64" t="s">
        <v>297</v>
      </c>
      <c r="I227" s="64" t="s">
        <v>297</v>
      </c>
      <c r="J227" s="64" t="s">
        <v>297</v>
      </c>
      <c r="K227" s="64" t="s">
        <v>297</v>
      </c>
      <c r="L227" s="64" t="s">
        <v>297</v>
      </c>
      <c r="M227" s="64" t="s">
        <v>297</v>
      </c>
      <c r="N227" s="64">
        <f t="shared" si="31"/>
        <v>70.730733007818117</v>
      </c>
      <c r="O227" s="64">
        <f t="shared" si="31"/>
        <v>121.88969744365001</v>
      </c>
      <c r="P227" s="64">
        <f t="shared" si="31"/>
        <v>111.65593072271361</v>
      </c>
      <c r="Q227" s="64">
        <f t="shared" si="31"/>
        <v>115.3053065860344</v>
      </c>
    </row>
    <row r="228" spans="1:17" ht="46.8" x14ac:dyDescent="0.25">
      <c r="A228" s="35" t="s">
        <v>23</v>
      </c>
      <c r="B228" s="25" t="s">
        <v>197</v>
      </c>
      <c r="C228" s="35" t="s">
        <v>191</v>
      </c>
      <c r="D228" s="35" t="s">
        <v>371</v>
      </c>
      <c r="E228" s="20">
        <f>SUM(F228:Q228)</f>
        <v>441.75984414987153</v>
      </c>
      <c r="F228" s="20" t="s">
        <v>297</v>
      </c>
      <c r="G228" s="20" t="s">
        <v>297</v>
      </c>
      <c r="H228" s="20" t="s">
        <v>297</v>
      </c>
      <c r="I228" s="20" t="s">
        <v>297</v>
      </c>
      <c r="J228" s="20" t="s">
        <v>297</v>
      </c>
      <c r="K228" s="20" t="s">
        <v>297</v>
      </c>
      <c r="L228" s="20" t="s">
        <v>297</v>
      </c>
      <c r="M228" s="20" t="s">
        <v>297</v>
      </c>
      <c r="N228" s="20">
        <f t="shared" ref="N228:Q228" si="32">N230*N233</f>
        <v>74.469406056120803</v>
      </c>
      <c r="O228" s="20">
        <f t="shared" si="32"/>
        <v>128.33252232781985</v>
      </c>
      <c r="P228" s="20">
        <f t="shared" si="32"/>
        <v>117.5578209071405</v>
      </c>
      <c r="Q228" s="20">
        <f t="shared" si="32"/>
        <v>121.4000948587904</v>
      </c>
    </row>
    <row r="229" spans="1:17" ht="62.4" x14ac:dyDescent="0.25">
      <c r="A229" s="17" t="s">
        <v>334</v>
      </c>
      <c r="B229" s="60" t="s">
        <v>192</v>
      </c>
      <c r="C229" s="35" t="s">
        <v>25</v>
      </c>
      <c r="D229" s="35" t="s">
        <v>333</v>
      </c>
      <c r="E229" s="121">
        <f>AVERAGE(N229:Q229)</f>
        <v>8602.7387841397849</v>
      </c>
      <c r="F229" s="20" t="s">
        <v>297</v>
      </c>
      <c r="G229" s="20" t="s">
        <v>297</v>
      </c>
      <c r="H229" s="20" t="s">
        <v>297</v>
      </c>
      <c r="I229" s="20" t="s">
        <v>297</v>
      </c>
      <c r="J229" s="20" t="s">
        <v>297</v>
      </c>
      <c r="K229" s="20" t="s">
        <v>297</v>
      </c>
      <c r="L229" s="20" t="s">
        <v>297</v>
      </c>
      <c r="M229" s="20" t="s">
        <v>297</v>
      </c>
      <c r="N229" s="121">
        <v>8841.2761666666647</v>
      </c>
      <c r="O229" s="121">
        <v>8844.5969677419362</v>
      </c>
      <c r="P229" s="121">
        <v>8362.1300666666648</v>
      </c>
      <c r="Q229" s="121">
        <v>8362.9519354838758</v>
      </c>
    </row>
    <row r="230" spans="1:17" ht="46.8" x14ac:dyDescent="0.25">
      <c r="A230" s="35" t="s">
        <v>26</v>
      </c>
      <c r="B230" s="60" t="s">
        <v>198</v>
      </c>
      <c r="C230" s="35" t="s">
        <v>27</v>
      </c>
      <c r="D230" s="35" t="s">
        <v>206</v>
      </c>
      <c r="E230" s="65">
        <f>SUM(N230:Q230)</f>
        <v>943440.88900000008</v>
      </c>
      <c r="F230" s="65" t="s">
        <v>297</v>
      </c>
      <c r="G230" s="65" t="s">
        <v>297</v>
      </c>
      <c r="H230" s="65" t="s">
        <v>297</v>
      </c>
      <c r="I230" s="65" t="s">
        <v>297</v>
      </c>
      <c r="J230" s="65" t="s">
        <v>297</v>
      </c>
      <c r="K230" s="65" t="s">
        <v>297</v>
      </c>
      <c r="L230" s="65" t="s">
        <v>297</v>
      </c>
      <c r="M230" s="65" t="s">
        <v>297</v>
      </c>
      <c r="N230" s="65">
        <f t="shared" ref="N230:Q230" si="33">N229*N223</f>
        <v>159142.97099999996</v>
      </c>
      <c r="O230" s="65">
        <f t="shared" si="33"/>
        <v>274182.50599999999</v>
      </c>
      <c r="P230" s="65">
        <f t="shared" si="33"/>
        <v>250863.90199999994</v>
      </c>
      <c r="Q230" s="65">
        <f t="shared" si="33"/>
        <v>259251.51000000015</v>
      </c>
    </row>
    <row r="231" spans="1:17" ht="62.4" x14ac:dyDescent="0.25">
      <c r="A231" s="35" t="s">
        <v>28</v>
      </c>
      <c r="B231" s="60" t="s">
        <v>199</v>
      </c>
      <c r="C231" s="35" t="s">
        <v>29</v>
      </c>
      <c r="D231" s="35" t="s">
        <v>332</v>
      </c>
      <c r="E231" s="125">
        <f>AVERAGE(N231:Q231)</f>
        <v>468.21970878136193</v>
      </c>
      <c r="F231" s="66" t="s">
        <v>297</v>
      </c>
      <c r="G231" s="66" t="s">
        <v>297</v>
      </c>
      <c r="H231" s="66" t="s">
        <v>297</v>
      </c>
      <c r="I231" s="66" t="s">
        <v>297</v>
      </c>
      <c r="J231" s="66" t="s">
        <v>297</v>
      </c>
      <c r="K231" s="66" t="s">
        <v>297</v>
      </c>
      <c r="L231" s="66" t="s">
        <v>297</v>
      </c>
      <c r="M231" s="66" t="s">
        <v>297</v>
      </c>
      <c r="N231" s="126">
        <v>467.94027777777774</v>
      </c>
      <c r="O231" s="126">
        <v>468.05510752688161</v>
      </c>
      <c r="P231" s="126">
        <v>468.6119444444443</v>
      </c>
      <c r="Q231" s="126">
        <v>468.27150537634412</v>
      </c>
    </row>
    <row r="232" spans="1:17" ht="62.4" x14ac:dyDescent="0.25">
      <c r="A232" s="35" t="s">
        <v>30</v>
      </c>
      <c r="B232" s="60" t="s">
        <v>199</v>
      </c>
      <c r="C232" s="35" t="s">
        <v>31</v>
      </c>
      <c r="D232" s="35" t="s">
        <v>331</v>
      </c>
      <c r="E232" s="125">
        <f>AVERAGE(N232:Q232)</f>
        <v>22.300104540023895</v>
      </c>
      <c r="F232" s="65" t="s">
        <v>297</v>
      </c>
      <c r="G232" s="65" t="s">
        <v>297</v>
      </c>
      <c r="H232" s="65" t="s">
        <v>297</v>
      </c>
      <c r="I232" s="65" t="s">
        <v>297</v>
      </c>
      <c r="J232" s="65" t="s">
        <v>297</v>
      </c>
      <c r="K232" s="65" t="s">
        <v>297</v>
      </c>
      <c r="L232" s="65" t="s">
        <v>297</v>
      </c>
      <c r="M232" s="65" t="s">
        <v>297</v>
      </c>
      <c r="N232" s="126">
        <v>22.108796296296294</v>
      </c>
      <c r="O232" s="126">
        <v>22.249731182795703</v>
      </c>
      <c r="P232" s="126">
        <v>22.948611111111113</v>
      </c>
      <c r="Q232" s="126">
        <v>21.893279569892471</v>
      </c>
    </row>
    <row r="233" spans="1:17" ht="62.4" x14ac:dyDescent="0.25">
      <c r="A233" s="35" t="s">
        <v>32</v>
      </c>
      <c r="B233" s="60" t="s">
        <v>200</v>
      </c>
      <c r="C233" s="35" t="s">
        <v>34</v>
      </c>
      <c r="D233" s="35" t="s">
        <v>338</v>
      </c>
      <c r="E233" s="122">
        <f>E231/1000000</f>
        <v>4.6821970878136191E-4</v>
      </c>
      <c r="F233" s="22" t="s">
        <v>297</v>
      </c>
      <c r="G233" s="22" t="s">
        <v>297</v>
      </c>
      <c r="H233" s="22" t="s">
        <v>297</v>
      </c>
      <c r="I233" s="22" t="s">
        <v>297</v>
      </c>
      <c r="J233" s="22" t="s">
        <v>297</v>
      </c>
      <c r="K233" s="22" t="s">
        <v>297</v>
      </c>
      <c r="L233" s="22" t="s">
        <v>297</v>
      </c>
      <c r="M233" s="22" t="s">
        <v>297</v>
      </c>
      <c r="N233" s="120">
        <f t="shared" ref="N233:Q233" si="34">N231/1000000</f>
        <v>4.6794027777777774E-4</v>
      </c>
      <c r="O233" s="120">
        <f t="shared" si="34"/>
        <v>4.6805510752688159E-4</v>
      </c>
      <c r="P233" s="120">
        <f t="shared" si="34"/>
        <v>4.6861194444444433E-4</v>
      </c>
      <c r="Q233" s="120">
        <f t="shared" si="34"/>
        <v>4.682715053763441E-4</v>
      </c>
    </row>
    <row r="234" spans="1:17" ht="62.4" x14ac:dyDescent="0.25">
      <c r="A234" s="35" t="s">
        <v>30</v>
      </c>
      <c r="B234" s="60" t="s">
        <v>33</v>
      </c>
      <c r="C234" s="35" t="s">
        <v>35</v>
      </c>
      <c r="D234" s="35" t="s">
        <v>339</v>
      </c>
      <c r="E234" s="122">
        <f>E232/1000000</f>
        <v>2.2300104540023895E-5</v>
      </c>
      <c r="F234" s="22" t="s">
        <v>297</v>
      </c>
      <c r="G234" s="22" t="s">
        <v>297</v>
      </c>
      <c r="H234" s="22" t="s">
        <v>297</v>
      </c>
      <c r="I234" s="22" t="s">
        <v>297</v>
      </c>
      <c r="J234" s="22" t="s">
        <v>297</v>
      </c>
      <c r="K234" s="22" t="s">
        <v>297</v>
      </c>
      <c r="L234" s="22" t="s">
        <v>297</v>
      </c>
      <c r="M234" s="22" t="s">
        <v>297</v>
      </c>
      <c r="N234" s="120">
        <f t="shared" ref="N234:Q234" si="35">N232/1000000</f>
        <v>2.2108796296296296E-5</v>
      </c>
      <c r="O234" s="120">
        <f t="shared" si="35"/>
        <v>2.2249731182795703E-5</v>
      </c>
      <c r="P234" s="120">
        <f t="shared" si="35"/>
        <v>2.2948611111111111E-5</v>
      </c>
      <c r="Q234" s="120">
        <f t="shared" si="35"/>
        <v>2.1893279569892469E-5</v>
      </c>
    </row>
    <row r="235" spans="1:17" ht="46.8" x14ac:dyDescent="0.25">
      <c r="A235" s="63" t="s">
        <v>36</v>
      </c>
      <c r="B235" s="25" t="s">
        <v>201</v>
      </c>
      <c r="C235" s="35" t="s">
        <v>38</v>
      </c>
      <c r="D235" s="35" t="s">
        <v>368</v>
      </c>
      <c r="E235" s="68">
        <f>(1-(E236/E237))</f>
        <v>0.94979585246745235</v>
      </c>
      <c r="F235" s="68" t="s">
        <v>297</v>
      </c>
      <c r="G235" s="68" t="s">
        <v>297</v>
      </c>
      <c r="H235" s="68" t="s">
        <v>297</v>
      </c>
      <c r="I235" s="68" t="s">
        <v>297</v>
      </c>
      <c r="J235" s="68" t="s">
        <v>297</v>
      </c>
      <c r="K235" s="68" t="s">
        <v>297</v>
      </c>
      <c r="L235" s="68" t="s">
        <v>297</v>
      </c>
      <c r="M235" s="68" t="s">
        <v>297</v>
      </c>
      <c r="N235" s="68">
        <f>E235</f>
        <v>0.94979585246745235</v>
      </c>
      <c r="O235" s="68">
        <f>E235</f>
        <v>0.94979585246745235</v>
      </c>
      <c r="P235" s="68">
        <f>E235</f>
        <v>0.94979585246745235</v>
      </c>
      <c r="Q235" s="68">
        <f>E235</f>
        <v>0.94979585246745235</v>
      </c>
    </row>
    <row r="236" spans="1:17" ht="31.2" x14ac:dyDescent="0.25">
      <c r="A236" s="35" t="s">
        <v>39</v>
      </c>
      <c r="B236" s="25" t="s">
        <v>196</v>
      </c>
      <c r="C236" s="35" t="s">
        <v>40</v>
      </c>
      <c r="D236" s="35" t="s">
        <v>351</v>
      </c>
      <c r="E236" s="52">
        <f>SUM(F236:Q236)</f>
        <v>21.430143646999998</v>
      </c>
      <c r="F236" s="52" t="s">
        <v>297</v>
      </c>
      <c r="G236" s="52" t="s">
        <v>297</v>
      </c>
      <c r="H236" s="52" t="s">
        <v>297</v>
      </c>
      <c r="I236" s="52" t="s">
        <v>297</v>
      </c>
      <c r="J236" s="52" t="s">
        <v>297</v>
      </c>
      <c r="K236" s="52" t="s">
        <v>297</v>
      </c>
      <c r="L236" s="52" t="s">
        <v>297</v>
      </c>
      <c r="M236" s="52" t="s">
        <v>297</v>
      </c>
      <c r="N236" s="52">
        <v>3.5067507785999998</v>
      </c>
      <c r="O236" s="52">
        <v>6.0394041186999994</v>
      </c>
      <c r="P236" s="52">
        <v>5.844584631</v>
      </c>
      <c r="Q236" s="52">
        <v>6.0394041186999994</v>
      </c>
    </row>
    <row r="237" spans="1:17" ht="31.2" x14ac:dyDescent="0.25">
      <c r="A237" s="63" t="s">
        <v>41</v>
      </c>
      <c r="B237" s="25" t="s">
        <v>24</v>
      </c>
      <c r="C237" s="35" t="s">
        <v>42</v>
      </c>
      <c r="D237" s="35" t="s">
        <v>351</v>
      </c>
      <c r="E237" s="52">
        <f>SUM(F237:Q237)</f>
        <v>426.86002452499997</v>
      </c>
      <c r="F237" s="52" t="s">
        <v>297</v>
      </c>
      <c r="G237" s="52" t="s">
        <v>297</v>
      </c>
      <c r="H237" s="52" t="s">
        <v>297</v>
      </c>
      <c r="I237" s="52" t="s">
        <v>297</v>
      </c>
      <c r="J237" s="52" t="s">
        <v>297</v>
      </c>
      <c r="K237" s="52" t="s">
        <v>297</v>
      </c>
      <c r="L237" s="52" t="s">
        <v>297</v>
      </c>
      <c r="M237" s="52" t="s">
        <v>297</v>
      </c>
      <c r="N237" s="52">
        <v>69.849822195000002</v>
      </c>
      <c r="O237" s="52">
        <v>120.29691600250001</v>
      </c>
      <c r="P237" s="52">
        <v>116.416370325</v>
      </c>
      <c r="Q237" s="52">
        <v>120.29691600250001</v>
      </c>
    </row>
    <row r="238" spans="1:17" ht="31.2" x14ac:dyDescent="0.25">
      <c r="A238" s="53" t="s">
        <v>43</v>
      </c>
      <c r="B238" s="25" t="s">
        <v>201</v>
      </c>
      <c r="C238" s="53" t="s">
        <v>44</v>
      </c>
      <c r="D238" s="35" t="s">
        <v>372</v>
      </c>
      <c r="E238" s="177">
        <f>E239*E240*0.89</f>
        <v>0.48349499577983074</v>
      </c>
      <c r="F238" s="177"/>
      <c r="G238" s="177"/>
      <c r="H238" s="177"/>
      <c r="I238" s="177"/>
      <c r="J238" s="177"/>
      <c r="K238" s="177"/>
      <c r="L238" s="177"/>
      <c r="M238" s="177"/>
      <c r="N238" s="177"/>
      <c r="O238" s="177"/>
      <c r="P238" s="177"/>
      <c r="Q238" s="177"/>
    </row>
    <row r="239" spans="1:17" ht="31.2" x14ac:dyDescent="0.25">
      <c r="A239" s="70" t="s">
        <v>45</v>
      </c>
      <c r="B239" s="25" t="s">
        <v>201</v>
      </c>
      <c r="C239" s="53" t="s">
        <v>46</v>
      </c>
      <c r="D239" s="35" t="s">
        <v>373</v>
      </c>
      <c r="E239" s="162">
        <v>0.7</v>
      </c>
      <c r="F239" s="163"/>
      <c r="G239" s="163"/>
      <c r="H239" s="163"/>
      <c r="I239" s="163"/>
      <c r="J239" s="163"/>
      <c r="K239" s="163"/>
      <c r="L239" s="163"/>
      <c r="M239" s="163"/>
      <c r="N239" s="163"/>
      <c r="O239" s="163"/>
      <c r="P239" s="163"/>
      <c r="Q239" s="164"/>
    </row>
    <row r="240" spans="1:17" ht="36" customHeight="1" x14ac:dyDescent="0.25">
      <c r="A240" s="70" t="s">
        <v>47</v>
      </c>
      <c r="B240" s="25" t="s">
        <v>37</v>
      </c>
      <c r="C240" s="53" t="s">
        <v>48</v>
      </c>
      <c r="D240" s="35" t="s">
        <v>374</v>
      </c>
      <c r="E240" s="159">
        <f>(N241*N246+O241*O246+P241*P246+Q241*Q246)/(N235*N233*N230+O235*O230*O233+P235*P233*P230+Q235*Q233*Q230)</f>
        <v>0.77607543463857265</v>
      </c>
      <c r="F240" s="160"/>
      <c r="G240" s="160"/>
      <c r="H240" s="160"/>
      <c r="I240" s="160"/>
      <c r="J240" s="160"/>
      <c r="K240" s="160"/>
      <c r="L240" s="160"/>
      <c r="M240" s="160"/>
      <c r="N240" s="160"/>
      <c r="O240" s="160"/>
      <c r="P240" s="160"/>
      <c r="Q240" s="161"/>
    </row>
    <row r="241" spans="1:133" s="9" customFormat="1" ht="46.8" x14ac:dyDescent="0.4">
      <c r="A241" s="71" t="s">
        <v>49</v>
      </c>
      <c r="B241" s="25" t="s">
        <v>37</v>
      </c>
      <c r="C241" s="53" t="s">
        <v>50</v>
      </c>
      <c r="D241" s="53" t="s">
        <v>375</v>
      </c>
      <c r="E241" s="72">
        <f>AVERAGE(F241:Q241)</f>
        <v>0.58075944952101688</v>
      </c>
      <c r="F241" s="72" t="s">
        <v>297</v>
      </c>
      <c r="G241" s="72" t="s">
        <v>297</v>
      </c>
      <c r="H241" s="72" t="s">
        <v>297</v>
      </c>
      <c r="I241" s="72" t="s">
        <v>297</v>
      </c>
      <c r="J241" s="72" t="s">
        <v>297</v>
      </c>
      <c r="K241" s="72" t="s">
        <v>297</v>
      </c>
      <c r="L241" s="72" t="s">
        <v>297</v>
      </c>
      <c r="M241" s="72" t="s">
        <v>297</v>
      </c>
      <c r="N241" s="72">
        <f t="shared" ref="N241:Q241" si="36">IF(N245&lt;283,0,IF(N245&gt;303,1,EXP(($E$23*(N245-$E$24))/($E$25*$E$24*N245))))</f>
        <v>0.84523513966163832</v>
      </c>
      <c r="O241" s="72">
        <f t="shared" si="36"/>
        <v>0.62729263560178183</v>
      </c>
      <c r="P241" s="72">
        <f t="shared" si="36"/>
        <v>0.52733825786216582</v>
      </c>
      <c r="Q241" s="72">
        <f t="shared" si="36"/>
        <v>0.32317176495848171</v>
      </c>
      <c r="R241" s="78"/>
      <c r="S241" s="78"/>
      <c r="T241" s="78"/>
      <c r="U241" s="78"/>
      <c r="V241" s="78"/>
      <c r="W241" s="78"/>
      <c r="X241" s="78"/>
      <c r="Y241" s="78"/>
      <c r="Z241" s="78"/>
      <c r="AA241" s="78"/>
      <c r="AB241" s="78"/>
      <c r="AC241" s="78"/>
      <c r="AD241" s="78"/>
      <c r="AE241" s="78"/>
      <c r="AF241" s="78"/>
      <c r="AG241" s="78"/>
      <c r="AH241" s="78"/>
      <c r="AI241" s="78"/>
      <c r="AJ241" s="78"/>
      <c r="AK241" s="78"/>
      <c r="AL241" s="78"/>
      <c r="AM241" s="78"/>
      <c r="AN241" s="78"/>
      <c r="AO241" s="78"/>
      <c r="AP241" s="78"/>
      <c r="AQ241" s="78"/>
      <c r="AR241" s="78"/>
      <c r="AS241" s="78"/>
      <c r="AT241" s="78"/>
      <c r="AU241" s="78"/>
      <c r="AV241" s="78"/>
      <c r="AW241" s="78"/>
      <c r="AX241" s="78"/>
      <c r="AY241" s="78"/>
      <c r="AZ241" s="78"/>
      <c r="BA241" s="78"/>
      <c r="BB241" s="78"/>
      <c r="BC241" s="78"/>
      <c r="BD241" s="78"/>
      <c r="BE241" s="78"/>
      <c r="BF241" s="78"/>
      <c r="BG241" s="78"/>
      <c r="BH241" s="78"/>
      <c r="BI241" s="78"/>
      <c r="BJ241" s="78"/>
      <c r="BK241" s="78"/>
      <c r="BL241" s="78"/>
      <c r="BM241" s="78"/>
      <c r="BN241" s="78"/>
      <c r="BO241" s="78"/>
      <c r="BP241" s="78"/>
      <c r="BQ241" s="78"/>
      <c r="BR241" s="78"/>
      <c r="BS241" s="78"/>
      <c r="BT241" s="78"/>
      <c r="BU241" s="78"/>
      <c r="BV241" s="78"/>
      <c r="BW241" s="78"/>
      <c r="BX241" s="78"/>
      <c r="BY241" s="78"/>
      <c r="BZ241" s="78"/>
      <c r="CA241" s="78"/>
      <c r="CB241" s="78"/>
      <c r="CC241" s="78"/>
      <c r="CD241" s="78"/>
      <c r="CE241" s="78"/>
      <c r="CF241" s="78"/>
      <c r="CG241" s="78"/>
      <c r="CH241" s="78"/>
      <c r="CI241" s="78"/>
      <c r="CJ241" s="78"/>
      <c r="CK241" s="78"/>
      <c r="CL241" s="78"/>
      <c r="CM241" s="78"/>
      <c r="CN241" s="78"/>
      <c r="CO241" s="78"/>
      <c r="CP241" s="78"/>
      <c r="CQ241" s="78"/>
      <c r="CR241" s="78"/>
      <c r="CS241" s="78"/>
      <c r="CT241" s="78"/>
      <c r="CU241" s="78"/>
      <c r="CV241" s="78"/>
      <c r="CW241" s="78"/>
      <c r="CX241" s="78"/>
      <c r="CY241" s="78"/>
      <c r="CZ241" s="78"/>
      <c r="DA241" s="78"/>
      <c r="DB241" s="78"/>
      <c r="DC241" s="78"/>
      <c r="DD241" s="78"/>
      <c r="DE241" s="78"/>
      <c r="DF241" s="78"/>
      <c r="DG241" s="78"/>
      <c r="DH241" s="78"/>
      <c r="DI241" s="78"/>
      <c r="DJ241" s="78"/>
      <c r="DK241" s="78"/>
      <c r="DL241" s="78"/>
      <c r="DM241" s="78"/>
      <c r="DN241" s="78"/>
      <c r="DO241" s="78"/>
      <c r="DP241" s="78"/>
      <c r="DQ241" s="78"/>
      <c r="DR241" s="78"/>
      <c r="DS241" s="78"/>
      <c r="DT241" s="78"/>
      <c r="DU241" s="78"/>
      <c r="DV241" s="78"/>
      <c r="DW241" s="78"/>
      <c r="DX241" s="78"/>
      <c r="DY241" s="78"/>
      <c r="DZ241" s="78"/>
      <c r="EA241" s="78"/>
      <c r="EB241" s="78"/>
      <c r="EC241" s="78"/>
    </row>
    <row r="242" spans="1:133" s="9" customFormat="1" x14ac:dyDescent="0.25">
      <c r="A242" s="73" t="s">
        <v>51</v>
      </c>
      <c r="B242" s="60" t="s">
        <v>202</v>
      </c>
      <c r="C242" s="53" t="s">
        <v>53</v>
      </c>
      <c r="D242" s="53" t="s">
        <v>376</v>
      </c>
      <c r="E242" s="162">
        <v>15175</v>
      </c>
      <c r="F242" s="163"/>
      <c r="G242" s="163"/>
      <c r="H242" s="163"/>
      <c r="I242" s="163"/>
      <c r="J242" s="163"/>
      <c r="K242" s="163"/>
      <c r="L242" s="163"/>
      <c r="M242" s="163"/>
      <c r="N242" s="163"/>
      <c r="O242" s="163"/>
      <c r="P242" s="163"/>
      <c r="Q242" s="164"/>
      <c r="R242" s="78"/>
      <c r="S242" s="78"/>
      <c r="T242" s="78"/>
      <c r="U242" s="78"/>
      <c r="V242" s="78"/>
      <c r="W242" s="78"/>
      <c r="X242" s="78"/>
      <c r="Y242" s="78"/>
      <c r="Z242" s="78"/>
      <c r="AA242" s="78"/>
      <c r="AB242" s="78"/>
      <c r="AC242" s="78"/>
      <c r="AD242" s="78"/>
      <c r="AE242" s="78"/>
      <c r="AF242" s="78"/>
      <c r="AG242" s="78"/>
      <c r="AH242" s="78"/>
      <c r="AI242" s="78"/>
      <c r="AJ242" s="78"/>
      <c r="AK242" s="78"/>
      <c r="AL242" s="78"/>
      <c r="AM242" s="78"/>
      <c r="AN242" s="78"/>
      <c r="AO242" s="78"/>
      <c r="AP242" s="78"/>
      <c r="AQ242" s="78"/>
      <c r="AR242" s="78"/>
      <c r="AS242" s="78"/>
      <c r="AT242" s="78"/>
      <c r="AU242" s="78"/>
      <c r="AV242" s="78"/>
      <c r="AW242" s="78"/>
      <c r="AX242" s="78"/>
      <c r="AY242" s="78"/>
      <c r="AZ242" s="78"/>
      <c r="BA242" s="78"/>
      <c r="BB242" s="78"/>
      <c r="BC242" s="78"/>
      <c r="BD242" s="78"/>
      <c r="BE242" s="78"/>
      <c r="BF242" s="78"/>
      <c r="BG242" s="78"/>
      <c r="BH242" s="78"/>
      <c r="BI242" s="78"/>
      <c r="BJ242" s="78"/>
      <c r="BK242" s="78"/>
      <c r="BL242" s="78"/>
      <c r="BM242" s="78"/>
      <c r="BN242" s="78"/>
      <c r="BO242" s="78"/>
      <c r="BP242" s="78"/>
      <c r="BQ242" s="78"/>
      <c r="BR242" s="78"/>
      <c r="BS242" s="78"/>
      <c r="BT242" s="78"/>
      <c r="BU242" s="78"/>
      <c r="BV242" s="78"/>
      <c r="BW242" s="78"/>
      <c r="BX242" s="78"/>
      <c r="BY242" s="78"/>
      <c r="BZ242" s="78"/>
      <c r="CA242" s="78"/>
      <c r="CB242" s="78"/>
      <c r="CC242" s="78"/>
      <c r="CD242" s="78"/>
      <c r="CE242" s="78"/>
      <c r="CF242" s="78"/>
      <c r="CG242" s="78"/>
      <c r="CH242" s="78"/>
      <c r="CI242" s="78"/>
      <c r="CJ242" s="78"/>
      <c r="CK242" s="78"/>
      <c r="CL242" s="78"/>
      <c r="CM242" s="78"/>
      <c r="CN242" s="78"/>
      <c r="CO242" s="78"/>
      <c r="CP242" s="78"/>
      <c r="CQ242" s="78"/>
      <c r="CR242" s="78"/>
      <c r="CS242" s="78"/>
      <c r="CT242" s="78"/>
      <c r="CU242" s="78"/>
      <c r="CV242" s="78"/>
      <c r="CW242" s="78"/>
      <c r="CX242" s="78"/>
      <c r="CY242" s="78"/>
      <c r="CZ242" s="78"/>
      <c r="DA242" s="78"/>
      <c r="DB242" s="78"/>
      <c r="DC242" s="78"/>
      <c r="DD242" s="78"/>
      <c r="DE242" s="78"/>
      <c r="DF242" s="78"/>
      <c r="DG242" s="78"/>
      <c r="DH242" s="78"/>
      <c r="DI242" s="78"/>
      <c r="DJ242" s="78"/>
      <c r="DK242" s="78"/>
      <c r="DL242" s="78"/>
      <c r="DM242" s="78"/>
      <c r="DN242" s="78"/>
      <c r="DO242" s="78"/>
      <c r="DP242" s="78"/>
      <c r="DQ242" s="78"/>
      <c r="DR242" s="78"/>
      <c r="DS242" s="78"/>
      <c r="DT242" s="78"/>
      <c r="DU242" s="78"/>
      <c r="DV242" s="78"/>
      <c r="DW242" s="78"/>
      <c r="DX242" s="78"/>
      <c r="DY242" s="78"/>
      <c r="DZ242" s="78"/>
      <c r="EA242" s="78"/>
      <c r="EB242" s="78"/>
      <c r="EC242" s="78"/>
    </row>
    <row r="243" spans="1:133" s="9" customFormat="1" ht="18" x14ac:dyDescent="0.25">
      <c r="A243" s="73" t="s">
        <v>54</v>
      </c>
      <c r="B243" s="60" t="s">
        <v>203</v>
      </c>
      <c r="C243" s="53" t="s">
        <v>56</v>
      </c>
      <c r="D243" s="53" t="s">
        <v>376</v>
      </c>
      <c r="E243" s="162">
        <v>303.16000000000003</v>
      </c>
      <c r="F243" s="163"/>
      <c r="G243" s="163"/>
      <c r="H243" s="163"/>
      <c r="I243" s="163"/>
      <c r="J243" s="163"/>
      <c r="K243" s="163"/>
      <c r="L243" s="163"/>
      <c r="M243" s="163"/>
      <c r="N243" s="163"/>
      <c r="O243" s="163"/>
      <c r="P243" s="163"/>
      <c r="Q243" s="164"/>
      <c r="R243" s="78"/>
      <c r="S243" s="78"/>
      <c r="T243" s="78"/>
      <c r="U243" s="78"/>
      <c r="V243" s="78"/>
      <c r="W243" s="78"/>
      <c r="X243" s="78"/>
      <c r="Y243" s="78"/>
      <c r="Z243" s="78"/>
      <c r="AA243" s="78"/>
      <c r="AB243" s="78"/>
      <c r="AC243" s="78"/>
      <c r="AD243" s="78"/>
      <c r="AE243" s="78"/>
      <c r="AF243" s="78"/>
      <c r="AG243" s="78"/>
      <c r="AH243" s="78"/>
      <c r="AI243" s="78"/>
      <c r="AJ243" s="78"/>
      <c r="AK243" s="78"/>
      <c r="AL243" s="78"/>
      <c r="AM243" s="78"/>
      <c r="AN243" s="78"/>
      <c r="AO243" s="78"/>
      <c r="AP243" s="78"/>
      <c r="AQ243" s="78"/>
      <c r="AR243" s="78"/>
      <c r="AS243" s="78"/>
      <c r="AT243" s="78"/>
      <c r="AU243" s="78"/>
      <c r="AV243" s="78"/>
      <c r="AW243" s="78"/>
      <c r="AX243" s="78"/>
      <c r="AY243" s="78"/>
      <c r="AZ243" s="78"/>
      <c r="BA243" s="78"/>
      <c r="BB243" s="78"/>
      <c r="BC243" s="78"/>
      <c r="BD243" s="78"/>
      <c r="BE243" s="78"/>
      <c r="BF243" s="78"/>
      <c r="BG243" s="78"/>
      <c r="BH243" s="78"/>
      <c r="BI243" s="78"/>
      <c r="BJ243" s="78"/>
      <c r="BK243" s="78"/>
      <c r="BL243" s="78"/>
      <c r="BM243" s="78"/>
      <c r="BN243" s="78"/>
      <c r="BO243" s="78"/>
      <c r="BP243" s="78"/>
      <c r="BQ243" s="78"/>
      <c r="BR243" s="78"/>
      <c r="BS243" s="78"/>
      <c r="BT243" s="78"/>
      <c r="BU243" s="78"/>
      <c r="BV243" s="78"/>
      <c r="BW243" s="78"/>
      <c r="BX243" s="78"/>
      <c r="BY243" s="78"/>
      <c r="BZ243" s="78"/>
      <c r="CA243" s="78"/>
      <c r="CB243" s="78"/>
      <c r="CC243" s="78"/>
      <c r="CD243" s="78"/>
      <c r="CE243" s="78"/>
      <c r="CF243" s="78"/>
      <c r="CG243" s="78"/>
      <c r="CH243" s="78"/>
      <c r="CI243" s="78"/>
      <c r="CJ243" s="78"/>
      <c r="CK243" s="78"/>
      <c r="CL243" s="78"/>
      <c r="CM243" s="78"/>
      <c r="CN243" s="78"/>
      <c r="CO243" s="78"/>
      <c r="CP243" s="78"/>
      <c r="CQ243" s="78"/>
      <c r="CR243" s="78"/>
      <c r="CS243" s="78"/>
      <c r="CT243" s="78"/>
      <c r="CU243" s="78"/>
      <c r="CV243" s="78"/>
      <c r="CW243" s="78"/>
      <c r="CX243" s="78"/>
      <c r="CY243" s="78"/>
      <c r="CZ243" s="78"/>
      <c r="DA243" s="78"/>
      <c r="DB243" s="78"/>
      <c r="DC243" s="78"/>
      <c r="DD243" s="78"/>
      <c r="DE243" s="78"/>
      <c r="DF243" s="78"/>
      <c r="DG243" s="78"/>
      <c r="DH243" s="78"/>
      <c r="DI243" s="78"/>
      <c r="DJ243" s="78"/>
      <c r="DK243" s="78"/>
      <c r="DL243" s="78"/>
      <c r="DM243" s="78"/>
      <c r="DN243" s="78"/>
      <c r="DO243" s="78"/>
      <c r="DP243" s="78"/>
      <c r="DQ243" s="78"/>
      <c r="DR243" s="78"/>
      <c r="DS243" s="78"/>
      <c r="DT243" s="78"/>
      <c r="DU243" s="78"/>
      <c r="DV243" s="78"/>
      <c r="DW243" s="78"/>
      <c r="DX243" s="78"/>
      <c r="DY243" s="78"/>
      <c r="DZ243" s="78"/>
      <c r="EA243" s="78"/>
      <c r="EB243" s="78"/>
      <c r="EC243" s="78"/>
    </row>
    <row r="244" spans="1:133" s="9" customFormat="1" x14ac:dyDescent="0.25">
      <c r="A244" s="73" t="s">
        <v>57</v>
      </c>
      <c r="B244" s="60" t="s">
        <v>204</v>
      </c>
      <c r="C244" s="53" t="s">
        <v>59</v>
      </c>
      <c r="D244" s="53" t="s">
        <v>376</v>
      </c>
      <c r="E244" s="162">
        <v>1.9870000000000001</v>
      </c>
      <c r="F244" s="163"/>
      <c r="G244" s="163"/>
      <c r="H244" s="163"/>
      <c r="I244" s="163"/>
      <c r="J244" s="163"/>
      <c r="K244" s="163"/>
      <c r="L244" s="163"/>
      <c r="M244" s="163"/>
      <c r="N244" s="163"/>
      <c r="O244" s="163"/>
      <c r="P244" s="163"/>
      <c r="Q244" s="164"/>
      <c r="R244" s="78"/>
      <c r="S244" s="78"/>
      <c r="T244" s="78"/>
      <c r="U244" s="78"/>
      <c r="V244" s="78"/>
      <c r="W244" s="78"/>
      <c r="X244" s="78"/>
      <c r="Y244" s="78"/>
      <c r="Z244" s="78"/>
      <c r="AA244" s="78"/>
      <c r="AB244" s="78"/>
      <c r="AC244" s="78"/>
      <c r="AD244" s="78"/>
      <c r="AE244" s="78"/>
      <c r="AF244" s="78"/>
      <c r="AG244" s="78"/>
      <c r="AH244" s="78"/>
      <c r="AI244" s="78"/>
      <c r="AJ244" s="78"/>
      <c r="AK244" s="78"/>
      <c r="AL244" s="78"/>
      <c r="AM244" s="78"/>
      <c r="AN244" s="78"/>
      <c r="AO244" s="78"/>
      <c r="AP244" s="78"/>
      <c r="AQ244" s="78"/>
      <c r="AR244" s="78"/>
      <c r="AS244" s="78"/>
      <c r="AT244" s="78"/>
      <c r="AU244" s="78"/>
      <c r="AV244" s="78"/>
      <c r="AW244" s="78"/>
      <c r="AX244" s="78"/>
      <c r="AY244" s="78"/>
      <c r="AZ244" s="78"/>
      <c r="BA244" s="78"/>
      <c r="BB244" s="78"/>
      <c r="BC244" s="78"/>
      <c r="BD244" s="78"/>
      <c r="BE244" s="78"/>
      <c r="BF244" s="78"/>
      <c r="BG244" s="78"/>
      <c r="BH244" s="78"/>
      <c r="BI244" s="78"/>
      <c r="BJ244" s="78"/>
      <c r="BK244" s="78"/>
      <c r="BL244" s="78"/>
      <c r="BM244" s="78"/>
      <c r="BN244" s="78"/>
      <c r="BO244" s="78"/>
      <c r="BP244" s="78"/>
      <c r="BQ244" s="78"/>
      <c r="BR244" s="78"/>
      <c r="BS244" s="78"/>
      <c r="BT244" s="78"/>
      <c r="BU244" s="78"/>
      <c r="BV244" s="78"/>
      <c r="BW244" s="78"/>
      <c r="BX244" s="78"/>
      <c r="BY244" s="78"/>
      <c r="BZ244" s="78"/>
      <c r="CA244" s="78"/>
      <c r="CB244" s="78"/>
      <c r="CC244" s="78"/>
      <c r="CD244" s="78"/>
      <c r="CE244" s="78"/>
      <c r="CF244" s="78"/>
      <c r="CG244" s="78"/>
      <c r="CH244" s="78"/>
      <c r="CI244" s="78"/>
      <c r="CJ244" s="78"/>
      <c r="CK244" s="78"/>
      <c r="CL244" s="78"/>
      <c r="CM244" s="78"/>
      <c r="CN244" s="78"/>
      <c r="CO244" s="78"/>
      <c r="CP244" s="78"/>
      <c r="CQ244" s="78"/>
      <c r="CR244" s="78"/>
      <c r="CS244" s="78"/>
      <c r="CT244" s="78"/>
      <c r="CU244" s="78"/>
      <c r="CV244" s="78"/>
      <c r="CW244" s="78"/>
      <c r="CX244" s="78"/>
      <c r="CY244" s="78"/>
      <c r="CZ244" s="78"/>
      <c r="DA244" s="78"/>
      <c r="DB244" s="78"/>
      <c r="DC244" s="78"/>
      <c r="DD244" s="78"/>
      <c r="DE244" s="78"/>
      <c r="DF244" s="78"/>
      <c r="DG244" s="78"/>
      <c r="DH244" s="78"/>
      <c r="DI244" s="78"/>
      <c r="DJ244" s="78"/>
      <c r="DK244" s="78"/>
      <c r="DL244" s="78"/>
      <c r="DM244" s="78"/>
      <c r="DN244" s="78"/>
      <c r="DO244" s="78"/>
      <c r="DP244" s="78"/>
      <c r="DQ244" s="78"/>
      <c r="DR244" s="78"/>
      <c r="DS244" s="78"/>
      <c r="DT244" s="78"/>
      <c r="DU244" s="78"/>
      <c r="DV244" s="78"/>
      <c r="DW244" s="78"/>
      <c r="DX244" s="78"/>
      <c r="DY244" s="78"/>
      <c r="DZ244" s="78"/>
      <c r="EA244" s="78"/>
      <c r="EB244" s="78"/>
      <c r="EC244" s="78"/>
    </row>
    <row r="245" spans="1:133" s="9" customFormat="1" ht="31.2" x14ac:dyDescent="0.25">
      <c r="A245" s="73" t="s">
        <v>60</v>
      </c>
      <c r="B245" s="60" t="s">
        <v>203</v>
      </c>
      <c r="C245" s="53" t="s">
        <v>61</v>
      </c>
      <c r="D245" s="143" t="s">
        <v>363</v>
      </c>
      <c r="E245" s="98">
        <f>AVERAGE(N245:Q245)</f>
        <v>296.14999999999998</v>
      </c>
      <c r="F245" s="60" t="s">
        <v>297</v>
      </c>
      <c r="G245" s="60" t="s">
        <v>297</v>
      </c>
      <c r="H245" s="60" t="s">
        <v>297</v>
      </c>
      <c r="I245" s="60" t="s">
        <v>297</v>
      </c>
      <c r="J245" s="60" t="s">
        <v>297</v>
      </c>
      <c r="K245" s="60" t="s">
        <v>297</v>
      </c>
      <c r="L245" s="60" t="s">
        <v>297</v>
      </c>
      <c r="M245" s="60" t="s">
        <v>297</v>
      </c>
      <c r="N245" s="60">
        <v>301.14999999999998</v>
      </c>
      <c r="O245" s="60">
        <v>297.64999999999998</v>
      </c>
      <c r="P245" s="60">
        <v>295.64999999999998</v>
      </c>
      <c r="Q245" s="60">
        <v>290.14999999999998</v>
      </c>
      <c r="R245" s="78"/>
      <c r="S245" s="78"/>
      <c r="T245" s="78"/>
      <c r="U245" s="78"/>
      <c r="V245" s="78"/>
      <c r="W245" s="78"/>
      <c r="X245" s="78"/>
      <c r="Y245" s="78"/>
      <c r="Z245" s="78"/>
      <c r="AA245" s="78"/>
      <c r="AB245" s="78"/>
      <c r="AC245" s="78"/>
      <c r="AD245" s="78"/>
      <c r="AE245" s="78"/>
      <c r="AF245" s="78"/>
      <c r="AG245" s="78"/>
      <c r="AH245" s="78"/>
      <c r="AI245" s="78"/>
      <c r="AJ245" s="78"/>
      <c r="AK245" s="78"/>
      <c r="AL245" s="78"/>
      <c r="AM245" s="78"/>
      <c r="AN245" s="78"/>
      <c r="AO245" s="78"/>
      <c r="AP245" s="78"/>
      <c r="AQ245" s="78"/>
      <c r="AR245" s="78"/>
      <c r="AS245" s="78"/>
      <c r="AT245" s="78"/>
      <c r="AU245" s="78"/>
      <c r="AV245" s="78"/>
      <c r="AW245" s="78"/>
      <c r="AX245" s="78"/>
      <c r="AY245" s="78"/>
      <c r="AZ245" s="78"/>
      <c r="BA245" s="78"/>
      <c r="BB245" s="78"/>
      <c r="BC245" s="78"/>
      <c r="BD245" s="78"/>
      <c r="BE245" s="78"/>
      <c r="BF245" s="78"/>
      <c r="BG245" s="78"/>
      <c r="BH245" s="78"/>
      <c r="BI245" s="78"/>
      <c r="BJ245" s="78"/>
      <c r="BK245" s="78"/>
      <c r="BL245" s="78"/>
      <c r="BM245" s="78"/>
      <c r="BN245" s="78"/>
      <c r="BO245" s="78"/>
      <c r="BP245" s="78"/>
      <c r="BQ245" s="78"/>
      <c r="BR245" s="78"/>
      <c r="BS245" s="78"/>
      <c r="BT245" s="78"/>
      <c r="BU245" s="78"/>
      <c r="BV245" s="78"/>
      <c r="BW245" s="78"/>
      <c r="BX245" s="78"/>
      <c r="BY245" s="78"/>
      <c r="BZ245" s="78"/>
      <c r="CA245" s="78"/>
      <c r="CB245" s="78"/>
      <c r="CC245" s="78"/>
      <c r="CD245" s="78"/>
      <c r="CE245" s="78"/>
      <c r="CF245" s="78"/>
      <c r="CG245" s="78"/>
      <c r="CH245" s="78"/>
      <c r="CI245" s="78"/>
      <c r="CJ245" s="78"/>
      <c r="CK245" s="78"/>
      <c r="CL245" s="78"/>
      <c r="CM245" s="78"/>
      <c r="CN245" s="78"/>
      <c r="CO245" s="78"/>
      <c r="CP245" s="78"/>
      <c r="CQ245" s="78"/>
      <c r="CR245" s="78"/>
      <c r="CS245" s="78"/>
      <c r="CT245" s="78"/>
      <c r="CU245" s="78"/>
      <c r="CV245" s="78"/>
      <c r="CW245" s="78"/>
      <c r="CX245" s="78"/>
      <c r="CY245" s="78"/>
      <c r="CZ245" s="78"/>
      <c r="DA245" s="78"/>
      <c r="DB245" s="78"/>
      <c r="DC245" s="78"/>
      <c r="DD245" s="78"/>
      <c r="DE245" s="78"/>
      <c r="DF245" s="78"/>
      <c r="DG245" s="78"/>
      <c r="DH245" s="78"/>
      <c r="DI245" s="78"/>
      <c r="DJ245" s="78"/>
      <c r="DK245" s="78"/>
      <c r="DL245" s="78"/>
      <c r="DM245" s="78"/>
      <c r="DN245" s="78"/>
      <c r="DO245" s="78"/>
      <c r="DP245" s="78"/>
      <c r="DQ245" s="78"/>
      <c r="DR245" s="78"/>
      <c r="DS245" s="78"/>
      <c r="DT245" s="78"/>
      <c r="DU245" s="78"/>
      <c r="DV245" s="78"/>
      <c r="DW245" s="78"/>
      <c r="DX245" s="78"/>
      <c r="DY245" s="78"/>
      <c r="DZ245" s="78"/>
      <c r="EA245" s="78"/>
      <c r="EB245" s="78"/>
      <c r="EC245" s="78"/>
    </row>
    <row r="246" spans="1:133" s="9" customFormat="1" ht="31.2" x14ac:dyDescent="0.4">
      <c r="A246" s="71" t="s">
        <v>62</v>
      </c>
      <c r="B246" s="60" t="s">
        <v>196</v>
      </c>
      <c r="C246" s="53" t="s">
        <v>63</v>
      </c>
      <c r="D246" s="53" t="s">
        <v>377</v>
      </c>
      <c r="E246" s="74">
        <f>SUM(N246:Q246)</f>
        <v>639.01553903400031</v>
      </c>
      <c r="F246" s="74" t="s">
        <v>297</v>
      </c>
      <c r="G246" s="74" t="s">
        <v>297</v>
      </c>
      <c r="H246" s="74" t="s">
        <v>297</v>
      </c>
      <c r="I246" s="74" t="s">
        <v>297</v>
      </c>
      <c r="J246" s="74" t="s">
        <v>297</v>
      </c>
      <c r="K246" s="74" t="s">
        <v>297</v>
      </c>
      <c r="L246" s="74" t="s">
        <v>297</v>
      </c>
      <c r="M246" s="74" t="s">
        <v>297</v>
      </c>
      <c r="N246" s="74">
        <f>N235*N230*N233+(1-N241)*0</f>
        <v>70.730733007818131</v>
      </c>
      <c r="O246" s="74">
        <f t="shared" ref="O246:Q246" si="37">O235*O230*O233+(1-O241)*N246</f>
        <v>148.25156252494799</v>
      </c>
      <c r="P246" s="74">
        <f t="shared" si="37"/>
        <v>181.72877254041157</v>
      </c>
      <c r="Q246" s="74">
        <f t="shared" si="37"/>
        <v>238.3044709608227</v>
      </c>
      <c r="R246" s="78"/>
      <c r="S246" s="78"/>
      <c r="T246" s="78"/>
      <c r="U246" s="78"/>
      <c r="V246" s="78"/>
      <c r="W246" s="78"/>
      <c r="X246" s="78"/>
      <c r="Y246" s="78"/>
      <c r="Z246" s="78"/>
      <c r="AA246" s="78"/>
      <c r="AB246" s="78"/>
      <c r="AC246" s="78"/>
      <c r="AD246" s="78"/>
      <c r="AE246" s="78"/>
      <c r="AF246" s="78"/>
      <c r="AG246" s="78"/>
      <c r="AH246" s="78"/>
      <c r="AI246" s="78"/>
      <c r="AJ246" s="78"/>
      <c r="AK246" s="78"/>
      <c r="AL246" s="78"/>
      <c r="AM246" s="78"/>
      <c r="AN246" s="78"/>
      <c r="AO246" s="78"/>
      <c r="AP246" s="78"/>
      <c r="AQ246" s="78"/>
      <c r="AR246" s="78"/>
      <c r="AS246" s="78"/>
      <c r="AT246" s="78"/>
      <c r="AU246" s="78"/>
      <c r="AV246" s="78"/>
      <c r="AW246" s="78"/>
      <c r="AX246" s="78"/>
      <c r="AY246" s="78"/>
      <c r="AZ246" s="78"/>
      <c r="BA246" s="78"/>
      <c r="BB246" s="78"/>
      <c r="BC246" s="78"/>
      <c r="BD246" s="78"/>
      <c r="BE246" s="78"/>
      <c r="BF246" s="78"/>
      <c r="BG246" s="78"/>
      <c r="BH246" s="78"/>
      <c r="BI246" s="78"/>
      <c r="BJ246" s="78"/>
      <c r="BK246" s="78"/>
      <c r="BL246" s="78"/>
      <c r="BM246" s="78"/>
      <c r="BN246" s="78"/>
      <c r="BO246" s="78"/>
      <c r="BP246" s="78"/>
      <c r="BQ246" s="78"/>
      <c r="BR246" s="78"/>
      <c r="BS246" s="78"/>
      <c r="BT246" s="78"/>
      <c r="BU246" s="78"/>
      <c r="BV246" s="78"/>
      <c r="BW246" s="78"/>
      <c r="BX246" s="78"/>
      <c r="BY246" s="78"/>
      <c r="BZ246" s="78"/>
      <c r="CA246" s="78"/>
      <c r="CB246" s="78"/>
      <c r="CC246" s="78"/>
      <c r="CD246" s="78"/>
      <c r="CE246" s="78"/>
      <c r="CF246" s="78"/>
      <c r="CG246" s="78"/>
      <c r="CH246" s="78"/>
      <c r="CI246" s="78"/>
      <c r="CJ246" s="78"/>
      <c r="CK246" s="78"/>
      <c r="CL246" s="78"/>
      <c r="CM246" s="78"/>
      <c r="CN246" s="78"/>
      <c r="CO246" s="78"/>
      <c r="CP246" s="78"/>
      <c r="CQ246" s="78"/>
      <c r="CR246" s="78"/>
      <c r="CS246" s="78"/>
      <c r="CT246" s="78"/>
      <c r="CU246" s="78"/>
      <c r="CV246" s="78"/>
      <c r="CW246" s="78"/>
      <c r="CX246" s="78"/>
      <c r="CY246" s="78"/>
      <c r="CZ246" s="78"/>
      <c r="DA246" s="78"/>
      <c r="DB246" s="78"/>
      <c r="DC246" s="78"/>
      <c r="DD246" s="78"/>
      <c r="DE246" s="78"/>
      <c r="DF246" s="78"/>
      <c r="DG246" s="78"/>
      <c r="DH246" s="78"/>
      <c r="DI246" s="78"/>
      <c r="DJ246" s="78"/>
      <c r="DK246" s="78"/>
      <c r="DL246" s="78"/>
      <c r="DM246" s="78"/>
      <c r="DN246" s="78"/>
      <c r="DO246" s="78"/>
      <c r="DP246" s="78"/>
      <c r="DQ246" s="78"/>
      <c r="DR246" s="78"/>
      <c r="DS246" s="78"/>
      <c r="DT246" s="78"/>
      <c r="DU246" s="78"/>
      <c r="DV246" s="78"/>
      <c r="DW246" s="78"/>
      <c r="DX246" s="78"/>
      <c r="DY246" s="78"/>
      <c r="DZ246" s="78"/>
      <c r="EA246" s="78"/>
      <c r="EB246" s="78"/>
      <c r="EC246" s="78"/>
    </row>
    <row r="248" spans="1:133" x14ac:dyDescent="0.25">
      <c r="A248" s="158" t="s">
        <v>64</v>
      </c>
      <c r="B248" s="158"/>
      <c r="C248" s="158"/>
      <c r="D248" s="158"/>
      <c r="E248" s="158"/>
    </row>
    <row r="249" spans="1:133" x14ac:dyDescent="0.25">
      <c r="A249" s="57" t="s">
        <v>8</v>
      </c>
      <c r="B249" s="58" t="s">
        <v>9</v>
      </c>
      <c r="C249" s="34" t="s">
        <v>10</v>
      </c>
      <c r="D249" s="34" t="s">
        <v>340</v>
      </c>
      <c r="E249" s="16" t="s">
        <v>65</v>
      </c>
    </row>
    <row r="250" spans="1:133" ht="46.8" x14ac:dyDescent="0.25">
      <c r="A250" s="59" t="s">
        <v>66</v>
      </c>
      <c r="B250" s="60" t="s">
        <v>14</v>
      </c>
      <c r="C250" s="53" t="s">
        <v>67</v>
      </c>
      <c r="D250" s="53" t="s">
        <v>68</v>
      </c>
      <c r="E250" s="75">
        <v>0</v>
      </c>
    </row>
    <row r="251" spans="1:133" ht="46.8" x14ac:dyDescent="0.25">
      <c r="A251" s="63" t="s">
        <v>69</v>
      </c>
      <c r="B251" s="25" t="s">
        <v>70</v>
      </c>
      <c r="C251" s="35" t="s">
        <v>71</v>
      </c>
      <c r="D251" s="53" t="str">
        <f>D257</f>
        <v>Historical data on site in the FSR (It was calculated with conservative value)</v>
      </c>
      <c r="E251" s="74">
        <f>E257</f>
        <v>175.37239405322325</v>
      </c>
    </row>
    <row r="253" spans="1:133" x14ac:dyDescent="0.25">
      <c r="A253" s="174" t="s">
        <v>72</v>
      </c>
      <c r="B253" s="174"/>
      <c r="C253" s="175"/>
      <c r="D253" s="175"/>
      <c r="E253" s="174"/>
    </row>
    <row r="254" spans="1:133" x14ac:dyDescent="0.25">
      <c r="A254" s="59" t="s">
        <v>8</v>
      </c>
      <c r="B254" s="16" t="s">
        <v>9</v>
      </c>
      <c r="C254" s="38" t="s">
        <v>10</v>
      </c>
      <c r="D254" s="38" t="s">
        <v>340</v>
      </c>
      <c r="E254" s="16" t="s">
        <v>65</v>
      </c>
    </row>
    <row r="255" spans="1:133" ht="33.6" x14ac:dyDescent="0.4">
      <c r="A255" s="76" t="s">
        <v>73</v>
      </c>
      <c r="B255" s="25" t="s">
        <v>74</v>
      </c>
      <c r="C255" s="35" t="s">
        <v>75</v>
      </c>
      <c r="D255" s="35" t="s">
        <v>378</v>
      </c>
      <c r="E255" s="50">
        <f>E256*E259*E260*E261*E262*E263</f>
        <v>0.71231548510692722</v>
      </c>
    </row>
    <row r="256" spans="1:133" ht="46.8" x14ac:dyDescent="0.4">
      <c r="A256" s="77" t="s">
        <v>207</v>
      </c>
      <c r="B256" s="25" t="s">
        <v>76</v>
      </c>
      <c r="C256" s="35" t="s">
        <v>77</v>
      </c>
      <c r="D256" s="35" t="s">
        <v>379</v>
      </c>
      <c r="E256" s="52">
        <f>E257/E258</f>
        <v>35.074478810644649</v>
      </c>
    </row>
    <row r="257" spans="1:5" ht="46.8" x14ac:dyDescent="0.25">
      <c r="A257" s="63" t="s">
        <v>208</v>
      </c>
      <c r="B257" s="25" t="s">
        <v>78</v>
      </c>
      <c r="C257" s="35" t="s">
        <v>79</v>
      </c>
      <c r="D257" s="53" t="s">
        <v>352</v>
      </c>
      <c r="E257" s="52">
        <f>0.000185885937421166*E230</f>
        <v>175.37239405322325</v>
      </c>
    </row>
    <row r="258" spans="1:5" ht="31.2" x14ac:dyDescent="0.25">
      <c r="A258" s="63" t="s">
        <v>209</v>
      </c>
      <c r="B258" s="25" t="s">
        <v>80</v>
      </c>
      <c r="C258" s="35" t="s">
        <v>81</v>
      </c>
      <c r="D258" s="35" t="s">
        <v>353</v>
      </c>
      <c r="E258" s="25">
        <f>5</f>
        <v>5</v>
      </c>
    </row>
    <row r="259" spans="1:5" ht="62.4" x14ac:dyDescent="0.25">
      <c r="A259" s="63" t="s">
        <v>210</v>
      </c>
      <c r="B259" s="25" t="s">
        <v>82</v>
      </c>
      <c r="C259" s="35" t="s">
        <v>83</v>
      </c>
      <c r="D259" s="53" t="s">
        <v>354</v>
      </c>
      <c r="E259" s="25">
        <f>15*2</f>
        <v>30</v>
      </c>
    </row>
    <row r="260" spans="1:5" ht="172.2" x14ac:dyDescent="0.25">
      <c r="A260" s="63" t="s">
        <v>211</v>
      </c>
      <c r="B260" s="25" t="s">
        <v>84</v>
      </c>
      <c r="C260" s="35" t="s">
        <v>85</v>
      </c>
      <c r="D260" s="35" t="s">
        <v>355</v>
      </c>
      <c r="E260" s="25">
        <f>25.1/100</f>
        <v>0.251</v>
      </c>
    </row>
    <row r="261" spans="1:5" ht="156" x14ac:dyDescent="0.25">
      <c r="A261" s="63" t="s">
        <v>212</v>
      </c>
      <c r="B261" s="25" t="s">
        <v>87</v>
      </c>
      <c r="C261" s="35" t="s">
        <v>86</v>
      </c>
      <c r="D261" s="35" t="s">
        <v>356</v>
      </c>
      <c r="E261" s="25">
        <f>0.84/1000</f>
        <v>8.3999999999999993E-4</v>
      </c>
    </row>
    <row r="262" spans="1:5" ht="171.6" x14ac:dyDescent="0.25">
      <c r="A262" s="63" t="s">
        <v>213</v>
      </c>
      <c r="B262" s="25" t="s">
        <v>88</v>
      </c>
      <c r="C262" s="35" t="s">
        <v>89</v>
      </c>
      <c r="D262" s="35" t="s">
        <v>357</v>
      </c>
      <c r="E262" s="25">
        <f>43.33/1000</f>
        <v>4.333E-2</v>
      </c>
    </row>
    <row r="263" spans="1:5" ht="62.4" x14ac:dyDescent="0.25">
      <c r="A263" s="63" t="s">
        <v>214</v>
      </c>
      <c r="B263" s="25" t="s">
        <v>90</v>
      </c>
      <c r="C263" s="35" t="s">
        <v>91</v>
      </c>
      <c r="D263" s="35" t="s">
        <v>358</v>
      </c>
      <c r="E263" s="25">
        <v>74.099999999999994</v>
      </c>
    </row>
    <row r="265" spans="1:5" x14ac:dyDescent="0.25">
      <c r="A265" s="158" t="s">
        <v>93</v>
      </c>
      <c r="B265" s="158"/>
      <c r="C265" s="158"/>
      <c r="D265" s="158"/>
      <c r="E265" s="158"/>
    </row>
    <row r="266" spans="1:5" x14ac:dyDescent="0.25">
      <c r="A266" s="57" t="s">
        <v>8</v>
      </c>
      <c r="B266" s="58" t="s">
        <v>9</v>
      </c>
      <c r="C266" s="34" t="s">
        <v>10</v>
      </c>
      <c r="D266" s="34" t="s">
        <v>340</v>
      </c>
      <c r="E266" s="16" t="s">
        <v>65</v>
      </c>
    </row>
    <row r="267" spans="1:5" ht="64.8" x14ac:dyDescent="0.25">
      <c r="A267" s="15" t="s">
        <v>94</v>
      </c>
      <c r="B267" s="25" t="s">
        <v>95</v>
      </c>
      <c r="C267" s="35" t="s">
        <v>96</v>
      </c>
      <c r="D267" s="35" t="s">
        <v>97</v>
      </c>
      <c r="E267" s="16">
        <v>0</v>
      </c>
    </row>
    <row r="269" spans="1:5" x14ac:dyDescent="0.25">
      <c r="A269" s="158" t="s">
        <v>98</v>
      </c>
      <c r="B269" s="158"/>
      <c r="C269" s="158"/>
      <c r="D269" s="158"/>
      <c r="E269" s="158"/>
    </row>
    <row r="270" spans="1:5" x14ac:dyDescent="0.25">
      <c r="A270" s="57" t="s">
        <v>8</v>
      </c>
      <c r="B270" s="58" t="s">
        <v>9</v>
      </c>
      <c r="C270" s="34" t="s">
        <v>10</v>
      </c>
      <c r="D270" s="34" t="s">
        <v>340</v>
      </c>
      <c r="E270" s="16" t="s">
        <v>65</v>
      </c>
    </row>
    <row r="271" spans="1:5" ht="49.2" x14ac:dyDescent="0.25">
      <c r="A271" s="15" t="s">
        <v>99</v>
      </c>
      <c r="B271" s="25" t="s">
        <v>95</v>
      </c>
      <c r="C271" s="35" t="s">
        <v>100</v>
      </c>
      <c r="D271" s="35" t="s">
        <v>101</v>
      </c>
      <c r="E271" s="16">
        <v>0</v>
      </c>
    </row>
    <row r="273" spans="1:133" x14ac:dyDescent="0.25">
      <c r="A273" s="57" t="s">
        <v>8</v>
      </c>
      <c r="B273" s="58" t="s">
        <v>9</v>
      </c>
      <c r="C273" s="34" t="s">
        <v>10</v>
      </c>
      <c r="D273" s="34" t="s">
        <v>340</v>
      </c>
      <c r="E273" s="16" t="s">
        <v>65</v>
      </c>
    </row>
    <row r="274" spans="1:133" ht="18" x14ac:dyDescent="0.25">
      <c r="A274" s="59" t="s">
        <v>102</v>
      </c>
      <c r="B274" s="25" t="s">
        <v>103</v>
      </c>
      <c r="C274" s="35" t="s">
        <v>104</v>
      </c>
      <c r="D274" s="53" t="s">
        <v>380</v>
      </c>
      <c r="E274" s="18">
        <f>ROUNDDOWN(E224+E255+E250+E267+E271,0)</f>
        <v>1193</v>
      </c>
    </row>
    <row r="275" spans="1:133" s="167" customFormat="1" ht="43.2" customHeight="1" x14ac:dyDescent="0.25">
      <c r="A275" s="167" t="s">
        <v>247</v>
      </c>
    </row>
    <row r="276" spans="1:133" s="56" customFormat="1" ht="31.2" x14ac:dyDescent="0.25">
      <c r="A276" s="92" t="s">
        <v>8</v>
      </c>
      <c r="B276" s="93" t="s">
        <v>9</v>
      </c>
      <c r="C276" s="94" t="s">
        <v>10</v>
      </c>
      <c r="D276" s="93" t="s">
        <v>341</v>
      </c>
      <c r="E276" s="93" t="s">
        <v>11</v>
      </c>
      <c r="F276" s="16" t="s">
        <v>292</v>
      </c>
      <c r="G276" s="16" t="s">
        <v>292</v>
      </c>
      <c r="H276" s="16" t="s">
        <v>292</v>
      </c>
      <c r="I276" s="16" t="s">
        <v>292</v>
      </c>
      <c r="J276" s="16" t="s">
        <v>292</v>
      </c>
      <c r="K276" s="16" t="s">
        <v>292</v>
      </c>
      <c r="L276" s="16" t="s">
        <v>292</v>
      </c>
      <c r="M276" s="16" t="s">
        <v>292</v>
      </c>
      <c r="N276" s="16" t="s">
        <v>303</v>
      </c>
      <c r="O276" s="16" t="s">
        <v>293</v>
      </c>
      <c r="P276" s="16" t="s">
        <v>294</v>
      </c>
      <c r="Q276" s="16" t="s">
        <v>295</v>
      </c>
      <c r="R276" s="54"/>
      <c r="S276" s="54"/>
      <c r="T276" s="54"/>
      <c r="U276" s="54"/>
      <c r="V276" s="54"/>
      <c r="W276" s="54"/>
      <c r="X276" s="54"/>
      <c r="Y276" s="54"/>
      <c r="Z276" s="54"/>
      <c r="AA276" s="54"/>
      <c r="AB276" s="54"/>
      <c r="AC276" s="54"/>
      <c r="AD276" s="54"/>
      <c r="AE276" s="54"/>
      <c r="AF276" s="54"/>
      <c r="AG276" s="54"/>
      <c r="AH276" s="54"/>
      <c r="AI276" s="54"/>
      <c r="AJ276" s="54"/>
      <c r="AK276" s="54"/>
      <c r="AL276" s="54"/>
      <c r="AM276" s="54"/>
      <c r="AN276" s="54"/>
      <c r="AO276" s="54"/>
      <c r="AP276" s="54"/>
      <c r="AQ276" s="54"/>
      <c r="AR276" s="54"/>
      <c r="AS276" s="54"/>
      <c r="AT276" s="54"/>
      <c r="AU276" s="54"/>
      <c r="AV276" s="54"/>
      <c r="AW276" s="54"/>
      <c r="AX276" s="54"/>
      <c r="AY276" s="54"/>
      <c r="AZ276" s="54"/>
      <c r="BA276" s="54"/>
      <c r="BB276" s="54"/>
      <c r="BC276" s="54"/>
      <c r="BD276" s="54"/>
      <c r="BE276" s="54"/>
      <c r="BF276" s="54"/>
      <c r="BG276" s="54"/>
      <c r="BH276" s="54"/>
      <c r="BI276" s="54"/>
      <c r="BJ276" s="54"/>
      <c r="BK276" s="54"/>
      <c r="BL276" s="54"/>
      <c r="BM276" s="54"/>
      <c r="BN276" s="54"/>
      <c r="BO276" s="54"/>
      <c r="BP276" s="54"/>
      <c r="BQ276" s="54"/>
      <c r="BR276" s="54"/>
      <c r="BS276" s="54"/>
      <c r="BT276" s="54"/>
      <c r="BU276" s="54"/>
      <c r="BV276" s="54"/>
      <c r="BW276" s="54"/>
      <c r="BX276" s="54"/>
      <c r="BY276" s="54"/>
      <c r="BZ276" s="54"/>
      <c r="CA276" s="54"/>
      <c r="CB276" s="54"/>
      <c r="CC276" s="54"/>
      <c r="CD276" s="54"/>
      <c r="CE276" s="54"/>
      <c r="CF276" s="54"/>
      <c r="CG276" s="54"/>
      <c r="CH276" s="54"/>
      <c r="CI276" s="54"/>
      <c r="CJ276" s="54"/>
      <c r="CK276" s="54"/>
      <c r="CL276" s="54"/>
      <c r="CM276" s="54"/>
      <c r="CN276" s="54"/>
      <c r="CO276" s="54"/>
      <c r="CP276" s="54"/>
      <c r="CQ276" s="54"/>
      <c r="CR276" s="54"/>
      <c r="CS276" s="54"/>
      <c r="CT276" s="54"/>
      <c r="CU276" s="54"/>
      <c r="CV276" s="54"/>
      <c r="CW276" s="54"/>
      <c r="CX276" s="54"/>
      <c r="CY276" s="54"/>
      <c r="CZ276" s="54"/>
      <c r="DA276" s="54"/>
      <c r="DB276" s="54"/>
      <c r="DC276" s="54"/>
      <c r="DD276" s="54"/>
      <c r="DE276" s="54"/>
      <c r="DF276" s="54"/>
      <c r="DG276" s="54"/>
      <c r="DH276" s="54"/>
      <c r="DI276" s="54"/>
      <c r="DJ276" s="54"/>
      <c r="DK276" s="54"/>
      <c r="DL276" s="54"/>
      <c r="DM276" s="54"/>
      <c r="DN276" s="54"/>
      <c r="DO276" s="54"/>
      <c r="DP276" s="54"/>
      <c r="DQ276" s="54"/>
      <c r="DR276" s="54"/>
      <c r="DS276" s="54"/>
      <c r="DT276" s="54"/>
      <c r="DU276" s="54"/>
      <c r="DV276" s="54"/>
      <c r="DW276" s="54"/>
      <c r="DX276" s="54"/>
      <c r="DY276" s="54"/>
      <c r="DZ276" s="54"/>
      <c r="EA276" s="54"/>
      <c r="EB276" s="54"/>
      <c r="EC276" s="54"/>
    </row>
    <row r="277" spans="1:133" s="56" customFormat="1" x14ac:dyDescent="0.25">
      <c r="A277" s="178" t="s">
        <v>12</v>
      </c>
      <c r="B277" s="178"/>
      <c r="C277" s="179"/>
      <c r="D277" s="179"/>
      <c r="E277" s="178"/>
      <c r="F277" s="16" t="s">
        <v>297</v>
      </c>
      <c r="G277" s="16" t="s">
        <v>297</v>
      </c>
      <c r="H277" s="16" t="s">
        <v>297</v>
      </c>
      <c r="I277" s="16" t="s">
        <v>297</v>
      </c>
      <c r="J277" s="16" t="s">
        <v>297</v>
      </c>
      <c r="K277" s="16" t="s">
        <v>297</v>
      </c>
      <c r="L277" s="16" t="s">
        <v>297</v>
      </c>
      <c r="M277" s="16" t="s">
        <v>297</v>
      </c>
      <c r="N277" s="16">
        <v>21</v>
      </c>
      <c r="O277" s="16">
        <v>31</v>
      </c>
      <c r="P277" s="16">
        <v>30</v>
      </c>
      <c r="Q277" s="16">
        <v>31</v>
      </c>
      <c r="R277" s="54"/>
      <c r="S277" s="54"/>
      <c r="T277" s="54"/>
      <c r="U277" s="54"/>
      <c r="V277" s="54"/>
      <c r="W277" s="54"/>
      <c r="X277" s="54"/>
      <c r="Y277" s="54"/>
      <c r="Z277" s="54"/>
      <c r="AA277" s="54"/>
      <c r="AB277" s="54"/>
      <c r="AC277" s="54"/>
      <c r="AD277" s="54"/>
      <c r="AE277" s="54"/>
      <c r="AF277" s="54"/>
      <c r="AG277" s="54"/>
      <c r="AH277" s="54"/>
      <c r="AI277" s="54"/>
      <c r="AJ277" s="54"/>
      <c r="AK277" s="54"/>
      <c r="AL277" s="54"/>
      <c r="AM277" s="54"/>
      <c r="AN277" s="54"/>
      <c r="AO277" s="54"/>
      <c r="AP277" s="54"/>
      <c r="AQ277" s="54"/>
      <c r="AR277" s="54"/>
      <c r="AS277" s="54"/>
      <c r="AT277" s="54"/>
      <c r="AU277" s="54"/>
      <c r="AV277" s="54"/>
      <c r="AW277" s="54"/>
      <c r="AX277" s="54"/>
      <c r="AY277" s="54"/>
      <c r="AZ277" s="54"/>
      <c r="BA277" s="54"/>
      <c r="BB277" s="54"/>
      <c r="BC277" s="54"/>
      <c r="BD277" s="54"/>
      <c r="BE277" s="54"/>
      <c r="BF277" s="54"/>
      <c r="BG277" s="54"/>
      <c r="BH277" s="54"/>
      <c r="BI277" s="54"/>
      <c r="BJ277" s="54"/>
      <c r="BK277" s="54"/>
      <c r="BL277" s="54"/>
      <c r="BM277" s="54"/>
      <c r="BN277" s="54"/>
      <c r="BO277" s="54"/>
      <c r="BP277" s="54"/>
      <c r="BQ277" s="54"/>
      <c r="BR277" s="54"/>
      <c r="BS277" s="54"/>
      <c r="BT277" s="54"/>
      <c r="BU277" s="54"/>
      <c r="BV277" s="54"/>
      <c r="BW277" s="54"/>
      <c r="BX277" s="54"/>
      <c r="BY277" s="54"/>
      <c r="BZ277" s="54"/>
      <c r="CA277" s="54"/>
      <c r="CB277" s="54"/>
      <c r="CC277" s="54"/>
      <c r="CD277" s="54"/>
      <c r="CE277" s="54"/>
      <c r="CF277" s="54"/>
      <c r="CG277" s="54"/>
      <c r="CH277" s="54"/>
      <c r="CI277" s="54"/>
      <c r="CJ277" s="54"/>
      <c r="CK277" s="54"/>
      <c r="CL277" s="54"/>
      <c r="CM277" s="54"/>
      <c r="CN277" s="54"/>
      <c r="CO277" s="54"/>
      <c r="CP277" s="54"/>
      <c r="CQ277" s="54"/>
      <c r="CR277" s="54"/>
      <c r="CS277" s="54"/>
      <c r="CT277" s="54"/>
      <c r="CU277" s="54"/>
      <c r="CV277" s="54"/>
      <c r="CW277" s="54"/>
      <c r="CX277" s="54"/>
      <c r="CY277" s="54"/>
      <c r="CZ277" s="54"/>
      <c r="DA277" s="54"/>
      <c r="DB277" s="54"/>
      <c r="DC277" s="54"/>
      <c r="DD277" s="54"/>
      <c r="DE277" s="54"/>
      <c r="DF277" s="54"/>
      <c r="DG277" s="54"/>
      <c r="DH277" s="54"/>
      <c r="DI277" s="54"/>
      <c r="DJ277" s="54"/>
      <c r="DK277" s="54"/>
      <c r="DL277" s="54"/>
      <c r="DM277" s="54"/>
      <c r="DN277" s="54"/>
      <c r="DO277" s="54"/>
      <c r="DP277" s="54"/>
      <c r="DQ277" s="54"/>
      <c r="DR277" s="54"/>
      <c r="DS277" s="54"/>
      <c r="DT277" s="54"/>
      <c r="DU277" s="54"/>
      <c r="DV277" s="54"/>
      <c r="DW277" s="54"/>
      <c r="DX277" s="54"/>
      <c r="DY277" s="54"/>
      <c r="DZ277" s="54"/>
      <c r="EA277" s="54"/>
      <c r="EB277" s="54"/>
      <c r="EC277" s="54"/>
    </row>
    <row r="278" spans="1:133" ht="46.8" x14ac:dyDescent="0.25">
      <c r="A278" s="59" t="s">
        <v>13</v>
      </c>
      <c r="B278" s="60" t="s">
        <v>14</v>
      </c>
      <c r="C278" s="53" t="s">
        <v>15</v>
      </c>
      <c r="D278" s="53" t="s">
        <v>369</v>
      </c>
      <c r="E278" s="61">
        <f>SUM(F278:Q278)</f>
        <v>1121.9763354165805</v>
      </c>
      <c r="F278" s="62" t="s">
        <v>297</v>
      </c>
      <c r="G278" s="62" t="s">
        <v>297</v>
      </c>
      <c r="H278" s="62" t="s">
        <v>297</v>
      </c>
      <c r="I278" s="62" t="s">
        <v>297</v>
      </c>
      <c r="J278" s="62" t="s">
        <v>297</v>
      </c>
      <c r="K278" s="62" t="s">
        <v>297</v>
      </c>
      <c r="L278" s="62" t="s">
        <v>297</v>
      </c>
      <c r="M278" s="62" t="s">
        <v>297</v>
      </c>
      <c r="N278" s="62">
        <f>$E$279*$E$280*N281*$E$292</f>
        <v>213.32869685076139</v>
      </c>
      <c r="O278" s="62">
        <f t="shared" ref="O278:Q278" si="38">$E$279*$E$280*O281*$E$292</f>
        <v>314.76491229119972</v>
      </c>
      <c r="P278" s="62">
        <f t="shared" si="38"/>
        <v>292.0746382982864</v>
      </c>
      <c r="Q278" s="62">
        <f t="shared" si="38"/>
        <v>301.80808797633284</v>
      </c>
    </row>
    <row r="279" spans="1:133" ht="31.2" x14ac:dyDescent="0.25">
      <c r="A279" s="63" t="s">
        <v>16</v>
      </c>
      <c r="B279" s="60" t="s">
        <v>193</v>
      </c>
      <c r="C279" s="35" t="s">
        <v>17</v>
      </c>
      <c r="D279" s="35" t="s">
        <v>205</v>
      </c>
      <c r="E279" s="176">
        <v>28</v>
      </c>
      <c r="F279" s="176"/>
      <c r="G279" s="176"/>
      <c r="H279" s="176"/>
      <c r="I279" s="176"/>
      <c r="J279" s="176"/>
      <c r="K279" s="176"/>
      <c r="L279" s="176"/>
      <c r="M279" s="176"/>
      <c r="N279" s="176"/>
      <c r="O279" s="176"/>
      <c r="P279" s="176"/>
      <c r="Q279" s="176"/>
    </row>
    <row r="280" spans="1:133" ht="64.8" x14ac:dyDescent="0.25">
      <c r="A280" s="63" t="s">
        <v>18</v>
      </c>
      <c r="B280" s="25" t="s">
        <v>194</v>
      </c>
      <c r="C280" s="35" t="s">
        <v>20</v>
      </c>
      <c r="D280" s="35" t="s">
        <v>394</v>
      </c>
      <c r="E280" s="176">
        <v>0.21</v>
      </c>
      <c r="F280" s="176"/>
      <c r="G280" s="176"/>
      <c r="H280" s="176"/>
      <c r="I280" s="176"/>
      <c r="J280" s="176"/>
      <c r="K280" s="176"/>
      <c r="L280" s="176"/>
      <c r="M280" s="176"/>
      <c r="N280" s="176"/>
      <c r="O280" s="176"/>
      <c r="P280" s="176"/>
      <c r="Q280" s="176"/>
    </row>
    <row r="281" spans="1:133" ht="46.8" x14ac:dyDescent="0.25">
      <c r="A281" s="35" t="s">
        <v>21</v>
      </c>
      <c r="B281" s="25" t="s">
        <v>195</v>
      </c>
      <c r="C281" s="53" t="s">
        <v>22</v>
      </c>
      <c r="D281" s="53" t="s">
        <v>370</v>
      </c>
      <c r="E281" s="64">
        <f t="shared" ref="E281:Q281" si="39">E289*E282</f>
        <v>389.56067708443584</v>
      </c>
      <c r="F281" s="64" t="s">
        <v>297</v>
      </c>
      <c r="G281" s="64" t="s">
        <v>297</v>
      </c>
      <c r="H281" s="64" t="s">
        <v>297</v>
      </c>
      <c r="I281" s="64" t="s">
        <v>297</v>
      </c>
      <c r="J281" s="64" t="s">
        <v>297</v>
      </c>
      <c r="K281" s="64" t="s">
        <v>297</v>
      </c>
      <c r="L281" s="64" t="s">
        <v>297</v>
      </c>
      <c r="M281" s="64" t="s">
        <v>297</v>
      </c>
      <c r="N281" s="64">
        <f t="shared" si="39"/>
        <v>74.069718730624544</v>
      </c>
      <c r="O281" s="64">
        <f t="shared" si="39"/>
        <v>109.28932142677951</v>
      </c>
      <c r="P281" s="64">
        <f t="shared" si="39"/>
        <v>101.41104608273784</v>
      </c>
      <c r="Q281" s="64">
        <f t="shared" si="39"/>
        <v>104.79059084429396</v>
      </c>
    </row>
    <row r="282" spans="1:133" ht="46.8" x14ac:dyDescent="0.25">
      <c r="A282" s="35" t="s">
        <v>23</v>
      </c>
      <c r="B282" s="25" t="s">
        <v>197</v>
      </c>
      <c r="C282" s="35" t="s">
        <v>191</v>
      </c>
      <c r="D282" s="35" t="s">
        <v>371</v>
      </c>
      <c r="E282" s="20">
        <f>SUM(F282:Q282)</f>
        <v>410.33930354812566</v>
      </c>
      <c r="F282" s="20" t="s">
        <v>297</v>
      </c>
      <c r="G282" s="20" t="s">
        <v>297</v>
      </c>
      <c r="H282" s="20" t="s">
        <v>297</v>
      </c>
      <c r="I282" s="20" t="s">
        <v>297</v>
      </c>
      <c r="J282" s="20" t="s">
        <v>297</v>
      </c>
      <c r="K282" s="20" t="s">
        <v>297</v>
      </c>
      <c r="L282" s="20" t="s">
        <v>297</v>
      </c>
      <c r="M282" s="20" t="s">
        <v>297</v>
      </c>
      <c r="N282" s="20">
        <f t="shared" ref="N282:Q282" si="40">N284*N287</f>
        <v>78.020494844099233</v>
      </c>
      <c r="O282" s="20">
        <f t="shared" si="40"/>
        <v>115.11866232276778</v>
      </c>
      <c r="P282" s="20">
        <f t="shared" si="40"/>
        <v>106.82017069360948</v>
      </c>
      <c r="Q282" s="20">
        <f t="shared" si="40"/>
        <v>110.37997568764916</v>
      </c>
    </row>
    <row r="283" spans="1:133" ht="62.4" x14ac:dyDescent="0.25">
      <c r="A283" s="17" t="s">
        <v>334</v>
      </c>
      <c r="B283" s="60" t="s">
        <v>192</v>
      </c>
      <c r="C283" s="35" t="s">
        <v>25</v>
      </c>
      <c r="D283" s="35" t="s">
        <v>333</v>
      </c>
      <c r="E283" s="20">
        <f>AVERAGE(N283:Q283)</f>
        <v>8540.4254926651302</v>
      </c>
      <c r="F283" s="20" t="s">
        <v>297</v>
      </c>
      <c r="G283" s="20" t="s">
        <v>297</v>
      </c>
      <c r="H283" s="20" t="s">
        <v>297</v>
      </c>
      <c r="I283" s="20" t="s">
        <v>297</v>
      </c>
      <c r="J283" s="20" t="s">
        <v>297</v>
      </c>
      <c r="K283" s="20" t="s">
        <v>297</v>
      </c>
      <c r="L283" s="20" t="s">
        <v>297</v>
      </c>
      <c r="M283" s="20" t="s">
        <v>297</v>
      </c>
      <c r="N283" s="121">
        <v>8722.790952380954</v>
      </c>
      <c r="O283" s="121">
        <v>8718.1056774193548</v>
      </c>
      <c r="P283" s="121">
        <v>8361.9735666666675</v>
      </c>
      <c r="Q283" s="121">
        <v>8358.8317741935462</v>
      </c>
    </row>
    <row r="284" spans="1:133" ht="46.8" x14ac:dyDescent="0.25">
      <c r="A284" s="35" t="s">
        <v>26</v>
      </c>
      <c r="B284" s="60" t="s">
        <v>198</v>
      </c>
      <c r="C284" s="35" t="s">
        <v>27</v>
      </c>
      <c r="D284" s="35" t="s">
        <v>206</v>
      </c>
      <c r="E284" s="65">
        <f>SUM(N284:Q284)</f>
        <v>963422.87800000003</v>
      </c>
      <c r="F284" s="65" t="s">
        <v>297</v>
      </c>
      <c r="G284" s="65" t="s">
        <v>297</v>
      </c>
      <c r="H284" s="65" t="s">
        <v>297</v>
      </c>
      <c r="I284" s="65" t="s">
        <v>297</v>
      </c>
      <c r="J284" s="65" t="s">
        <v>297</v>
      </c>
      <c r="K284" s="65" t="s">
        <v>297</v>
      </c>
      <c r="L284" s="65" t="s">
        <v>297</v>
      </c>
      <c r="M284" s="65" t="s">
        <v>297</v>
      </c>
      <c r="N284" s="65">
        <f t="shared" ref="N284:Q284" si="41">N283*N277</f>
        <v>183178.61000000004</v>
      </c>
      <c r="O284" s="65">
        <f t="shared" si="41"/>
        <v>270261.27600000001</v>
      </c>
      <c r="P284" s="65">
        <f t="shared" si="41"/>
        <v>250859.20700000002</v>
      </c>
      <c r="Q284" s="65">
        <f t="shared" si="41"/>
        <v>259123.78499999992</v>
      </c>
    </row>
    <row r="285" spans="1:133" ht="62.4" x14ac:dyDescent="0.25">
      <c r="A285" s="35" t="s">
        <v>28</v>
      </c>
      <c r="B285" s="60" t="s">
        <v>199</v>
      </c>
      <c r="C285" s="35" t="s">
        <v>29</v>
      </c>
      <c r="D285" s="35" t="s">
        <v>332</v>
      </c>
      <c r="E285" s="125">
        <f>AVERAGE(N285:Q285)</f>
        <v>425.9175416026626</v>
      </c>
      <c r="F285" s="66" t="s">
        <v>297</v>
      </c>
      <c r="G285" s="66" t="s">
        <v>297</v>
      </c>
      <c r="H285" s="66" t="s">
        <v>297</v>
      </c>
      <c r="I285" s="66" t="s">
        <v>297</v>
      </c>
      <c r="J285" s="66" t="s">
        <v>297</v>
      </c>
      <c r="K285" s="66" t="s">
        <v>297</v>
      </c>
      <c r="L285" s="66" t="s">
        <v>297</v>
      </c>
      <c r="M285" s="66" t="s">
        <v>297</v>
      </c>
      <c r="N285" s="126">
        <v>425.92579365079371</v>
      </c>
      <c r="O285" s="126">
        <v>425.95322580645171</v>
      </c>
      <c r="P285" s="126">
        <v>425.81722222222231</v>
      </c>
      <c r="Q285" s="126">
        <v>425.97392473118282</v>
      </c>
    </row>
    <row r="286" spans="1:133" ht="62.4" x14ac:dyDescent="0.25">
      <c r="A286" s="35" t="s">
        <v>30</v>
      </c>
      <c r="B286" s="60" t="s">
        <v>199</v>
      </c>
      <c r="C286" s="35" t="s">
        <v>31</v>
      </c>
      <c r="D286" s="35" t="s">
        <v>331</v>
      </c>
      <c r="E286" s="125">
        <f>AVERAGE(N286:Q286)</f>
        <v>19.642176139272916</v>
      </c>
      <c r="F286" s="65" t="s">
        <v>297</v>
      </c>
      <c r="G286" s="65" t="s">
        <v>297</v>
      </c>
      <c r="H286" s="65" t="s">
        <v>297</v>
      </c>
      <c r="I286" s="65" t="s">
        <v>297</v>
      </c>
      <c r="J286" s="65" t="s">
        <v>297</v>
      </c>
      <c r="K286" s="65" t="s">
        <v>297</v>
      </c>
      <c r="L286" s="65" t="s">
        <v>297</v>
      </c>
      <c r="M286" s="65" t="s">
        <v>297</v>
      </c>
      <c r="N286" s="126">
        <v>20.018650793650792</v>
      </c>
      <c r="O286" s="126">
        <v>19.583333333333339</v>
      </c>
      <c r="P286" s="126">
        <v>19.509999999999998</v>
      </c>
      <c r="Q286" s="126">
        <v>19.456720430107531</v>
      </c>
    </row>
    <row r="287" spans="1:133" ht="62.4" x14ac:dyDescent="0.25">
      <c r="A287" s="35" t="s">
        <v>32</v>
      </c>
      <c r="B287" s="60" t="s">
        <v>200</v>
      </c>
      <c r="C287" s="35" t="s">
        <v>34</v>
      </c>
      <c r="D287" s="35" t="s">
        <v>338</v>
      </c>
      <c r="E287" s="122">
        <f>E285/1000000</f>
        <v>4.2591754160266262E-4</v>
      </c>
      <c r="F287" s="120" t="s">
        <v>297</v>
      </c>
      <c r="G287" s="120" t="s">
        <v>297</v>
      </c>
      <c r="H287" s="120" t="s">
        <v>297</v>
      </c>
      <c r="I287" s="120" t="s">
        <v>297</v>
      </c>
      <c r="J287" s="120" t="s">
        <v>297</v>
      </c>
      <c r="K287" s="120" t="s">
        <v>297</v>
      </c>
      <c r="L287" s="120" t="s">
        <v>297</v>
      </c>
      <c r="M287" s="120" t="s">
        <v>297</v>
      </c>
      <c r="N287" s="120">
        <f t="shared" ref="N287:Q287" si="42">N285/1000000</f>
        <v>4.259257936507937E-4</v>
      </c>
      <c r="O287" s="120">
        <f t="shared" si="42"/>
        <v>4.2595322580645174E-4</v>
      </c>
      <c r="P287" s="120">
        <f t="shared" si="42"/>
        <v>4.2581722222222233E-4</v>
      </c>
      <c r="Q287" s="120">
        <f t="shared" si="42"/>
        <v>4.259739247311828E-4</v>
      </c>
    </row>
    <row r="288" spans="1:133" ht="62.4" x14ac:dyDescent="0.25">
      <c r="A288" s="35" t="s">
        <v>30</v>
      </c>
      <c r="B288" s="60" t="s">
        <v>33</v>
      </c>
      <c r="C288" s="35" t="s">
        <v>35</v>
      </c>
      <c r="D288" s="35" t="s">
        <v>339</v>
      </c>
      <c r="E288" s="122">
        <f>E286/1000000</f>
        <v>1.9642176139272915E-5</v>
      </c>
      <c r="F288" s="120" t="s">
        <v>297</v>
      </c>
      <c r="G288" s="120" t="s">
        <v>297</v>
      </c>
      <c r="H288" s="120" t="s">
        <v>297</v>
      </c>
      <c r="I288" s="120" t="s">
        <v>297</v>
      </c>
      <c r="J288" s="120" t="s">
        <v>297</v>
      </c>
      <c r="K288" s="120" t="s">
        <v>297</v>
      </c>
      <c r="L288" s="120" t="s">
        <v>297</v>
      </c>
      <c r="M288" s="120" t="s">
        <v>297</v>
      </c>
      <c r="N288" s="120">
        <f t="shared" ref="N288:Q288" si="43">N286/1000000</f>
        <v>2.0018650793650791E-5</v>
      </c>
      <c r="O288" s="120">
        <f t="shared" si="43"/>
        <v>1.958333333333334E-5</v>
      </c>
      <c r="P288" s="120">
        <f t="shared" si="43"/>
        <v>1.9509999999999998E-5</v>
      </c>
      <c r="Q288" s="120">
        <f t="shared" si="43"/>
        <v>1.9456720430107529E-5</v>
      </c>
    </row>
    <row r="289" spans="1:133" ht="46.8" x14ac:dyDescent="0.25">
      <c r="A289" s="63" t="s">
        <v>36</v>
      </c>
      <c r="B289" s="25" t="s">
        <v>201</v>
      </c>
      <c r="C289" s="35" t="s">
        <v>38</v>
      </c>
      <c r="D289" s="35" t="s">
        <v>368</v>
      </c>
      <c r="E289" s="68">
        <f>(1-(E290/E291))</f>
        <v>0.94936232945754651</v>
      </c>
      <c r="F289" s="68" t="s">
        <v>297</v>
      </c>
      <c r="G289" s="68" t="s">
        <v>297</v>
      </c>
      <c r="H289" s="68" t="s">
        <v>297</v>
      </c>
      <c r="I289" s="68" t="s">
        <v>297</v>
      </c>
      <c r="J289" s="68" t="s">
        <v>297</v>
      </c>
      <c r="K289" s="68" t="s">
        <v>297</v>
      </c>
      <c r="L289" s="68" t="s">
        <v>297</v>
      </c>
      <c r="M289" s="68" t="s">
        <v>297</v>
      </c>
      <c r="N289" s="68">
        <f>E289</f>
        <v>0.94936232945754651</v>
      </c>
      <c r="O289" s="68">
        <f>E289</f>
        <v>0.94936232945754651</v>
      </c>
      <c r="P289" s="68">
        <f>E289</f>
        <v>0.94936232945754651</v>
      </c>
      <c r="Q289" s="68">
        <f>E289</f>
        <v>0.94936232945754651</v>
      </c>
    </row>
    <row r="290" spans="1:133" ht="31.2" x14ac:dyDescent="0.25">
      <c r="A290" s="35" t="s">
        <v>39</v>
      </c>
      <c r="B290" s="25" t="s">
        <v>196</v>
      </c>
      <c r="C290" s="35" t="s">
        <v>40</v>
      </c>
      <c r="D290" s="35" t="s">
        <v>351</v>
      </c>
      <c r="E290" s="52">
        <f>SUM(F290:Q290)</f>
        <v>20.155342632</v>
      </c>
      <c r="F290" s="52" t="s">
        <v>297</v>
      </c>
      <c r="G290" s="52" t="s">
        <v>297</v>
      </c>
      <c r="H290" s="52" t="s">
        <v>297</v>
      </c>
      <c r="I290" s="52" t="s">
        <v>297</v>
      </c>
      <c r="J290" s="52" t="s">
        <v>297</v>
      </c>
      <c r="K290" s="52" t="s">
        <v>297</v>
      </c>
      <c r="L290" s="52" t="s">
        <v>297</v>
      </c>
      <c r="M290" s="52" t="s">
        <v>297</v>
      </c>
      <c r="N290" s="52">
        <v>3.745683144</v>
      </c>
      <c r="O290" s="52">
        <v>5.5293417839999996</v>
      </c>
      <c r="P290" s="52">
        <v>5.3509759199999998</v>
      </c>
      <c r="Q290" s="52">
        <v>5.5293417839999996</v>
      </c>
    </row>
    <row r="291" spans="1:133" ht="31.2" x14ac:dyDescent="0.25">
      <c r="A291" s="63" t="s">
        <v>41</v>
      </c>
      <c r="B291" s="25" t="s">
        <v>24</v>
      </c>
      <c r="C291" s="35" t="s">
        <v>42</v>
      </c>
      <c r="D291" s="35" t="s">
        <v>351</v>
      </c>
      <c r="E291" s="52">
        <f>SUM(F291:Q291)</f>
        <v>398.03060480639999</v>
      </c>
      <c r="F291" s="52" t="s">
        <v>297</v>
      </c>
      <c r="G291" s="52" t="s">
        <v>297</v>
      </c>
      <c r="H291" s="52" t="s">
        <v>297</v>
      </c>
      <c r="I291" s="52" t="s">
        <v>297</v>
      </c>
      <c r="J291" s="52" t="s">
        <v>297</v>
      </c>
      <c r="K291" s="52" t="s">
        <v>297</v>
      </c>
      <c r="L291" s="52" t="s">
        <v>297</v>
      </c>
      <c r="M291" s="52" t="s">
        <v>297</v>
      </c>
      <c r="N291" s="52">
        <v>73.970289388799998</v>
      </c>
      <c r="O291" s="52">
        <v>109.19423671679999</v>
      </c>
      <c r="P291" s="52">
        <v>105.671841984</v>
      </c>
      <c r="Q291" s="52">
        <v>109.19423671679999</v>
      </c>
    </row>
    <row r="292" spans="1:133" ht="31.2" x14ac:dyDescent="0.25">
      <c r="A292" s="53" t="s">
        <v>43</v>
      </c>
      <c r="B292" s="25" t="s">
        <v>201</v>
      </c>
      <c r="C292" s="53" t="s">
        <v>44</v>
      </c>
      <c r="D292" s="35" t="s">
        <v>372</v>
      </c>
      <c r="E292" s="177">
        <f>E293*E294*0.89</f>
        <v>0.48981407304679636</v>
      </c>
      <c r="F292" s="177"/>
      <c r="G292" s="177"/>
      <c r="H292" s="177"/>
      <c r="I292" s="177"/>
      <c r="J292" s="177"/>
      <c r="K292" s="177"/>
      <c r="L292" s="177"/>
      <c r="M292" s="177"/>
      <c r="N292" s="177"/>
      <c r="O292" s="177"/>
      <c r="P292" s="177"/>
      <c r="Q292" s="177"/>
    </row>
    <row r="293" spans="1:133" ht="31.2" x14ac:dyDescent="0.25">
      <c r="A293" s="70" t="s">
        <v>45</v>
      </c>
      <c r="B293" s="25" t="s">
        <v>201</v>
      </c>
      <c r="C293" s="53" t="s">
        <v>46</v>
      </c>
      <c r="D293" s="35" t="s">
        <v>373</v>
      </c>
      <c r="E293" s="162">
        <v>0.7</v>
      </c>
      <c r="F293" s="163"/>
      <c r="G293" s="163"/>
      <c r="H293" s="163"/>
      <c r="I293" s="163"/>
      <c r="J293" s="163"/>
      <c r="K293" s="163"/>
      <c r="L293" s="163"/>
      <c r="M293" s="163"/>
      <c r="N293" s="163"/>
      <c r="O293" s="163"/>
      <c r="P293" s="163"/>
      <c r="Q293" s="164"/>
    </row>
    <row r="294" spans="1:133" ht="36" customHeight="1" x14ac:dyDescent="0.25">
      <c r="A294" s="70" t="s">
        <v>47</v>
      </c>
      <c r="B294" s="25" t="s">
        <v>37</v>
      </c>
      <c r="C294" s="53" t="s">
        <v>48</v>
      </c>
      <c r="D294" s="35" t="s">
        <v>374</v>
      </c>
      <c r="E294" s="159">
        <f>(N295*N300+O295*O300+P295*P300+Q295*Q300)/(N289*N287*N284+O289*O284*O287+P289*P287*P284+Q289*Q287*Q284)</f>
        <v>0.78621841580545171</v>
      </c>
      <c r="F294" s="160"/>
      <c r="G294" s="160"/>
      <c r="H294" s="160"/>
      <c r="I294" s="160"/>
      <c r="J294" s="160"/>
      <c r="K294" s="160"/>
      <c r="L294" s="160"/>
      <c r="M294" s="160"/>
      <c r="N294" s="160"/>
      <c r="O294" s="160"/>
      <c r="P294" s="160"/>
      <c r="Q294" s="161"/>
    </row>
    <row r="295" spans="1:133" s="9" customFormat="1" ht="46.8" x14ac:dyDescent="0.4">
      <c r="A295" s="71" t="s">
        <v>49</v>
      </c>
      <c r="B295" s="25" t="s">
        <v>37</v>
      </c>
      <c r="C295" s="53" t="s">
        <v>50</v>
      </c>
      <c r="D295" s="53" t="s">
        <v>375</v>
      </c>
      <c r="E295" s="72">
        <f>AVERAGE(F295:Q295)</f>
        <v>0.58075944952101688</v>
      </c>
      <c r="F295" s="72" t="s">
        <v>297</v>
      </c>
      <c r="G295" s="72" t="s">
        <v>297</v>
      </c>
      <c r="H295" s="72" t="s">
        <v>297</v>
      </c>
      <c r="I295" s="72" t="s">
        <v>297</v>
      </c>
      <c r="J295" s="72" t="s">
        <v>297</v>
      </c>
      <c r="K295" s="72" t="s">
        <v>297</v>
      </c>
      <c r="L295" s="72" t="s">
        <v>297</v>
      </c>
      <c r="M295" s="72" t="s">
        <v>297</v>
      </c>
      <c r="N295" s="72">
        <f t="shared" ref="N295:Q295" si="44">IF(N299&lt;283,0,IF(N299&gt;303,1,EXP(($E$23*(N299-$E$24))/($E$25*$E$24*N299))))</f>
        <v>0.84523513966163832</v>
      </c>
      <c r="O295" s="72">
        <f t="shared" si="44"/>
        <v>0.62729263560178183</v>
      </c>
      <c r="P295" s="72">
        <f t="shared" si="44"/>
        <v>0.52733825786216582</v>
      </c>
      <c r="Q295" s="72">
        <f t="shared" si="44"/>
        <v>0.32317176495848171</v>
      </c>
      <c r="R295" s="78"/>
      <c r="S295" s="78"/>
      <c r="T295" s="78"/>
      <c r="U295" s="78"/>
      <c r="V295" s="78"/>
      <c r="W295" s="78"/>
      <c r="X295" s="78"/>
      <c r="Y295" s="78"/>
      <c r="Z295" s="78"/>
      <c r="AA295" s="78"/>
      <c r="AB295" s="78"/>
      <c r="AC295" s="78"/>
      <c r="AD295" s="78"/>
      <c r="AE295" s="78"/>
      <c r="AF295" s="78"/>
      <c r="AG295" s="78"/>
      <c r="AH295" s="78"/>
      <c r="AI295" s="78"/>
      <c r="AJ295" s="78"/>
      <c r="AK295" s="78"/>
      <c r="AL295" s="78"/>
      <c r="AM295" s="78"/>
      <c r="AN295" s="78"/>
      <c r="AO295" s="78"/>
      <c r="AP295" s="78"/>
      <c r="AQ295" s="78"/>
      <c r="AR295" s="78"/>
      <c r="AS295" s="78"/>
      <c r="AT295" s="78"/>
      <c r="AU295" s="78"/>
      <c r="AV295" s="78"/>
      <c r="AW295" s="78"/>
      <c r="AX295" s="78"/>
      <c r="AY295" s="78"/>
      <c r="AZ295" s="78"/>
      <c r="BA295" s="78"/>
      <c r="BB295" s="78"/>
      <c r="BC295" s="78"/>
      <c r="BD295" s="78"/>
      <c r="BE295" s="78"/>
      <c r="BF295" s="78"/>
      <c r="BG295" s="78"/>
      <c r="BH295" s="78"/>
      <c r="BI295" s="78"/>
      <c r="BJ295" s="78"/>
      <c r="BK295" s="78"/>
      <c r="BL295" s="78"/>
      <c r="BM295" s="78"/>
      <c r="BN295" s="78"/>
      <c r="BO295" s="78"/>
      <c r="BP295" s="78"/>
      <c r="BQ295" s="78"/>
      <c r="BR295" s="78"/>
      <c r="BS295" s="78"/>
      <c r="BT295" s="78"/>
      <c r="BU295" s="78"/>
      <c r="BV295" s="78"/>
      <c r="BW295" s="78"/>
      <c r="BX295" s="78"/>
      <c r="BY295" s="78"/>
      <c r="BZ295" s="78"/>
      <c r="CA295" s="78"/>
      <c r="CB295" s="78"/>
      <c r="CC295" s="78"/>
      <c r="CD295" s="78"/>
      <c r="CE295" s="78"/>
      <c r="CF295" s="78"/>
      <c r="CG295" s="78"/>
      <c r="CH295" s="78"/>
      <c r="CI295" s="78"/>
      <c r="CJ295" s="78"/>
      <c r="CK295" s="78"/>
      <c r="CL295" s="78"/>
      <c r="CM295" s="78"/>
      <c r="CN295" s="78"/>
      <c r="CO295" s="78"/>
      <c r="CP295" s="78"/>
      <c r="CQ295" s="78"/>
      <c r="CR295" s="78"/>
      <c r="CS295" s="78"/>
      <c r="CT295" s="78"/>
      <c r="CU295" s="78"/>
      <c r="CV295" s="78"/>
      <c r="CW295" s="78"/>
      <c r="CX295" s="78"/>
      <c r="CY295" s="78"/>
      <c r="CZ295" s="78"/>
      <c r="DA295" s="78"/>
      <c r="DB295" s="78"/>
      <c r="DC295" s="78"/>
      <c r="DD295" s="78"/>
      <c r="DE295" s="78"/>
      <c r="DF295" s="78"/>
      <c r="DG295" s="78"/>
      <c r="DH295" s="78"/>
      <c r="DI295" s="78"/>
      <c r="DJ295" s="78"/>
      <c r="DK295" s="78"/>
      <c r="DL295" s="78"/>
      <c r="DM295" s="78"/>
      <c r="DN295" s="78"/>
      <c r="DO295" s="78"/>
      <c r="DP295" s="78"/>
      <c r="DQ295" s="78"/>
      <c r="DR295" s="78"/>
      <c r="DS295" s="78"/>
      <c r="DT295" s="78"/>
      <c r="DU295" s="78"/>
      <c r="DV295" s="78"/>
      <c r="DW295" s="78"/>
      <c r="DX295" s="78"/>
      <c r="DY295" s="78"/>
      <c r="DZ295" s="78"/>
      <c r="EA295" s="78"/>
      <c r="EB295" s="78"/>
      <c r="EC295" s="78"/>
    </row>
    <row r="296" spans="1:133" s="9" customFormat="1" x14ac:dyDescent="0.25">
      <c r="A296" s="73" t="s">
        <v>51</v>
      </c>
      <c r="B296" s="60" t="s">
        <v>202</v>
      </c>
      <c r="C296" s="53" t="s">
        <v>53</v>
      </c>
      <c r="D296" s="53" t="s">
        <v>376</v>
      </c>
      <c r="E296" s="162">
        <v>15175</v>
      </c>
      <c r="F296" s="163"/>
      <c r="G296" s="163"/>
      <c r="H296" s="163"/>
      <c r="I296" s="163"/>
      <c r="J296" s="163"/>
      <c r="K296" s="163"/>
      <c r="L296" s="163"/>
      <c r="M296" s="163"/>
      <c r="N296" s="163"/>
      <c r="O296" s="163"/>
      <c r="P296" s="163"/>
      <c r="Q296" s="164"/>
      <c r="R296" s="78"/>
      <c r="S296" s="78"/>
      <c r="T296" s="78"/>
      <c r="U296" s="78"/>
      <c r="V296" s="78"/>
      <c r="W296" s="78"/>
      <c r="X296" s="78"/>
      <c r="Y296" s="78"/>
      <c r="Z296" s="78"/>
      <c r="AA296" s="78"/>
      <c r="AB296" s="78"/>
      <c r="AC296" s="78"/>
      <c r="AD296" s="78"/>
      <c r="AE296" s="78"/>
      <c r="AF296" s="78"/>
      <c r="AG296" s="78"/>
      <c r="AH296" s="78"/>
      <c r="AI296" s="78"/>
      <c r="AJ296" s="78"/>
      <c r="AK296" s="78"/>
      <c r="AL296" s="78"/>
      <c r="AM296" s="78"/>
      <c r="AN296" s="78"/>
      <c r="AO296" s="78"/>
      <c r="AP296" s="78"/>
      <c r="AQ296" s="78"/>
      <c r="AR296" s="78"/>
      <c r="AS296" s="78"/>
      <c r="AT296" s="78"/>
      <c r="AU296" s="78"/>
      <c r="AV296" s="78"/>
      <c r="AW296" s="78"/>
      <c r="AX296" s="78"/>
      <c r="AY296" s="78"/>
      <c r="AZ296" s="78"/>
      <c r="BA296" s="78"/>
      <c r="BB296" s="78"/>
      <c r="BC296" s="78"/>
      <c r="BD296" s="78"/>
      <c r="BE296" s="78"/>
      <c r="BF296" s="78"/>
      <c r="BG296" s="78"/>
      <c r="BH296" s="78"/>
      <c r="BI296" s="78"/>
      <c r="BJ296" s="78"/>
      <c r="BK296" s="78"/>
      <c r="BL296" s="78"/>
      <c r="BM296" s="78"/>
      <c r="BN296" s="78"/>
      <c r="BO296" s="78"/>
      <c r="BP296" s="78"/>
      <c r="BQ296" s="78"/>
      <c r="BR296" s="78"/>
      <c r="BS296" s="78"/>
      <c r="BT296" s="78"/>
      <c r="BU296" s="78"/>
      <c r="BV296" s="78"/>
      <c r="BW296" s="78"/>
      <c r="BX296" s="78"/>
      <c r="BY296" s="78"/>
      <c r="BZ296" s="78"/>
      <c r="CA296" s="78"/>
      <c r="CB296" s="78"/>
      <c r="CC296" s="78"/>
      <c r="CD296" s="78"/>
      <c r="CE296" s="78"/>
      <c r="CF296" s="78"/>
      <c r="CG296" s="78"/>
      <c r="CH296" s="78"/>
      <c r="CI296" s="78"/>
      <c r="CJ296" s="78"/>
      <c r="CK296" s="78"/>
      <c r="CL296" s="78"/>
      <c r="CM296" s="78"/>
      <c r="CN296" s="78"/>
      <c r="CO296" s="78"/>
      <c r="CP296" s="78"/>
      <c r="CQ296" s="78"/>
      <c r="CR296" s="78"/>
      <c r="CS296" s="78"/>
      <c r="CT296" s="78"/>
      <c r="CU296" s="78"/>
      <c r="CV296" s="78"/>
      <c r="CW296" s="78"/>
      <c r="CX296" s="78"/>
      <c r="CY296" s="78"/>
      <c r="CZ296" s="78"/>
      <c r="DA296" s="78"/>
      <c r="DB296" s="78"/>
      <c r="DC296" s="78"/>
      <c r="DD296" s="78"/>
      <c r="DE296" s="78"/>
      <c r="DF296" s="78"/>
      <c r="DG296" s="78"/>
      <c r="DH296" s="78"/>
      <c r="DI296" s="78"/>
      <c r="DJ296" s="78"/>
      <c r="DK296" s="78"/>
      <c r="DL296" s="78"/>
      <c r="DM296" s="78"/>
      <c r="DN296" s="78"/>
      <c r="DO296" s="78"/>
      <c r="DP296" s="78"/>
      <c r="DQ296" s="78"/>
      <c r="DR296" s="78"/>
      <c r="DS296" s="78"/>
      <c r="DT296" s="78"/>
      <c r="DU296" s="78"/>
      <c r="DV296" s="78"/>
      <c r="DW296" s="78"/>
      <c r="DX296" s="78"/>
      <c r="DY296" s="78"/>
      <c r="DZ296" s="78"/>
      <c r="EA296" s="78"/>
      <c r="EB296" s="78"/>
      <c r="EC296" s="78"/>
    </row>
    <row r="297" spans="1:133" s="9" customFormat="1" ht="18" x14ac:dyDescent="0.25">
      <c r="A297" s="73" t="s">
        <v>54</v>
      </c>
      <c r="B297" s="60" t="s">
        <v>203</v>
      </c>
      <c r="C297" s="53" t="s">
        <v>56</v>
      </c>
      <c r="D297" s="53" t="s">
        <v>376</v>
      </c>
      <c r="E297" s="162">
        <v>303.16000000000003</v>
      </c>
      <c r="F297" s="163"/>
      <c r="G297" s="163"/>
      <c r="H297" s="163"/>
      <c r="I297" s="163"/>
      <c r="J297" s="163"/>
      <c r="K297" s="163"/>
      <c r="L297" s="163"/>
      <c r="M297" s="163"/>
      <c r="N297" s="163"/>
      <c r="O297" s="163"/>
      <c r="P297" s="163"/>
      <c r="Q297" s="164"/>
      <c r="R297" s="78"/>
      <c r="S297" s="78"/>
      <c r="T297" s="78"/>
      <c r="U297" s="78"/>
      <c r="V297" s="78"/>
      <c r="W297" s="78"/>
      <c r="X297" s="78"/>
      <c r="Y297" s="78"/>
      <c r="Z297" s="78"/>
      <c r="AA297" s="78"/>
      <c r="AB297" s="78"/>
      <c r="AC297" s="78"/>
      <c r="AD297" s="78"/>
      <c r="AE297" s="78"/>
      <c r="AF297" s="78"/>
      <c r="AG297" s="78"/>
      <c r="AH297" s="78"/>
      <c r="AI297" s="78"/>
      <c r="AJ297" s="78"/>
      <c r="AK297" s="78"/>
      <c r="AL297" s="78"/>
      <c r="AM297" s="78"/>
      <c r="AN297" s="78"/>
      <c r="AO297" s="78"/>
      <c r="AP297" s="78"/>
      <c r="AQ297" s="78"/>
      <c r="AR297" s="78"/>
      <c r="AS297" s="78"/>
      <c r="AT297" s="78"/>
      <c r="AU297" s="78"/>
      <c r="AV297" s="78"/>
      <c r="AW297" s="78"/>
      <c r="AX297" s="78"/>
      <c r="AY297" s="78"/>
      <c r="AZ297" s="78"/>
      <c r="BA297" s="78"/>
      <c r="BB297" s="78"/>
      <c r="BC297" s="78"/>
      <c r="BD297" s="78"/>
      <c r="BE297" s="78"/>
      <c r="BF297" s="78"/>
      <c r="BG297" s="78"/>
      <c r="BH297" s="78"/>
      <c r="BI297" s="78"/>
      <c r="BJ297" s="78"/>
      <c r="BK297" s="78"/>
      <c r="BL297" s="78"/>
      <c r="BM297" s="78"/>
      <c r="BN297" s="78"/>
      <c r="BO297" s="78"/>
      <c r="BP297" s="78"/>
      <c r="BQ297" s="78"/>
      <c r="BR297" s="78"/>
      <c r="BS297" s="78"/>
      <c r="BT297" s="78"/>
      <c r="BU297" s="78"/>
      <c r="BV297" s="78"/>
      <c r="BW297" s="78"/>
      <c r="BX297" s="78"/>
      <c r="BY297" s="78"/>
      <c r="BZ297" s="78"/>
      <c r="CA297" s="78"/>
      <c r="CB297" s="78"/>
      <c r="CC297" s="78"/>
      <c r="CD297" s="78"/>
      <c r="CE297" s="78"/>
      <c r="CF297" s="78"/>
      <c r="CG297" s="78"/>
      <c r="CH297" s="78"/>
      <c r="CI297" s="78"/>
      <c r="CJ297" s="78"/>
      <c r="CK297" s="78"/>
      <c r="CL297" s="78"/>
      <c r="CM297" s="78"/>
      <c r="CN297" s="78"/>
      <c r="CO297" s="78"/>
      <c r="CP297" s="78"/>
      <c r="CQ297" s="78"/>
      <c r="CR297" s="78"/>
      <c r="CS297" s="78"/>
      <c r="CT297" s="78"/>
      <c r="CU297" s="78"/>
      <c r="CV297" s="78"/>
      <c r="CW297" s="78"/>
      <c r="CX297" s="78"/>
      <c r="CY297" s="78"/>
      <c r="CZ297" s="78"/>
      <c r="DA297" s="78"/>
      <c r="DB297" s="78"/>
      <c r="DC297" s="78"/>
      <c r="DD297" s="78"/>
      <c r="DE297" s="78"/>
      <c r="DF297" s="78"/>
      <c r="DG297" s="78"/>
      <c r="DH297" s="78"/>
      <c r="DI297" s="78"/>
      <c r="DJ297" s="78"/>
      <c r="DK297" s="78"/>
      <c r="DL297" s="78"/>
      <c r="DM297" s="78"/>
      <c r="DN297" s="78"/>
      <c r="DO297" s="78"/>
      <c r="DP297" s="78"/>
      <c r="DQ297" s="78"/>
      <c r="DR297" s="78"/>
      <c r="DS297" s="78"/>
      <c r="DT297" s="78"/>
      <c r="DU297" s="78"/>
      <c r="DV297" s="78"/>
      <c r="DW297" s="78"/>
      <c r="DX297" s="78"/>
      <c r="DY297" s="78"/>
      <c r="DZ297" s="78"/>
      <c r="EA297" s="78"/>
      <c r="EB297" s="78"/>
      <c r="EC297" s="78"/>
    </row>
    <row r="298" spans="1:133" s="9" customFormat="1" x14ac:dyDescent="0.25">
      <c r="A298" s="73" t="s">
        <v>57</v>
      </c>
      <c r="B298" s="60" t="s">
        <v>204</v>
      </c>
      <c r="C298" s="53" t="s">
        <v>59</v>
      </c>
      <c r="D298" s="53" t="s">
        <v>376</v>
      </c>
      <c r="E298" s="162">
        <v>1.9870000000000001</v>
      </c>
      <c r="F298" s="163"/>
      <c r="G298" s="163"/>
      <c r="H298" s="163"/>
      <c r="I298" s="163"/>
      <c r="J298" s="163"/>
      <c r="K298" s="163"/>
      <c r="L298" s="163"/>
      <c r="M298" s="163"/>
      <c r="N298" s="163"/>
      <c r="O298" s="163"/>
      <c r="P298" s="163"/>
      <c r="Q298" s="164"/>
      <c r="R298" s="78"/>
      <c r="S298" s="78"/>
      <c r="T298" s="78"/>
      <c r="U298" s="78"/>
      <c r="V298" s="78"/>
      <c r="W298" s="78"/>
      <c r="X298" s="78"/>
      <c r="Y298" s="78"/>
      <c r="Z298" s="78"/>
      <c r="AA298" s="78"/>
      <c r="AB298" s="78"/>
      <c r="AC298" s="78"/>
      <c r="AD298" s="78"/>
      <c r="AE298" s="78"/>
      <c r="AF298" s="78"/>
      <c r="AG298" s="78"/>
      <c r="AH298" s="78"/>
      <c r="AI298" s="78"/>
      <c r="AJ298" s="78"/>
      <c r="AK298" s="78"/>
      <c r="AL298" s="78"/>
      <c r="AM298" s="78"/>
      <c r="AN298" s="78"/>
      <c r="AO298" s="78"/>
      <c r="AP298" s="78"/>
      <c r="AQ298" s="78"/>
      <c r="AR298" s="78"/>
      <c r="AS298" s="78"/>
      <c r="AT298" s="78"/>
      <c r="AU298" s="78"/>
      <c r="AV298" s="78"/>
      <c r="AW298" s="78"/>
      <c r="AX298" s="78"/>
      <c r="AY298" s="78"/>
      <c r="AZ298" s="78"/>
      <c r="BA298" s="78"/>
      <c r="BB298" s="78"/>
      <c r="BC298" s="78"/>
      <c r="BD298" s="78"/>
      <c r="BE298" s="78"/>
      <c r="BF298" s="78"/>
      <c r="BG298" s="78"/>
      <c r="BH298" s="78"/>
      <c r="BI298" s="78"/>
      <c r="BJ298" s="78"/>
      <c r="BK298" s="78"/>
      <c r="BL298" s="78"/>
      <c r="BM298" s="78"/>
      <c r="BN298" s="78"/>
      <c r="BO298" s="78"/>
      <c r="BP298" s="78"/>
      <c r="BQ298" s="78"/>
      <c r="BR298" s="78"/>
      <c r="BS298" s="78"/>
      <c r="BT298" s="78"/>
      <c r="BU298" s="78"/>
      <c r="BV298" s="78"/>
      <c r="BW298" s="78"/>
      <c r="BX298" s="78"/>
      <c r="BY298" s="78"/>
      <c r="BZ298" s="78"/>
      <c r="CA298" s="78"/>
      <c r="CB298" s="78"/>
      <c r="CC298" s="78"/>
      <c r="CD298" s="78"/>
      <c r="CE298" s="78"/>
      <c r="CF298" s="78"/>
      <c r="CG298" s="78"/>
      <c r="CH298" s="78"/>
      <c r="CI298" s="78"/>
      <c r="CJ298" s="78"/>
      <c r="CK298" s="78"/>
      <c r="CL298" s="78"/>
      <c r="CM298" s="78"/>
      <c r="CN298" s="78"/>
      <c r="CO298" s="78"/>
      <c r="CP298" s="78"/>
      <c r="CQ298" s="78"/>
      <c r="CR298" s="78"/>
      <c r="CS298" s="78"/>
      <c r="CT298" s="78"/>
      <c r="CU298" s="78"/>
      <c r="CV298" s="78"/>
      <c r="CW298" s="78"/>
      <c r="CX298" s="78"/>
      <c r="CY298" s="78"/>
      <c r="CZ298" s="78"/>
      <c r="DA298" s="78"/>
      <c r="DB298" s="78"/>
      <c r="DC298" s="78"/>
      <c r="DD298" s="78"/>
      <c r="DE298" s="78"/>
      <c r="DF298" s="78"/>
      <c r="DG298" s="78"/>
      <c r="DH298" s="78"/>
      <c r="DI298" s="78"/>
      <c r="DJ298" s="78"/>
      <c r="DK298" s="78"/>
      <c r="DL298" s="78"/>
      <c r="DM298" s="78"/>
      <c r="DN298" s="78"/>
      <c r="DO298" s="78"/>
      <c r="DP298" s="78"/>
      <c r="DQ298" s="78"/>
      <c r="DR298" s="78"/>
      <c r="DS298" s="78"/>
      <c r="DT298" s="78"/>
      <c r="DU298" s="78"/>
      <c r="DV298" s="78"/>
      <c r="DW298" s="78"/>
      <c r="DX298" s="78"/>
      <c r="DY298" s="78"/>
      <c r="DZ298" s="78"/>
      <c r="EA298" s="78"/>
      <c r="EB298" s="78"/>
      <c r="EC298" s="78"/>
    </row>
    <row r="299" spans="1:133" s="9" customFormat="1" ht="31.2" x14ac:dyDescent="0.25">
      <c r="A299" s="73" t="s">
        <v>60</v>
      </c>
      <c r="B299" s="60" t="s">
        <v>203</v>
      </c>
      <c r="C299" s="53" t="s">
        <v>61</v>
      </c>
      <c r="D299" s="143" t="s">
        <v>363</v>
      </c>
      <c r="E299" s="98">
        <f>AVERAGE(F299:Q299)</f>
        <v>296.14999999999998</v>
      </c>
      <c r="F299" s="60" t="s">
        <v>297</v>
      </c>
      <c r="G299" s="60" t="s">
        <v>297</v>
      </c>
      <c r="H299" s="60" t="s">
        <v>297</v>
      </c>
      <c r="I299" s="60" t="s">
        <v>297</v>
      </c>
      <c r="J299" s="60" t="s">
        <v>297</v>
      </c>
      <c r="K299" s="60" t="s">
        <v>297</v>
      </c>
      <c r="L299" s="60" t="s">
        <v>297</v>
      </c>
      <c r="M299" s="60" t="s">
        <v>297</v>
      </c>
      <c r="N299" s="60">
        <v>301.14999999999998</v>
      </c>
      <c r="O299" s="60">
        <v>297.64999999999998</v>
      </c>
      <c r="P299" s="60">
        <v>295.64999999999998</v>
      </c>
      <c r="Q299" s="60">
        <v>290.14999999999998</v>
      </c>
      <c r="R299" s="78"/>
      <c r="S299" s="78"/>
      <c r="T299" s="78"/>
      <c r="U299" s="78"/>
      <c r="V299" s="78"/>
      <c r="W299" s="78"/>
      <c r="X299" s="78"/>
      <c r="Y299" s="78"/>
      <c r="Z299" s="78"/>
      <c r="AA299" s="78"/>
      <c r="AB299" s="78"/>
      <c r="AC299" s="78"/>
      <c r="AD299" s="78"/>
      <c r="AE299" s="78"/>
      <c r="AF299" s="78"/>
      <c r="AG299" s="78"/>
      <c r="AH299" s="78"/>
      <c r="AI299" s="78"/>
      <c r="AJ299" s="78"/>
      <c r="AK299" s="78"/>
      <c r="AL299" s="78"/>
      <c r="AM299" s="78"/>
      <c r="AN299" s="78"/>
      <c r="AO299" s="78"/>
      <c r="AP299" s="78"/>
      <c r="AQ299" s="78"/>
      <c r="AR299" s="78"/>
      <c r="AS299" s="78"/>
      <c r="AT299" s="78"/>
      <c r="AU299" s="78"/>
      <c r="AV299" s="78"/>
      <c r="AW299" s="78"/>
      <c r="AX299" s="78"/>
      <c r="AY299" s="78"/>
      <c r="AZ299" s="78"/>
      <c r="BA299" s="78"/>
      <c r="BB299" s="78"/>
      <c r="BC299" s="78"/>
      <c r="BD299" s="78"/>
      <c r="BE299" s="78"/>
      <c r="BF299" s="78"/>
      <c r="BG299" s="78"/>
      <c r="BH299" s="78"/>
      <c r="BI299" s="78"/>
      <c r="BJ299" s="78"/>
      <c r="BK299" s="78"/>
      <c r="BL299" s="78"/>
      <c r="BM299" s="78"/>
      <c r="BN299" s="78"/>
      <c r="BO299" s="78"/>
      <c r="BP299" s="78"/>
      <c r="BQ299" s="78"/>
      <c r="BR299" s="78"/>
      <c r="BS299" s="78"/>
      <c r="BT299" s="78"/>
      <c r="BU299" s="78"/>
      <c r="BV299" s="78"/>
      <c r="BW299" s="78"/>
      <c r="BX299" s="78"/>
      <c r="BY299" s="78"/>
      <c r="BZ299" s="78"/>
      <c r="CA299" s="78"/>
      <c r="CB299" s="78"/>
      <c r="CC299" s="78"/>
      <c r="CD299" s="78"/>
      <c r="CE299" s="78"/>
      <c r="CF299" s="78"/>
      <c r="CG299" s="78"/>
      <c r="CH299" s="78"/>
      <c r="CI299" s="78"/>
      <c r="CJ299" s="78"/>
      <c r="CK299" s="78"/>
      <c r="CL299" s="78"/>
      <c r="CM299" s="78"/>
      <c r="CN299" s="78"/>
      <c r="CO299" s="78"/>
      <c r="CP299" s="78"/>
      <c r="CQ299" s="78"/>
      <c r="CR299" s="78"/>
      <c r="CS299" s="78"/>
      <c r="CT299" s="78"/>
      <c r="CU299" s="78"/>
      <c r="CV299" s="78"/>
      <c r="CW299" s="78"/>
      <c r="CX299" s="78"/>
      <c r="CY299" s="78"/>
      <c r="CZ299" s="78"/>
      <c r="DA299" s="78"/>
      <c r="DB299" s="78"/>
      <c r="DC299" s="78"/>
      <c r="DD299" s="78"/>
      <c r="DE299" s="78"/>
      <c r="DF299" s="78"/>
      <c r="DG299" s="78"/>
      <c r="DH299" s="78"/>
      <c r="DI299" s="78"/>
      <c r="DJ299" s="78"/>
      <c r="DK299" s="78"/>
      <c r="DL299" s="78"/>
      <c r="DM299" s="78"/>
      <c r="DN299" s="78"/>
      <c r="DO299" s="78"/>
      <c r="DP299" s="78"/>
      <c r="DQ299" s="78"/>
      <c r="DR299" s="78"/>
      <c r="DS299" s="78"/>
      <c r="DT299" s="78"/>
      <c r="DU299" s="78"/>
      <c r="DV299" s="78"/>
      <c r="DW299" s="78"/>
      <c r="DX299" s="78"/>
      <c r="DY299" s="78"/>
      <c r="DZ299" s="78"/>
      <c r="EA299" s="78"/>
      <c r="EB299" s="78"/>
      <c r="EC299" s="78"/>
    </row>
    <row r="300" spans="1:133" s="9" customFormat="1" ht="31.2" x14ac:dyDescent="0.4">
      <c r="A300" s="71" t="s">
        <v>62</v>
      </c>
      <c r="B300" s="60" t="s">
        <v>196</v>
      </c>
      <c r="C300" s="53" t="s">
        <v>63</v>
      </c>
      <c r="D300" s="53" t="s">
        <v>377</v>
      </c>
      <c r="E300" s="74">
        <f>SUM(F300:Q300)</f>
        <v>594.30460198848107</v>
      </c>
      <c r="F300" s="74" t="s">
        <v>297</v>
      </c>
      <c r="G300" s="74" t="s">
        <v>297</v>
      </c>
      <c r="H300" s="74" t="s">
        <v>297</v>
      </c>
      <c r="I300" s="74" t="s">
        <v>297</v>
      </c>
      <c r="J300" s="74" t="s">
        <v>297</v>
      </c>
      <c r="K300" s="74" t="s">
        <v>297</v>
      </c>
      <c r="L300" s="74" t="s">
        <v>297</v>
      </c>
      <c r="M300" s="74" t="s">
        <v>297</v>
      </c>
      <c r="N300" s="74">
        <f>N289*N284*N287+(1-N295)*0</f>
        <v>74.069718730624544</v>
      </c>
      <c r="O300" s="74">
        <f t="shared" ref="O300:Q300" si="45">O289*O284*O287+(1-O295)*N300</f>
        <v>136.89565107658794</v>
      </c>
      <c r="P300" s="74">
        <f t="shared" si="45"/>
        <v>166.11638301169097</v>
      </c>
      <c r="Q300" s="74">
        <f t="shared" si="45"/>
        <v>217.22284916957761</v>
      </c>
      <c r="R300" s="78"/>
      <c r="S300" s="78"/>
      <c r="T300" s="78"/>
      <c r="U300" s="78"/>
      <c r="V300" s="78"/>
      <c r="W300" s="78"/>
      <c r="X300" s="78"/>
      <c r="Y300" s="78"/>
      <c r="Z300" s="78"/>
      <c r="AA300" s="78"/>
      <c r="AB300" s="78"/>
      <c r="AC300" s="78"/>
      <c r="AD300" s="78"/>
      <c r="AE300" s="78"/>
      <c r="AF300" s="78"/>
      <c r="AG300" s="78"/>
      <c r="AH300" s="78"/>
      <c r="AI300" s="78"/>
      <c r="AJ300" s="78"/>
      <c r="AK300" s="78"/>
      <c r="AL300" s="78"/>
      <c r="AM300" s="78"/>
      <c r="AN300" s="78"/>
      <c r="AO300" s="78"/>
      <c r="AP300" s="78"/>
      <c r="AQ300" s="78"/>
      <c r="AR300" s="78"/>
      <c r="AS300" s="78"/>
      <c r="AT300" s="78"/>
      <c r="AU300" s="78"/>
      <c r="AV300" s="78"/>
      <c r="AW300" s="78"/>
      <c r="AX300" s="78"/>
      <c r="AY300" s="78"/>
      <c r="AZ300" s="78"/>
      <c r="BA300" s="78"/>
      <c r="BB300" s="78"/>
      <c r="BC300" s="78"/>
      <c r="BD300" s="78"/>
      <c r="BE300" s="78"/>
      <c r="BF300" s="78"/>
      <c r="BG300" s="78"/>
      <c r="BH300" s="78"/>
      <c r="BI300" s="78"/>
      <c r="BJ300" s="78"/>
      <c r="BK300" s="78"/>
      <c r="BL300" s="78"/>
      <c r="BM300" s="78"/>
      <c r="BN300" s="78"/>
      <c r="BO300" s="78"/>
      <c r="BP300" s="78"/>
      <c r="BQ300" s="78"/>
      <c r="BR300" s="78"/>
      <c r="BS300" s="78"/>
      <c r="BT300" s="78"/>
      <c r="BU300" s="78"/>
      <c r="BV300" s="78"/>
      <c r="BW300" s="78"/>
      <c r="BX300" s="78"/>
      <c r="BY300" s="78"/>
      <c r="BZ300" s="78"/>
      <c r="CA300" s="78"/>
      <c r="CB300" s="78"/>
      <c r="CC300" s="78"/>
      <c r="CD300" s="78"/>
      <c r="CE300" s="78"/>
      <c r="CF300" s="78"/>
      <c r="CG300" s="78"/>
      <c r="CH300" s="78"/>
      <c r="CI300" s="78"/>
      <c r="CJ300" s="78"/>
      <c r="CK300" s="78"/>
      <c r="CL300" s="78"/>
      <c r="CM300" s="78"/>
      <c r="CN300" s="78"/>
      <c r="CO300" s="78"/>
      <c r="CP300" s="78"/>
      <c r="CQ300" s="78"/>
      <c r="CR300" s="78"/>
      <c r="CS300" s="78"/>
      <c r="CT300" s="78"/>
      <c r="CU300" s="78"/>
      <c r="CV300" s="78"/>
      <c r="CW300" s="78"/>
      <c r="CX300" s="78"/>
      <c r="CY300" s="78"/>
      <c r="CZ300" s="78"/>
      <c r="DA300" s="78"/>
      <c r="DB300" s="78"/>
      <c r="DC300" s="78"/>
      <c r="DD300" s="78"/>
      <c r="DE300" s="78"/>
      <c r="DF300" s="78"/>
      <c r="DG300" s="78"/>
      <c r="DH300" s="78"/>
      <c r="DI300" s="78"/>
      <c r="DJ300" s="78"/>
      <c r="DK300" s="78"/>
      <c r="DL300" s="78"/>
      <c r="DM300" s="78"/>
      <c r="DN300" s="78"/>
      <c r="DO300" s="78"/>
      <c r="DP300" s="78"/>
      <c r="DQ300" s="78"/>
      <c r="DR300" s="78"/>
      <c r="DS300" s="78"/>
      <c r="DT300" s="78"/>
      <c r="DU300" s="78"/>
      <c r="DV300" s="78"/>
      <c r="DW300" s="78"/>
      <c r="DX300" s="78"/>
      <c r="DY300" s="78"/>
      <c r="DZ300" s="78"/>
      <c r="EA300" s="78"/>
      <c r="EB300" s="78"/>
      <c r="EC300" s="78"/>
    </row>
    <row r="302" spans="1:133" x14ac:dyDescent="0.25">
      <c r="A302" s="158" t="s">
        <v>64</v>
      </c>
      <c r="B302" s="158"/>
      <c r="C302" s="158"/>
      <c r="D302" s="158"/>
      <c r="E302" s="158"/>
    </row>
    <row r="303" spans="1:133" x14ac:dyDescent="0.25">
      <c r="A303" s="57" t="s">
        <v>8</v>
      </c>
      <c r="B303" s="58" t="s">
        <v>9</v>
      </c>
      <c r="C303" s="34" t="s">
        <v>10</v>
      </c>
      <c r="D303" s="34" t="s">
        <v>340</v>
      </c>
      <c r="E303" s="16" t="s">
        <v>65</v>
      </c>
    </row>
    <row r="304" spans="1:133" ht="46.8" x14ac:dyDescent="0.25">
      <c r="A304" s="59" t="s">
        <v>66</v>
      </c>
      <c r="B304" s="60" t="s">
        <v>14</v>
      </c>
      <c r="C304" s="53" t="s">
        <v>67</v>
      </c>
      <c r="D304" s="53" t="s">
        <v>68</v>
      </c>
      <c r="E304" s="75">
        <v>0</v>
      </c>
    </row>
    <row r="305" spans="1:5" ht="46.8" x14ac:dyDescent="0.25">
      <c r="A305" s="63" t="s">
        <v>69</v>
      </c>
      <c r="B305" s="25" t="s">
        <v>70</v>
      </c>
      <c r="C305" s="35" t="s">
        <v>71</v>
      </c>
      <c r="D305" s="53" t="str">
        <f>D311</f>
        <v>Historical data on site in the FSR (It was calculated with conservative value)</v>
      </c>
      <c r="E305" s="74">
        <f>E311</f>
        <v>178.93836997691719</v>
      </c>
    </row>
    <row r="307" spans="1:5" x14ac:dyDescent="0.25">
      <c r="A307" s="174" t="s">
        <v>72</v>
      </c>
      <c r="B307" s="174"/>
      <c r="C307" s="175"/>
      <c r="D307" s="175"/>
      <c r="E307" s="174"/>
    </row>
    <row r="308" spans="1:5" x14ac:dyDescent="0.25">
      <c r="A308" s="59" t="s">
        <v>8</v>
      </c>
      <c r="B308" s="16" t="s">
        <v>9</v>
      </c>
      <c r="C308" s="38" t="s">
        <v>10</v>
      </c>
      <c r="D308" s="38" t="s">
        <v>340</v>
      </c>
      <c r="E308" s="16" t="s">
        <v>65</v>
      </c>
    </row>
    <row r="309" spans="1:5" ht="33.6" x14ac:dyDescent="0.4">
      <c r="A309" s="76" t="s">
        <v>73</v>
      </c>
      <c r="B309" s="25" t="s">
        <v>74</v>
      </c>
      <c r="C309" s="35" t="s">
        <v>75</v>
      </c>
      <c r="D309" s="35" t="s">
        <v>378</v>
      </c>
      <c r="E309" s="50">
        <f>E310*E313*E314*E315*E316*E317</f>
        <v>0.72679951997272707</v>
      </c>
    </row>
    <row r="310" spans="1:5" ht="46.8" x14ac:dyDescent="0.4">
      <c r="A310" s="77" t="s">
        <v>207</v>
      </c>
      <c r="B310" s="25" t="s">
        <v>76</v>
      </c>
      <c r="C310" s="35" t="s">
        <v>77</v>
      </c>
      <c r="D310" s="35" t="s">
        <v>379</v>
      </c>
      <c r="E310" s="52">
        <f>E311/E312</f>
        <v>35.787673995383436</v>
      </c>
    </row>
    <row r="311" spans="1:5" ht="46.8" x14ac:dyDescent="0.25">
      <c r="A311" s="63" t="s">
        <v>208</v>
      </c>
      <c r="B311" s="25" t="s">
        <v>78</v>
      </c>
      <c r="C311" s="35" t="s">
        <v>79</v>
      </c>
      <c r="D311" s="53" t="s">
        <v>352</v>
      </c>
      <c r="E311" s="52">
        <f>0.000185731908659239*E284</f>
        <v>178.93836997691719</v>
      </c>
    </row>
    <row r="312" spans="1:5" ht="31.2" x14ac:dyDescent="0.25">
      <c r="A312" s="63" t="s">
        <v>209</v>
      </c>
      <c r="B312" s="25" t="s">
        <v>80</v>
      </c>
      <c r="C312" s="35" t="s">
        <v>81</v>
      </c>
      <c r="D312" s="35" t="s">
        <v>353</v>
      </c>
      <c r="E312" s="25">
        <f>5</f>
        <v>5</v>
      </c>
    </row>
    <row r="313" spans="1:5" ht="62.4" x14ac:dyDescent="0.25">
      <c r="A313" s="63" t="s">
        <v>210</v>
      </c>
      <c r="B313" s="25" t="s">
        <v>82</v>
      </c>
      <c r="C313" s="35" t="s">
        <v>83</v>
      </c>
      <c r="D313" s="53" t="s">
        <v>354</v>
      </c>
      <c r="E313" s="25">
        <f>15*2</f>
        <v>30</v>
      </c>
    </row>
    <row r="314" spans="1:5" ht="172.2" x14ac:dyDescent="0.25">
      <c r="A314" s="63" t="s">
        <v>211</v>
      </c>
      <c r="B314" s="25" t="s">
        <v>84</v>
      </c>
      <c r="C314" s="35" t="s">
        <v>85</v>
      </c>
      <c r="D314" s="35" t="s">
        <v>355</v>
      </c>
      <c r="E314" s="25">
        <f>25.1/100</f>
        <v>0.251</v>
      </c>
    </row>
    <row r="315" spans="1:5" ht="156" x14ac:dyDescent="0.25">
      <c r="A315" s="63" t="s">
        <v>212</v>
      </c>
      <c r="B315" s="25" t="s">
        <v>87</v>
      </c>
      <c r="C315" s="35" t="s">
        <v>86</v>
      </c>
      <c r="D315" s="35" t="s">
        <v>356</v>
      </c>
      <c r="E315" s="25">
        <f>0.84/1000</f>
        <v>8.3999999999999993E-4</v>
      </c>
    </row>
    <row r="316" spans="1:5" ht="171.6" x14ac:dyDescent="0.25">
      <c r="A316" s="63" t="s">
        <v>213</v>
      </c>
      <c r="B316" s="25" t="s">
        <v>88</v>
      </c>
      <c r="C316" s="35" t="s">
        <v>89</v>
      </c>
      <c r="D316" s="35" t="s">
        <v>357</v>
      </c>
      <c r="E316" s="25">
        <f>43.33/1000</f>
        <v>4.333E-2</v>
      </c>
    </row>
    <row r="317" spans="1:5" ht="62.4" x14ac:dyDescent="0.25">
      <c r="A317" s="63" t="s">
        <v>214</v>
      </c>
      <c r="B317" s="25" t="s">
        <v>90</v>
      </c>
      <c r="C317" s="35" t="s">
        <v>91</v>
      </c>
      <c r="D317" s="35" t="s">
        <v>358</v>
      </c>
      <c r="E317" s="25">
        <v>74.099999999999994</v>
      </c>
    </row>
    <row r="319" spans="1:5" x14ac:dyDescent="0.25">
      <c r="A319" s="158" t="s">
        <v>93</v>
      </c>
      <c r="B319" s="158"/>
      <c r="C319" s="158"/>
      <c r="D319" s="158"/>
      <c r="E319" s="158"/>
    </row>
    <row r="320" spans="1:5" x14ac:dyDescent="0.25">
      <c r="A320" s="57" t="s">
        <v>8</v>
      </c>
      <c r="B320" s="58" t="s">
        <v>9</v>
      </c>
      <c r="C320" s="34" t="s">
        <v>10</v>
      </c>
      <c r="D320" s="34" t="s">
        <v>340</v>
      </c>
      <c r="E320" s="16" t="s">
        <v>65</v>
      </c>
    </row>
    <row r="321" spans="1:133" ht="64.8" x14ac:dyDescent="0.25">
      <c r="A321" s="15" t="s">
        <v>94</v>
      </c>
      <c r="B321" s="25" t="s">
        <v>95</v>
      </c>
      <c r="C321" s="35" t="s">
        <v>96</v>
      </c>
      <c r="D321" s="35" t="s">
        <v>97</v>
      </c>
      <c r="E321" s="16">
        <v>0</v>
      </c>
    </row>
    <row r="323" spans="1:133" x14ac:dyDescent="0.25">
      <c r="A323" s="158" t="s">
        <v>98</v>
      </c>
      <c r="B323" s="158"/>
      <c r="C323" s="158"/>
      <c r="D323" s="158"/>
      <c r="E323" s="158"/>
    </row>
    <row r="324" spans="1:133" x14ac:dyDescent="0.25">
      <c r="A324" s="57" t="s">
        <v>8</v>
      </c>
      <c r="B324" s="58" t="s">
        <v>9</v>
      </c>
      <c r="C324" s="34" t="s">
        <v>10</v>
      </c>
      <c r="D324" s="34" t="s">
        <v>340</v>
      </c>
      <c r="E324" s="16" t="s">
        <v>65</v>
      </c>
    </row>
    <row r="325" spans="1:133" ht="49.2" x14ac:dyDescent="0.25">
      <c r="A325" s="15" t="s">
        <v>99</v>
      </c>
      <c r="B325" s="25" t="s">
        <v>95</v>
      </c>
      <c r="C325" s="35" t="s">
        <v>100</v>
      </c>
      <c r="D325" s="35" t="s">
        <v>101</v>
      </c>
      <c r="E325" s="16">
        <v>0</v>
      </c>
    </row>
    <row r="327" spans="1:133" x14ac:dyDescent="0.25">
      <c r="A327" s="57" t="s">
        <v>8</v>
      </c>
      <c r="B327" s="58" t="s">
        <v>9</v>
      </c>
      <c r="C327" s="34" t="s">
        <v>10</v>
      </c>
      <c r="D327" s="34" t="s">
        <v>340</v>
      </c>
      <c r="E327" s="16" t="s">
        <v>65</v>
      </c>
    </row>
    <row r="328" spans="1:133" ht="18" x14ac:dyDescent="0.25">
      <c r="A328" s="59" t="s">
        <v>102</v>
      </c>
      <c r="B328" s="25" t="s">
        <v>103</v>
      </c>
      <c r="C328" s="35" t="s">
        <v>104</v>
      </c>
      <c r="D328" s="53" t="s">
        <v>380</v>
      </c>
      <c r="E328" s="18">
        <f>ROUNDDOWN(E278+E309+E304+E321+E325,0)</f>
        <v>1122</v>
      </c>
    </row>
    <row r="329" spans="1:133" s="167" customFormat="1" ht="43.2" customHeight="1" x14ac:dyDescent="0.25">
      <c r="A329" s="167" t="s">
        <v>225</v>
      </c>
    </row>
    <row r="330" spans="1:133" s="56" customFormat="1" ht="31.2" x14ac:dyDescent="0.25">
      <c r="A330" s="92" t="s">
        <v>8</v>
      </c>
      <c r="B330" s="93" t="s">
        <v>9</v>
      </c>
      <c r="C330" s="94" t="s">
        <v>10</v>
      </c>
      <c r="D330" s="93" t="s">
        <v>341</v>
      </c>
      <c r="E330" s="93" t="s">
        <v>11</v>
      </c>
      <c r="F330" s="16" t="s">
        <v>292</v>
      </c>
      <c r="G330" s="16" t="s">
        <v>292</v>
      </c>
      <c r="H330" s="16" t="s">
        <v>292</v>
      </c>
      <c r="I330" s="16" t="s">
        <v>292</v>
      </c>
      <c r="J330" s="16" t="s">
        <v>292</v>
      </c>
      <c r="K330" s="16" t="s">
        <v>292</v>
      </c>
      <c r="L330" s="16" t="s">
        <v>292</v>
      </c>
      <c r="M330" s="16" t="s">
        <v>292</v>
      </c>
      <c r="N330" s="16" t="s">
        <v>304</v>
      </c>
      <c r="O330" s="16" t="s">
        <v>293</v>
      </c>
      <c r="P330" s="16" t="s">
        <v>294</v>
      </c>
      <c r="Q330" s="16" t="s">
        <v>295</v>
      </c>
      <c r="R330" s="54"/>
      <c r="S330" s="54"/>
      <c r="T330" s="54"/>
      <c r="U330" s="54"/>
      <c r="V330" s="54"/>
      <c r="W330" s="54"/>
      <c r="X330" s="54"/>
      <c r="Y330" s="54"/>
      <c r="Z330" s="54"/>
      <c r="AA330" s="54"/>
      <c r="AB330" s="54"/>
      <c r="AC330" s="54"/>
      <c r="AD330" s="54"/>
      <c r="AE330" s="54"/>
      <c r="AF330" s="54"/>
      <c r="AG330" s="54"/>
      <c r="AH330" s="54"/>
      <c r="AI330" s="54"/>
      <c r="AJ330" s="54"/>
      <c r="AK330" s="54"/>
      <c r="AL330" s="54"/>
      <c r="AM330" s="54"/>
      <c r="AN330" s="54"/>
      <c r="AO330" s="54"/>
      <c r="AP330" s="54"/>
      <c r="AQ330" s="54"/>
      <c r="AR330" s="54"/>
      <c r="AS330" s="54"/>
      <c r="AT330" s="54"/>
      <c r="AU330" s="54"/>
      <c r="AV330" s="54"/>
      <c r="AW330" s="54"/>
      <c r="AX330" s="54"/>
      <c r="AY330" s="54"/>
      <c r="AZ330" s="54"/>
      <c r="BA330" s="54"/>
      <c r="BB330" s="54"/>
      <c r="BC330" s="54"/>
      <c r="BD330" s="54"/>
      <c r="BE330" s="54"/>
      <c r="BF330" s="54"/>
      <c r="BG330" s="54"/>
      <c r="BH330" s="54"/>
      <c r="BI330" s="54"/>
      <c r="BJ330" s="54"/>
      <c r="BK330" s="54"/>
      <c r="BL330" s="54"/>
      <c r="BM330" s="54"/>
      <c r="BN330" s="54"/>
      <c r="BO330" s="54"/>
      <c r="BP330" s="54"/>
      <c r="BQ330" s="54"/>
      <c r="BR330" s="54"/>
      <c r="BS330" s="54"/>
      <c r="BT330" s="54"/>
      <c r="BU330" s="54"/>
      <c r="BV330" s="54"/>
      <c r="BW330" s="54"/>
      <c r="BX330" s="54"/>
      <c r="BY330" s="54"/>
      <c r="BZ330" s="54"/>
      <c r="CA330" s="54"/>
      <c r="CB330" s="54"/>
      <c r="CC330" s="54"/>
      <c r="CD330" s="54"/>
      <c r="CE330" s="54"/>
      <c r="CF330" s="54"/>
      <c r="CG330" s="54"/>
      <c r="CH330" s="54"/>
      <c r="CI330" s="54"/>
      <c r="CJ330" s="54"/>
      <c r="CK330" s="54"/>
      <c r="CL330" s="54"/>
      <c r="CM330" s="54"/>
      <c r="CN330" s="54"/>
      <c r="CO330" s="54"/>
      <c r="CP330" s="54"/>
      <c r="CQ330" s="54"/>
      <c r="CR330" s="54"/>
      <c r="CS330" s="54"/>
      <c r="CT330" s="54"/>
      <c r="CU330" s="54"/>
      <c r="CV330" s="54"/>
      <c r="CW330" s="54"/>
      <c r="CX330" s="54"/>
      <c r="CY330" s="54"/>
      <c r="CZ330" s="54"/>
      <c r="DA330" s="54"/>
      <c r="DB330" s="54"/>
      <c r="DC330" s="54"/>
      <c r="DD330" s="54"/>
      <c r="DE330" s="54"/>
      <c r="DF330" s="54"/>
      <c r="DG330" s="54"/>
      <c r="DH330" s="54"/>
      <c r="DI330" s="54"/>
      <c r="DJ330" s="54"/>
      <c r="DK330" s="54"/>
      <c r="DL330" s="54"/>
      <c r="DM330" s="54"/>
      <c r="DN330" s="54"/>
      <c r="DO330" s="54"/>
      <c r="DP330" s="54"/>
      <c r="DQ330" s="54"/>
      <c r="DR330" s="54"/>
      <c r="DS330" s="54"/>
      <c r="DT330" s="54"/>
      <c r="DU330" s="54"/>
      <c r="DV330" s="54"/>
      <c r="DW330" s="54"/>
      <c r="DX330" s="54"/>
      <c r="DY330" s="54"/>
      <c r="DZ330" s="54"/>
      <c r="EA330" s="54"/>
      <c r="EB330" s="54"/>
      <c r="EC330" s="54"/>
    </row>
    <row r="331" spans="1:133" s="56" customFormat="1" x14ac:dyDescent="0.25">
      <c r="A331" s="178" t="s">
        <v>12</v>
      </c>
      <c r="B331" s="178"/>
      <c r="C331" s="179"/>
      <c r="D331" s="179"/>
      <c r="E331" s="178"/>
      <c r="F331" s="16" t="s">
        <v>297</v>
      </c>
      <c r="G331" s="16" t="s">
        <v>297</v>
      </c>
      <c r="H331" s="16" t="s">
        <v>297</v>
      </c>
      <c r="I331" s="16" t="s">
        <v>297</v>
      </c>
      <c r="J331" s="16" t="s">
        <v>297</v>
      </c>
      <c r="K331" s="16" t="s">
        <v>297</v>
      </c>
      <c r="L331" s="16" t="s">
        <v>297</v>
      </c>
      <c r="M331" s="16" t="s">
        <v>297</v>
      </c>
      <c r="N331" s="16">
        <v>17</v>
      </c>
      <c r="O331" s="16">
        <v>31</v>
      </c>
      <c r="P331" s="16">
        <v>30</v>
      </c>
      <c r="Q331" s="16">
        <v>31</v>
      </c>
      <c r="R331" s="54"/>
      <c r="S331" s="54"/>
      <c r="T331" s="54"/>
      <c r="U331" s="54"/>
      <c r="V331" s="54"/>
      <c r="W331" s="54"/>
      <c r="X331" s="54"/>
      <c r="Y331" s="54"/>
      <c r="Z331" s="54"/>
      <c r="AA331" s="54"/>
      <c r="AB331" s="54"/>
      <c r="AC331" s="54"/>
      <c r="AD331" s="54"/>
      <c r="AE331" s="54"/>
      <c r="AF331" s="54"/>
      <c r="AG331" s="54"/>
      <c r="AH331" s="54"/>
      <c r="AI331" s="54"/>
      <c r="AJ331" s="54"/>
      <c r="AK331" s="54"/>
      <c r="AL331" s="54"/>
      <c r="AM331" s="54"/>
      <c r="AN331" s="54"/>
      <c r="AO331" s="54"/>
      <c r="AP331" s="54"/>
      <c r="AQ331" s="54"/>
      <c r="AR331" s="54"/>
      <c r="AS331" s="54"/>
      <c r="AT331" s="54"/>
      <c r="AU331" s="54"/>
      <c r="AV331" s="54"/>
      <c r="AW331" s="54"/>
      <c r="AX331" s="54"/>
      <c r="AY331" s="54"/>
      <c r="AZ331" s="54"/>
      <c r="BA331" s="54"/>
      <c r="BB331" s="54"/>
      <c r="BC331" s="54"/>
      <c r="BD331" s="54"/>
      <c r="BE331" s="54"/>
      <c r="BF331" s="54"/>
      <c r="BG331" s="54"/>
      <c r="BH331" s="54"/>
      <c r="BI331" s="54"/>
      <c r="BJ331" s="54"/>
      <c r="BK331" s="54"/>
      <c r="BL331" s="54"/>
      <c r="BM331" s="54"/>
      <c r="BN331" s="54"/>
      <c r="BO331" s="54"/>
      <c r="BP331" s="54"/>
      <c r="BQ331" s="54"/>
      <c r="BR331" s="54"/>
      <c r="BS331" s="54"/>
      <c r="BT331" s="54"/>
      <c r="BU331" s="54"/>
      <c r="BV331" s="54"/>
      <c r="BW331" s="54"/>
      <c r="BX331" s="54"/>
      <c r="BY331" s="54"/>
      <c r="BZ331" s="54"/>
      <c r="CA331" s="54"/>
      <c r="CB331" s="54"/>
      <c r="CC331" s="54"/>
      <c r="CD331" s="54"/>
      <c r="CE331" s="54"/>
      <c r="CF331" s="54"/>
      <c r="CG331" s="54"/>
      <c r="CH331" s="54"/>
      <c r="CI331" s="54"/>
      <c r="CJ331" s="54"/>
      <c r="CK331" s="54"/>
      <c r="CL331" s="54"/>
      <c r="CM331" s="54"/>
      <c r="CN331" s="54"/>
      <c r="CO331" s="54"/>
      <c r="CP331" s="54"/>
      <c r="CQ331" s="54"/>
      <c r="CR331" s="54"/>
      <c r="CS331" s="54"/>
      <c r="CT331" s="54"/>
      <c r="CU331" s="54"/>
      <c r="CV331" s="54"/>
      <c r="CW331" s="54"/>
      <c r="CX331" s="54"/>
      <c r="CY331" s="54"/>
      <c r="CZ331" s="54"/>
      <c r="DA331" s="54"/>
      <c r="DB331" s="54"/>
      <c r="DC331" s="54"/>
      <c r="DD331" s="54"/>
      <c r="DE331" s="54"/>
      <c r="DF331" s="54"/>
      <c r="DG331" s="54"/>
      <c r="DH331" s="54"/>
      <c r="DI331" s="54"/>
      <c r="DJ331" s="54"/>
      <c r="DK331" s="54"/>
      <c r="DL331" s="54"/>
      <c r="DM331" s="54"/>
      <c r="DN331" s="54"/>
      <c r="DO331" s="54"/>
      <c r="DP331" s="54"/>
      <c r="DQ331" s="54"/>
      <c r="DR331" s="54"/>
      <c r="DS331" s="54"/>
      <c r="DT331" s="54"/>
      <c r="DU331" s="54"/>
      <c r="DV331" s="54"/>
      <c r="DW331" s="54"/>
      <c r="DX331" s="54"/>
      <c r="DY331" s="54"/>
      <c r="DZ331" s="54"/>
      <c r="EA331" s="54"/>
      <c r="EB331" s="54"/>
      <c r="EC331" s="54"/>
    </row>
    <row r="332" spans="1:133" ht="46.8" x14ac:dyDescent="0.25">
      <c r="A332" s="59" t="s">
        <v>13</v>
      </c>
      <c r="B332" s="60" t="s">
        <v>14</v>
      </c>
      <c r="C332" s="53" t="s">
        <v>15</v>
      </c>
      <c r="D332" s="53" t="s">
        <v>369</v>
      </c>
      <c r="E332" s="61">
        <f>SUM(F332:Q332)</f>
        <v>1199.3417137701392</v>
      </c>
      <c r="F332" s="62" t="s">
        <v>297</v>
      </c>
      <c r="G332" s="62" t="s">
        <v>297</v>
      </c>
      <c r="H332" s="62" t="s">
        <v>297</v>
      </c>
      <c r="I332" s="62" t="s">
        <v>297</v>
      </c>
      <c r="J332" s="62" t="s">
        <v>297</v>
      </c>
      <c r="K332" s="62" t="s">
        <v>297</v>
      </c>
      <c r="L332" s="62" t="s">
        <v>297</v>
      </c>
      <c r="M332" s="62" t="s">
        <v>297</v>
      </c>
      <c r="N332" s="62">
        <f>$E$333*$E$334*N335*$E$346</f>
        <v>191.79496314862831</v>
      </c>
      <c r="O332" s="62">
        <f t="shared" ref="O332:Q332" si="46">$E$333*$E$334*O335*$E$346</f>
        <v>349.47126891710644</v>
      </c>
      <c r="P332" s="62">
        <f t="shared" si="46"/>
        <v>323.66144568116243</v>
      </c>
      <c r="Q332" s="62">
        <f t="shared" si="46"/>
        <v>334.41403602324203</v>
      </c>
    </row>
    <row r="333" spans="1:133" ht="31.2" x14ac:dyDescent="0.25">
      <c r="A333" s="63" t="s">
        <v>16</v>
      </c>
      <c r="B333" s="60" t="s">
        <v>193</v>
      </c>
      <c r="C333" s="35" t="s">
        <v>17</v>
      </c>
      <c r="D333" s="35" t="s">
        <v>205</v>
      </c>
      <c r="E333" s="176">
        <v>28</v>
      </c>
      <c r="F333" s="176"/>
      <c r="G333" s="176"/>
      <c r="H333" s="176"/>
      <c r="I333" s="176"/>
      <c r="J333" s="176"/>
      <c r="K333" s="176"/>
      <c r="L333" s="176"/>
      <c r="M333" s="176"/>
      <c r="N333" s="176"/>
      <c r="O333" s="176"/>
      <c r="P333" s="176"/>
      <c r="Q333" s="176"/>
    </row>
    <row r="334" spans="1:133" ht="64.8" x14ac:dyDescent="0.25">
      <c r="A334" s="63" t="s">
        <v>18</v>
      </c>
      <c r="B334" s="25" t="s">
        <v>194</v>
      </c>
      <c r="C334" s="35" t="s">
        <v>20</v>
      </c>
      <c r="D334" s="35" t="s">
        <v>394</v>
      </c>
      <c r="E334" s="176">
        <v>0.21</v>
      </c>
      <c r="F334" s="176"/>
      <c r="G334" s="176"/>
      <c r="H334" s="176"/>
      <c r="I334" s="176"/>
      <c r="J334" s="176"/>
      <c r="K334" s="176"/>
      <c r="L334" s="176"/>
      <c r="M334" s="176"/>
      <c r="N334" s="176"/>
      <c r="O334" s="176"/>
      <c r="P334" s="176"/>
      <c r="Q334" s="176"/>
    </row>
    <row r="335" spans="1:133" ht="46.8" x14ac:dyDescent="0.25">
      <c r="A335" s="35" t="s">
        <v>21</v>
      </c>
      <c r="B335" s="25" t="s">
        <v>195</v>
      </c>
      <c r="C335" s="53" t="s">
        <v>22</v>
      </c>
      <c r="D335" s="53" t="s">
        <v>370</v>
      </c>
      <c r="E335" s="64">
        <f t="shared" ref="E335:Q335" si="47">E343*E336</f>
        <v>424.8842235776479</v>
      </c>
      <c r="F335" s="64" t="s">
        <v>297</v>
      </c>
      <c r="G335" s="64" t="s">
        <v>297</v>
      </c>
      <c r="H335" s="64" t="s">
        <v>297</v>
      </c>
      <c r="I335" s="64" t="s">
        <v>297</v>
      </c>
      <c r="J335" s="64" t="s">
        <v>297</v>
      </c>
      <c r="K335" s="64" t="s">
        <v>297</v>
      </c>
      <c r="L335" s="64" t="s">
        <v>297</v>
      </c>
      <c r="M335" s="64" t="s">
        <v>297</v>
      </c>
      <c r="N335" s="64">
        <f t="shared" si="47"/>
        <v>67.946151682944532</v>
      </c>
      <c r="O335" s="64">
        <f t="shared" si="47"/>
        <v>123.80527338599525</v>
      </c>
      <c r="P335" s="64">
        <f t="shared" si="47"/>
        <v>114.66176859468094</v>
      </c>
      <c r="Q335" s="64">
        <f t="shared" si="47"/>
        <v>118.47102991402716</v>
      </c>
    </row>
    <row r="336" spans="1:133" ht="46.8" x14ac:dyDescent="0.25">
      <c r="A336" s="35" t="s">
        <v>23</v>
      </c>
      <c r="B336" s="25" t="s">
        <v>197</v>
      </c>
      <c r="C336" s="35" t="s">
        <v>191</v>
      </c>
      <c r="D336" s="35" t="s">
        <v>371</v>
      </c>
      <c r="E336" s="20">
        <f>SUM(F336:Q336)</f>
        <v>448.02851229088941</v>
      </c>
      <c r="F336" s="20" t="s">
        <v>297</v>
      </c>
      <c r="G336" s="20" t="s">
        <v>297</v>
      </c>
      <c r="H336" s="20" t="s">
        <v>297</v>
      </c>
      <c r="I336" s="20" t="s">
        <v>297</v>
      </c>
      <c r="J336" s="20" t="s">
        <v>297</v>
      </c>
      <c r="K336" s="20" t="s">
        <v>297</v>
      </c>
      <c r="L336" s="20" t="s">
        <v>297</v>
      </c>
      <c r="M336" s="20" t="s">
        <v>297</v>
      </c>
      <c r="N336" s="20">
        <f t="shared" ref="N336:Q336" si="48">N338*N341</f>
        <v>71.647313703652941</v>
      </c>
      <c r="O336" s="20">
        <f t="shared" si="48"/>
        <v>130.54919286443553</v>
      </c>
      <c r="P336" s="20">
        <f t="shared" si="48"/>
        <v>120.90762318156278</v>
      </c>
      <c r="Q336" s="20">
        <f t="shared" si="48"/>
        <v>124.92438254123816</v>
      </c>
    </row>
    <row r="337" spans="1:133" ht="62.4" x14ac:dyDescent="0.25">
      <c r="A337" s="17" t="s">
        <v>334</v>
      </c>
      <c r="B337" s="60" t="s">
        <v>192</v>
      </c>
      <c r="C337" s="35" t="s">
        <v>25</v>
      </c>
      <c r="D337" s="35" t="s">
        <v>333</v>
      </c>
      <c r="E337" s="121">
        <f>AVERAGE(N337:Q337)</f>
        <v>10991.953222280203</v>
      </c>
      <c r="F337" s="20" t="s">
        <v>297</v>
      </c>
      <c r="G337" s="20" t="s">
        <v>297</v>
      </c>
      <c r="H337" s="20" t="s">
        <v>297</v>
      </c>
      <c r="I337" s="20" t="s">
        <v>297</v>
      </c>
      <c r="J337" s="20" t="s">
        <v>297</v>
      </c>
      <c r="K337" s="20" t="s">
        <v>297</v>
      </c>
      <c r="L337" s="20" t="s">
        <v>297</v>
      </c>
      <c r="M337" s="20" t="s">
        <v>297</v>
      </c>
      <c r="N337" s="121">
        <v>11233.331823529414</v>
      </c>
      <c r="O337" s="121">
        <v>11230.52112903226</v>
      </c>
      <c r="P337" s="121">
        <v>10753.669033333334</v>
      </c>
      <c r="Q337" s="121">
        <v>10750.290903225805</v>
      </c>
    </row>
    <row r="338" spans="1:133" ht="46.8" x14ac:dyDescent="0.25">
      <c r="A338" s="35" t="s">
        <v>26</v>
      </c>
      <c r="B338" s="60" t="s">
        <v>198</v>
      </c>
      <c r="C338" s="35" t="s">
        <v>27</v>
      </c>
      <c r="D338" s="35" t="s">
        <v>206</v>
      </c>
      <c r="E338" s="65">
        <f>SUM(N338:Q338)</f>
        <v>1194981.885</v>
      </c>
      <c r="F338" s="65" t="s">
        <v>297</v>
      </c>
      <c r="G338" s="65" t="s">
        <v>297</v>
      </c>
      <c r="H338" s="65" t="s">
        <v>297</v>
      </c>
      <c r="I338" s="65" t="s">
        <v>297</v>
      </c>
      <c r="J338" s="65" t="s">
        <v>297</v>
      </c>
      <c r="K338" s="65" t="s">
        <v>297</v>
      </c>
      <c r="L338" s="65" t="s">
        <v>297</v>
      </c>
      <c r="M338" s="65" t="s">
        <v>297</v>
      </c>
      <c r="N338" s="65">
        <f t="shared" ref="N338:Q338" si="49">N337*N331</f>
        <v>190966.64100000003</v>
      </c>
      <c r="O338" s="65">
        <f t="shared" si="49"/>
        <v>348146.15500000009</v>
      </c>
      <c r="P338" s="65">
        <f t="shared" si="49"/>
        <v>322610.071</v>
      </c>
      <c r="Q338" s="65">
        <f t="shared" si="49"/>
        <v>333259.01799999992</v>
      </c>
    </row>
    <row r="339" spans="1:133" ht="62.4" x14ac:dyDescent="0.25">
      <c r="A339" s="35" t="s">
        <v>28</v>
      </c>
      <c r="B339" s="60" t="s">
        <v>199</v>
      </c>
      <c r="C339" s="35" t="s">
        <v>29</v>
      </c>
      <c r="D339" s="35" t="s">
        <v>332</v>
      </c>
      <c r="E339" s="125">
        <f>AVERAGE(N339:Q339)</f>
        <v>374.9505971958676</v>
      </c>
      <c r="F339" s="66" t="s">
        <v>297</v>
      </c>
      <c r="G339" s="66" t="s">
        <v>297</v>
      </c>
      <c r="H339" s="66" t="s">
        <v>297</v>
      </c>
      <c r="I339" s="66" t="s">
        <v>297</v>
      </c>
      <c r="J339" s="66" t="s">
        <v>297</v>
      </c>
      <c r="K339" s="66" t="s">
        <v>297</v>
      </c>
      <c r="L339" s="66" t="s">
        <v>297</v>
      </c>
      <c r="M339" s="66" t="s">
        <v>297</v>
      </c>
      <c r="N339" s="123">
        <v>375.18235294117642</v>
      </c>
      <c r="O339" s="123">
        <v>374.98387096774195</v>
      </c>
      <c r="P339" s="123">
        <v>374.77944444444444</v>
      </c>
      <c r="Q339" s="123">
        <v>374.85672043010754</v>
      </c>
    </row>
    <row r="340" spans="1:133" ht="62.4" x14ac:dyDescent="0.25">
      <c r="A340" s="35" t="s">
        <v>30</v>
      </c>
      <c r="B340" s="60" t="s">
        <v>199</v>
      </c>
      <c r="C340" s="35" t="s">
        <v>31</v>
      </c>
      <c r="D340" s="35" t="s">
        <v>331</v>
      </c>
      <c r="E340" s="125">
        <f>AVERAGE(N340:Q340)</f>
        <v>17.654789821842716</v>
      </c>
      <c r="F340" s="65" t="s">
        <v>297</v>
      </c>
      <c r="G340" s="65" t="s">
        <v>297</v>
      </c>
      <c r="H340" s="65" t="s">
        <v>297</v>
      </c>
      <c r="I340" s="65" t="s">
        <v>297</v>
      </c>
      <c r="J340" s="65" t="s">
        <v>297</v>
      </c>
      <c r="K340" s="65" t="s">
        <v>297</v>
      </c>
      <c r="L340" s="65" t="s">
        <v>297</v>
      </c>
      <c r="M340" s="65" t="s">
        <v>297</v>
      </c>
      <c r="N340" s="123">
        <v>17.673039215686273</v>
      </c>
      <c r="O340" s="123">
        <v>17.704838709677418</v>
      </c>
      <c r="P340" s="123">
        <v>17.704722222222223</v>
      </c>
      <c r="Q340" s="123">
        <v>17.536559139784945</v>
      </c>
    </row>
    <row r="341" spans="1:133" ht="62.4" x14ac:dyDescent="0.25">
      <c r="A341" s="35" t="s">
        <v>32</v>
      </c>
      <c r="B341" s="60" t="s">
        <v>200</v>
      </c>
      <c r="C341" s="35" t="s">
        <v>34</v>
      </c>
      <c r="D341" s="35" t="s">
        <v>338</v>
      </c>
      <c r="E341" s="122">
        <f>E339/1000000</f>
        <v>3.7495059719586761E-4</v>
      </c>
      <c r="F341" s="120" t="s">
        <v>297</v>
      </c>
      <c r="G341" s="120" t="s">
        <v>297</v>
      </c>
      <c r="H341" s="120" t="s">
        <v>297</v>
      </c>
      <c r="I341" s="120" t="s">
        <v>297</v>
      </c>
      <c r="J341" s="120" t="s">
        <v>297</v>
      </c>
      <c r="K341" s="120" t="s">
        <v>297</v>
      </c>
      <c r="L341" s="120" t="s">
        <v>297</v>
      </c>
      <c r="M341" s="120" t="s">
        <v>297</v>
      </c>
      <c r="N341" s="120">
        <f t="shared" ref="N341:Q341" si="50">N339/1000000</f>
        <v>3.7518235294117639E-4</v>
      </c>
      <c r="O341" s="120">
        <f t="shared" si="50"/>
        <v>3.7498387096774195E-4</v>
      </c>
      <c r="P341" s="120">
        <f t="shared" si="50"/>
        <v>3.7477944444444446E-4</v>
      </c>
      <c r="Q341" s="120">
        <f t="shared" si="50"/>
        <v>3.7485672043010757E-4</v>
      </c>
    </row>
    <row r="342" spans="1:133" ht="62.4" x14ac:dyDescent="0.25">
      <c r="A342" s="35" t="s">
        <v>30</v>
      </c>
      <c r="B342" s="60" t="s">
        <v>33</v>
      </c>
      <c r="C342" s="35" t="s">
        <v>35</v>
      </c>
      <c r="D342" s="35" t="s">
        <v>339</v>
      </c>
      <c r="E342" s="122">
        <f>E340/1000000</f>
        <v>1.7654789821842715E-5</v>
      </c>
      <c r="F342" s="22" t="s">
        <v>297</v>
      </c>
      <c r="G342" s="22" t="s">
        <v>297</v>
      </c>
      <c r="H342" s="22" t="s">
        <v>297</v>
      </c>
      <c r="I342" s="22" t="s">
        <v>297</v>
      </c>
      <c r="J342" s="22" t="s">
        <v>297</v>
      </c>
      <c r="K342" s="22" t="s">
        <v>297</v>
      </c>
      <c r="L342" s="22" t="s">
        <v>297</v>
      </c>
      <c r="M342" s="22" t="s">
        <v>297</v>
      </c>
      <c r="N342" s="120">
        <f t="shared" ref="N342:Q342" si="51">N340/1000000</f>
        <v>1.7673039215686273E-5</v>
      </c>
      <c r="O342" s="120">
        <f t="shared" si="51"/>
        <v>1.7704838709677418E-5</v>
      </c>
      <c r="P342" s="120">
        <f t="shared" si="51"/>
        <v>1.7704722222222225E-5</v>
      </c>
      <c r="Q342" s="120">
        <f t="shared" si="51"/>
        <v>1.7536559139784945E-5</v>
      </c>
    </row>
    <row r="343" spans="1:133" ht="46.8" x14ac:dyDescent="0.25">
      <c r="A343" s="63" t="s">
        <v>36</v>
      </c>
      <c r="B343" s="25" t="s">
        <v>201</v>
      </c>
      <c r="C343" s="35" t="s">
        <v>38</v>
      </c>
      <c r="D343" s="35" t="s">
        <v>368</v>
      </c>
      <c r="E343" s="68">
        <f>(1-(E344/E345))</f>
        <v>0.94834192896586289</v>
      </c>
      <c r="F343" s="68" t="s">
        <v>297</v>
      </c>
      <c r="G343" s="68" t="s">
        <v>297</v>
      </c>
      <c r="H343" s="68" t="s">
        <v>297</v>
      </c>
      <c r="I343" s="68" t="s">
        <v>297</v>
      </c>
      <c r="J343" s="68" t="s">
        <v>297</v>
      </c>
      <c r="K343" s="68" t="s">
        <v>297</v>
      </c>
      <c r="L343" s="68" t="s">
        <v>297</v>
      </c>
      <c r="M343" s="68" t="s">
        <v>297</v>
      </c>
      <c r="N343" s="68">
        <f>E343</f>
        <v>0.94834192896586289</v>
      </c>
      <c r="O343" s="68">
        <f>E343</f>
        <v>0.94834192896586289</v>
      </c>
      <c r="P343" s="68">
        <f>E343</f>
        <v>0.94834192896586289</v>
      </c>
      <c r="Q343" s="68">
        <f>E343</f>
        <v>0.94834192896586289</v>
      </c>
    </row>
    <row r="344" spans="1:133" ht="31.2" x14ac:dyDescent="0.25">
      <c r="A344" s="35" t="s">
        <v>39</v>
      </c>
      <c r="B344" s="25" t="s">
        <v>196</v>
      </c>
      <c r="C344" s="35" t="s">
        <v>40</v>
      </c>
      <c r="D344" s="35" t="s">
        <v>351</v>
      </c>
      <c r="E344" s="52">
        <f>SUM(F344:Q344)</f>
        <v>22.462558243999997</v>
      </c>
      <c r="F344" s="52" t="s">
        <v>297</v>
      </c>
      <c r="G344" s="52" t="s">
        <v>297</v>
      </c>
      <c r="H344" s="52" t="s">
        <v>297</v>
      </c>
      <c r="I344" s="52" t="s">
        <v>297</v>
      </c>
      <c r="J344" s="52" t="s">
        <v>297</v>
      </c>
      <c r="K344" s="52" t="s">
        <v>297</v>
      </c>
      <c r="L344" s="52" t="s">
        <v>297</v>
      </c>
      <c r="M344" s="52" t="s">
        <v>297</v>
      </c>
      <c r="N344" s="52">
        <v>3.5033347720000001</v>
      </c>
      <c r="O344" s="52">
        <v>6.3884339959999989</v>
      </c>
      <c r="P344" s="52">
        <v>6.18235548</v>
      </c>
      <c r="Q344" s="52">
        <v>6.3884339959999989</v>
      </c>
    </row>
    <row r="345" spans="1:133" ht="31.2" x14ac:dyDescent="0.25">
      <c r="A345" s="63" t="s">
        <v>41</v>
      </c>
      <c r="B345" s="25" t="s">
        <v>24</v>
      </c>
      <c r="C345" s="35" t="s">
        <v>42</v>
      </c>
      <c r="D345" s="35" t="s">
        <v>351</v>
      </c>
      <c r="E345" s="52">
        <f>SUM(F345:Q345)</f>
        <v>434.8315334724</v>
      </c>
      <c r="F345" s="52" t="s">
        <v>297</v>
      </c>
      <c r="G345" s="52" t="s">
        <v>297</v>
      </c>
      <c r="H345" s="52" t="s">
        <v>297</v>
      </c>
      <c r="I345" s="52" t="s">
        <v>297</v>
      </c>
      <c r="J345" s="52" t="s">
        <v>297</v>
      </c>
      <c r="K345" s="52" t="s">
        <v>297</v>
      </c>
      <c r="L345" s="52" t="s">
        <v>297</v>
      </c>
      <c r="M345" s="52" t="s">
        <v>297</v>
      </c>
      <c r="N345" s="52">
        <v>67.817762101200003</v>
      </c>
      <c r="O345" s="52">
        <v>123.66768383160002</v>
      </c>
      <c r="P345" s="52">
        <v>119.67840370799999</v>
      </c>
      <c r="Q345" s="52">
        <v>123.66768383160002</v>
      </c>
    </row>
    <row r="346" spans="1:133" ht="31.2" x14ac:dyDescent="0.25">
      <c r="A346" s="53" t="s">
        <v>43</v>
      </c>
      <c r="B346" s="25" t="s">
        <v>201</v>
      </c>
      <c r="C346" s="53" t="s">
        <v>44</v>
      </c>
      <c r="D346" s="35" t="s">
        <v>372</v>
      </c>
      <c r="E346" s="177">
        <f>E347*E348*0.89</f>
        <v>0.48005943241461191</v>
      </c>
      <c r="F346" s="177"/>
      <c r="G346" s="177"/>
      <c r="H346" s="177"/>
      <c r="I346" s="177"/>
      <c r="J346" s="177"/>
      <c r="K346" s="177"/>
      <c r="L346" s="177"/>
      <c r="M346" s="177"/>
      <c r="N346" s="177"/>
      <c r="O346" s="177"/>
      <c r="P346" s="177"/>
      <c r="Q346" s="177"/>
    </row>
    <row r="347" spans="1:133" ht="31.2" x14ac:dyDescent="0.25">
      <c r="A347" s="70" t="s">
        <v>45</v>
      </c>
      <c r="B347" s="25" t="s">
        <v>201</v>
      </c>
      <c r="C347" s="53" t="s">
        <v>46</v>
      </c>
      <c r="D347" s="35" t="s">
        <v>373</v>
      </c>
      <c r="E347" s="162">
        <v>0.7</v>
      </c>
      <c r="F347" s="163"/>
      <c r="G347" s="163"/>
      <c r="H347" s="163"/>
      <c r="I347" s="163"/>
      <c r="J347" s="163"/>
      <c r="K347" s="163"/>
      <c r="L347" s="163"/>
      <c r="M347" s="163"/>
      <c r="N347" s="163"/>
      <c r="O347" s="163"/>
      <c r="P347" s="163"/>
      <c r="Q347" s="164"/>
    </row>
    <row r="348" spans="1:133" ht="36" customHeight="1" x14ac:dyDescent="0.25">
      <c r="A348" s="70" t="s">
        <v>47</v>
      </c>
      <c r="B348" s="25" t="s">
        <v>37</v>
      </c>
      <c r="C348" s="53" t="s">
        <v>48</v>
      </c>
      <c r="D348" s="35" t="s">
        <v>374</v>
      </c>
      <c r="E348" s="159">
        <f>(N349*N354+O349*O354+P349*P354+Q349*Q354)/(N343*N341*N338+O343*O338*O341+P343*P341*P338+Q343*Q341*Q338)</f>
        <v>0.77056088670082168</v>
      </c>
      <c r="F348" s="160"/>
      <c r="G348" s="160"/>
      <c r="H348" s="160"/>
      <c r="I348" s="160"/>
      <c r="J348" s="160"/>
      <c r="K348" s="160"/>
      <c r="L348" s="160"/>
      <c r="M348" s="160"/>
      <c r="N348" s="160"/>
      <c r="O348" s="160"/>
      <c r="P348" s="160"/>
      <c r="Q348" s="161"/>
    </row>
    <row r="349" spans="1:133" s="9" customFormat="1" ht="46.8" x14ac:dyDescent="0.4">
      <c r="A349" s="71" t="s">
        <v>49</v>
      </c>
      <c r="B349" s="25" t="s">
        <v>37</v>
      </c>
      <c r="C349" s="53" t="s">
        <v>50</v>
      </c>
      <c r="D349" s="53" t="s">
        <v>375</v>
      </c>
      <c r="E349" s="72">
        <f>AVERAGE(F349:Q349)</f>
        <v>0.58075944952101688</v>
      </c>
      <c r="F349" s="72" t="s">
        <v>297</v>
      </c>
      <c r="G349" s="72" t="s">
        <v>297</v>
      </c>
      <c r="H349" s="72" t="s">
        <v>297</v>
      </c>
      <c r="I349" s="72" t="s">
        <v>297</v>
      </c>
      <c r="J349" s="72" t="s">
        <v>297</v>
      </c>
      <c r="K349" s="72" t="s">
        <v>297</v>
      </c>
      <c r="L349" s="72" t="s">
        <v>297</v>
      </c>
      <c r="M349" s="72" t="s">
        <v>297</v>
      </c>
      <c r="N349" s="72">
        <f t="shared" ref="N349:Q349" si="52">IF(N353&lt;283,0,IF(N353&gt;303,1,EXP(($E$23*(N353-$E$24))/($E$25*$E$24*N353))))</f>
        <v>0.84523513966163832</v>
      </c>
      <c r="O349" s="72">
        <f t="shared" si="52"/>
        <v>0.62729263560178183</v>
      </c>
      <c r="P349" s="72">
        <f t="shared" si="52"/>
        <v>0.52733825786216582</v>
      </c>
      <c r="Q349" s="72">
        <f t="shared" si="52"/>
        <v>0.32317176495848171</v>
      </c>
      <c r="R349" s="78"/>
      <c r="S349" s="78"/>
      <c r="T349" s="78"/>
      <c r="U349" s="78"/>
      <c r="V349" s="78"/>
      <c r="W349" s="78"/>
      <c r="X349" s="78"/>
      <c r="Y349" s="78"/>
      <c r="Z349" s="78"/>
      <c r="AA349" s="78"/>
      <c r="AB349" s="78"/>
      <c r="AC349" s="78"/>
      <c r="AD349" s="78"/>
      <c r="AE349" s="78"/>
      <c r="AF349" s="78"/>
      <c r="AG349" s="78"/>
      <c r="AH349" s="78"/>
      <c r="AI349" s="78"/>
      <c r="AJ349" s="78"/>
      <c r="AK349" s="78"/>
      <c r="AL349" s="78"/>
      <c r="AM349" s="78"/>
      <c r="AN349" s="78"/>
      <c r="AO349" s="78"/>
      <c r="AP349" s="78"/>
      <c r="AQ349" s="78"/>
      <c r="AR349" s="78"/>
      <c r="AS349" s="78"/>
      <c r="AT349" s="78"/>
      <c r="AU349" s="78"/>
      <c r="AV349" s="78"/>
      <c r="AW349" s="78"/>
      <c r="AX349" s="78"/>
      <c r="AY349" s="78"/>
      <c r="AZ349" s="78"/>
      <c r="BA349" s="78"/>
      <c r="BB349" s="78"/>
      <c r="BC349" s="78"/>
      <c r="BD349" s="78"/>
      <c r="BE349" s="78"/>
      <c r="BF349" s="78"/>
      <c r="BG349" s="78"/>
      <c r="BH349" s="78"/>
      <c r="BI349" s="78"/>
      <c r="BJ349" s="78"/>
      <c r="BK349" s="78"/>
      <c r="BL349" s="78"/>
      <c r="BM349" s="78"/>
      <c r="BN349" s="78"/>
      <c r="BO349" s="78"/>
      <c r="BP349" s="78"/>
      <c r="BQ349" s="78"/>
      <c r="BR349" s="78"/>
      <c r="BS349" s="78"/>
      <c r="BT349" s="78"/>
      <c r="BU349" s="78"/>
      <c r="BV349" s="78"/>
      <c r="BW349" s="78"/>
      <c r="BX349" s="78"/>
      <c r="BY349" s="78"/>
      <c r="BZ349" s="78"/>
      <c r="CA349" s="78"/>
      <c r="CB349" s="78"/>
      <c r="CC349" s="78"/>
      <c r="CD349" s="78"/>
      <c r="CE349" s="78"/>
      <c r="CF349" s="78"/>
      <c r="CG349" s="78"/>
      <c r="CH349" s="78"/>
      <c r="CI349" s="78"/>
      <c r="CJ349" s="78"/>
      <c r="CK349" s="78"/>
      <c r="CL349" s="78"/>
      <c r="CM349" s="78"/>
      <c r="CN349" s="78"/>
      <c r="CO349" s="78"/>
      <c r="CP349" s="78"/>
      <c r="CQ349" s="78"/>
      <c r="CR349" s="78"/>
      <c r="CS349" s="78"/>
      <c r="CT349" s="78"/>
      <c r="CU349" s="78"/>
      <c r="CV349" s="78"/>
      <c r="CW349" s="78"/>
      <c r="CX349" s="78"/>
      <c r="CY349" s="78"/>
      <c r="CZ349" s="78"/>
      <c r="DA349" s="78"/>
      <c r="DB349" s="78"/>
      <c r="DC349" s="78"/>
      <c r="DD349" s="78"/>
      <c r="DE349" s="78"/>
      <c r="DF349" s="78"/>
      <c r="DG349" s="78"/>
      <c r="DH349" s="78"/>
      <c r="DI349" s="78"/>
      <c r="DJ349" s="78"/>
      <c r="DK349" s="78"/>
      <c r="DL349" s="78"/>
      <c r="DM349" s="78"/>
      <c r="DN349" s="78"/>
      <c r="DO349" s="78"/>
      <c r="DP349" s="78"/>
      <c r="DQ349" s="78"/>
      <c r="DR349" s="78"/>
      <c r="DS349" s="78"/>
      <c r="DT349" s="78"/>
      <c r="DU349" s="78"/>
      <c r="DV349" s="78"/>
      <c r="DW349" s="78"/>
      <c r="DX349" s="78"/>
      <c r="DY349" s="78"/>
      <c r="DZ349" s="78"/>
      <c r="EA349" s="78"/>
      <c r="EB349" s="78"/>
      <c r="EC349" s="78"/>
    </row>
    <row r="350" spans="1:133" s="9" customFormat="1" x14ac:dyDescent="0.25">
      <c r="A350" s="73" t="s">
        <v>51</v>
      </c>
      <c r="B350" s="60" t="s">
        <v>202</v>
      </c>
      <c r="C350" s="53" t="s">
        <v>53</v>
      </c>
      <c r="D350" s="53" t="s">
        <v>376</v>
      </c>
      <c r="E350" s="162">
        <v>15175</v>
      </c>
      <c r="F350" s="163"/>
      <c r="G350" s="163"/>
      <c r="H350" s="163"/>
      <c r="I350" s="163"/>
      <c r="J350" s="163"/>
      <c r="K350" s="163"/>
      <c r="L350" s="163"/>
      <c r="M350" s="163"/>
      <c r="N350" s="163"/>
      <c r="O350" s="163"/>
      <c r="P350" s="163"/>
      <c r="Q350" s="164"/>
      <c r="R350" s="78"/>
      <c r="S350" s="78"/>
      <c r="T350" s="78"/>
      <c r="U350" s="78"/>
      <c r="V350" s="78"/>
      <c r="W350" s="78"/>
      <c r="X350" s="78"/>
      <c r="Y350" s="78"/>
      <c r="Z350" s="78"/>
      <c r="AA350" s="78"/>
      <c r="AB350" s="78"/>
      <c r="AC350" s="78"/>
      <c r="AD350" s="78"/>
      <c r="AE350" s="78"/>
      <c r="AF350" s="78"/>
      <c r="AG350" s="78"/>
      <c r="AH350" s="78"/>
      <c r="AI350" s="78"/>
      <c r="AJ350" s="78"/>
      <c r="AK350" s="78"/>
      <c r="AL350" s="78"/>
      <c r="AM350" s="78"/>
      <c r="AN350" s="78"/>
      <c r="AO350" s="78"/>
      <c r="AP350" s="78"/>
      <c r="AQ350" s="78"/>
      <c r="AR350" s="78"/>
      <c r="AS350" s="78"/>
      <c r="AT350" s="78"/>
      <c r="AU350" s="78"/>
      <c r="AV350" s="78"/>
      <c r="AW350" s="78"/>
      <c r="AX350" s="78"/>
      <c r="AY350" s="78"/>
      <c r="AZ350" s="78"/>
      <c r="BA350" s="78"/>
      <c r="BB350" s="78"/>
      <c r="BC350" s="78"/>
      <c r="BD350" s="78"/>
      <c r="BE350" s="78"/>
      <c r="BF350" s="78"/>
      <c r="BG350" s="78"/>
      <c r="BH350" s="78"/>
      <c r="BI350" s="78"/>
      <c r="BJ350" s="78"/>
      <c r="BK350" s="78"/>
      <c r="BL350" s="78"/>
      <c r="BM350" s="78"/>
      <c r="BN350" s="78"/>
      <c r="BO350" s="78"/>
      <c r="BP350" s="78"/>
      <c r="BQ350" s="78"/>
      <c r="BR350" s="78"/>
      <c r="BS350" s="78"/>
      <c r="BT350" s="78"/>
      <c r="BU350" s="78"/>
      <c r="BV350" s="78"/>
      <c r="BW350" s="78"/>
      <c r="BX350" s="78"/>
      <c r="BY350" s="78"/>
      <c r="BZ350" s="78"/>
      <c r="CA350" s="78"/>
      <c r="CB350" s="78"/>
      <c r="CC350" s="78"/>
      <c r="CD350" s="78"/>
      <c r="CE350" s="78"/>
      <c r="CF350" s="78"/>
      <c r="CG350" s="78"/>
      <c r="CH350" s="78"/>
      <c r="CI350" s="78"/>
      <c r="CJ350" s="78"/>
      <c r="CK350" s="78"/>
      <c r="CL350" s="78"/>
      <c r="CM350" s="78"/>
      <c r="CN350" s="78"/>
      <c r="CO350" s="78"/>
      <c r="CP350" s="78"/>
      <c r="CQ350" s="78"/>
      <c r="CR350" s="78"/>
      <c r="CS350" s="78"/>
      <c r="CT350" s="78"/>
      <c r="CU350" s="78"/>
      <c r="CV350" s="78"/>
      <c r="CW350" s="78"/>
      <c r="CX350" s="78"/>
      <c r="CY350" s="78"/>
      <c r="CZ350" s="78"/>
      <c r="DA350" s="78"/>
      <c r="DB350" s="78"/>
      <c r="DC350" s="78"/>
      <c r="DD350" s="78"/>
      <c r="DE350" s="78"/>
      <c r="DF350" s="78"/>
      <c r="DG350" s="78"/>
      <c r="DH350" s="78"/>
      <c r="DI350" s="78"/>
      <c r="DJ350" s="78"/>
      <c r="DK350" s="78"/>
      <c r="DL350" s="78"/>
      <c r="DM350" s="78"/>
      <c r="DN350" s="78"/>
      <c r="DO350" s="78"/>
      <c r="DP350" s="78"/>
      <c r="DQ350" s="78"/>
      <c r="DR350" s="78"/>
      <c r="DS350" s="78"/>
      <c r="DT350" s="78"/>
      <c r="DU350" s="78"/>
      <c r="DV350" s="78"/>
      <c r="DW350" s="78"/>
      <c r="DX350" s="78"/>
      <c r="DY350" s="78"/>
      <c r="DZ350" s="78"/>
      <c r="EA350" s="78"/>
      <c r="EB350" s="78"/>
      <c r="EC350" s="78"/>
    </row>
    <row r="351" spans="1:133" s="9" customFormat="1" ht="18" x14ac:dyDescent="0.25">
      <c r="A351" s="73" t="s">
        <v>54</v>
      </c>
      <c r="B351" s="60" t="s">
        <v>203</v>
      </c>
      <c r="C351" s="53" t="s">
        <v>56</v>
      </c>
      <c r="D351" s="53" t="s">
        <v>376</v>
      </c>
      <c r="E351" s="162">
        <v>303.16000000000003</v>
      </c>
      <c r="F351" s="163"/>
      <c r="G351" s="163"/>
      <c r="H351" s="163"/>
      <c r="I351" s="163"/>
      <c r="J351" s="163"/>
      <c r="K351" s="163"/>
      <c r="L351" s="163"/>
      <c r="M351" s="163"/>
      <c r="N351" s="163"/>
      <c r="O351" s="163"/>
      <c r="P351" s="163"/>
      <c r="Q351" s="164"/>
      <c r="R351" s="78"/>
      <c r="S351" s="78"/>
      <c r="T351" s="78"/>
      <c r="U351" s="78"/>
      <c r="V351" s="78"/>
      <c r="W351" s="78"/>
      <c r="X351" s="78"/>
      <c r="Y351" s="78"/>
      <c r="Z351" s="78"/>
      <c r="AA351" s="78"/>
      <c r="AB351" s="78"/>
      <c r="AC351" s="78"/>
      <c r="AD351" s="78"/>
      <c r="AE351" s="78"/>
      <c r="AF351" s="78"/>
      <c r="AG351" s="78"/>
      <c r="AH351" s="78"/>
      <c r="AI351" s="78"/>
      <c r="AJ351" s="78"/>
      <c r="AK351" s="78"/>
      <c r="AL351" s="78"/>
      <c r="AM351" s="78"/>
      <c r="AN351" s="78"/>
      <c r="AO351" s="78"/>
      <c r="AP351" s="78"/>
      <c r="AQ351" s="78"/>
      <c r="AR351" s="78"/>
      <c r="AS351" s="78"/>
      <c r="AT351" s="78"/>
      <c r="AU351" s="78"/>
      <c r="AV351" s="78"/>
      <c r="AW351" s="78"/>
      <c r="AX351" s="78"/>
      <c r="AY351" s="78"/>
      <c r="AZ351" s="78"/>
      <c r="BA351" s="78"/>
      <c r="BB351" s="78"/>
      <c r="BC351" s="78"/>
      <c r="BD351" s="78"/>
      <c r="BE351" s="78"/>
      <c r="BF351" s="78"/>
      <c r="BG351" s="78"/>
      <c r="BH351" s="78"/>
      <c r="BI351" s="78"/>
      <c r="BJ351" s="78"/>
      <c r="BK351" s="78"/>
      <c r="BL351" s="78"/>
      <c r="BM351" s="78"/>
      <c r="BN351" s="78"/>
      <c r="BO351" s="78"/>
      <c r="BP351" s="78"/>
      <c r="BQ351" s="78"/>
      <c r="BR351" s="78"/>
      <c r="BS351" s="78"/>
      <c r="BT351" s="78"/>
      <c r="BU351" s="78"/>
      <c r="BV351" s="78"/>
      <c r="BW351" s="78"/>
      <c r="BX351" s="78"/>
      <c r="BY351" s="78"/>
      <c r="BZ351" s="78"/>
      <c r="CA351" s="78"/>
      <c r="CB351" s="78"/>
      <c r="CC351" s="78"/>
      <c r="CD351" s="78"/>
      <c r="CE351" s="78"/>
      <c r="CF351" s="78"/>
      <c r="CG351" s="78"/>
      <c r="CH351" s="78"/>
      <c r="CI351" s="78"/>
      <c r="CJ351" s="78"/>
      <c r="CK351" s="78"/>
      <c r="CL351" s="78"/>
      <c r="CM351" s="78"/>
      <c r="CN351" s="78"/>
      <c r="CO351" s="78"/>
      <c r="CP351" s="78"/>
      <c r="CQ351" s="78"/>
      <c r="CR351" s="78"/>
      <c r="CS351" s="78"/>
      <c r="CT351" s="78"/>
      <c r="CU351" s="78"/>
      <c r="CV351" s="78"/>
      <c r="CW351" s="78"/>
      <c r="CX351" s="78"/>
      <c r="CY351" s="78"/>
      <c r="CZ351" s="78"/>
      <c r="DA351" s="78"/>
      <c r="DB351" s="78"/>
      <c r="DC351" s="78"/>
      <c r="DD351" s="78"/>
      <c r="DE351" s="78"/>
      <c r="DF351" s="78"/>
      <c r="DG351" s="78"/>
      <c r="DH351" s="78"/>
      <c r="DI351" s="78"/>
      <c r="DJ351" s="78"/>
      <c r="DK351" s="78"/>
      <c r="DL351" s="78"/>
      <c r="DM351" s="78"/>
      <c r="DN351" s="78"/>
      <c r="DO351" s="78"/>
      <c r="DP351" s="78"/>
      <c r="DQ351" s="78"/>
      <c r="DR351" s="78"/>
      <c r="DS351" s="78"/>
      <c r="DT351" s="78"/>
      <c r="DU351" s="78"/>
      <c r="DV351" s="78"/>
      <c r="DW351" s="78"/>
      <c r="DX351" s="78"/>
      <c r="DY351" s="78"/>
      <c r="DZ351" s="78"/>
      <c r="EA351" s="78"/>
      <c r="EB351" s="78"/>
      <c r="EC351" s="78"/>
    </row>
    <row r="352" spans="1:133" s="9" customFormat="1" x14ac:dyDescent="0.25">
      <c r="A352" s="73" t="s">
        <v>57</v>
      </c>
      <c r="B352" s="60" t="s">
        <v>204</v>
      </c>
      <c r="C352" s="53" t="s">
        <v>59</v>
      </c>
      <c r="D352" s="53" t="s">
        <v>376</v>
      </c>
      <c r="E352" s="162">
        <v>1.9870000000000001</v>
      </c>
      <c r="F352" s="163"/>
      <c r="G352" s="163"/>
      <c r="H352" s="163"/>
      <c r="I352" s="163"/>
      <c r="J352" s="163"/>
      <c r="K352" s="163"/>
      <c r="L352" s="163"/>
      <c r="M352" s="163"/>
      <c r="N352" s="163"/>
      <c r="O352" s="163"/>
      <c r="P352" s="163"/>
      <c r="Q352" s="164"/>
      <c r="R352" s="78"/>
      <c r="S352" s="78"/>
      <c r="T352" s="78"/>
      <c r="U352" s="78"/>
      <c r="V352" s="78"/>
      <c r="W352" s="78"/>
      <c r="X352" s="78"/>
      <c r="Y352" s="78"/>
      <c r="Z352" s="78"/>
      <c r="AA352" s="78"/>
      <c r="AB352" s="78"/>
      <c r="AC352" s="78"/>
      <c r="AD352" s="78"/>
      <c r="AE352" s="78"/>
      <c r="AF352" s="78"/>
      <c r="AG352" s="78"/>
      <c r="AH352" s="78"/>
      <c r="AI352" s="78"/>
      <c r="AJ352" s="78"/>
      <c r="AK352" s="78"/>
      <c r="AL352" s="78"/>
      <c r="AM352" s="78"/>
      <c r="AN352" s="78"/>
      <c r="AO352" s="78"/>
      <c r="AP352" s="78"/>
      <c r="AQ352" s="78"/>
      <c r="AR352" s="78"/>
      <c r="AS352" s="78"/>
      <c r="AT352" s="78"/>
      <c r="AU352" s="78"/>
      <c r="AV352" s="78"/>
      <c r="AW352" s="78"/>
      <c r="AX352" s="78"/>
      <c r="AY352" s="78"/>
      <c r="AZ352" s="78"/>
      <c r="BA352" s="78"/>
      <c r="BB352" s="78"/>
      <c r="BC352" s="78"/>
      <c r="BD352" s="78"/>
      <c r="BE352" s="78"/>
      <c r="BF352" s="78"/>
      <c r="BG352" s="78"/>
      <c r="BH352" s="78"/>
      <c r="BI352" s="78"/>
      <c r="BJ352" s="78"/>
      <c r="BK352" s="78"/>
      <c r="BL352" s="78"/>
      <c r="BM352" s="78"/>
      <c r="BN352" s="78"/>
      <c r="BO352" s="78"/>
      <c r="BP352" s="78"/>
      <c r="BQ352" s="78"/>
      <c r="BR352" s="78"/>
      <c r="BS352" s="78"/>
      <c r="BT352" s="78"/>
      <c r="BU352" s="78"/>
      <c r="BV352" s="78"/>
      <c r="BW352" s="78"/>
      <c r="BX352" s="78"/>
      <c r="BY352" s="78"/>
      <c r="BZ352" s="78"/>
      <c r="CA352" s="78"/>
      <c r="CB352" s="78"/>
      <c r="CC352" s="78"/>
      <c r="CD352" s="78"/>
      <c r="CE352" s="78"/>
      <c r="CF352" s="78"/>
      <c r="CG352" s="78"/>
      <c r="CH352" s="78"/>
      <c r="CI352" s="78"/>
      <c r="CJ352" s="78"/>
      <c r="CK352" s="78"/>
      <c r="CL352" s="78"/>
      <c r="CM352" s="78"/>
      <c r="CN352" s="78"/>
      <c r="CO352" s="78"/>
      <c r="CP352" s="78"/>
      <c r="CQ352" s="78"/>
      <c r="CR352" s="78"/>
      <c r="CS352" s="78"/>
      <c r="CT352" s="78"/>
      <c r="CU352" s="78"/>
      <c r="CV352" s="78"/>
      <c r="CW352" s="78"/>
      <c r="CX352" s="78"/>
      <c r="CY352" s="78"/>
      <c r="CZ352" s="78"/>
      <c r="DA352" s="78"/>
      <c r="DB352" s="78"/>
      <c r="DC352" s="78"/>
      <c r="DD352" s="78"/>
      <c r="DE352" s="78"/>
      <c r="DF352" s="78"/>
      <c r="DG352" s="78"/>
      <c r="DH352" s="78"/>
      <c r="DI352" s="78"/>
      <c r="DJ352" s="78"/>
      <c r="DK352" s="78"/>
      <c r="DL352" s="78"/>
      <c r="DM352" s="78"/>
      <c r="DN352" s="78"/>
      <c r="DO352" s="78"/>
      <c r="DP352" s="78"/>
      <c r="DQ352" s="78"/>
      <c r="DR352" s="78"/>
      <c r="DS352" s="78"/>
      <c r="DT352" s="78"/>
      <c r="DU352" s="78"/>
      <c r="DV352" s="78"/>
      <c r="DW352" s="78"/>
      <c r="DX352" s="78"/>
      <c r="DY352" s="78"/>
      <c r="DZ352" s="78"/>
      <c r="EA352" s="78"/>
      <c r="EB352" s="78"/>
      <c r="EC352" s="78"/>
    </row>
    <row r="353" spans="1:133" s="9" customFormat="1" ht="31.2" x14ac:dyDescent="0.25">
      <c r="A353" s="73" t="s">
        <v>60</v>
      </c>
      <c r="B353" s="60" t="s">
        <v>203</v>
      </c>
      <c r="C353" s="53" t="s">
        <v>61</v>
      </c>
      <c r="D353" s="143" t="s">
        <v>363</v>
      </c>
      <c r="E353" s="98">
        <f>AVERAGE(F353:Q353)</f>
        <v>296.14999999999998</v>
      </c>
      <c r="F353" s="60" t="s">
        <v>297</v>
      </c>
      <c r="G353" s="60" t="s">
        <v>297</v>
      </c>
      <c r="H353" s="60" t="s">
        <v>297</v>
      </c>
      <c r="I353" s="60" t="s">
        <v>297</v>
      </c>
      <c r="J353" s="60" t="s">
        <v>297</v>
      </c>
      <c r="K353" s="60" t="s">
        <v>297</v>
      </c>
      <c r="L353" s="60" t="s">
        <v>297</v>
      </c>
      <c r="M353" s="60" t="s">
        <v>297</v>
      </c>
      <c r="N353" s="60">
        <v>301.14999999999998</v>
      </c>
      <c r="O353" s="60">
        <v>297.64999999999998</v>
      </c>
      <c r="P353" s="60">
        <v>295.64999999999998</v>
      </c>
      <c r="Q353" s="60">
        <v>290.14999999999998</v>
      </c>
      <c r="R353" s="78"/>
      <c r="S353" s="78"/>
      <c r="T353" s="78"/>
      <c r="U353" s="78"/>
      <c r="V353" s="78"/>
      <c r="W353" s="78"/>
      <c r="X353" s="78"/>
      <c r="Y353" s="78"/>
      <c r="Z353" s="78"/>
      <c r="AA353" s="78"/>
      <c r="AB353" s="78"/>
      <c r="AC353" s="78"/>
      <c r="AD353" s="78"/>
      <c r="AE353" s="78"/>
      <c r="AF353" s="78"/>
      <c r="AG353" s="78"/>
      <c r="AH353" s="78"/>
      <c r="AI353" s="78"/>
      <c r="AJ353" s="78"/>
      <c r="AK353" s="78"/>
      <c r="AL353" s="78"/>
      <c r="AM353" s="78"/>
      <c r="AN353" s="78"/>
      <c r="AO353" s="78"/>
      <c r="AP353" s="78"/>
      <c r="AQ353" s="78"/>
      <c r="AR353" s="78"/>
      <c r="AS353" s="78"/>
      <c r="AT353" s="78"/>
      <c r="AU353" s="78"/>
      <c r="AV353" s="78"/>
      <c r="AW353" s="78"/>
      <c r="AX353" s="78"/>
      <c r="AY353" s="78"/>
      <c r="AZ353" s="78"/>
      <c r="BA353" s="78"/>
      <c r="BB353" s="78"/>
      <c r="BC353" s="78"/>
      <c r="BD353" s="78"/>
      <c r="BE353" s="78"/>
      <c r="BF353" s="78"/>
      <c r="BG353" s="78"/>
      <c r="BH353" s="78"/>
      <c r="BI353" s="78"/>
      <c r="BJ353" s="78"/>
      <c r="BK353" s="78"/>
      <c r="BL353" s="78"/>
      <c r="BM353" s="78"/>
      <c r="BN353" s="78"/>
      <c r="BO353" s="78"/>
      <c r="BP353" s="78"/>
      <c r="BQ353" s="78"/>
      <c r="BR353" s="78"/>
      <c r="BS353" s="78"/>
      <c r="BT353" s="78"/>
      <c r="BU353" s="78"/>
      <c r="BV353" s="78"/>
      <c r="BW353" s="78"/>
      <c r="BX353" s="78"/>
      <c r="BY353" s="78"/>
      <c r="BZ353" s="78"/>
      <c r="CA353" s="78"/>
      <c r="CB353" s="78"/>
      <c r="CC353" s="78"/>
      <c r="CD353" s="78"/>
      <c r="CE353" s="78"/>
      <c r="CF353" s="78"/>
      <c r="CG353" s="78"/>
      <c r="CH353" s="78"/>
      <c r="CI353" s="78"/>
      <c r="CJ353" s="78"/>
      <c r="CK353" s="78"/>
      <c r="CL353" s="78"/>
      <c r="CM353" s="78"/>
      <c r="CN353" s="78"/>
      <c r="CO353" s="78"/>
      <c r="CP353" s="78"/>
      <c r="CQ353" s="78"/>
      <c r="CR353" s="78"/>
      <c r="CS353" s="78"/>
      <c r="CT353" s="78"/>
      <c r="CU353" s="78"/>
      <c r="CV353" s="78"/>
      <c r="CW353" s="78"/>
      <c r="CX353" s="78"/>
      <c r="CY353" s="78"/>
      <c r="CZ353" s="78"/>
      <c r="DA353" s="78"/>
      <c r="DB353" s="78"/>
      <c r="DC353" s="78"/>
      <c r="DD353" s="78"/>
      <c r="DE353" s="78"/>
      <c r="DF353" s="78"/>
      <c r="DG353" s="78"/>
      <c r="DH353" s="78"/>
      <c r="DI353" s="78"/>
      <c r="DJ353" s="78"/>
      <c r="DK353" s="78"/>
      <c r="DL353" s="78"/>
      <c r="DM353" s="78"/>
      <c r="DN353" s="78"/>
      <c r="DO353" s="78"/>
      <c r="DP353" s="78"/>
      <c r="DQ353" s="78"/>
      <c r="DR353" s="78"/>
      <c r="DS353" s="78"/>
      <c r="DT353" s="78"/>
      <c r="DU353" s="78"/>
      <c r="DV353" s="78"/>
      <c r="DW353" s="78"/>
      <c r="DX353" s="78"/>
      <c r="DY353" s="78"/>
      <c r="DZ353" s="78"/>
      <c r="EA353" s="78"/>
      <c r="EB353" s="78"/>
      <c r="EC353" s="78"/>
    </row>
    <row r="354" spans="1:133" s="9" customFormat="1" ht="31.2" x14ac:dyDescent="0.4">
      <c r="A354" s="71" t="s">
        <v>62</v>
      </c>
      <c r="B354" s="60" t="s">
        <v>196</v>
      </c>
      <c r="C354" s="53" t="s">
        <v>63</v>
      </c>
      <c r="D354" s="53" t="s">
        <v>377</v>
      </c>
      <c r="E354" s="74">
        <f>SUM(F354:Q354)</f>
        <v>646.0103710268404</v>
      </c>
      <c r="F354" s="74" t="s">
        <v>297</v>
      </c>
      <c r="G354" s="74" t="s">
        <v>297</v>
      </c>
      <c r="H354" s="74" t="s">
        <v>297</v>
      </c>
      <c r="I354" s="74" t="s">
        <v>297</v>
      </c>
      <c r="J354" s="74" t="s">
        <v>297</v>
      </c>
      <c r="K354" s="74" t="s">
        <v>297</v>
      </c>
      <c r="L354" s="74" t="s">
        <v>297</v>
      </c>
      <c r="M354" s="74" t="s">
        <v>297</v>
      </c>
      <c r="N354" s="74">
        <f>N343*N338*N341+(1-N349)*0</f>
        <v>67.946151682944532</v>
      </c>
      <c r="O354" s="74">
        <f t="shared" ref="O354:Q354" si="53">O343*O338*O341+(1-O349)*N354</f>
        <v>149.12930450074705</v>
      </c>
      <c r="P354" s="74">
        <f t="shared" si="53"/>
        <v>185.14948546380759</v>
      </c>
      <c r="Q354" s="74">
        <f t="shared" si="53"/>
        <v>243.78542937934128</v>
      </c>
      <c r="R354" s="78"/>
      <c r="S354" s="78"/>
      <c r="T354" s="78"/>
      <c r="U354" s="78"/>
      <c r="V354" s="78"/>
      <c r="W354" s="78"/>
      <c r="X354" s="78"/>
      <c r="Y354" s="78"/>
      <c r="Z354" s="78"/>
      <c r="AA354" s="78"/>
      <c r="AB354" s="78"/>
      <c r="AC354" s="78"/>
      <c r="AD354" s="78"/>
      <c r="AE354" s="78"/>
      <c r="AF354" s="78"/>
      <c r="AG354" s="78"/>
      <c r="AH354" s="78"/>
      <c r="AI354" s="78"/>
      <c r="AJ354" s="78"/>
      <c r="AK354" s="78"/>
      <c r="AL354" s="78"/>
      <c r="AM354" s="78"/>
      <c r="AN354" s="78"/>
      <c r="AO354" s="78"/>
      <c r="AP354" s="78"/>
      <c r="AQ354" s="78"/>
      <c r="AR354" s="78"/>
      <c r="AS354" s="78"/>
      <c r="AT354" s="78"/>
      <c r="AU354" s="78"/>
      <c r="AV354" s="78"/>
      <c r="AW354" s="78"/>
      <c r="AX354" s="78"/>
      <c r="AY354" s="78"/>
      <c r="AZ354" s="78"/>
      <c r="BA354" s="78"/>
      <c r="BB354" s="78"/>
      <c r="BC354" s="78"/>
      <c r="BD354" s="78"/>
      <c r="BE354" s="78"/>
      <c r="BF354" s="78"/>
      <c r="BG354" s="78"/>
      <c r="BH354" s="78"/>
      <c r="BI354" s="78"/>
      <c r="BJ354" s="78"/>
      <c r="BK354" s="78"/>
      <c r="BL354" s="78"/>
      <c r="BM354" s="78"/>
      <c r="BN354" s="78"/>
      <c r="BO354" s="78"/>
      <c r="BP354" s="78"/>
      <c r="BQ354" s="78"/>
      <c r="BR354" s="78"/>
      <c r="BS354" s="78"/>
      <c r="BT354" s="78"/>
      <c r="BU354" s="78"/>
      <c r="BV354" s="78"/>
      <c r="BW354" s="78"/>
      <c r="BX354" s="78"/>
      <c r="BY354" s="78"/>
      <c r="BZ354" s="78"/>
      <c r="CA354" s="78"/>
      <c r="CB354" s="78"/>
      <c r="CC354" s="78"/>
      <c r="CD354" s="78"/>
      <c r="CE354" s="78"/>
      <c r="CF354" s="78"/>
      <c r="CG354" s="78"/>
      <c r="CH354" s="78"/>
      <c r="CI354" s="78"/>
      <c r="CJ354" s="78"/>
      <c r="CK354" s="78"/>
      <c r="CL354" s="78"/>
      <c r="CM354" s="78"/>
      <c r="CN354" s="78"/>
      <c r="CO354" s="78"/>
      <c r="CP354" s="78"/>
      <c r="CQ354" s="78"/>
      <c r="CR354" s="78"/>
      <c r="CS354" s="78"/>
      <c r="CT354" s="78"/>
      <c r="CU354" s="78"/>
      <c r="CV354" s="78"/>
      <c r="CW354" s="78"/>
      <c r="CX354" s="78"/>
      <c r="CY354" s="78"/>
      <c r="CZ354" s="78"/>
      <c r="DA354" s="78"/>
      <c r="DB354" s="78"/>
      <c r="DC354" s="78"/>
      <c r="DD354" s="78"/>
      <c r="DE354" s="78"/>
      <c r="DF354" s="78"/>
      <c r="DG354" s="78"/>
      <c r="DH354" s="78"/>
      <c r="DI354" s="78"/>
      <c r="DJ354" s="78"/>
      <c r="DK354" s="78"/>
      <c r="DL354" s="78"/>
      <c r="DM354" s="78"/>
      <c r="DN354" s="78"/>
      <c r="DO354" s="78"/>
      <c r="DP354" s="78"/>
      <c r="DQ354" s="78"/>
      <c r="DR354" s="78"/>
      <c r="DS354" s="78"/>
      <c r="DT354" s="78"/>
      <c r="DU354" s="78"/>
      <c r="DV354" s="78"/>
      <c r="DW354" s="78"/>
      <c r="DX354" s="78"/>
      <c r="DY354" s="78"/>
      <c r="DZ354" s="78"/>
      <c r="EA354" s="78"/>
      <c r="EB354" s="78"/>
      <c r="EC354" s="78"/>
    </row>
    <row r="356" spans="1:133" x14ac:dyDescent="0.25">
      <c r="A356" s="158" t="s">
        <v>64</v>
      </c>
      <c r="B356" s="158"/>
      <c r="C356" s="158"/>
      <c r="D356" s="158"/>
      <c r="E356" s="158"/>
    </row>
    <row r="357" spans="1:133" x14ac:dyDescent="0.25">
      <c r="A357" s="57" t="s">
        <v>8</v>
      </c>
      <c r="B357" s="58" t="s">
        <v>9</v>
      </c>
      <c r="C357" s="34" t="s">
        <v>10</v>
      </c>
      <c r="D357" s="34" t="s">
        <v>340</v>
      </c>
      <c r="E357" s="16" t="s">
        <v>65</v>
      </c>
    </row>
    <row r="358" spans="1:133" ht="46.8" x14ac:dyDescent="0.25">
      <c r="A358" s="59" t="s">
        <v>66</v>
      </c>
      <c r="B358" s="60" t="s">
        <v>14</v>
      </c>
      <c r="C358" s="53" t="s">
        <v>67</v>
      </c>
      <c r="D358" s="53" t="s">
        <v>68</v>
      </c>
      <c r="E358" s="75">
        <v>0</v>
      </c>
    </row>
    <row r="359" spans="1:133" ht="46.8" x14ac:dyDescent="0.25">
      <c r="A359" s="63" t="s">
        <v>69</v>
      </c>
      <c r="B359" s="25" t="s">
        <v>70</v>
      </c>
      <c r="C359" s="35" t="s">
        <v>71</v>
      </c>
      <c r="D359" s="53" t="str">
        <f>D365</f>
        <v>Historical data on site in the FSR (It was calculated with conservative value)</v>
      </c>
      <c r="E359" s="74">
        <f>E365</f>
        <v>222.91163343602574</v>
      </c>
    </row>
    <row r="361" spans="1:133" x14ac:dyDescent="0.25">
      <c r="A361" s="174" t="s">
        <v>72</v>
      </c>
      <c r="B361" s="174"/>
      <c r="C361" s="175"/>
      <c r="D361" s="175"/>
      <c r="E361" s="174"/>
    </row>
    <row r="362" spans="1:133" x14ac:dyDescent="0.25">
      <c r="A362" s="59" t="s">
        <v>8</v>
      </c>
      <c r="B362" s="16" t="s">
        <v>9</v>
      </c>
      <c r="C362" s="38" t="s">
        <v>10</v>
      </c>
      <c r="D362" s="38" t="s">
        <v>340</v>
      </c>
      <c r="E362" s="16" t="s">
        <v>65</v>
      </c>
    </row>
    <row r="363" spans="1:133" ht="33.6" x14ac:dyDescent="0.4">
      <c r="A363" s="76" t="s">
        <v>73</v>
      </c>
      <c r="B363" s="25" t="s">
        <v>74</v>
      </c>
      <c r="C363" s="35" t="s">
        <v>75</v>
      </c>
      <c r="D363" s="35" t="s">
        <v>378</v>
      </c>
      <c r="E363" s="50">
        <f>E364*E367*E368*E369*E370*E371</f>
        <v>0.90540708624170052</v>
      </c>
    </row>
    <row r="364" spans="1:133" ht="46.8" x14ac:dyDescent="0.4">
      <c r="A364" s="77" t="s">
        <v>207</v>
      </c>
      <c r="B364" s="25" t="s">
        <v>76</v>
      </c>
      <c r="C364" s="35" t="s">
        <v>77</v>
      </c>
      <c r="D364" s="35" t="s">
        <v>379</v>
      </c>
      <c r="E364" s="52">
        <f>E365/E366</f>
        <v>44.582326687205146</v>
      </c>
    </row>
    <row r="365" spans="1:133" ht="46.8" x14ac:dyDescent="0.25">
      <c r="A365" s="63" t="s">
        <v>208</v>
      </c>
      <c r="B365" s="25" t="s">
        <v>78</v>
      </c>
      <c r="C365" s="35" t="s">
        <v>79</v>
      </c>
      <c r="D365" s="53" t="s">
        <v>352</v>
      </c>
      <c r="E365" s="52">
        <f>0.000186539759501062*E338</f>
        <v>222.91163343602574</v>
      </c>
    </row>
    <row r="366" spans="1:133" ht="31.2" x14ac:dyDescent="0.25">
      <c r="A366" s="63" t="s">
        <v>209</v>
      </c>
      <c r="B366" s="25" t="s">
        <v>80</v>
      </c>
      <c r="C366" s="35" t="s">
        <v>81</v>
      </c>
      <c r="D366" s="35" t="s">
        <v>353</v>
      </c>
      <c r="E366" s="25">
        <f>5</f>
        <v>5</v>
      </c>
    </row>
    <row r="367" spans="1:133" ht="62.4" x14ac:dyDescent="0.25">
      <c r="A367" s="63" t="s">
        <v>210</v>
      </c>
      <c r="B367" s="25" t="s">
        <v>82</v>
      </c>
      <c r="C367" s="35" t="s">
        <v>83</v>
      </c>
      <c r="D367" s="53" t="s">
        <v>354</v>
      </c>
      <c r="E367" s="25">
        <f>15*2</f>
        <v>30</v>
      </c>
    </row>
    <row r="368" spans="1:133" ht="172.2" x14ac:dyDescent="0.25">
      <c r="A368" s="63" t="s">
        <v>211</v>
      </c>
      <c r="B368" s="25" t="s">
        <v>84</v>
      </c>
      <c r="C368" s="35" t="s">
        <v>85</v>
      </c>
      <c r="D368" s="35" t="s">
        <v>355</v>
      </c>
      <c r="E368" s="25">
        <f>25.1/100</f>
        <v>0.251</v>
      </c>
    </row>
    <row r="369" spans="1:133" ht="156" x14ac:dyDescent="0.25">
      <c r="A369" s="63" t="s">
        <v>212</v>
      </c>
      <c r="B369" s="25" t="s">
        <v>87</v>
      </c>
      <c r="C369" s="35" t="s">
        <v>86</v>
      </c>
      <c r="D369" s="35" t="s">
        <v>356</v>
      </c>
      <c r="E369" s="25">
        <f>0.84/1000</f>
        <v>8.3999999999999993E-4</v>
      </c>
    </row>
    <row r="370" spans="1:133" ht="171.6" x14ac:dyDescent="0.25">
      <c r="A370" s="63" t="s">
        <v>213</v>
      </c>
      <c r="B370" s="25" t="s">
        <v>88</v>
      </c>
      <c r="C370" s="35" t="s">
        <v>89</v>
      </c>
      <c r="D370" s="35" t="s">
        <v>357</v>
      </c>
      <c r="E370" s="25">
        <f>43.33/1000</f>
        <v>4.333E-2</v>
      </c>
    </row>
    <row r="371" spans="1:133" ht="62.4" x14ac:dyDescent="0.25">
      <c r="A371" s="63" t="s">
        <v>214</v>
      </c>
      <c r="B371" s="25" t="s">
        <v>90</v>
      </c>
      <c r="C371" s="35" t="s">
        <v>91</v>
      </c>
      <c r="D371" s="35" t="s">
        <v>358</v>
      </c>
      <c r="E371" s="25">
        <v>74.099999999999994</v>
      </c>
    </row>
    <row r="373" spans="1:133" x14ac:dyDescent="0.25">
      <c r="A373" s="158" t="s">
        <v>93</v>
      </c>
      <c r="B373" s="158"/>
      <c r="C373" s="158"/>
      <c r="D373" s="158"/>
      <c r="E373" s="158"/>
    </row>
    <row r="374" spans="1:133" x14ac:dyDescent="0.25">
      <c r="A374" s="57" t="s">
        <v>8</v>
      </c>
      <c r="B374" s="58" t="s">
        <v>9</v>
      </c>
      <c r="C374" s="34" t="s">
        <v>10</v>
      </c>
      <c r="D374" s="34" t="s">
        <v>340</v>
      </c>
      <c r="E374" s="16" t="s">
        <v>65</v>
      </c>
    </row>
    <row r="375" spans="1:133" ht="64.8" x14ac:dyDescent="0.25">
      <c r="A375" s="15" t="s">
        <v>94</v>
      </c>
      <c r="B375" s="25" t="s">
        <v>95</v>
      </c>
      <c r="C375" s="35" t="s">
        <v>96</v>
      </c>
      <c r="D375" s="35" t="s">
        <v>97</v>
      </c>
      <c r="E375" s="16">
        <v>0</v>
      </c>
    </row>
    <row r="377" spans="1:133" x14ac:dyDescent="0.25">
      <c r="A377" s="158" t="s">
        <v>98</v>
      </c>
      <c r="B377" s="158"/>
      <c r="C377" s="158"/>
      <c r="D377" s="158"/>
      <c r="E377" s="158"/>
    </row>
    <row r="378" spans="1:133" x14ac:dyDescent="0.25">
      <c r="A378" s="57" t="s">
        <v>8</v>
      </c>
      <c r="B378" s="58" t="s">
        <v>9</v>
      </c>
      <c r="C378" s="34" t="s">
        <v>10</v>
      </c>
      <c r="D378" s="34" t="s">
        <v>340</v>
      </c>
      <c r="E378" s="16" t="s">
        <v>65</v>
      </c>
    </row>
    <row r="379" spans="1:133" ht="49.2" x14ac:dyDescent="0.25">
      <c r="A379" s="15" t="s">
        <v>99</v>
      </c>
      <c r="B379" s="25" t="s">
        <v>95</v>
      </c>
      <c r="C379" s="35" t="s">
        <v>100</v>
      </c>
      <c r="D379" s="35" t="s">
        <v>101</v>
      </c>
      <c r="E379" s="16">
        <v>0</v>
      </c>
    </row>
    <row r="381" spans="1:133" x14ac:dyDescent="0.25">
      <c r="A381" s="57" t="s">
        <v>8</v>
      </c>
      <c r="B381" s="58" t="s">
        <v>9</v>
      </c>
      <c r="C381" s="34" t="s">
        <v>10</v>
      </c>
      <c r="D381" s="34" t="s">
        <v>340</v>
      </c>
      <c r="E381" s="16" t="s">
        <v>65</v>
      </c>
    </row>
    <row r="382" spans="1:133" ht="18" x14ac:dyDescent="0.25">
      <c r="A382" s="59" t="s">
        <v>102</v>
      </c>
      <c r="B382" s="25" t="s">
        <v>103</v>
      </c>
      <c r="C382" s="35" t="s">
        <v>104</v>
      </c>
      <c r="D382" s="53" t="s">
        <v>380</v>
      </c>
      <c r="E382" s="18">
        <f>ROUNDDOWN(E332+E363+E358+E375+E379,0)</f>
        <v>1200</v>
      </c>
    </row>
    <row r="383" spans="1:133" s="167" customFormat="1" ht="43.2" customHeight="1" x14ac:dyDescent="0.25">
      <c r="A383" s="167" t="s">
        <v>235</v>
      </c>
    </row>
    <row r="384" spans="1:133" s="56" customFormat="1" ht="31.2" x14ac:dyDescent="0.25">
      <c r="A384" s="92" t="s">
        <v>8</v>
      </c>
      <c r="B384" s="93" t="s">
        <v>9</v>
      </c>
      <c r="C384" s="94" t="s">
        <v>10</v>
      </c>
      <c r="D384" s="93" t="s">
        <v>341</v>
      </c>
      <c r="E384" s="93" t="s">
        <v>11</v>
      </c>
      <c r="F384" s="16" t="s">
        <v>292</v>
      </c>
      <c r="G384" s="16" t="s">
        <v>292</v>
      </c>
      <c r="H384" s="16" t="s">
        <v>292</v>
      </c>
      <c r="I384" s="16" t="s">
        <v>292</v>
      </c>
      <c r="J384" s="16" t="s">
        <v>292</v>
      </c>
      <c r="K384" s="16" t="s">
        <v>292</v>
      </c>
      <c r="L384" s="16" t="s">
        <v>292</v>
      </c>
      <c r="M384" s="16" t="s">
        <v>292</v>
      </c>
      <c r="N384" s="16" t="s">
        <v>302</v>
      </c>
      <c r="O384" s="16" t="s">
        <v>293</v>
      </c>
      <c r="P384" s="16" t="s">
        <v>294</v>
      </c>
      <c r="Q384" s="16" t="s">
        <v>295</v>
      </c>
      <c r="R384" s="54"/>
      <c r="S384" s="54"/>
      <c r="T384" s="54"/>
      <c r="U384" s="54"/>
      <c r="V384" s="54"/>
      <c r="W384" s="54"/>
      <c r="X384" s="54"/>
      <c r="Y384" s="54"/>
      <c r="Z384" s="54"/>
      <c r="AA384" s="54"/>
      <c r="AB384" s="54"/>
      <c r="AC384" s="54"/>
      <c r="AD384" s="54"/>
      <c r="AE384" s="54"/>
      <c r="AF384" s="54"/>
      <c r="AG384" s="54"/>
      <c r="AH384" s="54"/>
      <c r="AI384" s="54"/>
      <c r="AJ384" s="54"/>
      <c r="AK384" s="54"/>
      <c r="AL384" s="54"/>
      <c r="AM384" s="54"/>
      <c r="AN384" s="54"/>
      <c r="AO384" s="54"/>
      <c r="AP384" s="54"/>
      <c r="AQ384" s="54"/>
      <c r="AR384" s="54"/>
      <c r="AS384" s="54"/>
      <c r="AT384" s="54"/>
      <c r="AU384" s="54"/>
      <c r="AV384" s="54"/>
      <c r="AW384" s="54"/>
      <c r="AX384" s="54"/>
      <c r="AY384" s="54"/>
      <c r="AZ384" s="54"/>
      <c r="BA384" s="54"/>
      <c r="BB384" s="54"/>
      <c r="BC384" s="54"/>
      <c r="BD384" s="54"/>
      <c r="BE384" s="54"/>
      <c r="BF384" s="54"/>
      <c r="BG384" s="54"/>
      <c r="BH384" s="54"/>
      <c r="BI384" s="54"/>
      <c r="BJ384" s="54"/>
      <c r="BK384" s="54"/>
      <c r="BL384" s="54"/>
      <c r="BM384" s="54"/>
      <c r="BN384" s="54"/>
      <c r="BO384" s="54"/>
      <c r="BP384" s="54"/>
      <c r="BQ384" s="54"/>
      <c r="BR384" s="54"/>
      <c r="BS384" s="54"/>
      <c r="BT384" s="54"/>
      <c r="BU384" s="54"/>
      <c r="BV384" s="54"/>
      <c r="BW384" s="54"/>
      <c r="BX384" s="54"/>
      <c r="BY384" s="54"/>
      <c r="BZ384" s="54"/>
      <c r="CA384" s="54"/>
      <c r="CB384" s="54"/>
      <c r="CC384" s="54"/>
      <c r="CD384" s="54"/>
      <c r="CE384" s="54"/>
      <c r="CF384" s="54"/>
      <c r="CG384" s="54"/>
      <c r="CH384" s="54"/>
      <c r="CI384" s="54"/>
      <c r="CJ384" s="54"/>
      <c r="CK384" s="54"/>
      <c r="CL384" s="54"/>
      <c r="CM384" s="54"/>
      <c r="CN384" s="54"/>
      <c r="CO384" s="54"/>
      <c r="CP384" s="54"/>
      <c r="CQ384" s="54"/>
      <c r="CR384" s="54"/>
      <c r="CS384" s="54"/>
      <c r="CT384" s="54"/>
      <c r="CU384" s="54"/>
      <c r="CV384" s="54"/>
      <c r="CW384" s="54"/>
      <c r="CX384" s="54"/>
      <c r="CY384" s="54"/>
      <c r="CZ384" s="54"/>
      <c r="DA384" s="54"/>
      <c r="DB384" s="54"/>
      <c r="DC384" s="54"/>
      <c r="DD384" s="54"/>
      <c r="DE384" s="54"/>
      <c r="DF384" s="54"/>
      <c r="DG384" s="54"/>
      <c r="DH384" s="54"/>
      <c r="DI384" s="54"/>
      <c r="DJ384" s="54"/>
      <c r="DK384" s="54"/>
      <c r="DL384" s="54"/>
      <c r="DM384" s="54"/>
      <c r="DN384" s="54"/>
      <c r="DO384" s="54"/>
      <c r="DP384" s="54"/>
      <c r="DQ384" s="54"/>
      <c r="DR384" s="54"/>
      <c r="DS384" s="54"/>
      <c r="DT384" s="54"/>
      <c r="DU384" s="54"/>
      <c r="DV384" s="54"/>
      <c r="DW384" s="54"/>
      <c r="DX384" s="54"/>
      <c r="DY384" s="54"/>
      <c r="DZ384" s="54"/>
      <c r="EA384" s="54"/>
      <c r="EB384" s="54"/>
      <c r="EC384" s="54"/>
    </row>
    <row r="385" spans="1:133" s="56" customFormat="1" x14ac:dyDescent="0.25">
      <c r="A385" s="178" t="s">
        <v>12</v>
      </c>
      <c r="B385" s="178"/>
      <c r="C385" s="179"/>
      <c r="D385" s="179"/>
      <c r="E385" s="178"/>
      <c r="F385" s="16" t="s">
        <v>297</v>
      </c>
      <c r="G385" s="16" t="s">
        <v>297</v>
      </c>
      <c r="H385" s="16" t="s">
        <v>297</v>
      </c>
      <c r="I385" s="16" t="s">
        <v>297</v>
      </c>
      <c r="J385" s="16" t="s">
        <v>297</v>
      </c>
      <c r="K385" s="16" t="s">
        <v>297</v>
      </c>
      <c r="L385" s="16" t="s">
        <v>297</v>
      </c>
      <c r="M385" s="16" t="s">
        <v>297</v>
      </c>
      <c r="N385" s="16">
        <v>18</v>
      </c>
      <c r="O385" s="16">
        <v>31</v>
      </c>
      <c r="P385" s="16">
        <v>30</v>
      </c>
      <c r="Q385" s="16">
        <v>31</v>
      </c>
      <c r="R385" s="54"/>
      <c r="S385" s="54"/>
      <c r="T385" s="54"/>
      <c r="U385" s="54"/>
      <c r="V385" s="54"/>
      <c r="W385" s="54"/>
      <c r="X385" s="54"/>
      <c r="Y385" s="54"/>
      <c r="Z385" s="54"/>
      <c r="AA385" s="54"/>
      <c r="AB385" s="54"/>
      <c r="AC385" s="54"/>
      <c r="AD385" s="54"/>
      <c r="AE385" s="54"/>
      <c r="AF385" s="54"/>
      <c r="AG385" s="54"/>
      <c r="AH385" s="54"/>
      <c r="AI385" s="54"/>
      <c r="AJ385" s="54"/>
      <c r="AK385" s="54"/>
      <c r="AL385" s="54"/>
      <c r="AM385" s="54"/>
      <c r="AN385" s="54"/>
      <c r="AO385" s="54"/>
      <c r="AP385" s="54"/>
      <c r="AQ385" s="54"/>
      <c r="AR385" s="54"/>
      <c r="AS385" s="54"/>
      <c r="AT385" s="54"/>
      <c r="AU385" s="54"/>
      <c r="AV385" s="54"/>
      <c r="AW385" s="54"/>
      <c r="AX385" s="54"/>
      <c r="AY385" s="54"/>
      <c r="AZ385" s="54"/>
      <c r="BA385" s="54"/>
      <c r="BB385" s="54"/>
      <c r="BC385" s="54"/>
      <c r="BD385" s="54"/>
      <c r="BE385" s="54"/>
      <c r="BF385" s="54"/>
      <c r="BG385" s="54"/>
      <c r="BH385" s="54"/>
      <c r="BI385" s="54"/>
      <c r="BJ385" s="54"/>
      <c r="BK385" s="54"/>
      <c r="BL385" s="54"/>
      <c r="BM385" s="54"/>
      <c r="BN385" s="54"/>
      <c r="BO385" s="54"/>
      <c r="BP385" s="54"/>
      <c r="BQ385" s="54"/>
      <c r="BR385" s="54"/>
      <c r="BS385" s="54"/>
      <c r="BT385" s="54"/>
      <c r="BU385" s="54"/>
      <c r="BV385" s="54"/>
      <c r="BW385" s="54"/>
      <c r="BX385" s="54"/>
      <c r="BY385" s="54"/>
      <c r="BZ385" s="54"/>
      <c r="CA385" s="54"/>
      <c r="CB385" s="54"/>
      <c r="CC385" s="54"/>
      <c r="CD385" s="54"/>
      <c r="CE385" s="54"/>
      <c r="CF385" s="54"/>
      <c r="CG385" s="54"/>
      <c r="CH385" s="54"/>
      <c r="CI385" s="54"/>
      <c r="CJ385" s="54"/>
      <c r="CK385" s="54"/>
      <c r="CL385" s="54"/>
      <c r="CM385" s="54"/>
      <c r="CN385" s="54"/>
      <c r="CO385" s="54"/>
      <c r="CP385" s="54"/>
      <c r="CQ385" s="54"/>
      <c r="CR385" s="54"/>
      <c r="CS385" s="54"/>
      <c r="CT385" s="54"/>
      <c r="CU385" s="54"/>
      <c r="CV385" s="54"/>
      <c r="CW385" s="54"/>
      <c r="CX385" s="54"/>
      <c r="CY385" s="54"/>
      <c r="CZ385" s="54"/>
      <c r="DA385" s="54"/>
      <c r="DB385" s="54"/>
      <c r="DC385" s="54"/>
      <c r="DD385" s="54"/>
      <c r="DE385" s="54"/>
      <c r="DF385" s="54"/>
      <c r="DG385" s="54"/>
      <c r="DH385" s="54"/>
      <c r="DI385" s="54"/>
      <c r="DJ385" s="54"/>
      <c r="DK385" s="54"/>
      <c r="DL385" s="54"/>
      <c r="DM385" s="54"/>
      <c r="DN385" s="54"/>
      <c r="DO385" s="54"/>
      <c r="DP385" s="54"/>
      <c r="DQ385" s="54"/>
      <c r="DR385" s="54"/>
      <c r="DS385" s="54"/>
      <c r="DT385" s="54"/>
      <c r="DU385" s="54"/>
      <c r="DV385" s="54"/>
      <c r="DW385" s="54"/>
      <c r="DX385" s="54"/>
      <c r="DY385" s="54"/>
      <c r="DZ385" s="54"/>
      <c r="EA385" s="54"/>
      <c r="EB385" s="54"/>
      <c r="EC385" s="54"/>
    </row>
    <row r="386" spans="1:133" ht="46.8" x14ac:dyDescent="0.25">
      <c r="A386" s="59" t="s">
        <v>13</v>
      </c>
      <c r="B386" s="60" t="s">
        <v>14</v>
      </c>
      <c r="C386" s="53" t="s">
        <v>15</v>
      </c>
      <c r="D386" s="53" t="s">
        <v>369</v>
      </c>
      <c r="E386" s="61">
        <f>SUM(F386:Q386)</f>
        <v>753.67553934644695</v>
      </c>
      <c r="F386" s="62" t="s">
        <v>297</v>
      </c>
      <c r="G386" s="62" t="s">
        <v>297</v>
      </c>
      <c r="H386" s="62" t="s">
        <v>297</v>
      </c>
      <c r="I386" s="62" t="s">
        <v>297</v>
      </c>
      <c r="J386" s="62" t="s">
        <v>297</v>
      </c>
      <c r="K386" s="62" t="s">
        <v>297</v>
      </c>
      <c r="L386" s="62" t="s">
        <v>297</v>
      </c>
      <c r="M386" s="62" t="s">
        <v>297</v>
      </c>
      <c r="N386" s="62">
        <f>$E$387*$E$388*N389*$E$400</f>
        <v>131.68198626260383</v>
      </c>
      <c r="O386" s="62">
        <f t="shared" ref="O386:Q386" si="54">$E$387*$E$388*O389*$E$400</f>
        <v>226.71490222276239</v>
      </c>
      <c r="P386" s="62">
        <f t="shared" si="54"/>
        <v>194.43385148220383</v>
      </c>
      <c r="Q386" s="62">
        <f t="shared" si="54"/>
        <v>200.84479937887693</v>
      </c>
    </row>
    <row r="387" spans="1:133" ht="31.2" x14ac:dyDescent="0.25">
      <c r="A387" s="63" t="s">
        <v>16</v>
      </c>
      <c r="B387" s="60" t="s">
        <v>193</v>
      </c>
      <c r="C387" s="35" t="s">
        <v>17</v>
      </c>
      <c r="D387" s="35" t="s">
        <v>205</v>
      </c>
      <c r="E387" s="176">
        <v>28</v>
      </c>
      <c r="F387" s="176"/>
      <c r="G387" s="176"/>
      <c r="H387" s="176"/>
      <c r="I387" s="176"/>
      <c r="J387" s="176"/>
      <c r="K387" s="176"/>
      <c r="L387" s="176"/>
      <c r="M387" s="176"/>
      <c r="N387" s="176"/>
      <c r="O387" s="176"/>
      <c r="P387" s="176"/>
      <c r="Q387" s="176"/>
    </row>
    <row r="388" spans="1:133" ht="64.8" x14ac:dyDescent="0.25">
      <c r="A388" s="63" t="s">
        <v>18</v>
      </c>
      <c r="B388" s="25" t="s">
        <v>194</v>
      </c>
      <c r="C388" s="35" t="s">
        <v>20</v>
      </c>
      <c r="D388" s="35" t="s">
        <v>394</v>
      </c>
      <c r="E388" s="176">
        <v>0.21</v>
      </c>
      <c r="F388" s="176"/>
      <c r="G388" s="176"/>
      <c r="H388" s="176"/>
      <c r="I388" s="176"/>
      <c r="J388" s="176"/>
      <c r="K388" s="176"/>
      <c r="L388" s="176"/>
      <c r="M388" s="176"/>
      <c r="N388" s="176"/>
      <c r="O388" s="176"/>
      <c r="P388" s="176"/>
      <c r="Q388" s="176"/>
    </row>
    <row r="389" spans="1:133" ht="46.8" x14ac:dyDescent="0.25">
      <c r="A389" s="35" t="s">
        <v>21</v>
      </c>
      <c r="B389" s="25" t="s">
        <v>195</v>
      </c>
      <c r="C389" s="53" t="s">
        <v>22</v>
      </c>
      <c r="D389" s="53" t="s">
        <v>370</v>
      </c>
      <c r="E389" s="64">
        <f t="shared" ref="E389:Q389" si="55">E397*E390</f>
        <v>262.13608875772314</v>
      </c>
      <c r="F389" s="64" t="s">
        <v>297</v>
      </c>
      <c r="G389" s="64" t="s">
        <v>297</v>
      </c>
      <c r="H389" s="64" t="s">
        <v>297</v>
      </c>
      <c r="I389" s="64" t="s">
        <v>297</v>
      </c>
      <c r="J389" s="64" t="s">
        <v>297</v>
      </c>
      <c r="K389" s="64" t="s">
        <v>297</v>
      </c>
      <c r="L389" s="64" t="s">
        <v>297</v>
      </c>
      <c r="M389" s="64" t="s">
        <v>297</v>
      </c>
      <c r="N389" s="64">
        <f t="shared" si="55"/>
        <v>45.800346484191536</v>
      </c>
      <c r="O389" s="64">
        <f t="shared" si="55"/>
        <v>78.853770129384444</v>
      </c>
      <c r="P389" s="64">
        <f t="shared" si="55"/>
        <v>67.62608932995515</v>
      </c>
      <c r="Q389" s="64">
        <f t="shared" si="55"/>
        <v>69.855882814192043</v>
      </c>
    </row>
    <row r="390" spans="1:133" ht="46.8" x14ac:dyDescent="0.25">
      <c r="A390" s="35" t="s">
        <v>23</v>
      </c>
      <c r="B390" s="25" t="s">
        <v>197</v>
      </c>
      <c r="C390" s="35" t="s">
        <v>191</v>
      </c>
      <c r="D390" s="35" t="s">
        <v>371</v>
      </c>
      <c r="E390" s="20">
        <f>SUM(N390:Q390)</f>
        <v>276.11865411576184</v>
      </c>
      <c r="F390" s="20" t="s">
        <v>297</v>
      </c>
      <c r="G390" s="20" t="s">
        <v>297</v>
      </c>
      <c r="H390" s="20" t="s">
        <v>297</v>
      </c>
      <c r="I390" s="20" t="s">
        <v>297</v>
      </c>
      <c r="J390" s="20" t="s">
        <v>297</v>
      </c>
      <c r="K390" s="20" t="s">
        <v>297</v>
      </c>
      <c r="L390" s="20" t="s">
        <v>297</v>
      </c>
      <c r="M390" s="20" t="s">
        <v>297</v>
      </c>
      <c r="N390" s="20">
        <f t="shared" ref="N390:Q390" si="56">N392*N395</f>
        <v>48.243376519357412</v>
      </c>
      <c r="O390" s="20">
        <f t="shared" si="56"/>
        <v>83.059898327096747</v>
      </c>
      <c r="P390" s="20">
        <f t="shared" si="56"/>
        <v>71.233323337473323</v>
      </c>
      <c r="Q390" s="20">
        <f t="shared" si="56"/>
        <v>73.582055931834375</v>
      </c>
    </row>
    <row r="391" spans="1:133" ht="62.4" x14ac:dyDescent="0.25">
      <c r="A391" s="17" t="s">
        <v>334</v>
      </c>
      <c r="B391" s="60" t="s">
        <v>192</v>
      </c>
      <c r="C391" s="35" t="s">
        <v>25</v>
      </c>
      <c r="D391" s="35" t="s">
        <v>333</v>
      </c>
      <c r="E391" s="20">
        <f>AVERAGE(N391:Q391)</f>
        <v>5933.7869492831533</v>
      </c>
      <c r="F391" s="20" t="s">
        <v>297</v>
      </c>
      <c r="G391" s="20" t="s">
        <v>297</v>
      </c>
      <c r="H391" s="20" t="s">
        <v>297</v>
      </c>
      <c r="I391" s="20" t="s">
        <v>297</v>
      </c>
      <c r="J391" s="20" t="s">
        <v>297</v>
      </c>
      <c r="K391" s="20" t="s">
        <v>297</v>
      </c>
      <c r="L391" s="20" t="s">
        <v>297</v>
      </c>
      <c r="M391" s="20" t="s">
        <v>297</v>
      </c>
      <c r="N391" s="121">
        <v>6295.2624444444446</v>
      </c>
      <c r="O391" s="121">
        <v>6292.9290322580637</v>
      </c>
      <c r="P391" s="121">
        <v>5572.9839333333339</v>
      </c>
      <c r="Q391" s="121">
        <v>5573.9723870967719</v>
      </c>
    </row>
    <row r="392" spans="1:133" ht="46.8" x14ac:dyDescent="0.25">
      <c r="A392" s="35" t="s">
        <v>26</v>
      </c>
      <c r="B392" s="60" t="s">
        <v>198</v>
      </c>
      <c r="C392" s="35" t="s">
        <v>27</v>
      </c>
      <c r="D392" s="35" t="s">
        <v>206</v>
      </c>
      <c r="E392" s="65">
        <f>SUM(F392:Q392)</f>
        <v>648378.18599999999</v>
      </c>
      <c r="F392" s="65" t="s">
        <v>297</v>
      </c>
      <c r="G392" s="65" t="s">
        <v>297</v>
      </c>
      <c r="H392" s="65" t="s">
        <v>297</v>
      </c>
      <c r="I392" s="65" t="s">
        <v>297</v>
      </c>
      <c r="J392" s="65" t="s">
        <v>297</v>
      </c>
      <c r="K392" s="65" t="s">
        <v>297</v>
      </c>
      <c r="L392" s="65" t="s">
        <v>297</v>
      </c>
      <c r="M392" s="65" t="s">
        <v>297</v>
      </c>
      <c r="N392" s="65">
        <f t="shared" ref="N392:Q392" si="57">N391*N385</f>
        <v>113314.724</v>
      </c>
      <c r="O392" s="65">
        <f t="shared" si="57"/>
        <v>195080.8</v>
      </c>
      <c r="P392" s="65">
        <f t="shared" si="57"/>
        <v>167189.51800000001</v>
      </c>
      <c r="Q392" s="65">
        <f t="shared" si="57"/>
        <v>172793.14399999991</v>
      </c>
    </row>
    <row r="393" spans="1:133" ht="62.4" x14ac:dyDescent="0.25">
      <c r="A393" s="35" t="s">
        <v>28</v>
      </c>
      <c r="B393" s="60" t="s">
        <v>199</v>
      </c>
      <c r="C393" s="35" t="s">
        <v>29</v>
      </c>
      <c r="D393" s="35" t="s">
        <v>332</v>
      </c>
      <c r="E393" s="125">
        <f>AVERAGE(N393:Q393)</f>
        <v>425.85521132019113</v>
      </c>
      <c r="F393" s="66" t="s">
        <v>297</v>
      </c>
      <c r="G393" s="66" t="s">
        <v>297</v>
      </c>
      <c r="H393" s="66" t="s">
        <v>297</v>
      </c>
      <c r="I393" s="66" t="s">
        <v>297</v>
      </c>
      <c r="J393" s="66" t="s">
        <v>297</v>
      </c>
      <c r="K393" s="66" t="s">
        <v>297</v>
      </c>
      <c r="L393" s="66" t="s">
        <v>297</v>
      </c>
      <c r="M393" s="66" t="s">
        <v>297</v>
      </c>
      <c r="N393" s="123">
        <v>425.74675925925931</v>
      </c>
      <c r="O393" s="123">
        <v>425.77177419354825</v>
      </c>
      <c r="P393" s="123">
        <v>426.06333333333322</v>
      </c>
      <c r="Q393" s="123">
        <v>425.83897849462369</v>
      </c>
    </row>
    <row r="394" spans="1:133" ht="62.4" x14ac:dyDescent="0.25">
      <c r="A394" s="35" t="s">
        <v>30</v>
      </c>
      <c r="B394" s="60" t="s">
        <v>199</v>
      </c>
      <c r="C394" s="35" t="s">
        <v>31</v>
      </c>
      <c r="D394" s="35" t="s">
        <v>331</v>
      </c>
      <c r="E394" s="125">
        <f>AVERAGE(N394:Q394)</f>
        <v>19.546494175627242</v>
      </c>
      <c r="F394" s="65" t="s">
        <v>297</v>
      </c>
      <c r="G394" s="65" t="s">
        <v>297</v>
      </c>
      <c r="H394" s="65" t="s">
        <v>297</v>
      </c>
      <c r="I394" s="65" t="s">
        <v>297</v>
      </c>
      <c r="J394" s="65" t="s">
        <v>297</v>
      </c>
      <c r="K394" s="65" t="s">
        <v>297</v>
      </c>
      <c r="L394" s="65" t="s">
        <v>297</v>
      </c>
      <c r="M394" s="65" t="s">
        <v>297</v>
      </c>
      <c r="N394" s="123">
        <v>19.330555555555556</v>
      </c>
      <c r="O394" s="123">
        <v>19.487365591397847</v>
      </c>
      <c r="P394" s="123">
        <v>19.543055555555558</v>
      </c>
      <c r="Q394" s="123">
        <v>19.825000000000003</v>
      </c>
    </row>
    <row r="395" spans="1:133" ht="62.4" x14ac:dyDescent="0.25">
      <c r="A395" s="35" t="s">
        <v>32</v>
      </c>
      <c r="B395" s="60" t="s">
        <v>200</v>
      </c>
      <c r="C395" s="35" t="s">
        <v>34</v>
      </c>
      <c r="D395" s="35" t="s">
        <v>338</v>
      </c>
      <c r="E395" s="122">
        <f>E393/1000000</f>
        <v>4.2585521132019116E-4</v>
      </c>
      <c r="F395" s="120" t="s">
        <v>297</v>
      </c>
      <c r="G395" s="120" t="s">
        <v>297</v>
      </c>
      <c r="H395" s="120" t="s">
        <v>297</v>
      </c>
      <c r="I395" s="120" t="s">
        <v>297</v>
      </c>
      <c r="J395" s="120" t="s">
        <v>297</v>
      </c>
      <c r="K395" s="120" t="s">
        <v>297</v>
      </c>
      <c r="L395" s="120" t="s">
        <v>297</v>
      </c>
      <c r="M395" s="120" t="s">
        <v>297</v>
      </c>
      <c r="N395" s="120">
        <f t="shared" ref="N395:Q395" si="58">N393/1000000</f>
        <v>4.2574675925925932E-4</v>
      </c>
      <c r="O395" s="120">
        <f t="shared" si="58"/>
        <v>4.2577177419354827E-4</v>
      </c>
      <c r="P395" s="120">
        <f t="shared" si="58"/>
        <v>4.2606333333333323E-4</v>
      </c>
      <c r="Q395" s="120">
        <f t="shared" si="58"/>
        <v>4.258389784946237E-4</v>
      </c>
    </row>
    <row r="396" spans="1:133" ht="62.4" x14ac:dyDescent="0.25">
      <c r="A396" s="35" t="s">
        <v>30</v>
      </c>
      <c r="B396" s="60" t="s">
        <v>33</v>
      </c>
      <c r="C396" s="35" t="s">
        <v>35</v>
      </c>
      <c r="D396" s="35" t="s">
        <v>339</v>
      </c>
      <c r="E396" s="122">
        <f>E394/1000000</f>
        <v>1.954649417562724E-5</v>
      </c>
      <c r="F396" s="120" t="s">
        <v>297</v>
      </c>
      <c r="G396" s="120" t="s">
        <v>297</v>
      </c>
      <c r="H396" s="120" t="s">
        <v>297</v>
      </c>
      <c r="I396" s="120" t="s">
        <v>297</v>
      </c>
      <c r="J396" s="120" t="s">
        <v>297</v>
      </c>
      <c r="K396" s="120" t="s">
        <v>297</v>
      </c>
      <c r="L396" s="120" t="s">
        <v>297</v>
      </c>
      <c r="M396" s="120" t="s">
        <v>297</v>
      </c>
      <c r="N396" s="120">
        <f t="shared" ref="N396:Q396" si="59">N394/1000000</f>
        <v>1.9330555555555555E-5</v>
      </c>
      <c r="O396" s="120">
        <f t="shared" si="59"/>
        <v>1.9487365591397848E-5</v>
      </c>
      <c r="P396" s="120">
        <f t="shared" si="59"/>
        <v>1.9543055555555557E-5</v>
      </c>
      <c r="Q396" s="120">
        <f t="shared" si="59"/>
        <v>1.9825000000000004E-5</v>
      </c>
    </row>
    <row r="397" spans="1:133" ht="46.8" x14ac:dyDescent="0.25">
      <c r="A397" s="63" t="s">
        <v>36</v>
      </c>
      <c r="B397" s="25" t="s">
        <v>201</v>
      </c>
      <c r="C397" s="35" t="s">
        <v>38</v>
      </c>
      <c r="D397" s="35" t="s">
        <v>368</v>
      </c>
      <c r="E397" s="68">
        <f>(1-(E398/E399))</f>
        <v>0.94936030163258533</v>
      </c>
      <c r="F397" s="68" t="s">
        <v>297</v>
      </c>
      <c r="G397" s="68" t="s">
        <v>297</v>
      </c>
      <c r="H397" s="68" t="s">
        <v>297</v>
      </c>
      <c r="I397" s="68" t="s">
        <v>297</v>
      </c>
      <c r="J397" s="68" t="s">
        <v>297</v>
      </c>
      <c r="K397" s="68" t="s">
        <v>297</v>
      </c>
      <c r="L397" s="68" t="s">
        <v>297</v>
      </c>
      <c r="M397" s="68" t="s">
        <v>297</v>
      </c>
      <c r="N397" s="68">
        <f>E397</f>
        <v>0.94936030163258533</v>
      </c>
      <c r="O397" s="68">
        <f>E397</f>
        <v>0.94936030163258533</v>
      </c>
      <c r="P397" s="68">
        <f>E397</f>
        <v>0.94936030163258533</v>
      </c>
      <c r="Q397" s="68">
        <f>E397</f>
        <v>0.94936030163258533</v>
      </c>
    </row>
    <row r="398" spans="1:133" ht="31.2" x14ac:dyDescent="0.25">
      <c r="A398" s="35" t="s">
        <v>39</v>
      </c>
      <c r="B398" s="25" t="s">
        <v>196</v>
      </c>
      <c r="C398" s="35" t="s">
        <v>40</v>
      </c>
      <c r="D398" s="35" t="s">
        <v>351</v>
      </c>
      <c r="E398" s="52">
        <f>SUM(F398:Q398)</f>
        <v>13.077958299999999</v>
      </c>
      <c r="F398" s="52" t="s">
        <v>297</v>
      </c>
      <c r="G398" s="52" t="s">
        <v>297</v>
      </c>
      <c r="H398" s="52" t="s">
        <v>297</v>
      </c>
      <c r="I398" s="52" t="s">
        <v>297</v>
      </c>
      <c r="J398" s="52" t="s">
        <v>297</v>
      </c>
      <c r="K398" s="52" t="s">
        <v>297</v>
      </c>
      <c r="L398" s="52" t="s">
        <v>297</v>
      </c>
      <c r="M398" s="52" t="s">
        <v>297</v>
      </c>
      <c r="N398" s="52">
        <v>2.14002954</v>
      </c>
      <c r="O398" s="52">
        <v>3.68560643</v>
      </c>
      <c r="P398" s="52">
        <v>3.5667158999999993</v>
      </c>
      <c r="Q398" s="52">
        <v>3.68560643</v>
      </c>
    </row>
    <row r="399" spans="1:133" ht="31.2" x14ac:dyDescent="0.25">
      <c r="A399" s="63" t="s">
        <v>41</v>
      </c>
      <c r="B399" s="25" t="s">
        <v>24</v>
      </c>
      <c r="C399" s="35" t="s">
        <v>42</v>
      </c>
      <c r="D399" s="35" t="s">
        <v>351</v>
      </c>
      <c r="E399" s="52">
        <f>SUM(F399:Q399)</f>
        <v>258.25505920499995</v>
      </c>
      <c r="F399" s="52" t="s">
        <v>297</v>
      </c>
      <c r="G399" s="52" t="s">
        <v>297</v>
      </c>
      <c r="H399" s="52" t="s">
        <v>297</v>
      </c>
      <c r="I399" s="52" t="s">
        <v>297</v>
      </c>
      <c r="J399" s="52" t="s">
        <v>297</v>
      </c>
      <c r="K399" s="52" t="s">
        <v>297</v>
      </c>
      <c r="L399" s="52" t="s">
        <v>297</v>
      </c>
      <c r="M399" s="52" t="s">
        <v>297</v>
      </c>
      <c r="N399" s="52">
        <v>42.259918778999996</v>
      </c>
      <c r="O399" s="52">
        <v>72.780971230499986</v>
      </c>
      <c r="P399" s="52">
        <v>70.433197965000005</v>
      </c>
      <c r="Q399" s="52">
        <v>72.780971230499986</v>
      </c>
    </row>
    <row r="400" spans="1:133" ht="31.2" x14ac:dyDescent="0.25">
      <c r="A400" s="53" t="s">
        <v>43</v>
      </c>
      <c r="B400" s="25" t="s">
        <v>201</v>
      </c>
      <c r="C400" s="53" t="s">
        <v>44</v>
      </c>
      <c r="D400" s="35" t="s">
        <v>372</v>
      </c>
      <c r="E400" s="177">
        <f>E401*E402*0.89</f>
        <v>0.48896782103213215</v>
      </c>
      <c r="F400" s="177"/>
      <c r="G400" s="177"/>
      <c r="H400" s="177"/>
      <c r="I400" s="177"/>
      <c r="J400" s="177"/>
      <c r="K400" s="177"/>
      <c r="L400" s="177"/>
      <c r="M400" s="177"/>
      <c r="N400" s="177"/>
      <c r="O400" s="177"/>
      <c r="P400" s="177"/>
      <c r="Q400" s="177"/>
    </row>
    <row r="401" spans="1:133" ht="31.2" x14ac:dyDescent="0.25">
      <c r="A401" s="70" t="s">
        <v>45</v>
      </c>
      <c r="B401" s="25" t="s">
        <v>201</v>
      </c>
      <c r="C401" s="53" t="s">
        <v>46</v>
      </c>
      <c r="D401" s="35" t="s">
        <v>373</v>
      </c>
      <c r="E401" s="162">
        <v>0.7</v>
      </c>
      <c r="F401" s="163"/>
      <c r="G401" s="163"/>
      <c r="H401" s="163"/>
      <c r="I401" s="163"/>
      <c r="J401" s="163"/>
      <c r="K401" s="163"/>
      <c r="L401" s="163"/>
      <c r="M401" s="163"/>
      <c r="N401" s="163"/>
      <c r="O401" s="163"/>
      <c r="P401" s="163"/>
      <c r="Q401" s="164"/>
    </row>
    <row r="402" spans="1:133" ht="36" customHeight="1" x14ac:dyDescent="0.25">
      <c r="A402" s="70" t="s">
        <v>47</v>
      </c>
      <c r="B402" s="25" t="s">
        <v>37</v>
      </c>
      <c r="C402" s="53" t="s">
        <v>48</v>
      </c>
      <c r="D402" s="35" t="s">
        <v>374</v>
      </c>
      <c r="E402" s="159">
        <f>(N403*N408+O403*O408+P403*P408+Q403*Q408)/(N397*N395*N392+O397*O392*O395+P397*P395*P392+Q397*Q395*Q392)</f>
        <v>0.78486006586217039</v>
      </c>
      <c r="F402" s="160"/>
      <c r="G402" s="160"/>
      <c r="H402" s="160"/>
      <c r="I402" s="160"/>
      <c r="J402" s="160"/>
      <c r="K402" s="160"/>
      <c r="L402" s="160"/>
      <c r="M402" s="160"/>
      <c r="N402" s="160"/>
      <c r="O402" s="160"/>
      <c r="P402" s="160"/>
      <c r="Q402" s="161"/>
    </row>
    <row r="403" spans="1:133" s="9" customFormat="1" ht="46.8" x14ac:dyDescent="0.4">
      <c r="A403" s="71" t="s">
        <v>49</v>
      </c>
      <c r="B403" s="25" t="s">
        <v>37</v>
      </c>
      <c r="C403" s="53" t="s">
        <v>50</v>
      </c>
      <c r="D403" s="53" t="s">
        <v>375</v>
      </c>
      <c r="E403" s="72">
        <f>AVERAGE(F403:Q403)</f>
        <v>0.58075944952101688</v>
      </c>
      <c r="F403" s="72" t="s">
        <v>297</v>
      </c>
      <c r="G403" s="72" t="s">
        <v>297</v>
      </c>
      <c r="H403" s="72" t="s">
        <v>297</v>
      </c>
      <c r="I403" s="72" t="s">
        <v>297</v>
      </c>
      <c r="J403" s="72" t="s">
        <v>297</v>
      </c>
      <c r="K403" s="72" t="s">
        <v>297</v>
      </c>
      <c r="L403" s="72" t="s">
        <v>297</v>
      </c>
      <c r="M403" s="72" t="s">
        <v>297</v>
      </c>
      <c r="N403" s="72">
        <f t="shared" ref="N403:Q403" si="60">IF(N407&lt;283,0,IF(N407&gt;303,1,EXP(($E$23*(N407-$E$24))/($E$25*$E$24*N407))))</f>
        <v>0.84523513966163832</v>
      </c>
      <c r="O403" s="72">
        <f t="shared" si="60"/>
        <v>0.62729263560178183</v>
      </c>
      <c r="P403" s="72">
        <f t="shared" si="60"/>
        <v>0.52733825786216582</v>
      </c>
      <c r="Q403" s="72">
        <f t="shared" si="60"/>
        <v>0.32317176495848171</v>
      </c>
      <c r="R403" s="78"/>
      <c r="S403" s="78"/>
      <c r="T403" s="78"/>
      <c r="U403" s="78"/>
      <c r="V403" s="78"/>
      <c r="W403" s="78"/>
      <c r="X403" s="78"/>
      <c r="Y403" s="78"/>
      <c r="Z403" s="78"/>
      <c r="AA403" s="78"/>
      <c r="AB403" s="78"/>
      <c r="AC403" s="78"/>
      <c r="AD403" s="78"/>
      <c r="AE403" s="78"/>
      <c r="AF403" s="78"/>
      <c r="AG403" s="78"/>
      <c r="AH403" s="78"/>
      <c r="AI403" s="78"/>
      <c r="AJ403" s="78"/>
      <c r="AK403" s="78"/>
      <c r="AL403" s="78"/>
      <c r="AM403" s="78"/>
      <c r="AN403" s="78"/>
      <c r="AO403" s="78"/>
      <c r="AP403" s="78"/>
      <c r="AQ403" s="78"/>
      <c r="AR403" s="78"/>
      <c r="AS403" s="78"/>
      <c r="AT403" s="78"/>
      <c r="AU403" s="78"/>
      <c r="AV403" s="78"/>
      <c r="AW403" s="78"/>
      <c r="AX403" s="78"/>
      <c r="AY403" s="78"/>
      <c r="AZ403" s="78"/>
      <c r="BA403" s="78"/>
      <c r="BB403" s="78"/>
      <c r="BC403" s="78"/>
      <c r="BD403" s="78"/>
      <c r="BE403" s="78"/>
      <c r="BF403" s="78"/>
      <c r="BG403" s="78"/>
      <c r="BH403" s="78"/>
      <c r="BI403" s="78"/>
      <c r="BJ403" s="78"/>
      <c r="BK403" s="78"/>
      <c r="BL403" s="78"/>
      <c r="BM403" s="78"/>
      <c r="BN403" s="78"/>
      <c r="BO403" s="78"/>
      <c r="BP403" s="78"/>
      <c r="BQ403" s="78"/>
      <c r="BR403" s="78"/>
      <c r="BS403" s="78"/>
      <c r="BT403" s="78"/>
      <c r="BU403" s="78"/>
      <c r="BV403" s="78"/>
      <c r="BW403" s="78"/>
      <c r="BX403" s="78"/>
      <c r="BY403" s="78"/>
      <c r="BZ403" s="78"/>
      <c r="CA403" s="78"/>
      <c r="CB403" s="78"/>
      <c r="CC403" s="78"/>
      <c r="CD403" s="78"/>
      <c r="CE403" s="78"/>
      <c r="CF403" s="78"/>
      <c r="CG403" s="78"/>
      <c r="CH403" s="78"/>
      <c r="CI403" s="78"/>
      <c r="CJ403" s="78"/>
      <c r="CK403" s="78"/>
      <c r="CL403" s="78"/>
      <c r="CM403" s="78"/>
      <c r="CN403" s="78"/>
      <c r="CO403" s="78"/>
      <c r="CP403" s="78"/>
      <c r="CQ403" s="78"/>
      <c r="CR403" s="78"/>
      <c r="CS403" s="78"/>
      <c r="CT403" s="78"/>
      <c r="CU403" s="78"/>
      <c r="CV403" s="78"/>
      <c r="CW403" s="78"/>
      <c r="CX403" s="78"/>
      <c r="CY403" s="78"/>
      <c r="CZ403" s="78"/>
      <c r="DA403" s="78"/>
      <c r="DB403" s="78"/>
      <c r="DC403" s="78"/>
      <c r="DD403" s="78"/>
      <c r="DE403" s="78"/>
      <c r="DF403" s="78"/>
      <c r="DG403" s="78"/>
      <c r="DH403" s="78"/>
      <c r="DI403" s="78"/>
      <c r="DJ403" s="78"/>
      <c r="DK403" s="78"/>
      <c r="DL403" s="78"/>
      <c r="DM403" s="78"/>
      <c r="DN403" s="78"/>
      <c r="DO403" s="78"/>
      <c r="DP403" s="78"/>
      <c r="DQ403" s="78"/>
      <c r="DR403" s="78"/>
      <c r="DS403" s="78"/>
      <c r="DT403" s="78"/>
      <c r="DU403" s="78"/>
      <c r="DV403" s="78"/>
      <c r="DW403" s="78"/>
      <c r="DX403" s="78"/>
      <c r="DY403" s="78"/>
      <c r="DZ403" s="78"/>
      <c r="EA403" s="78"/>
      <c r="EB403" s="78"/>
      <c r="EC403" s="78"/>
    </row>
    <row r="404" spans="1:133" s="9" customFormat="1" x14ac:dyDescent="0.25">
      <c r="A404" s="73" t="s">
        <v>51</v>
      </c>
      <c r="B404" s="60" t="s">
        <v>202</v>
      </c>
      <c r="C404" s="53" t="s">
        <v>53</v>
      </c>
      <c r="D404" s="53" t="s">
        <v>376</v>
      </c>
      <c r="E404" s="162">
        <v>15175</v>
      </c>
      <c r="F404" s="163"/>
      <c r="G404" s="163"/>
      <c r="H404" s="163"/>
      <c r="I404" s="163"/>
      <c r="J404" s="163"/>
      <c r="K404" s="163"/>
      <c r="L404" s="163"/>
      <c r="M404" s="163"/>
      <c r="N404" s="163"/>
      <c r="O404" s="163"/>
      <c r="P404" s="163"/>
      <c r="Q404" s="164"/>
      <c r="R404" s="78"/>
      <c r="S404" s="78"/>
      <c r="T404" s="78"/>
      <c r="U404" s="78"/>
      <c r="V404" s="78"/>
      <c r="W404" s="78"/>
      <c r="X404" s="78"/>
      <c r="Y404" s="78"/>
      <c r="Z404" s="78"/>
      <c r="AA404" s="78"/>
      <c r="AB404" s="78"/>
      <c r="AC404" s="78"/>
      <c r="AD404" s="78"/>
      <c r="AE404" s="78"/>
      <c r="AF404" s="78"/>
      <c r="AG404" s="78"/>
      <c r="AH404" s="78"/>
      <c r="AI404" s="78"/>
      <c r="AJ404" s="78"/>
      <c r="AK404" s="78"/>
      <c r="AL404" s="78"/>
      <c r="AM404" s="78"/>
      <c r="AN404" s="78"/>
      <c r="AO404" s="78"/>
      <c r="AP404" s="78"/>
      <c r="AQ404" s="78"/>
      <c r="AR404" s="78"/>
      <c r="AS404" s="78"/>
      <c r="AT404" s="78"/>
      <c r="AU404" s="78"/>
      <c r="AV404" s="78"/>
      <c r="AW404" s="78"/>
      <c r="AX404" s="78"/>
      <c r="AY404" s="78"/>
      <c r="AZ404" s="78"/>
      <c r="BA404" s="78"/>
      <c r="BB404" s="78"/>
      <c r="BC404" s="78"/>
      <c r="BD404" s="78"/>
      <c r="BE404" s="78"/>
      <c r="BF404" s="78"/>
      <c r="BG404" s="78"/>
      <c r="BH404" s="78"/>
      <c r="BI404" s="78"/>
      <c r="BJ404" s="78"/>
      <c r="BK404" s="78"/>
      <c r="BL404" s="78"/>
      <c r="BM404" s="78"/>
      <c r="BN404" s="78"/>
      <c r="BO404" s="78"/>
      <c r="BP404" s="78"/>
      <c r="BQ404" s="78"/>
      <c r="BR404" s="78"/>
      <c r="BS404" s="78"/>
      <c r="BT404" s="78"/>
      <c r="BU404" s="78"/>
      <c r="BV404" s="78"/>
      <c r="BW404" s="78"/>
      <c r="BX404" s="78"/>
      <c r="BY404" s="78"/>
      <c r="BZ404" s="78"/>
      <c r="CA404" s="78"/>
      <c r="CB404" s="78"/>
      <c r="CC404" s="78"/>
      <c r="CD404" s="78"/>
      <c r="CE404" s="78"/>
      <c r="CF404" s="78"/>
      <c r="CG404" s="78"/>
      <c r="CH404" s="78"/>
      <c r="CI404" s="78"/>
      <c r="CJ404" s="78"/>
      <c r="CK404" s="78"/>
      <c r="CL404" s="78"/>
      <c r="CM404" s="78"/>
      <c r="CN404" s="78"/>
      <c r="CO404" s="78"/>
      <c r="CP404" s="78"/>
      <c r="CQ404" s="78"/>
      <c r="CR404" s="78"/>
      <c r="CS404" s="78"/>
      <c r="CT404" s="78"/>
      <c r="CU404" s="78"/>
      <c r="CV404" s="78"/>
      <c r="CW404" s="78"/>
      <c r="CX404" s="78"/>
      <c r="CY404" s="78"/>
      <c r="CZ404" s="78"/>
      <c r="DA404" s="78"/>
      <c r="DB404" s="78"/>
      <c r="DC404" s="78"/>
      <c r="DD404" s="78"/>
      <c r="DE404" s="78"/>
      <c r="DF404" s="78"/>
      <c r="DG404" s="78"/>
      <c r="DH404" s="78"/>
      <c r="DI404" s="78"/>
      <c r="DJ404" s="78"/>
      <c r="DK404" s="78"/>
      <c r="DL404" s="78"/>
      <c r="DM404" s="78"/>
      <c r="DN404" s="78"/>
      <c r="DO404" s="78"/>
      <c r="DP404" s="78"/>
      <c r="DQ404" s="78"/>
      <c r="DR404" s="78"/>
      <c r="DS404" s="78"/>
      <c r="DT404" s="78"/>
      <c r="DU404" s="78"/>
      <c r="DV404" s="78"/>
      <c r="DW404" s="78"/>
      <c r="DX404" s="78"/>
      <c r="DY404" s="78"/>
      <c r="DZ404" s="78"/>
      <c r="EA404" s="78"/>
      <c r="EB404" s="78"/>
      <c r="EC404" s="78"/>
    </row>
    <row r="405" spans="1:133" s="9" customFormat="1" ht="18" x14ac:dyDescent="0.25">
      <c r="A405" s="73" t="s">
        <v>54</v>
      </c>
      <c r="B405" s="60" t="s">
        <v>203</v>
      </c>
      <c r="C405" s="53" t="s">
        <v>56</v>
      </c>
      <c r="D405" s="53" t="s">
        <v>376</v>
      </c>
      <c r="E405" s="162">
        <v>303.16000000000003</v>
      </c>
      <c r="F405" s="163"/>
      <c r="G405" s="163"/>
      <c r="H405" s="163"/>
      <c r="I405" s="163"/>
      <c r="J405" s="163"/>
      <c r="K405" s="163"/>
      <c r="L405" s="163"/>
      <c r="M405" s="163"/>
      <c r="N405" s="163"/>
      <c r="O405" s="163"/>
      <c r="P405" s="163"/>
      <c r="Q405" s="164"/>
      <c r="R405" s="78"/>
      <c r="S405" s="78"/>
      <c r="T405" s="78"/>
      <c r="U405" s="78"/>
      <c r="V405" s="78"/>
      <c r="W405" s="78"/>
      <c r="X405" s="78"/>
      <c r="Y405" s="78"/>
      <c r="Z405" s="78"/>
      <c r="AA405" s="78"/>
      <c r="AB405" s="78"/>
      <c r="AC405" s="78"/>
      <c r="AD405" s="78"/>
      <c r="AE405" s="78"/>
      <c r="AF405" s="78"/>
      <c r="AG405" s="78"/>
      <c r="AH405" s="78"/>
      <c r="AI405" s="78"/>
      <c r="AJ405" s="78"/>
      <c r="AK405" s="78"/>
      <c r="AL405" s="78"/>
      <c r="AM405" s="78"/>
      <c r="AN405" s="78"/>
      <c r="AO405" s="78"/>
      <c r="AP405" s="78"/>
      <c r="AQ405" s="78"/>
      <c r="AR405" s="78"/>
      <c r="AS405" s="78"/>
      <c r="AT405" s="78"/>
      <c r="AU405" s="78"/>
      <c r="AV405" s="78"/>
      <c r="AW405" s="78"/>
      <c r="AX405" s="78"/>
      <c r="AY405" s="78"/>
      <c r="AZ405" s="78"/>
      <c r="BA405" s="78"/>
      <c r="BB405" s="78"/>
      <c r="BC405" s="78"/>
      <c r="BD405" s="78"/>
      <c r="BE405" s="78"/>
      <c r="BF405" s="78"/>
      <c r="BG405" s="78"/>
      <c r="BH405" s="78"/>
      <c r="BI405" s="78"/>
      <c r="BJ405" s="78"/>
      <c r="BK405" s="78"/>
      <c r="BL405" s="78"/>
      <c r="BM405" s="78"/>
      <c r="BN405" s="78"/>
      <c r="BO405" s="78"/>
      <c r="BP405" s="78"/>
      <c r="BQ405" s="78"/>
      <c r="BR405" s="78"/>
      <c r="BS405" s="78"/>
      <c r="BT405" s="78"/>
      <c r="BU405" s="78"/>
      <c r="BV405" s="78"/>
      <c r="BW405" s="78"/>
      <c r="BX405" s="78"/>
      <c r="BY405" s="78"/>
      <c r="BZ405" s="78"/>
      <c r="CA405" s="78"/>
      <c r="CB405" s="78"/>
      <c r="CC405" s="78"/>
      <c r="CD405" s="78"/>
      <c r="CE405" s="78"/>
      <c r="CF405" s="78"/>
      <c r="CG405" s="78"/>
      <c r="CH405" s="78"/>
      <c r="CI405" s="78"/>
      <c r="CJ405" s="78"/>
      <c r="CK405" s="78"/>
      <c r="CL405" s="78"/>
      <c r="CM405" s="78"/>
      <c r="CN405" s="78"/>
      <c r="CO405" s="78"/>
      <c r="CP405" s="78"/>
      <c r="CQ405" s="78"/>
      <c r="CR405" s="78"/>
      <c r="CS405" s="78"/>
      <c r="CT405" s="78"/>
      <c r="CU405" s="78"/>
      <c r="CV405" s="78"/>
      <c r="CW405" s="78"/>
      <c r="CX405" s="78"/>
      <c r="CY405" s="78"/>
      <c r="CZ405" s="78"/>
      <c r="DA405" s="78"/>
      <c r="DB405" s="78"/>
      <c r="DC405" s="78"/>
      <c r="DD405" s="78"/>
      <c r="DE405" s="78"/>
      <c r="DF405" s="78"/>
      <c r="DG405" s="78"/>
      <c r="DH405" s="78"/>
      <c r="DI405" s="78"/>
      <c r="DJ405" s="78"/>
      <c r="DK405" s="78"/>
      <c r="DL405" s="78"/>
      <c r="DM405" s="78"/>
      <c r="DN405" s="78"/>
      <c r="DO405" s="78"/>
      <c r="DP405" s="78"/>
      <c r="DQ405" s="78"/>
      <c r="DR405" s="78"/>
      <c r="DS405" s="78"/>
      <c r="DT405" s="78"/>
      <c r="DU405" s="78"/>
      <c r="DV405" s="78"/>
      <c r="DW405" s="78"/>
      <c r="DX405" s="78"/>
      <c r="DY405" s="78"/>
      <c r="DZ405" s="78"/>
      <c r="EA405" s="78"/>
      <c r="EB405" s="78"/>
      <c r="EC405" s="78"/>
    </row>
    <row r="406" spans="1:133" s="9" customFormat="1" x14ac:dyDescent="0.25">
      <c r="A406" s="73" t="s">
        <v>57</v>
      </c>
      <c r="B406" s="60" t="s">
        <v>204</v>
      </c>
      <c r="C406" s="53" t="s">
        <v>59</v>
      </c>
      <c r="D406" s="53" t="s">
        <v>376</v>
      </c>
      <c r="E406" s="162">
        <v>1.9870000000000001</v>
      </c>
      <c r="F406" s="163"/>
      <c r="G406" s="163"/>
      <c r="H406" s="163"/>
      <c r="I406" s="163"/>
      <c r="J406" s="163"/>
      <c r="K406" s="163"/>
      <c r="L406" s="163"/>
      <c r="M406" s="163"/>
      <c r="N406" s="163"/>
      <c r="O406" s="163"/>
      <c r="P406" s="163"/>
      <c r="Q406" s="164"/>
      <c r="R406" s="78"/>
      <c r="S406" s="78"/>
      <c r="T406" s="78"/>
      <c r="U406" s="78"/>
      <c r="V406" s="78"/>
      <c r="W406" s="78"/>
      <c r="X406" s="78"/>
      <c r="Y406" s="78"/>
      <c r="Z406" s="78"/>
      <c r="AA406" s="78"/>
      <c r="AB406" s="78"/>
      <c r="AC406" s="78"/>
      <c r="AD406" s="78"/>
      <c r="AE406" s="78"/>
      <c r="AF406" s="78"/>
      <c r="AG406" s="78"/>
      <c r="AH406" s="78"/>
      <c r="AI406" s="78"/>
      <c r="AJ406" s="78"/>
      <c r="AK406" s="78"/>
      <c r="AL406" s="78"/>
      <c r="AM406" s="78"/>
      <c r="AN406" s="78"/>
      <c r="AO406" s="78"/>
      <c r="AP406" s="78"/>
      <c r="AQ406" s="78"/>
      <c r="AR406" s="78"/>
      <c r="AS406" s="78"/>
      <c r="AT406" s="78"/>
      <c r="AU406" s="78"/>
      <c r="AV406" s="78"/>
      <c r="AW406" s="78"/>
      <c r="AX406" s="78"/>
      <c r="AY406" s="78"/>
      <c r="AZ406" s="78"/>
      <c r="BA406" s="78"/>
      <c r="BB406" s="78"/>
      <c r="BC406" s="78"/>
      <c r="BD406" s="78"/>
      <c r="BE406" s="78"/>
      <c r="BF406" s="78"/>
      <c r="BG406" s="78"/>
      <c r="BH406" s="78"/>
      <c r="BI406" s="78"/>
      <c r="BJ406" s="78"/>
      <c r="BK406" s="78"/>
      <c r="BL406" s="78"/>
      <c r="BM406" s="78"/>
      <c r="BN406" s="78"/>
      <c r="BO406" s="78"/>
      <c r="BP406" s="78"/>
      <c r="BQ406" s="78"/>
      <c r="BR406" s="78"/>
      <c r="BS406" s="78"/>
      <c r="BT406" s="78"/>
      <c r="BU406" s="78"/>
      <c r="BV406" s="78"/>
      <c r="BW406" s="78"/>
      <c r="BX406" s="78"/>
      <c r="BY406" s="78"/>
      <c r="BZ406" s="78"/>
      <c r="CA406" s="78"/>
      <c r="CB406" s="78"/>
      <c r="CC406" s="78"/>
      <c r="CD406" s="78"/>
      <c r="CE406" s="78"/>
      <c r="CF406" s="78"/>
      <c r="CG406" s="78"/>
      <c r="CH406" s="78"/>
      <c r="CI406" s="78"/>
      <c r="CJ406" s="78"/>
      <c r="CK406" s="78"/>
      <c r="CL406" s="78"/>
      <c r="CM406" s="78"/>
      <c r="CN406" s="78"/>
      <c r="CO406" s="78"/>
      <c r="CP406" s="78"/>
      <c r="CQ406" s="78"/>
      <c r="CR406" s="78"/>
      <c r="CS406" s="78"/>
      <c r="CT406" s="78"/>
      <c r="CU406" s="78"/>
      <c r="CV406" s="78"/>
      <c r="CW406" s="78"/>
      <c r="CX406" s="78"/>
      <c r="CY406" s="78"/>
      <c r="CZ406" s="78"/>
      <c r="DA406" s="78"/>
      <c r="DB406" s="78"/>
      <c r="DC406" s="78"/>
      <c r="DD406" s="78"/>
      <c r="DE406" s="78"/>
      <c r="DF406" s="78"/>
      <c r="DG406" s="78"/>
      <c r="DH406" s="78"/>
      <c r="DI406" s="78"/>
      <c r="DJ406" s="78"/>
      <c r="DK406" s="78"/>
      <c r="DL406" s="78"/>
      <c r="DM406" s="78"/>
      <c r="DN406" s="78"/>
      <c r="DO406" s="78"/>
      <c r="DP406" s="78"/>
      <c r="DQ406" s="78"/>
      <c r="DR406" s="78"/>
      <c r="DS406" s="78"/>
      <c r="DT406" s="78"/>
      <c r="DU406" s="78"/>
      <c r="DV406" s="78"/>
      <c r="DW406" s="78"/>
      <c r="DX406" s="78"/>
      <c r="DY406" s="78"/>
      <c r="DZ406" s="78"/>
      <c r="EA406" s="78"/>
      <c r="EB406" s="78"/>
      <c r="EC406" s="78"/>
    </row>
    <row r="407" spans="1:133" s="9" customFormat="1" ht="31.2" x14ac:dyDescent="0.25">
      <c r="A407" s="73" t="s">
        <v>60</v>
      </c>
      <c r="B407" s="60" t="s">
        <v>203</v>
      </c>
      <c r="C407" s="53" t="s">
        <v>61</v>
      </c>
      <c r="D407" s="143" t="s">
        <v>363</v>
      </c>
      <c r="E407" s="98">
        <f>AVERAGE(F407:Q407)</f>
        <v>296.14999999999998</v>
      </c>
      <c r="F407" s="60" t="s">
        <v>297</v>
      </c>
      <c r="G407" s="60" t="s">
        <v>297</v>
      </c>
      <c r="H407" s="60" t="s">
        <v>297</v>
      </c>
      <c r="I407" s="60" t="s">
        <v>297</v>
      </c>
      <c r="J407" s="60" t="s">
        <v>297</v>
      </c>
      <c r="K407" s="60" t="s">
        <v>297</v>
      </c>
      <c r="L407" s="60" t="s">
        <v>297</v>
      </c>
      <c r="M407" s="60" t="s">
        <v>297</v>
      </c>
      <c r="N407" s="60">
        <v>301.14999999999998</v>
      </c>
      <c r="O407" s="60">
        <v>297.64999999999998</v>
      </c>
      <c r="P407" s="60">
        <v>295.64999999999998</v>
      </c>
      <c r="Q407" s="60">
        <v>290.14999999999998</v>
      </c>
      <c r="R407" s="78"/>
      <c r="S407" s="78"/>
      <c r="T407" s="78"/>
      <c r="U407" s="78"/>
      <c r="V407" s="78"/>
      <c r="W407" s="78"/>
      <c r="X407" s="78"/>
      <c r="Y407" s="78"/>
      <c r="Z407" s="78"/>
      <c r="AA407" s="78"/>
      <c r="AB407" s="78"/>
      <c r="AC407" s="78"/>
      <c r="AD407" s="78"/>
      <c r="AE407" s="78"/>
      <c r="AF407" s="78"/>
      <c r="AG407" s="78"/>
      <c r="AH407" s="78"/>
      <c r="AI407" s="78"/>
      <c r="AJ407" s="78"/>
      <c r="AK407" s="78"/>
      <c r="AL407" s="78"/>
      <c r="AM407" s="78"/>
      <c r="AN407" s="78"/>
      <c r="AO407" s="78"/>
      <c r="AP407" s="78"/>
      <c r="AQ407" s="78"/>
      <c r="AR407" s="78"/>
      <c r="AS407" s="78"/>
      <c r="AT407" s="78"/>
      <c r="AU407" s="78"/>
      <c r="AV407" s="78"/>
      <c r="AW407" s="78"/>
      <c r="AX407" s="78"/>
      <c r="AY407" s="78"/>
      <c r="AZ407" s="78"/>
      <c r="BA407" s="78"/>
      <c r="BB407" s="78"/>
      <c r="BC407" s="78"/>
      <c r="BD407" s="78"/>
      <c r="BE407" s="78"/>
      <c r="BF407" s="78"/>
      <c r="BG407" s="78"/>
      <c r="BH407" s="78"/>
      <c r="BI407" s="78"/>
      <c r="BJ407" s="78"/>
      <c r="BK407" s="78"/>
      <c r="BL407" s="78"/>
      <c r="BM407" s="78"/>
      <c r="BN407" s="78"/>
      <c r="BO407" s="78"/>
      <c r="BP407" s="78"/>
      <c r="BQ407" s="78"/>
      <c r="BR407" s="78"/>
      <c r="BS407" s="78"/>
      <c r="BT407" s="78"/>
      <c r="BU407" s="78"/>
      <c r="BV407" s="78"/>
      <c r="BW407" s="78"/>
      <c r="BX407" s="78"/>
      <c r="BY407" s="78"/>
      <c r="BZ407" s="78"/>
      <c r="CA407" s="78"/>
      <c r="CB407" s="78"/>
      <c r="CC407" s="78"/>
      <c r="CD407" s="78"/>
      <c r="CE407" s="78"/>
      <c r="CF407" s="78"/>
      <c r="CG407" s="78"/>
      <c r="CH407" s="78"/>
      <c r="CI407" s="78"/>
      <c r="CJ407" s="78"/>
      <c r="CK407" s="78"/>
      <c r="CL407" s="78"/>
      <c r="CM407" s="78"/>
      <c r="CN407" s="78"/>
      <c r="CO407" s="78"/>
      <c r="CP407" s="78"/>
      <c r="CQ407" s="78"/>
      <c r="CR407" s="78"/>
      <c r="CS407" s="78"/>
      <c r="CT407" s="78"/>
      <c r="CU407" s="78"/>
      <c r="CV407" s="78"/>
      <c r="CW407" s="78"/>
      <c r="CX407" s="78"/>
      <c r="CY407" s="78"/>
      <c r="CZ407" s="78"/>
      <c r="DA407" s="78"/>
      <c r="DB407" s="78"/>
      <c r="DC407" s="78"/>
      <c r="DD407" s="78"/>
      <c r="DE407" s="78"/>
      <c r="DF407" s="78"/>
      <c r="DG407" s="78"/>
      <c r="DH407" s="78"/>
      <c r="DI407" s="78"/>
      <c r="DJ407" s="78"/>
      <c r="DK407" s="78"/>
      <c r="DL407" s="78"/>
      <c r="DM407" s="78"/>
      <c r="DN407" s="78"/>
      <c r="DO407" s="78"/>
      <c r="DP407" s="78"/>
      <c r="DQ407" s="78"/>
      <c r="DR407" s="78"/>
      <c r="DS407" s="78"/>
      <c r="DT407" s="78"/>
      <c r="DU407" s="78"/>
      <c r="DV407" s="78"/>
      <c r="DW407" s="78"/>
      <c r="DX407" s="78"/>
      <c r="DY407" s="78"/>
      <c r="DZ407" s="78"/>
      <c r="EA407" s="78"/>
      <c r="EB407" s="78"/>
      <c r="EC407" s="78"/>
    </row>
    <row r="408" spans="1:133" s="9" customFormat="1" ht="31.2" x14ac:dyDescent="0.4">
      <c r="A408" s="71" t="s">
        <v>62</v>
      </c>
      <c r="B408" s="60" t="s">
        <v>196</v>
      </c>
      <c r="C408" s="53" t="s">
        <v>63</v>
      </c>
      <c r="D408" s="53" t="s">
        <v>377</v>
      </c>
      <c r="E408" s="74">
        <f>SUM(F408:Q408)</f>
        <v>401.00410963200846</v>
      </c>
      <c r="F408" s="74" t="s">
        <v>297</v>
      </c>
      <c r="G408" s="74" t="s">
        <v>297</v>
      </c>
      <c r="H408" s="74" t="s">
        <v>297</v>
      </c>
      <c r="I408" s="74" t="s">
        <v>297</v>
      </c>
      <c r="J408" s="74" t="s">
        <v>297</v>
      </c>
      <c r="K408" s="74" t="s">
        <v>297</v>
      </c>
      <c r="L408" s="74" t="s">
        <v>297</v>
      </c>
      <c r="M408" s="74" t="s">
        <v>297</v>
      </c>
      <c r="N408" s="74">
        <f>N397*N392*N395+(1-N403)*0</f>
        <v>45.800346484191543</v>
      </c>
      <c r="O408" s="74">
        <f t="shared" ref="O408:Q408" si="61">O397*O392*O395+(1-O403)*N408</f>
        <v>95.923896556032659</v>
      </c>
      <c r="P408" s="74">
        <f t="shared" si="61"/>
        <v>112.96564538877895</v>
      </c>
      <c r="Q408" s="74">
        <f t="shared" si="61"/>
        <v>146.31422120300533</v>
      </c>
      <c r="R408" s="78"/>
      <c r="S408" s="78"/>
      <c r="T408" s="78"/>
      <c r="U408" s="78"/>
      <c r="V408" s="78"/>
      <c r="W408" s="78"/>
      <c r="X408" s="78"/>
      <c r="Y408" s="78"/>
      <c r="Z408" s="78"/>
      <c r="AA408" s="78"/>
      <c r="AB408" s="78"/>
      <c r="AC408" s="78"/>
      <c r="AD408" s="78"/>
      <c r="AE408" s="78"/>
      <c r="AF408" s="78"/>
      <c r="AG408" s="78"/>
      <c r="AH408" s="78"/>
      <c r="AI408" s="78"/>
      <c r="AJ408" s="78"/>
      <c r="AK408" s="78"/>
      <c r="AL408" s="78"/>
      <c r="AM408" s="78"/>
      <c r="AN408" s="78"/>
      <c r="AO408" s="78"/>
      <c r="AP408" s="78"/>
      <c r="AQ408" s="78"/>
      <c r="AR408" s="78"/>
      <c r="AS408" s="78"/>
      <c r="AT408" s="78"/>
      <c r="AU408" s="78"/>
      <c r="AV408" s="78"/>
      <c r="AW408" s="78"/>
      <c r="AX408" s="78"/>
      <c r="AY408" s="78"/>
      <c r="AZ408" s="78"/>
      <c r="BA408" s="78"/>
      <c r="BB408" s="78"/>
      <c r="BC408" s="78"/>
      <c r="BD408" s="78"/>
      <c r="BE408" s="78"/>
      <c r="BF408" s="78"/>
      <c r="BG408" s="78"/>
      <c r="BH408" s="78"/>
      <c r="BI408" s="78"/>
      <c r="BJ408" s="78"/>
      <c r="BK408" s="78"/>
      <c r="BL408" s="78"/>
      <c r="BM408" s="78"/>
      <c r="BN408" s="78"/>
      <c r="BO408" s="78"/>
      <c r="BP408" s="78"/>
      <c r="BQ408" s="78"/>
      <c r="BR408" s="78"/>
      <c r="BS408" s="78"/>
      <c r="BT408" s="78"/>
      <c r="BU408" s="78"/>
      <c r="BV408" s="78"/>
      <c r="BW408" s="78"/>
      <c r="BX408" s="78"/>
      <c r="BY408" s="78"/>
      <c r="BZ408" s="78"/>
      <c r="CA408" s="78"/>
      <c r="CB408" s="78"/>
      <c r="CC408" s="78"/>
      <c r="CD408" s="78"/>
      <c r="CE408" s="78"/>
      <c r="CF408" s="78"/>
      <c r="CG408" s="78"/>
      <c r="CH408" s="78"/>
      <c r="CI408" s="78"/>
      <c r="CJ408" s="78"/>
      <c r="CK408" s="78"/>
      <c r="CL408" s="78"/>
      <c r="CM408" s="78"/>
      <c r="CN408" s="78"/>
      <c r="CO408" s="78"/>
      <c r="CP408" s="78"/>
      <c r="CQ408" s="78"/>
      <c r="CR408" s="78"/>
      <c r="CS408" s="78"/>
      <c r="CT408" s="78"/>
      <c r="CU408" s="78"/>
      <c r="CV408" s="78"/>
      <c r="CW408" s="78"/>
      <c r="CX408" s="78"/>
      <c r="CY408" s="78"/>
      <c r="CZ408" s="78"/>
      <c r="DA408" s="78"/>
      <c r="DB408" s="78"/>
      <c r="DC408" s="78"/>
      <c r="DD408" s="78"/>
      <c r="DE408" s="78"/>
      <c r="DF408" s="78"/>
      <c r="DG408" s="78"/>
      <c r="DH408" s="78"/>
      <c r="DI408" s="78"/>
      <c r="DJ408" s="78"/>
      <c r="DK408" s="78"/>
      <c r="DL408" s="78"/>
      <c r="DM408" s="78"/>
      <c r="DN408" s="78"/>
      <c r="DO408" s="78"/>
      <c r="DP408" s="78"/>
      <c r="DQ408" s="78"/>
      <c r="DR408" s="78"/>
      <c r="DS408" s="78"/>
      <c r="DT408" s="78"/>
      <c r="DU408" s="78"/>
      <c r="DV408" s="78"/>
      <c r="DW408" s="78"/>
      <c r="DX408" s="78"/>
      <c r="DY408" s="78"/>
      <c r="DZ408" s="78"/>
      <c r="EA408" s="78"/>
      <c r="EB408" s="78"/>
      <c r="EC408" s="78"/>
    </row>
    <row r="410" spans="1:133" x14ac:dyDescent="0.25">
      <c r="A410" s="158" t="s">
        <v>64</v>
      </c>
      <c r="B410" s="158"/>
      <c r="C410" s="158"/>
      <c r="D410" s="158"/>
      <c r="E410" s="158"/>
    </row>
    <row r="411" spans="1:133" x14ac:dyDescent="0.25">
      <c r="A411" s="57" t="s">
        <v>8</v>
      </c>
      <c r="B411" s="58" t="s">
        <v>9</v>
      </c>
      <c r="C411" s="34" t="s">
        <v>10</v>
      </c>
      <c r="D411" s="34" t="s">
        <v>340</v>
      </c>
      <c r="E411" s="16" t="s">
        <v>65</v>
      </c>
    </row>
    <row r="412" spans="1:133" ht="46.8" x14ac:dyDescent="0.25">
      <c r="A412" s="59" t="s">
        <v>66</v>
      </c>
      <c r="B412" s="60" t="s">
        <v>14</v>
      </c>
      <c r="C412" s="53" t="s">
        <v>67</v>
      </c>
      <c r="D412" s="53" t="s">
        <v>68</v>
      </c>
      <c r="E412" s="75">
        <v>0</v>
      </c>
    </row>
    <row r="413" spans="1:133" ht="46.8" x14ac:dyDescent="0.25">
      <c r="A413" s="63" t="s">
        <v>69</v>
      </c>
      <c r="B413" s="25" t="s">
        <v>70</v>
      </c>
      <c r="C413" s="35" t="s">
        <v>71</v>
      </c>
      <c r="D413" s="53" t="str">
        <f>D419</f>
        <v>Historical data on site in the FSR (It was calculated with conservative value)</v>
      </c>
      <c r="E413" s="74">
        <f>E419</f>
        <v>120.69330272954613</v>
      </c>
    </row>
    <row r="415" spans="1:133" x14ac:dyDescent="0.25">
      <c r="A415" s="174" t="s">
        <v>72</v>
      </c>
      <c r="B415" s="174"/>
      <c r="C415" s="175"/>
      <c r="D415" s="175"/>
      <c r="E415" s="174"/>
    </row>
    <row r="416" spans="1:133" x14ac:dyDescent="0.25">
      <c r="A416" s="59" t="s">
        <v>8</v>
      </c>
      <c r="B416" s="16" t="s">
        <v>9</v>
      </c>
      <c r="C416" s="38" t="s">
        <v>10</v>
      </c>
      <c r="D416" s="38" t="s">
        <v>340</v>
      </c>
      <c r="E416" s="16" t="s">
        <v>65</v>
      </c>
    </row>
    <row r="417" spans="1:5" ht="33.6" x14ac:dyDescent="0.4">
      <c r="A417" s="76" t="s">
        <v>73</v>
      </c>
      <c r="B417" s="25" t="s">
        <v>74</v>
      </c>
      <c r="C417" s="35" t="s">
        <v>75</v>
      </c>
      <c r="D417" s="35" t="s">
        <v>378</v>
      </c>
      <c r="E417" s="50">
        <f>E418*E421*E422*E423*E424*E425</f>
        <v>0.49022372618613269</v>
      </c>
    </row>
    <row r="418" spans="1:5" ht="46.8" x14ac:dyDescent="0.4">
      <c r="A418" s="77" t="s">
        <v>207</v>
      </c>
      <c r="B418" s="25" t="s">
        <v>76</v>
      </c>
      <c r="C418" s="35" t="s">
        <v>77</v>
      </c>
      <c r="D418" s="35" t="s">
        <v>379</v>
      </c>
      <c r="E418" s="52">
        <f>E419/E420</f>
        <v>24.138660545909225</v>
      </c>
    </row>
    <row r="419" spans="1:5" ht="46.8" x14ac:dyDescent="0.25">
      <c r="A419" s="63" t="s">
        <v>208</v>
      </c>
      <c r="B419" s="25" t="s">
        <v>78</v>
      </c>
      <c r="C419" s="35" t="s">
        <v>79</v>
      </c>
      <c r="D419" s="53" t="s">
        <v>352</v>
      </c>
      <c r="E419" s="52">
        <f>0.000186146457940129*E392</f>
        <v>120.69330272954613</v>
      </c>
    </row>
    <row r="420" spans="1:5" ht="31.2" x14ac:dyDescent="0.25">
      <c r="A420" s="63" t="s">
        <v>209</v>
      </c>
      <c r="B420" s="25" t="s">
        <v>80</v>
      </c>
      <c r="C420" s="35" t="s">
        <v>81</v>
      </c>
      <c r="D420" s="35" t="s">
        <v>353</v>
      </c>
      <c r="E420" s="25">
        <f>5</f>
        <v>5</v>
      </c>
    </row>
    <row r="421" spans="1:5" ht="62.4" x14ac:dyDescent="0.25">
      <c r="A421" s="63" t="s">
        <v>210</v>
      </c>
      <c r="B421" s="25" t="s">
        <v>82</v>
      </c>
      <c r="C421" s="35" t="s">
        <v>83</v>
      </c>
      <c r="D421" s="53" t="s">
        <v>354</v>
      </c>
      <c r="E421" s="25">
        <f>15*2</f>
        <v>30</v>
      </c>
    </row>
    <row r="422" spans="1:5" ht="172.2" x14ac:dyDescent="0.25">
      <c r="A422" s="63" t="s">
        <v>211</v>
      </c>
      <c r="B422" s="25" t="s">
        <v>84</v>
      </c>
      <c r="C422" s="35" t="s">
        <v>85</v>
      </c>
      <c r="D422" s="35" t="s">
        <v>355</v>
      </c>
      <c r="E422" s="25">
        <f>25.1/100</f>
        <v>0.251</v>
      </c>
    </row>
    <row r="423" spans="1:5" ht="156" x14ac:dyDescent="0.25">
      <c r="A423" s="63" t="s">
        <v>212</v>
      </c>
      <c r="B423" s="25" t="s">
        <v>87</v>
      </c>
      <c r="C423" s="35" t="s">
        <v>86</v>
      </c>
      <c r="D423" s="35" t="s">
        <v>356</v>
      </c>
      <c r="E423" s="25">
        <f>0.84/1000</f>
        <v>8.3999999999999993E-4</v>
      </c>
    </row>
    <row r="424" spans="1:5" ht="171.6" x14ac:dyDescent="0.25">
      <c r="A424" s="63" t="s">
        <v>213</v>
      </c>
      <c r="B424" s="25" t="s">
        <v>88</v>
      </c>
      <c r="C424" s="35" t="s">
        <v>89</v>
      </c>
      <c r="D424" s="35" t="s">
        <v>357</v>
      </c>
      <c r="E424" s="25">
        <f>43.33/1000</f>
        <v>4.333E-2</v>
      </c>
    </row>
    <row r="425" spans="1:5" ht="62.4" x14ac:dyDescent="0.25">
      <c r="A425" s="63" t="s">
        <v>214</v>
      </c>
      <c r="B425" s="25" t="s">
        <v>90</v>
      </c>
      <c r="C425" s="35" t="s">
        <v>91</v>
      </c>
      <c r="D425" s="35" t="s">
        <v>358</v>
      </c>
      <c r="E425" s="25">
        <v>74.099999999999994</v>
      </c>
    </row>
    <row r="427" spans="1:5" x14ac:dyDescent="0.25">
      <c r="A427" s="158" t="s">
        <v>93</v>
      </c>
      <c r="B427" s="158"/>
      <c r="C427" s="158"/>
      <c r="D427" s="158"/>
      <c r="E427" s="158"/>
    </row>
    <row r="428" spans="1:5" x14ac:dyDescent="0.25">
      <c r="A428" s="57" t="s">
        <v>8</v>
      </c>
      <c r="B428" s="58" t="s">
        <v>9</v>
      </c>
      <c r="C428" s="34" t="s">
        <v>10</v>
      </c>
      <c r="D428" s="34" t="s">
        <v>340</v>
      </c>
      <c r="E428" s="16" t="s">
        <v>65</v>
      </c>
    </row>
    <row r="429" spans="1:5" ht="64.8" x14ac:dyDescent="0.25">
      <c r="A429" s="15" t="s">
        <v>94</v>
      </c>
      <c r="B429" s="25" t="s">
        <v>95</v>
      </c>
      <c r="C429" s="35" t="s">
        <v>96</v>
      </c>
      <c r="D429" s="35" t="s">
        <v>97</v>
      </c>
      <c r="E429" s="16">
        <v>0</v>
      </c>
    </row>
    <row r="431" spans="1:5" x14ac:dyDescent="0.25">
      <c r="A431" s="158" t="s">
        <v>98</v>
      </c>
      <c r="B431" s="158"/>
      <c r="C431" s="158"/>
      <c r="D431" s="158"/>
      <c r="E431" s="158"/>
    </row>
    <row r="432" spans="1:5" x14ac:dyDescent="0.25">
      <c r="A432" s="57" t="s">
        <v>8</v>
      </c>
      <c r="B432" s="58" t="s">
        <v>9</v>
      </c>
      <c r="C432" s="34" t="s">
        <v>10</v>
      </c>
      <c r="D432" s="34" t="s">
        <v>340</v>
      </c>
      <c r="E432" s="16" t="s">
        <v>65</v>
      </c>
    </row>
    <row r="433" spans="1:133" ht="49.2" x14ac:dyDescent="0.25">
      <c r="A433" s="15" t="s">
        <v>99</v>
      </c>
      <c r="B433" s="25" t="s">
        <v>95</v>
      </c>
      <c r="C433" s="35" t="s">
        <v>100</v>
      </c>
      <c r="D433" s="35" t="s">
        <v>101</v>
      </c>
      <c r="E433" s="16">
        <v>0</v>
      </c>
    </row>
    <row r="435" spans="1:133" x14ac:dyDescent="0.25">
      <c r="A435" s="57" t="s">
        <v>8</v>
      </c>
      <c r="B435" s="58" t="s">
        <v>9</v>
      </c>
      <c r="C435" s="34" t="s">
        <v>10</v>
      </c>
      <c r="D435" s="34" t="s">
        <v>340</v>
      </c>
      <c r="E435" s="16" t="s">
        <v>65</v>
      </c>
    </row>
    <row r="436" spans="1:133" ht="18" x14ac:dyDescent="0.25">
      <c r="A436" s="59" t="s">
        <v>102</v>
      </c>
      <c r="B436" s="25" t="s">
        <v>103</v>
      </c>
      <c r="C436" s="35" t="s">
        <v>104</v>
      </c>
      <c r="D436" s="53" t="s">
        <v>380</v>
      </c>
      <c r="E436" s="18">
        <f>ROUNDDOWN(E386+E417+E412+E429+E433,0)</f>
        <v>754</v>
      </c>
    </row>
    <row r="437" spans="1:133" ht="15" customHeight="1" x14ac:dyDescent="0.25"/>
    <row r="438" spans="1:133" s="166" customFormat="1" ht="38.4" customHeight="1" x14ac:dyDescent="0.25">
      <c r="A438" s="165" t="s">
        <v>226</v>
      </c>
    </row>
    <row r="439" spans="1:133" s="56" customFormat="1" ht="31.2" x14ac:dyDescent="0.25">
      <c r="A439" s="92" t="s">
        <v>8</v>
      </c>
      <c r="B439" s="93" t="s">
        <v>9</v>
      </c>
      <c r="C439" s="94" t="s">
        <v>10</v>
      </c>
      <c r="D439" s="93" t="s">
        <v>341</v>
      </c>
      <c r="E439" s="93" t="s">
        <v>11</v>
      </c>
      <c r="F439" s="16" t="s">
        <v>292</v>
      </c>
      <c r="G439" s="16" t="s">
        <v>292</v>
      </c>
      <c r="H439" s="16" t="s">
        <v>292</v>
      </c>
      <c r="I439" s="16" t="s">
        <v>292</v>
      </c>
      <c r="J439" s="16" t="s">
        <v>292</v>
      </c>
      <c r="K439" s="16" t="s">
        <v>292</v>
      </c>
      <c r="L439" s="16" t="s">
        <v>292</v>
      </c>
      <c r="M439" s="16" t="s">
        <v>292</v>
      </c>
      <c r="N439" s="16" t="s">
        <v>305</v>
      </c>
      <c r="O439" s="16" t="s">
        <v>293</v>
      </c>
      <c r="P439" s="16" t="s">
        <v>294</v>
      </c>
      <c r="Q439" s="16" t="s">
        <v>295</v>
      </c>
      <c r="R439" s="54"/>
      <c r="S439" s="54"/>
      <c r="T439" s="54"/>
      <c r="U439" s="54"/>
      <c r="V439" s="54"/>
      <c r="W439" s="54"/>
      <c r="X439" s="54"/>
      <c r="Y439" s="54"/>
      <c r="Z439" s="54"/>
      <c r="AA439" s="54"/>
      <c r="AB439" s="54"/>
      <c r="AC439" s="54"/>
      <c r="AD439" s="54"/>
      <c r="AE439" s="54"/>
      <c r="AF439" s="54"/>
      <c r="AG439" s="54"/>
      <c r="AH439" s="54"/>
      <c r="AI439" s="54"/>
      <c r="AJ439" s="54"/>
      <c r="AK439" s="54"/>
      <c r="AL439" s="54"/>
      <c r="AM439" s="54"/>
      <c r="AN439" s="54"/>
      <c r="AO439" s="54"/>
      <c r="AP439" s="54"/>
      <c r="AQ439" s="54"/>
      <c r="AR439" s="54"/>
      <c r="AS439" s="54"/>
      <c r="AT439" s="54"/>
      <c r="AU439" s="54"/>
      <c r="AV439" s="54"/>
      <c r="AW439" s="54"/>
      <c r="AX439" s="54"/>
      <c r="AY439" s="54"/>
      <c r="AZ439" s="54"/>
      <c r="BA439" s="54"/>
      <c r="BB439" s="54"/>
      <c r="BC439" s="54"/>
      <c r="BD439" s="54"/>
      <c r="BE439" s="54"/>
      <c r="BF439" s="54"/>
      <c r="BG439" s="54"/>
      <c r="BH439" s="54"/>
      <c r="BI439" s="54"/>
      <c r="BJ439" s="54"/>
      <c r="BK439" s="54"/>
      <c r="BL439" s="54"/>
      <c r="BM439" s="54"/>
      <c r="BN439" s="54"/>
      <c r="BO439" s="54"/>
      <c r="BP439" s="54"/>
      <c r="BQ439" s="54"/>
      <c r="BR439" s="54"/>
      <c r="BS439" s="54"/>
      <c r="BT439" s="54"/>
      <c r="BU439" s="54"/>
      <c r="BV439" s="54"/>
      <c r="BW439" s="54"/>
      <c r="BX439" s="54"/>
      <c r="BY439" s="54"/>
      <c r="BZ439" s="54"/>
      <c r="CA439" s="54"/>
      <c r="CB439" s="54"/>
      <c r="CC439" s="54"/>
      <c r="CD439" s="54"/>
      <c r="CE439" s="54"/>
      <c r="CF439" s="54"/>
      <c r="CG439" s="54"/>
      <c r="CH439" s="54"/>
      <c r="CI439" s="54"/>
      <c r="CJ439" s="54"/>
      <c r="CK439" s="54"/>
      <c r="CL439" s="54"/>
      <c r="CM439" s="54"/>
      <c r="CN439" s="54"/>
      <c r="CO439" s="54"/>
      <c r="CP439" s="54"/>
      <c r="CQ439" s="54"/>
      <c r="CR439" s="54"/>
      <c r="CS439" s="54"/>
      <c r="CT439" s="54"/>
      <c r="CU439" s="54"/>
      <c r="CV439" s="54"/>
      <c r="CW439" s="54"/>
      <c r="CX439" s="54"/>
      <c r="CY439" s="54"/>
      <c r="CZ439" s="54"/>
      <c r="DA439" s="54"/>
      <c r="DB439" s="54"/>
      <c r="DC439" s="54"/>
      <c r="DD439" s="54"/>
      <c r="DE439" s="54"/>
      <c r="DF439" s="54"/>
      <c r="DG439" s="54"/>
      <c r="DH439" s="54"/>
      <c r="DI439" s="54"/>
      <c r="DJ439" s="54"/>
      <c r="DK439" s="54"/>
      <c r="DL439" s="54"/>
      <c r="DM439" s="54"/>
      <c r="DN439" s="54"/>
      <c r="DO439" s="54"/>
      <c r="DP439" s="54"/>
      <c r="DQ439" s="54"/>
      <c r="DR439" s="54"/>
      <c r="DS439" s="54"/>
      <c r="DT439" s="54"/>
      <c r="DU439" s="54"/>
      <c r="DV439" s="54"/>
      <c r="DW439" s="54"/>
      <c r="DX439" s="54"/>
      <c r="DY439" s="54"/>
      <c r="DZ439" s="54"/>
      <c r="EA439" s="54"/>
      <c r="EB439" s="54"/>
      <c r="EC439" s="54"/>
    </row>
    <row r="440" spans="1:133" s="56" customFormat="1" x14ac:dyDescent="0.25">
      <c r="A440" s="178" t="s">
        <v>12</v>
      </c>
      <c r="B440" s="178"/>
      <c r="C440" s="179"/>
      <c r="D440" s="179"/>
      <c r="E440" s="178"/>
      <c r="F440" s="16" t="s">
        <v>297</v>
      </c>
      <c r="G440" s="16" t="s">
        <v>297</v>
      </c>
      <c r="H440" s="16" t="s">
        <v>297</v>
      </c>
      <c r="I440" s="16" t="s">
        <v>297</v>
      </c>
      <c r="J440" s="16" t="s">
        <v>297</v>
      </c>
      <c r="K440" s="16" t="s">
        <v>297</v>
      </c>
      <c r="L440" s="16" t="s">
        <v>297</v>
      </c>
      <c r="M440" s="16" t="s">
        <v>297</v>
      </c>
      <c r="N440" s="16">
        <v>16</v>
      </c>
      <c r="O440" s="16">
        <v>31</v>
      </c>
      <c r="P440" s="16">
        <v>30</v>
      </c>
      <c r="Q440" s="16">
        <v>31</v>
      </c>
      <c r="R440" s="54"/>
      <c r="S440" s="54"/>
      <c r="T440" s="54"/>
      <c r="U440" s="54"/>
      <c r="V440" s="54"/>
      <c r="W440" s="54"/>
      <c r="X440" s="54"/>
      <c r="Y440" s="54"/>
      <c r="Z440" s="54"/>
      <c r="AA440" s="54"/>
      <c r="AB440" s="54"/>
      <c r="AC440" s="54"/>
      <c r="AD440" s="54"/>
      <c r="AE440" s="54"/>
      <c r="AF440" s="54"/>
      <c r="AG440" s="54"/>
      <c r="AH440" s="54"/>
      <c r="AI440" s="54"/>
      <c r="AJ440" s="54"/>
      <c r="AK440" s="54"/>
      <c r="AL440" s="54"/>
      <c r="AM440" s="54"/>
      <c r="AN440" s="54"/>
      <c r="AO440" s="54"/>
      <c r="AP440" s="54"/>
      <c r="AQ440" s="54"/>
      <c r="AR440" s="54"/>
      <c r="AS440" s="54"/>
      <c r="AT440" s="54"/>
      <c r="AU440" s="54"/>
      <c r="AV440" s="54"/>
      <c r="AW440" s="54"/>
      <c r="AX440" s="54"/>
      <c r="AY440" s="54"/>
      <c r="AZ440" s="54"/>
      <c r="BA440" s="54"/>
      <c r="BB440" s="54"/>
      <c r="BC440" s="54"/>
      <c r="BD440" s="54"/>
      <c r="BE440" s="54"/>
      <c r="BF440" s="54"/>
      <c r="BG440" s="54"/>
      <c r="BH440" s="54"/>
      <c r="BI440" s="54"/>
      <c r="BJ440" s="54"/>
      <c r="BK440" s="54"/>
      <c r="BL440" s="54"/>
      <c r="BM440" s="54"/>
      <c r="BN440" s="54"/>
      <c r="BO440" s="54"/>
      <c r="BP440" s="54"/>
      <c r="BQ440" s="54"/>
      <c r="BR440" s="54"/>
      <c r="BS440" s="54"/>
      <c r="BT440" s="54"/>
      <c r="BU440" s="54"/>
      <c r="BV440" s="54"/>
      <c r="BW440" s="54"/>
      <c r="BX440" s="54"/>
      <c r="BY440" s="54"/>
      <c r="BZ440" s="54"/>
      <c r="CA440" s="54"/>
      <c r="CB440" s="54"/>
      <c r="CC440" s="54"/>
      <c r="CD440" s="54"/>
      <c r="CE440" s="54"/>
      <c r="CF440" s="54"/>
      <c r="CG440" s="54"/>
      <c r="CH440" s="54"/>
      <c r="CI440" s="54"/>
      <c r="CJ440" s="54"/>
      <c r="CK440" s="54"/>
      <c r="CL440" s="54"/>
      <c r="CM440" s="54"/>
      <c r="CN440" s="54"/>
      <c r="CO440" s="54"/>
      <c r="CP440" s="54"/>
      <c r="CQ440" s="54"/>
      <c r="CR440" s="54"/>
      <c r="CS440" s="54"/>
      <c r="CT440" s="54"/>
      <c r="CU440" s="54"/>
      <c r="CV440" s="54"/>
      <c r="CW440" s="54"/>
      <c r="CX440" s="54"/>
      <c r="CY440" s="54"/>
      <c r="CZ440" s="54"/>
      <c r="DA440" s="54"/>
      <c r="DB440" s="54"/>
      <c r="DC440" s="54"/>
      <c r="DD440" s="54"/>
      <c r="DE440" s="54"/>
      <c r="DF440" s="54"/>
      <c r="DG440" s="54"/>
      <c r="DH440" s="54"/>
      <c r="DI440" s="54"/>
      <c r="DJ440" s="54"/>
      <c r="DK440" s="54"/>
      <c r="DL440" s="54"/>
      <c r="DM440" s="54"/>
      <c r="DN440" s="54"/>
      <c r="DO440" s="54"/>
      <c r="DP440" s="54"/>
      <c r="DQ440" s="54"/>
      <c r="DR440" s="54"/>
      <c r="DS440" s="54"/>
      <c r="DT440" s="54"/>
      <c r="DU440" s="54"/>
      <c r="DV440" s="54"/>
      <c r="DW440" s="54"/>
      <c r="DX440" s="54"/>
      <c r="DY440" s="54"/>
      <c r="DZ440" s="54"/>
      <c r="EA440" s="54"/>
      <c r="EB440" s="54"/>
      <c r="EC440" s="54"/>
    </row>
    <row r="441" spans="1:133" ht="46.8" x14ac:dyDescent="0.25">
      <c r="A441" s="59" t="s">
        <v>13</v>
      </c>
      <c r="B441" s="60" t="s">
        <v>14</v>
      </c>
      <c r="C441" s="53" t="s">
        <v>15</v>
      </c>
      <c r="D441" s="53" t="s">
        <v>369</v>
      </c>
      <c r="E441" s="61">
        <f>SUM(F441:Q441)</f>
        <v>2472.1358122156089</v>
      </c>
      <c r="F441" s="62" t="s">
        <v>297</v>
      </c>
      <c r="G441" s="62" t="s">
        <v>297</v>
      </c>
      <c r="H441" s="62" t="s">
        <v>297</v>
      </c>
      <c r="I441" s="62" t="s">
        <v>297</v>
      </c>
      <c r="J441" s="62" t="s">
        <v>297</v>
      </c>
      <c r="K441" s="62" t="s">
        <v>297</v>
      </c>
      <c r="L441" s="62" t="s">
        <v>297</v>
      </c>
      <c r="M441" s="62" t="s">
        <v>297</v>
      </c>
      <c r="N441" s="62">
        <f>$E$442*$E$443*N444*$E$455</f>
        <v>374.81899309354344</v>
      </c>
      <c r="O441" s="62">
        <f t="shared" ref="O441:Q441" si="62">$E$442*$E$443*O444*$E$455</f>
        <v>727.78787574667945</v>
      </c>
      <c r="P441" s="62">
        <f t="shared" si="62"/>
        <v>673.6492422451239</v>
      </c>
      <c r="Q441" s="62">
        <f t="shared" si="62"/>
        <v>695.87970113026222</v>
      </c>
    </row>
    <row r="442" spans="1:133" ht="31.2" x14ac:dyDescent="0.25">
      <c r="A442" s="63" t="s">
        <v>16</v>
      </c>
      <c r="B442" s="60" t="s">
        <v>193</v>
      </c>
      <c r="C442" s="35" t="s">
        <v>17</v>
      </c>
      <c r="D442" s="35" t="s">
        <v>205</v>
      </c>
      <c r="E442" s="176">
        <v>28</v>
      </c>
      <c r="F442" s="176"/>
      <c r="G442" s="176"/>
      <c r="H442" s="176"/>
      <c r="I442" s="176"/>
      <c r="J442" s="176"/>
      <c r="K442" s="176"/>
      <c r="L442" s="176"/>
      <c r="M442" s="176"/>
      <c r="N442" s="176"/>
      <c r="O442" s="176"/>
      <c r="P442" s="176"/>
      <c r="Q442" s="176"/>
    </row>
    <row r="443" spans="1:133" ht="64.8" x14ac:dyDescent="0.25">
      <c r="A443" s="63" t="s">
        <v>18</v>
      </c>
      <c r="B443" s="25" t="s">
        <v>194</v>
      </c>
      <c r="C443" s="35" t="s">
        <v>20</v>
      </c>
      <c r="D443" s="35" t="s">
        <v>394</v>
      </c>
      <c r="E443" s="176">
        <v>0.21</v>
      </c>
      <c r="F443" s="176"/>
      <c r="G443" s="176"/>
      <c r="H443" s="176"/>
      <c r="I443" s="176"/>
      <c r="J443" s="176"/>
      <c r="K443" s="176"/>
      <c r="L443" s="176"/>
      <c r="M443" s="176"/>
      <c r="N443" s="176"/>
      <c r="O443" s="176"/>
      <c r="P443" s="176"/>
      <c r="Q443" s="176"/>
    </row>
    <row r="444" spans="1:133" ht="46.8" x14ac:dyDescent="0.25">
      <c r="A444" s="35" t="s">
        <v>21</v>
      </c>
      <c r="B444" s="25" t="s">
        <v>195</v>
      </c>
      <c r="C444" s="53" t="s">
        <v>22</v>
      </c>
      <c r="D444" s="53" t="s">
        <v>370</v>
      </c>
      <c r="E444" s="64">
        <f t="shared" ref="E444:Q444" si="63">E452*E445</f>
        <v>928.04001553807689</v>
      </c>
      <c r="F444" s="64" t="s">
        <v>297</v>
      </c>
      <c r="G444" s="64" t="s">
        <v>297</v>
      </c>
      <c r="H444" s="64" t="s">
        <v>297</v>
      </c>
      <c r="I444" s="64" t="s">
        <v>297</v>
      </c>
      <c r="J444" s="64" t="s">
        <v>297</v>
      </c>
      <c r="K444" s="64" t="s">
        <v>297</v>
      </c>
      <c r="L444" s="64" t="s">
        <v>297</v>
      </c>
      <c r="M444" s="64" t="s">
        <v>297</v>
      </c>
      <c r="N444" s="64">
        <f t="shared" si="63"/>
        <v>140.70708512682663</v>
      </c>
      <c r="O444" s="64">
        <f t="shared" si="63"/>
        <v>273.21163674702893</v>
      </c>
      <c r="P444" s="64">
        <f t="shared" si="63"/>
        <v>252.88798865790372</v>
      </c>
      <c r="Q444" s="64">
        <f t="shared" si="63"/>
        <v>261.23330500631761</v>
      </c>
    </row>
    <row r="445" spans="1:133" ht="46.8" x14ac:dyDescent="0.25">
      <c r="A445" s="35" t="s">
        <v>23</v>
      </c>
      <c r="B445" s="25" t="s">
        <v>197</v>
      </c>
      <c r="C445" s="35" t="s">
        <v>191</v>
      </c>
      <c r="D445" s="35" t="s">
        <v>371</v>
      </c>
      <c r="E445" s="20">
        <f>SUM(N445:Q445)</f>
        <v>976.83512551443323</v>
      </c>
      <c r="F445" s="20" t="s">
        <v>297</v>
      </c>
      <c r="G445" s="20" t="s">
        <v>297</v>
      </c>
      <c r="H445" s="20" t="s">
        <v>297</v>
      </c>
      <c r="I445" s="20" t="s">
        <v>297</v>
      </c>
      <c r="J445" s="20" t="s">
        <v>297</v>
      </c>
      <c r="K445" s="20" t="s">
        <v>297</v>
      </c>
      <c r="L445" s="20" t="s">
        <v>297</v>
      </c>
      <c r="M445" s="20" t="s">
        <v>297</v>
      </c>
      <c r="N445" s="20">
        <f t="shared" ref="N445:Q445" si="64">N447*N450</f>
        <v>148.10527656066824</v>
      </c>
      <c r="O445" s="20">
        <f t="shared" si="64"/>
        <v>287.57674131007093</v>
      </c>
      <c r="P445" s="20">
        <f t="shared" si="64"/>
        <v>266.18450282933998</v>
      </c>
      <c r="Q445" s="20">
        <f t="shared" si="64"/>
        <v>274.96860481435408</v>
      </c>
    </row>
    <row r="446" spans="1:133" ht="62.4" x14ac:dyDescent="0.25">
      <c r="A446" s="17" t="s">
        <v>334</v>
      </c>
      <c r="B446" s="60" t="s">
        <v>192</v>
      </c>
      <c r="C446" s="35" t="s">
        <v>25</v>
      </c>
      <c r="D446" s="35" t="s">
        <v>333</v>
      </c>
      <c r="E446" s="20">
        <f>AVERAGE(N446:Q446)</f>
        <v>19365.681530342743</v>
      </c>
      <c r="F446" s="20" t="s">
        <v>297</v>
      </c>
      <c r="G446" s="20" t="s">
        <v>297</v>
      </c>
      <c r="H446" s="20" t="s">
        <v>297</v>
      </c>
      <c r="I446" s="20" t="s">
        <v>297</v>
      </c>
      <c r="J446" s="20" t="s">
        <v>297</v>
      </c>
      <c r="K446" s="20" t="s">
        <v>297</v>
      </c>
      <c r="L446" s="20" t="s">
        <v>297</v>
      </c>
      <c r="M446" s="20" t="s">
        <v>297</v>
      </c>
      <c r="N446" s="121">
        <v>19795.120437500002</v>
      </c>
      <c r="O446" s="121">
        <v>19805.992645161288</v>
      </c>
      <c r="P446" s="121">
        <v>18936.9912</v>
      </c>
      <c r="Q446" s="121">
        <v>18924.621838709681</v>
      </c>
    </row>
    <row r="447" spans="1:133" ht="46.8" x14ac:dyDescent="0.25">
      <c r="A447" s="35" t="s">
        <v>26</v>
      </c>
      <c r="B447" s="60" t="s">
        <v>198</v>
      </c>
      <c r="C447" s="35" t="s">
        <v>27</v>
      </c>
      <c r="D447" s="35" t="s">
        <v>206</v>
      </c>
      <c r="E447" s="65">
        <f>SUM(N447:Q447)</f>
        <v>2085480.7120000003</v>
      </c>
      <c r="F447" s="65" t="s">
        <v>297</v>
      </c>
      <c r="G447" s="65" t="s">
        <v>297</v>
      </c>
      <c r="H447" s="65" t="s">
        <v>297</v>
      </c>
      <c r="I447" s="65" t="s">
        <v>297</v>
      </c>
      <c r="J447" s="65" t="s">
        <v>297</v>
      </c>
      <c r="K447" s="65" t="s">
        <v>297</v>
      </c>
      <c r="L447" s="65" t="s">
        <v>297</v>
      </c>
      <c r="M447" s="65" t="s">
        <v>297</v>
      </c>
      <c r="N447" s="65">
        <f t="shared" ref="N447:Q447" si="65">N446*N440</f>
        <v>316721.92700000003</v>
      </c>
      <c r="O447" s="65">
        <f t="shared" si="65"/>
        <v>613985.77199999988</v>
      </c>
      <c r="P447" s="65">
        <f t="shared" si="65"/>
        <v>568109.73600000003</v>
      </c>
      <c r="Q447" s="65">
        <f t="shared" si="65"/>
        <v>586663.27700000012</v>
      </c>
    </row>
    <row r="448" spans="1:133" ht="62.4" x14ac:dyDescent="0.25">
      <c r="A448" s="35" t="s">
        <v>28</v>
      </c>
      <c r="B448" s="60" t="s">
        <v>199</v>
      </c>
      <c r="C448" s="35" t="s">
        <v>29</v>
      </c>
      <c r="D448" s="35" t="s">
        <v>332</v>
      </c>
      <c r="E448" s="125">
        <f>AVERAGE(N448:Q448)</f>
        <v>468.30987819220428</v>
      </c>
      <c r="F448" s="66" t="s">
        <v>297</v>
      </c>
      <c r="G448" s="66" t="s">
        <v>297</v>
      </c>
      <c r="H448" s="66" t="s">
        <v>297</v>
      </c>
      <c r="I448" s="66" t="s">
        <v>297</v>
      </c>
      <c r="J448" s="66" t="s">
        <v>297</v>
      </c>
      <c r="K448" s="66" t="s">
        <v>297</v>
      </c>
      <c r="L448" s="66" t="s">
        <v>297</v>
      </c>
      <c r="M448" s="66" t="s">
        <v>297</v>
      </c>
      <c r="N448" s="123">
        <v>467.6192708333333</v>
      </c>
      <c r="O448" s="123">
        <v>468.37688172043016</v>
      </c>
      <c r="P448" s="123">
        <v>468.54416666666663</v>
      </c>
      <c r="Q448" s="123">
        <v>468.69919354838709</v>
      </c>
    </row>
    <row r="449" spans="1:133" ht="62.4" x14ac:dyDescent="0.25">
      <c r="A449" s="35" t="s">
        <v>30</v>
      </c>
      <c r="B449" s="60" t="s">
        <v>199</v>
      </c>
      <c r="C449" s="35" t="s">
        <v>31</v>
      </c>
      <c r="D449" s="35" t="s">
        <v>331</v>
      </c>
      <c r="E449" s="125">
        <f>AVERAGE(N449:Q449)</f>
        <v>22.47844926075269</v>
      </c>
      <c r="F449" s="65" t="s">
        <v>297</v>
      </c>
      <c r="G449" s="65" t="s">
        <v>297</v>
      </c>
      <c r="H449" s="65" t="s">
        <v>297</v>
      </c>
      <c r="I449" s="65" t="s">
        <v>297</v>
      </c>
      <c r="J449" s="65" t="s">
        <v>297</v>
      </c>
      <c r="K449" s="65" t="s">
        <v>297</v>
      </c>
      <c r="L449" s="65" t="s">
        <v>297</v>
      </c>
      <c r="M449" s="65" t="s">
        <v>297</v>
      </c>
      <c r="N449" s="123">
        <v>23.290625000000002</v>
      </c>
      <c r="O449" s="123">
        <v>21.999731182795696</v>
      </c>
      <c r="P449" s="123">
        <v>22.126666666666669</v>
      </c>
      <c r="Q449" s="123">
        <v>22.496774193548386</v>
      </c>
    </row>
    <row r="450" spans="1:133" ht="62.4" x14ac:dyDescent="0.25">
      <c r="A450" s="35" t="s">
        <v>32</v>
      </c>
      <c r="B450" s="60" t="s">
        <v>200</v>
      </c>
      <c r="C450" s="35" t="s">
        <v>34</v>
      </c>
      <c r="D450" s="35" t="s">
        <v>338</v>
      </c>
      <c r="E450" s="122">
        <f>E448/1000000</f>
        <v>4.6830987819220426E-4</v>
      </c>
      <c r="F450" s="120" t="s">
        <v>297</v>
      </c>
      <c r="G450" s="120" t="s">
        <v>297</v>
      </c>
      <c r="H450" s="120" t="s">
        <v>297</v>
      </c>
      <c r="I450" s="120" t="s">
        <v>297</v>
      </c>
      <c r="J450" s="120" t="s">
        <v>297</v>
      </c>
      <c r="K450" s="120" t="s">
        <v>297</v>
      </c>
      <c r="L450" s="120" t="s">
        <v>297</v>
      </c>
      <c r="M450" s="120" t="s">
        <v>297</v>
      </c>
      <c r="N450" s="120">
        <f t="shared" ref="N450:Q450" si="66">N448/1000000</f>
        <v>4.6761927083333331E-4</v>
      </c>
      <c r="O450" s="120">
        <f t="shared" si="66"/>
        <v>4.6837688172043018E-4</v>
      </c>
      <c r="P450" s="120">
        <f t="shared" si="66"/>
        <v>4.6854416666666662E-4</v>
      </c>
      <c r="Q450" s="120">
        <f t="shared" si="66"/>
        <v>4.6869919354838711E-4</v>
      </c>
    </row>
    <row r="451" spans="1:133" ht="62.4" x14ac:dyDescent="0.25">
      <c r="A451" s="35" t="s">
        <v>30</v>
      </c>
      <c r="B451" s="60" t="s">
        <v>33</v>
      </c>
      <c r="C451" s="35" t="s">
        <v>35</v>
      </c>
      <c r="D451" s="35" t="s">
        <v>339</v>
      </c>
      <c r="E451" s="122">
        <f>E449/1000000</f>
        <v>2.2478449260752691E-5</v>
      </c>
      <c r="F451" s="120" t="s">
        <v>297</v>
      </c>
      <c r="G451" s="120" t="s">
        <v>297</v>
      </c>
      <c r="H451" s="120" t="s">
        <v>297</v>
      </c>
      <c r="I451" s="120" t="s">
        <v>297</v>
      </c>
      <c r="J451" s="120" t="s">
        <v>297</v>
      </c>
      <c r="K451" s="120" t="s">
        <v>297</v>
      </c>
      <c r="L451" s="120" t="s">
        <v>297</v>
      </c>
      <c r="M451" s="120" t="s">
        <v>297</v>
      </c>
      <c r="N451" s="120">
        <f t="shared" ref="N451:Q451" si="67">N449/1000000</f>
        <v>2.3290625000000002E-5</v>
      </c>
      <c r="O451" s="120">
        <f t="shared" si="67"/>
        <v>2.1999731182795697E-5</v>
      </c>
      <c r="P451" s="120">
        <f t="shared" si="67"/>
        <v>2.2126666666666669E-5</v>
      </c>
      <c r="Q451" s="120">
        <f t="shared" si="67"/>
        <v>2.2496774193548387E-5</v>
      </c>
    </row>
    <row r="452" spans="1:133" ht="46.8" x14ac:dyDescent="0.25">
      <c r="A452" s="63" t="s">
        <v>36</v>
      </c>
      <c r="B452" s="25" t="s">
        <v>201</v>
      </c>
      <c r="C452" s="35" t="s">
        <v>38</v>
      </c>
      <c r="D452" s="35" t="s">
        <v>368</v>
      </c>
      <c r="E452" s="68">
        <f>(1-(E453/E454))</f>
        <v>0.95004775247956075</v>
      </c>
      <c r="F452" s="68" t="s">
        <v>297</v>
      </c>
      <c r="G452" s="68" t="s">
        <v>297</v>
      </c>
      <c r="H452" s="68" t="s">
        <v>297</v>
      </c>
      <c r="I452" s="68" t="s">
        <v>297</v>
      </c>
      <c r="J452" s="68" t="s">
        <v>297</v>
      </c>
      <c r="K452" s="68" t="s">
        <v>297</v>
      </c>
      <c r="L452" s="68" t="s">
        <v>297</v>
      </c>
      <c r="M452" s="68" t="s">
        <v>297</v>
      </c>
      <c r="N452" s="68">
        <f>E452</f>
        <v>0.95004775247956075</v>
      </c>
      <c r="O452" s="68">
        <f>E452</f>
        <v>0.95004775247956075</v>
      </c>
      <c r="P452" s="68">
        <f>E452</f>
        <v>0.95004775247956075</v>
      </c>
      <c r="Q452" s="68">
        <f>E452</f>
        <v>0.95004775247956075</v>
      </c>
    </row>
    <row r="453" spans="1:133" ht="31.2" x14ac:dyDescent="0.25">
      <c r="A453" s="35" t="s">
        <v>39</v>
      </c>
      <c r="B453" s="25" t="s">
        <v>196</v>
      </c>
      <c r="C453" s="35" t="s">
        <v>40</v>
      </c>
      <c r="D453" s="35" t="s">
        <v>351</v>
      </c>
      <c r="E453" s="52">
        <f>SUM(F453:Q453)</f>
        <v>47.323543420799993</v>
      </c>
      <c r="F453" s="52" t="s">
        <v>297</v>
      </c>
      <c r="G453" s="52" t="s">
        <v>297</v>
      </c>
      <c r="H453" s="52" t="s">
        <v>297</v>
      </c>
      <c r="I453" s="52" t="s">
        <v>297</v>
      </c>
      <c r="J453" s="52" t="s">
        <v>297</v>
      </c>
      <c r="K453" s="52" t="s">
        <v>297</v>
      </c>
      <c r="L453" s="52" t="s">
        <v>297</v>
      </c>
      <c r="M453" s="52" t="s">
        <v>297</v>
      </c>
      <c r="N453" s="52">
        <v>7.0108953216000005</v>
      </c>
      <c r="O453" s="52">
        <v>13.583609685599999</v>
      </c>
      <c r="P453" s="52">
        <v>13.145428728000001</v>
      </c>
      <c r="Q453" s="52">
        <v>13.583609685599999</v>
      </c>
    </row>
    <row r="454" spans="1:133" ht="31.2" x14ac:dyDescent="0.25">
      <c r="A454" s="63" t="s">
        <v>41</v>
      </c>
      <c r="B454" s="25" t="s">
        <v>24</v>
      </c>
      <c r="C454" s="35" t="s">
        <v>42</v>
      </c>
      <c r="D454" s="35" t="s">
        <v>351</v>
      </c>
      <c r="E454" s="52">
        <f>SUM(F454:Q454)</f>
        <v>947.3756591519998</v>
      </c>
      <c r="F454" s="52" t="s">
        <v>297</v>
      </c>
      <c r="G454" s="52" t="s">
        <v>297</v>
      </c>
      <c r="H454" s="52" t="s">
        <v>297</v>
      </c>
      <c r="I454" s="52" t="s">
        <v>297</v>
      </c>
      <c r="J454" s="52" t="s">
        <v>297</v>
      </c>
      <c r="K454" s="52" t="s">
        <v>297</v>
      </c>
      <c r="L454" s="52" t="s">
        <v>297</v>
      </c>
      <c r="M454" s="52" t="s">
        <v>297</v>
      </c>
      <c r="N454" s="52">
        <v>140.35194950399998</v>
      </c>
      <c r="O454" s="52">
        <v>271.93190216399995</v>
      </c>
      <c r="P454" s="52">
        <v>263.15990532000001</v>
      </c>
      <c r="Q454" s="52">
        <v>271.93190216399995</v>
      </c>
    </row>
    <row r="455" spans="1:133" ht="31.2" x14ac:dyDescent="0.25">
      <c r="A455" s="53" t="s">
        <v>43</v>
      </c>
      <c r="B455" s="25" t="s">
        <v>201</v>
      </c>
      <c r="C455" s="53" t="s">
        <v>44</v>
      </c>
      <c r="D455" s="35" t="s">
        <v>372</v>
      </c>
      <c r="E455" s="177">
        <f>E456*E457*0.89</f>
        <v>0.45303139254951219</v>
      </c>
      <c r="F455" s="177"/>
      <c r="G455" s="177"/>
      <c r="H455" s="177"/>
      <c r="I455" s="177"/>
      <c r="J455" s="177"/>
      <c r="K455" s="177"/>
      <c r="L455" s="177"/>
      <c r="M455" s="177"/>
      <c r="N455" s="177"/>
      <c r="O455" s="177"/>
      <c r="P455" s="177"/>
      <c r="Q455" s="177"/>
    </row>
    <row r="456" spans="1:133" ht="31.2" x14ac:dyDescent="0.25">
      <c r="A456" s="70" t="s">
        <v>45</v>
      </c>
      <c r="B456" s="25" t="s">
        <v>201</v>
      </c>
      <c r="C456" s="53" t="s">
        <v>46</v>
      </c>
      <c r="D456" s="35" t="s">
        <v>373</v>
      </c>
      <c r="E456" s="162">
        <v>0.7</v>
      </c>
      <c r="F456" s="163"/>
      <c r="G456" s="163"/>
      <c r="H456" s="163"/>
      <c r="I456" s="163"/>
      <c r="J456" s="163"/>
      <c r="K456" s="163"/>
      <c r="L456" s="163"/>
      <c r="M456" s="163"/>
      <c r="N456" s="163"/>
      <c r="O456" s="163"/>
      <c r="P456" s="163"/>
      <c r="Q456" s="164"/>
    </row>
    <row r="457" spans="1:133" ht="36" customHeight="1" x14ac:dyDescent="0.25">
      <c r="A457" s="70" t="s">
        <v>47</v>
      </c>
      <c r="B457" s="25" t="s">
        <v>37</v>
      </c>
      <c r="C457" s="53" t="s">
        <v>48</v>
      </c>
      <c r="D457" s="35" t="s">
        <v>374</v>
      </c>
      <c r="E457" s="159">
        <f>(N458*N463+O458*O463+P458*P463+Q458*Q463)/(N452*N450*N447+O452*O447*O450+P452*P450*P447+Q452*Q450*Q447)</f>
        <v>0.72717719510355094</v>
      </c>
      <c r="F457" s="160"/>
      <c r="G457" s="160"/>
      <c r="H457" s="160"/>
      <c r="I457" s="160"/>
      <c r="J457" s="160"/>
      <c r="K457" s="160"/>
      <c r="L457" s="160"/>
      <c r="M457" s="160"/>
      <c r="N457" s="160"/>
      <c r="O457" s="160"/>
      <c r="P457" s="160"/>
      <c r="Q457" s="161"/>
    </row>
    <row r="458" spans="1:133" s="9" customFormat="1" ht="46.8" x14ac:dyDescent="0.4">
      <c r="A458" s="71" t="s">
        <v>49</v>
      </c>
      <c r="B458" s="25" t="s">
        <v>37</v>
      </c>
      <c r="C458" s="53" t="s">
        <v>50</v>
      </c>
      <c r="D458" s="53" t="s">
        <v>375</v>
      </c>
      <c r="E458" s="72">
        <f>AVERAGE(F458:Q458)</f>
        <v>0.55228107112857039</v>
      </c>
      <c r="F458" s="72" t="s">
        <v>297</v>
      </c>
      <c r="G458" s="72" t="s">
        <v>297</v>
      </c>
      <c r="H458" s="72" t="s">
        <v>297</v>
      </c>
      <c r="I458" s="72" t="s">
        <v>297</v>
      </c>
      <c r="J458" s="72" t="s">
        <v>297</v>
      </c>
      <c r="K458" s="72" t="s">
        <v>297</v>
      </c>
      <c r="L458" s="72" t="s">
        <v>297</v>
      </c>
      <c r="M458" s="72" t="s">
        <v>297</v>
      </c>
      <c r="N458" s="72">
        <f t="shared" ref="N458:Q458" si="68">IF(N462&lt;283,0,IF(N462&gt;303,1,EXP(($E$23*(N462-$E$24))/($E$25*$E$24*N462))))</f>
        <v>0.88152221926734242</v>
      </c>
      <c r="O458" s="72">
        <f t="shared" si="68"/>
        <v>0.57531644493802248</v>
      </c>
      <c r="P458" s="72">
        <f t="shared" si="68"/>
        <v>0.48307557293036196</v>
      </c>
      <c r="Q458" s="72">
        <f t="shared" si="68"/>
        <v>0.26921004737855481</v>
      </c>
      <c r="R458" s="78"/>
      <c r="S458" s="78"/>
      <c r="T458" s="78"/>
      <c r="U458" s="78"/>
      <c r="V458" s="78"/>
      <c r="W458" s="78"/>
      <c r="X458" s="78"/>
      <c r="Y458" s="78"/>
      <c r="Z458" s="78"/>
      <c r="AA458" s="78"/>
      <c r="AB458" s="78"/>
      <c r="AC458" s="78"/>
      <c r="AD458" s="78"/>
      <c r="AE458" s="78"/>
      <c r="AF458" s="78"/>
      <c r="AG458" s="78"/>
      <c r="AH458" s="78"/>
      <c r="AI458" s="78"/>
      <c r="AJ458" s="78"/>
      <c r="AK458" s="78"/>
      <c r="AL458" s="78"/>
      <c r="AM458" s="78"/>
      <c r="AN458" s="78"/>
      <c r="AO458" s="78"/>
      <c r="AP458" s="78"/>
      <c r="AQ458" s="78"/>
      <c r="AR458" s="78"/>
      <c r="AS458" s="78"/>
      <c r="AT458" s="78"/>
      <c r="AU458" s="78"/>
      <c r="AV458" s="78"/>
      <c r="AW458" s="78"/>
      <c r="AX458" s="78"/>
      <c r="AY458" s="78"/>
      <c r="AZ458" s="78"/>
      <c r="BA458" s="78"/>
      <c r="BB458" s="78"/>
      <c r="BC458" s="78"/>
      <c r="BD458" s="78"/>
      <c r="BE458" s="78"/>
      <c r="BF458" s="78"/>
      <c r="BG458" s="78"/>
      <c r="BH458" s="78"/>
      <c r="BI458" s="78"/>
      <c r="BJ458" s="78"/>
      <c r="BK458" s="78"/>
      <c r="BL458" s="78"/>
      <c r="BM458" s="78"/>
      <c r="BN458" s="78"/>
      <c r="BO458" s="78"/>
      <c r="BP458" s="78"/>
      <c r="BQ458" s="78"/>
      <c r="BR458" s="78"/>
      <c r="BS458" s="78"/>
      <c r="BT458" s="78"/>
      <c r="BU458" s="78"/>
      <c r="BV458" s="78"/>
      <c r="BW458" s="78"/>
      <c r="BX458" s="78"/>
      <c r="BY458" s="78"/>
      <c r="BZ458" s="78"/>
      <c r="CA458" s="78"/>
      <c r="CB458" s="78"/>
      <c r="CC458" s="78"/>
      <c r="CD458" s="78"/>
      <c r="CE458" s="78"/>
      <c r="CF458" s="78"/>
      <c r="CG458" s="78"/>
      <c r="CH458" s="78"/>
      <c r="CI458" s="78"/>
      <c r="CJ458" s="78"/>
      <c r="CK458" s="78"/>
      <c r="CL458" s="78"/>
      <c r="CM458" s="78"/>
      <c r="CN458" s="78"/>
      <c r="CO458" s="78"/>
      <c r="CP458" s="78"/>
      <c r="CQ458" s="78"/>
      <c r="CR458" s="78"/>
      <c r="CS458" s="78"/>
      <c r="CT458" s="78"/>
      <c r="CU458" s="78"/>
      <c r="CV458" s="78"/>
      <c r="CW458" s="78"/>
      <c r="CX458" s="78"/>
      <c r="CY458" s="78"/>
      <c r="CZ458" s="78"/>
      <c r="DA458" s="78"/>
      <c r="DB458" s="78"/>
      <c r="DC458" s="78"/>
      <c r="DD458" s="78"/>
      <c r="DE458" s="78"/>
      <c r="DF458" s="78"/>
      <c r="DG458" s="78"/>
      <c r="DH458" s="78"/>
      <c r="DI458" s="78"/>
      <c r="DJ458" s="78"/>
      <c r="DK458" s="78"/>
      <c r="DL458" s="78"/>
      <c r="DM458" s="78"/>
      <c r="DN458" s="78"/>
      <c r="DO458" s="78"/>
      <c r="DP458" s="78"/>
      <c r="DQ458" s="78"/>
      <c r="DR458" s="78"/>
      <c r="DS458" s="78"/>
      <c r="DT458" s="78"/>
      <c r="DU458" s="78"/>
      <c r="DV458" s="78"/>
      <c r="DW458" s="78"/>
      <c r="DX458" s="78"/>
      <c r="DY458" s="78"/>
      <c r="DZ458" s="78"/>
      <c r="EA458" s="78"/>
      <c r="EB458" s="78"/>
      <c r="EC458" s="78"/>
    </row>
    <row r="459" spans="1:133" s="9" customFormat="1" x14ac:dyDescent="0.25">
      <c r="A459" s="73" t="s">
        <v>51</v>
      </c>
      <c r="B459" s="60" t="s">
        <v>202</v>
      </c>
      <c r="C459" s="53" t="s">
        <v>53</v>
      </c>
      <c r="D459" s="53" t="s">
        <v>376</v>
      </c>
      <c r="E459" s="162">
        <v>15175</v>
      </c>
      <c r="F459" s="163"/>
      <c r="G459" s="163"/>
      <c r="H459" s="163"/>
      <c r="I459" s="163"/>
      <c r="J459" s="163"/>
      <c r="K459" s="163"/>
      <c r="L459" s="163"/>
      <c r="M459" s="163"/>
      <c r="N459" s="163"/>
      <c r="O459" s="163"/>
      <c r="P459" s="163"/>
      <c r="Q459" s="164"/>
      <c r="R459" s="78"/>
      <c r="S459" s="78"/>
      <c r="T459" s="78"/>
      <c r="U459" s="78"/>
      <c r="V459" s="78"/>
      <c r="W459" s="78"/>
      <c r="X459" s="78"/>
      <c r="Y459" s="78"/>
      <c r="Z459" s="78"/>
      <c r="AA459" s="78"/>
      <c r="AB459" s="78"/>
      <c r="AC459" s="78"/>
      <c r="AD459" s="78"/>
      <c r="AE459" s="78"/>
      <c r="AF459" s="78"/>
      <c r="AG459" s="78"/>
      <c r="AH459" s="78"/>
      <c r="AI459" s="78"/>
      <c r="AJ459" s="78"/>
      <c r="AK459" s="78"/>
      <c r="AL459" s="78"/>
      <c r="AM459" s="78"/>
      <c r="AN459" s="78"/>
      <c r="AO459" s="78"/>
      <c r="AP459" s="78"/>
      <c r="AQ459" s="78"/>
      <c r="AR459" s="78"/>
      <c r="AS459" s="78"/>
      <c r="AT459" s="78"/>
      <c r="AU459" s="78"/>
      <c r="AV459" s="78"/>
      <c r="AW459" s="78"/>
      <c r="AX459" s="78"/>
      <c r="AY459" s="78"/>
      <c r="AZ459" s="78"/>
      <c r="BA459" s="78"/>
      <c r="BB459" s="78"/>
      <c r="BC459" s="78"/>
      <c r="BD459" s="78"/>
      <c r="BE459" s="78"/>
      <c r="BF459" s="78"/>
      <c r="BG459" s="78"/>
      <c r="BH459" s="78"/>
      <c r="BI459" s="78"/>
      <c r="BJ459" s="78"/>
      <c r="BK459" s="78"/>
      <c r="BL459" s="78"/>
      <c r="BM459" s="78"/>
      <c r="BN459" s="78"/>
      <c r="BO459" s="78"/>
      <c r="BP459" s="78"/>
      <c r="BQ459" s="78"/>
      <c r="BR459" s="78"/>
      <c r="BS459" s="78"/>
      <c r="BT459" s="78"/>
      <c r="BU459" s="78"/>
      <c r="BV459" s="78"/>
      <c r="BW459" s="78"/>
      <c r="BX459" s="78"/>
      <c r="BY459" s="78"/>
      <c r="BZ459" s="78"/>
      <c r="CA459" s="78"/>
      <c r="CB459" s="78"/>
      <c r="CC459" s="78"/>
      <c r="CD459" s="78"/>
      <c r="CE459" s="78"/>
      <c r="CF459" s="78"/>
      <c r="CG459" s="78"/>
      <c r="CH459" s="78"/>
      <c r="CI459" s="78"/>
      <c r="CJ459" s="78"/>
      <c r="CK459" s="78"/>
      <c r="CL459" s="78"/>
      <c r="CM459" s="78"/>
      <c r="CN459" s="78"/>
      <c r="CO459" s="78"/>
      <c r="CP459" s="78"/>
      <c r="CQ459" s="78"/>
      <c r="CR459" s="78"/>
      <c r="CS459" s="78"/>
      <c r="CT459" s="78"/>
      <c r="CU459" s="78"/>
      <c r="CV459" s="78"/>
      <c r="CW459" s="78"/>
      <c r="CX459" s="78"/>
      <c r="CY459" s="78"/>
      <c r="CZ459" s="78"/>
      <c r="DA459" s="78"/>
      <c r="DB459" s="78"/>
      <c r="DC459" s="78"/>
      <c r="DD459" s="78"/>
      <c r="DE459" s="78"/>
      <c r="DF459" s="78"/>
      <c r="DG459" s="78"/>
      <c r="DH459" s="78"/>
      <c r="DI459" s="78"/>
      <c r="DJ459" s="78"/>
      <c r="DK459" s="78"/>
      <c r="DL459" s="78"/>
      <c r="DM459" s="78"/>
      <c r="DN459" s="78"/>
      <c r="DO459" s="78"/>
      <c r="DP459" s="78"/>
      <c r="DQ459" s="78"/>
      <c r="DR459" s="78"/>
      <c r="DS459" s="78"/>
      <c r="DT459" s="78"/>
      <c r="DU459" s="78"/>
      <c r="DV459" s="78"/>
      <c r="DW459" s="78"/>
      <c r="DX459" s="78"/>
      <c r="DY459" s="78"/>
      <c r="DZ459" s="78"/>
      <c r="EA459" s="78"/>
      <c r="EB459" s="78"/>
      <c r="EC459" s="78"/>
    </row>
    <row r="460" spans="1:133" s="9" customFormat="1" ht="18" x14ac:dyDescent="0.25">
      <c r="A460" s="73" t="s">
        <v>54</v>
      </c>
      <c r="B460" s="60" t="s">
        <v>203</v>
      </c>
      <c r="C460" s="53" t="s">
        <v>56</v>
      </c>
      <c r="D460" s="53" t="s">
        <v>376</v>
      </c>
      <c r="E460" s="162">
        <v>303.16000000000003</v>
      </c>
      <c r="F460" s="163"/>
      <c r="G460" s="163"/>
      <c r="H460" s="163"/>
      <c r="I460" s="163"/>
      <c r="J460" s="163"/>
      <c r="K460" s="163"/>
      <c r="L460" s="163"/>
      <c r="M460" s="163"/>
      <c r="N460" s="163"/>
      <c r="O460" s="163"/>
      <c r="P460" s="163"/>
      <c r="Q460" s="164"/>
      <c r="R460" s="78"/>
      <c r="S460" s="78"/>
      <c r="T460" s="78"/>
      <c r="U460" s="78"/>
      <c r="V460" s="78"/>
      <c r="W460" s="78"/>
      <c r="X460" s="78"/>
      <c r="Y460" s="78"/>
      <c r="Z460" s="78"/>
      <c r="AA460" s="78"/>
      <c r="AB460" s="78"/>
      <c r="AC460" s="78"/>
      <c r="AD460" s="78"/>
      <c r="AE460" s="78"/>
      <c r="AF460" s="78"/>
      <c r="AG460" s="78"/>
      <c r="AH460" s="78"/>
      <c r="AI460" s="78"/>
      <c r="AJ460" s="78"/>
      <c r="AK460" s="78"/>
      <c r="AL460" s="78"/>
      <c r="AM460" s="78"/>
      <c r="AN460" s="78"/>
      <c r="AO460" s="78"/>
      <c r="AP460" s="78"/>
      <c r="AQ460" s="78"/>
      <c r="AR460" s="78"/>
      <c r="AS460" s="78"/>
      <c r="AT460" s="78"/>
      <c r="AU460" s="78"/>
      <c r="AV460" s="78"/>
      <c r="AW460" s="78"/>
      <c r="AX460" s="78"/>
      <c r="AY460" s="78"/>
      <c r="AZ460" s="78"/>
      <c r="BA460" s="78"/>
      <c r="BB460" s="78"/>
      <c r="BC460" s="78"/>
      <c r="BD460" s="78"/>
      <c r="BE460" s="78"/>
      <c r="BF460" s="78"/>
      <c r="BG460" s="78"/>
      <c r="BH460" s="78"/>
      <c r="BI460" s="78"/>
      <c r="BJ460" s="78"/>
      <c r="BK460" s="78"/>
      <c r="BL460" s="78"/>
      <c r="BM460" s="78"/>
      <c r="BN460" s="78"/>
      <c r="BO460" s="78"/>
      <c r="BP460" s="78"/>
      <c r="BQ460" s="78"/>
      <c r="BR460" s="78"/>
      <c r="BS460" s="78"/>
      <c r="BT460" s="78"/>
      <c r="BU460" s="78"/>
      <c r="BV460" s="78"/>
      <c r="BW460" s="78"/>
      <c r="BX460" s="78"/>
      <c r="BY460" s="78"/>
      <c r="BZ460" s="78"/>
      <c r="CA460" s="78"/>
      <c r="CB460" s="78"/>
      <c r="CC460" s="78"/>
      <c r="CD460" s="78"/>
      <c r="CE460" s="78"/>
      <c r="CF460" s="78"/>
      <c r="CG460" s="78"/>
      <c r="CH460" s="78"/>
      <c r="CI460" s="78"/>
      <c r="CJ460" s="78"/>
      <c r="CK460" s="78"/>
      <c r="CL460" s="78"/>
      <c r="CM460" s="78"/>
      <c r="CN460" s="78"/>
      <c r="CO460" s="78"/>
      <c r="CP460" s="78"/>
      <c r="CQ460" s="78"/>
      <c r="CR460" s="78"/>
      <c r="CS460" s="78"/>
      <c r="CT460" s="78"/>
      <c r="CU460" s="78"/>
      <c r="CV460" s="78"/>
      <c r="CW460" s="78"/>
      <c r="CX460" s="78"/>
      <c r="CY460" s="78"/>
      <c r="CZ460" s="78"/>
      <c r="DA460" s="78"/>
      <c r="DB460" s="78"/>
      <c r="DC460" s="78"/>
      <c r="DD460" s="78"/>
      <c r="DE460" s="78"/>
      <c r="DF460" s="78"/>
      <c r="DG460" s="78"/>
      <c r="DH460" s="78"/>
      <c r="DI460" s="78"/>
      <c r="DJ460" s="78"/>
      <c r="DK460" s="78"/>
      <c r="DL460" s="78"/>
      <c r="DM460" s="78"/>
      <c r="DN460" s="78"/>
      <c r="DO460" s="78"/>
      <c r="DP460" s="78"/>
      <c r="DQ460" s="78"/>
      <c r="DR460" s="78"/>
      <c r="DS460" s="78"/>
      <c r="DT460" s="78"/>
      <c r="DU460" s="78"/>
      <c r="DV460" s="78"/>
      <c r="DW460" s="78"/>
      <c r="DX460" s="78"/>
      <c r="DY460" s="78"/>
      <c r="DZ460" s="78"/>
      <c r="EA460" s="78"/>
      <c r="EB460" s="78"/>
      <c r="EC460" s="78"/>
    </row>
    <row r="461" spans="1:133" s="9" customFormat="1" x14ac:dyDescent="0.25">
      <c r="A461" s="73" t="s">
        <v>57</v>
      </c>
      <c r="B461" s="60" t="s">
        <v>204</v>
      </c>
      <c r="C461" s="53" t="s">
        <v>59</v>
      </c>
      <c r="D461" s="53" t="s">
        <v>376</v>
      </c>
      <c r="E461" s="162">
        <v>1.9870000000000001</v>
      </c>
      <c r="F461" s="163"/>
      <c r="G461" s="163"/>
      <c r="H461" s="163"/>
      <c r="I461" s="163"/>
      <c r="J461" s="163"/>
      <c r="K461" s="163"/>
      <c r="L461" s="163"/>
      <c r="M461" s="163"/>
      <c r="N461" s="163"/>
      <c r="O461" s="163"/>
      <c r="P461" s="163"/>
      <c r="Q461" s="164"/>
      <c r="R461" s="78"/>
      <c r="S461" s="78"/>
      <c r="T461" s="78"/>
      <c r="U461" s="78"/>
      <c r="V461" s="78"/>
      <c r="W461" s="78"/>
      <c r="X461" s="78"/>
      <c r="Y461" s="78"/>
      <c r="Z461" s="78"/>
      <c r="AA461" s="78"/>
      <c r="AB461" s="78"/>
      <c r="AC461" s="78"/>
      <c r="AD461" s="78"/>
      <c r="AE461" s="78"/>
      <c r="AF461" s="78"/>
      <c r="AG461" s="78"/>
      <c r="AH461" s="78"/>
      <c r="AI461" s="78"/>
      <c r="AJ461" s="78"/>
      <c r="AK461" s="78"/>
      <c r="AL461" s="78"/>
      <c r="AM461" s="78"/>
      <c r="AN461" s="78"/>
      <c r="AO461" s="78"/>
      <c r="AP461" s="78"/>
      <c r="AQ461" s="78"/>
      <c r="AR461" s="78"/>
      <c r="AS461" s="78"/>
      <c r="AT461" s="78"/>
      <c r="AU461" s="78"/>
      <c r="AV461" s="78"/>
      <c r="AW461" s="78"/>
      <c r="AX461" s="78"/>
      <c r="AY461" s="78"/>
      <c r="AZ461" s="78"/>
      <c r="BA461" s="78"/>
      <c r="BB461" s="78"/>
      <c r="BC461" s="78"/>
      <c r="BD461" s="78"/>
      <c r="BE461" s="78"/>
      <c r="BF461" s="78"/>
      <c r="BG461" s="78"/>
      <c r="BH461" s="78"/>
      <c r="BI461" s="78"/>
      <c r="BJ461" s="78"/>
      <c r="BK461" s="78"/>
      <c r="BL461" s="78"/>
      <c r="BM461" s="78"/>
      <c r="BN461" s="78"/>
      <c r="BO461" s="78"/>
      <c r="BP461" s="78"/>
      <c r="BQ461" s="78"/>
      <c r="BR461" s="78"/>
      <c r="BS461" s="78"/>
      <c r="BT461" s="78"/>
      <c r="BU461" s="78"/>
      <c r="BV461" s="78"/>
      <c r="BW461" s="78"/>
      <c r="BX461" s="78"/>
      <c r="BY461" s="78"/>
      <c r="BZ461" s="78"/>
      <c r="CA461" s="78"/>
      <c r="CB461" s="78"/>
      <c r="CC461" s="78"/>
      <c r="CD461" s="78"/>
      <c r="CE461" s="78"/>
      <c r="CF461" s="78"/>
      <c r="CG461" s="78"/>
      <c r="CH461" s="78"/>
      <c r="CI461" s="78"/>
      <c r="CJ461" s="78"/>
      <c r="CK461" s="78"/>
      <c r="CL461" s="78"/>
      <c r="CM461" s="78"/>
      <c r="CN461" s="78"/>
      <c r="CO461" s="78"/>
      <c r="CP461" s="78"/>
      <c r="CQ461" s="78"/>
      <c r="CR461" s="78"/>
      <c r="CS461" s="78"/>
      <c r="CT461" s="78"/>
      <c r="CU461" s="78"/>
      <c r="CV461" s="78"/>
      <c r="CW461" s="78"/>
      <c r="CX461" s="78"/>
      <c r="CY461" s="78"/>
      <c r="CZ461" s="78"/>
      <c r="DA461" s="78"/>
      <c r="DB461" s="78"/>
      <c r="DC461" s="78"/>
      <c r="DD461" s="78"/>
      <c r="DE461" s="78"/>
      <c r="DF461" s="78"/>
      <c r="DG461" s="78"/>
      <c r="DH461" s="78"/>
      <c r="DI461" s="78"/>
      <c r="DJ461" s="78"/>
      <c r="DK461" s="78"/>
      <c r="DL461" s="78"/>
      <c r="DM461" s="78"/>
      <c r="DN461" s="78"/>
      <c r="DO461" s="78"/>
      <c r="DP461" s="78"/>
      <c r="DQ461" s="78"/>
      <c r="DR461" s="78"/>
      <c r="DS461" s="78"/>
      <c r="DT461" s="78"/>
      <c r="DU461" s="78"/>
      <c r="DV461" s="78"/>
      <c r="DW461" s="78"/>
      <c r="DX461" s="78"/>
      <c r="DY461" s="78"/>
      <c r="DZ461" s="78"/>
      <c r="EA461" s="78"/>
      <c r="EB461" s="78"/>
      <c r="EC461" s="78"/>
    </row>
    <row r="462" spans="1:133" s="9" customFormat="1" ht="31.2" x14ac:dyDescent="0.25">
      <c r="A462" s="73" t="s">
        <v>60</v>
      </c>
      <c r="B462" s="60" t="s">
        <v>203</v>
      </c>
      <c r="C462" s="53" t="s">
        <v>61</v>
      </c>
      <c r="D462" s="143" t="s">
        <v>363</v>
      </c>
      <c r="E462" s="98">
        <f>AVERAGE(F462:Q462)</f>
        <v>295.27499999999998</v>
      </c>
      <c r="F462" s="60" t="s">
        <v>297</v>
      </c>
      <c r="G462" s="60" t="s">
        <v>297</v>
      </c>
      <c r="H462" s="60" t="s">
        <v>297</v>
      </c>
      <c r="I462" s="60" t="s">
        <v>297</v>
      </c>
      <c r="J462" s="60" t="s">
        <v>297</v>
      </c>
      <c r="K462" s="60" t="s">
        <v>297</v>
      </c>
      <c r="L462" s="60" t="s">
        <v>297</v>
      </c>
      <c r="M462" s="60" t="s">
        <v>297</v>
      </c>
      <c r="N462" s="60">
        <v>301.64999999999998</v>
      </c>
      <c r="O462" s="60">
        <v>296.64999999999998</v>
      </c>
      <c r="P462" s="60">
        <v>294.64999999999998</v>
      </c>
      <c r="Q462" s="60">
        <v>288.14999999999998</v>
      </c>
      <c r="R462" s="78"/>
      <c r="S462" s="78"/>
      <c r="T462" s="78"/>
      <c r="U462" s="78"/>
      <c r="V462" s="78"/>
      <c r="W462" s="78"/>
      <c r="X462" s="78"/>
      <c r="Y462" s="78"/>
      <c r="Z462" s="78"/>
      <c r="AA462" s="78"/>
      <c r="AB462" s="78"/>
      <c r="AC462" s="78"/>
      <c r="AD462" s="78"/>
      <c r="AE462" s="78"/>
      <c r="AF462" s="78"/>
      <c r="AG462" s="78"/>
      <c r="AH462" s="78"/>
      <c r="AI462" s="78"/>
      <c r="AJ462" s="78"/>
      <c r="AK462" s="78"/>
      <c r="AL462" s="78"/>
      <c r="AM462" s="78"/>
      <c r="AN462" s="78"/>
      <c r="AO462" s="78"/>
      <c r="AP462" s="78"/>
      <c r="AQ462" s="78"/>
      <c r="AR462" s="78"/>
      <c r="AS462" s="78"/>
      <c r="AT462" s="78"/>
      <c r="AU462" s="78"/>
      <c r="AV462" s="78"/>
      <c r="AW462" s="78"/>
      <c r="AX462" s="78"/>
      <c r="AY462" s="78"/>
      <c r="AZ462" s="78"/>
      <c r="BA462" s="78"/>
      <c r="BB462" s="78"/>
      <c r="BC462" s="78"/>
      <c r="BD462" s="78"/>
      <c r="BE462" s="78"/>
      <c r="BF462" s="78"/>
      <c r="BG462" s="78"/>
      <c r="BH462" s="78"/>
      <c r="BI462" s="78"/>
      <c r="BJ462" s="78"/>
      <c r="BK462" s="78"/>
      <c r="BL462" s="78"/>
      <c r="BM462" s="78"/>
      <c r="BN462" s="78"/>
      <c r="BO462" s="78"/>
      <c r="BP462" s="78"/>
      <c r="BQ462" s="78"/>
      <c r="BR462" s="78"/>
      <c r="BS462" s="78"/>
      <c r="BT462" s="78"/>
      <c r="BU462" s="78"/>
      <c r="BV462" s="78"/>
      <c r="BW462" s="78"/>
      <c r="BX462" s="78"/>
      <c r="BY462" s="78"/>
      <c r="BZ462" s="78"/>
      <c r="CA462" s="78"/>
      <c r="CB462" s="78"/>
      <c r="CC462" s="78"/>
      <c r="CD462" s="78"/>
      <c r="CE462" s="78"/>
      <c r="CF462" s="78"/>
      <c r="CG462" s="78"/>
      <c r="CH462" s="78"/>
      <c r="CI462" s="78"/>
      <c r="CJ462" s="78"/>
      <c r="CK462" s="78"/>
      <c r="CL462" s="78"/>
      <c r="CM462" s="78"/>
      <c r="CN462" s="78"/>
      <c r="CO462" s="78"/>
      <c r="CP462" s="78"/>
      <c r="CQ462" s="78"/>
      <c r="CR462" s="78"/>
      <c r="CS462" s="78"/>
      <c r="CT462" s="78"/>
      <c r="CU462" s="78"/>
      <c r="CV462" s="78"/>
      <c r="CW462" s="78"/>
      <c r="CX462" s="78"/>
      <c r="CY462" s="78"/>
      <c r="CZ462" s="78"/>
      <c r="DA462" s="78"/>
      <c r="DB462" s="78"/>
      <c r="DC462" s="78"/>
      <c r="DD462" s="78"/>
      <c r="DE462" s="78"/>
      <c r="DF462" s="78"/>
      <c r="DG462" s="78"/>
      <c r="DH462" s="78"/>
      <c r="DI462" s="78"/>
      <c r="DJ462" s="78"/>
      <c r="DK462" s="78"/>
      <c r="DL462" s="78"/>
      <c r="DM462" s="78"/>
      <c r="DN462" s="78"/>
      <c r="DO462" s="78"/>
      <c r="DP462" s="78"/>
      <c r="DQ462" s="78"/>
      <c r="DR462" s="78"/>
      <c r="DS462" s="78"/>
      <c r="DT462" s="78"/>
      <c r="DU462" s="78"/>
      <c r="DV462" s="78"/>
      <c r="DW462" s="78"/>
      <c r="DX462" s="78"/>
      <c r="DY462" s="78"/>
      <c r="DZ462" s="78"/>
      <c r="EA462" s="78"/>
      <c r="EB462" s="78"/>
      <c r="EC462" s="78"/>
    </row>
    <row r="463" spans="1:133" s="9" customFormat="1" ht="31.2" x14ac:dyDescent="0.4">
      <c r="A463" s="71" t="s">
        <v>62</v>
      </c>
      <c r="B463" s="60" t="s">
        <v>196</v>
      </c>
      <c r="C463" s="53" t="s">
        <v>63</v>
      </c>
      <c r="D463" s="53" t="s">
        <v>377</v>
      </c>
      <c r="E463" s="74">
        <f>SUM(F463:Q463)</f>
        <v>1470.5060059643749</v>
      </c>
      <c r="F463" s="74" t="s">
        <v>297</v>
      </c>
      <c r="G463" s="74" t="s">
        <v>297</v>
      </c>
      <c r="H463" s="74" t="s">
        <v>297</v>
      </c>
      <c r="I463" s="74" t="s">
        <v>297</v>
      </c>
      <c r="J463" s="74" t="s">
        <v>297</v>
      </c>
      <c r="K463" s="74" t="s">
        <v>297</v>
      </c>
      <c r="L463" s="74" t="s">
        <v>297</v>
      </c>
      <c r="M463" s="74" t="s">
        <v>297</v>
      </c>
      <c r="N463" s="74">
        <f>N452*N447*N450+(1-N458)*0</f>
        <v>140.70708512682663</v>
      </c>
      <c r="O463" s="74">
        <f t="shared" ref="O463:Q463" si="69">O452*O447*O450+(1-O458)*N463</f>
        <v>332.96762188109801</v>
      </c>
      <c r="P463" s="74">
        <f t="shared" si="69"/>
        <v>425.00708583153016</v>
      </c>
      <c r="Q463" s="74">
        <f t="shared" si="69"/>
        <v>571.82421312492011</v>
      </c>
      <c r="R463" s="78"/>
      <c r="S463" s="78"/>
      <c r="T463" s="78"/>
      <c r="U463" s="78"/>
      <c r="V463" s="78"/>
      <c r="W463" s="78"/>
      <c r="X463" s="78"/>
      <c r="Y463" s="78"/>
      <c r="Z463" s="78"/>
      <c r="AA463" s="78"/>
      <c r="AB463" s="78"/>
      <c r="AC463" s="78"/>
      <c r="AD463" s="78"/>
      <c r="AE463" s="78"/>
      <c r="AF463" s="78"/>
      <c r="AG463" s="78"/>
      <c r="AH463" s="78"/>
      <c r="AI463" s="78"/>
      <c r="AJ463" s="78"/>
      <c r="AK463" s="78"/>
      <c r="AL463" s="78"/>
      <c r="AM463" s="78"/>
      <c r="AN463" s="78"/>
      <c r="AO463" s="78"/>
      <c r="AP463" s="78"/>
      <c r="AQ463" s="78"/>
      <c r="AR463" s="78"/>
      <c r="AS463" s="78"/>
      <c r="AT463" s="78"/>
      <c r="AU463" s="78"/>
      <c r="AV463" s="78"/>
      <c r="AW463" s="78"/>
      <c r="AX463" s="78"/>
      <c r="AY463" s="78"/>
      <c r="AZ463" s="78"/>
      <c r="BA463" s="78"/>
      <c r="BB463" s="78"/>
      <c r="BC463" s="78"/>
      <c r="BD463" s="78"/>
      <c r="BE463" s="78"/>
      <c r="BF463" s="78"/>
      <c r="BG463" s="78"/>
      <c r="BH463" s="78"/>
      <c r="BI463" s="78"/>
      <c r="BJ463" s="78"/>
      <c r="BK463" s="78"/>
      <c r="BL463" s="78"/>
      <c r="BM463" s="78"/>
      <c r="BN463" s="78"/>
      <c r="BO463" s="78"/>
      <c r="BP463" s="78"/>
      <c r="BQ463" s="78"/>
      <c r="BR463" s="78"/>
      <c r="BS463" s="78"/>
      <c r="BT463" s="78"/>
      <c r="BU463" s="78"/>
      <c r="BV463" s="78"/>
      <c r="BW463" s="78"/>
      <c r="BX463" s="78"/>
      <c r="BY463" s="78"/>
      <c r="BZ463" s="78"/>
      <c r="CA463" s="78"/>
      <c r="CB463" s="78"/>
      <c r="CC463" s="78"/>
      <c r="CD463" s="78"/>
      <c r="CE463" s="78"/>
      <c r="CF463" s="78"/>
      <c r="CG463" s="78"/>
      <c r="CH463" s="78"/>
      <c r="CI463" s="78"/>
      <c r="CJ463" s="78"/>
      <c r="CK463" s="78"/>
      <c r="CL463" s="78"/>
      <c r="CM463" s="78"/>
      <c r="CN463" s="78"/>
      <c r="CO463" s="78"/>
      <c r="CP463" s="78"/>
      <c r="CQ463" s="78"/>
      <c r="CR463" s="78"/>
      <c r="CS463" s="78"/>
      <c r="CT463" s="78"/>
      <c r="CU463" s="78"/>
      <c r="CV463" s="78"/>
      <c r="CW463" s="78"/>
      <c r="CX463" s="78"/>
      <c r="CY463" s="78"/>
      <c r="CZ463" s="78"/>
      <c r="DA463" s="78"/>
      <c r="DB463" s="78"/>
      <c r="DC463" s="78"/>
      <c r="DD463" s="78"/>
      <c r="DE463" s="78"/>
      <c r="DF463" s="78"/>
      <c r="DG463" s="78"/>
      <c r="DH463" s="78"/>
      <c r="DI463" s="78"/>
      <c r="DJ463" s="78"/>
      <c r="DK463" s="78"/>
      <c r="DL463" s="78"/>
      <c r="DM463" s="78"/>
      <c r="DN463" s="78"/>
      <c r="DO463" s="78"/>
      <c r="DP463" s="78"/>
      <c r="DQ463" s="78"/>
      <c r="DR463" s="78"/>
      <c r="DS463" s="78"/>
      <c r="DT463" s="78"/>
      <c r="DU463" s="78"/>
      <c r="DV463" s="78"/>
      <c r="DW463" s="78"/>
      <c r="DX463" s="78"/>
      <c r="DY463" s="78"/>
      <c r="DZ463" s="78"/>
      <c r="EA463" s="78"/>
      <c r="EB463" s="78"/>
      <c r="EC463" s="78"/>
    </row>
    <row r="465" spans="1:5" x14ac:dyDescent="0.25">
      <c r="A465" s="158" t="s">
        <v>64</v>
      </c>
      <c r="B465" s="158"/>
      <c r="C465" s="158"/>
      <c r="D465" s="158"/>
      <c r="E465" s="158"/>
    </row>
    <row r="466" spans="1:5" x14ac:dyDescent="0.25">
      <c r="A466" s="57" t="s">
        <v>8</v>
      </c>
      <c r="B466" s="58" t="s">
        <v>9</v>
      </c>
      <c r="C466" s="34" t="s">
        <v>10</v>
      </c>
      <c r="D466" s="34" t="s">
        <v>340</v>
      </c>
      <c r="E466" s="16" t="s">
        <v>65</v>
      </c>
    </row>
    <row r="467" spans="1:5" ht="46.8" x14ac:dyDescent="0.25">
      <c r="A467" s="59" t="s">
        <v>66</v>
      </c>
      <c r="B467" s="60" t="s">
        <v>14</v>
      </c>
      <c r="C467" s="53" t="s">
        <v>67</v>
      </c>
      <c r="D467" s="53" t="s">
        <v>68</v>
      </c>
      <c r="E467" s="75">
        <v>0</v>
      </c>
    </row>
    <row r="468" spans="1:5" ht="46.8" x14ac:dyDescent="0.25">
      <c r="A468" s="63" t="s">
        <v>69</v>
      </c>
      <c r="B468" s="25" t="s">
        <v>70</v>
      </c>
      <c r="C468" s="35" t="s">
        <v>71</v>
      </c>
      <c r="D468" s="53" t="str">
        <f>D474</f>
        <v>Historical data on site in the FSR (It was calculated with conservative value)</v>
      </c>
      <c r="E468" s="74">
        <f>E474</f>
        <v>386.94649404893153</v>
      </c>
    </row>
    <row r="470" spans="1:5" x14ac:dyDescent="0.25">
      <c r="A470" s="174" t="s">
        <v>72</v>
      </c>
      <c r="B470" s="174"/>
      <c r="C470" s="175"/>
      <c r="D470" s="175"/>
      <c r="E470" s="174"/>
    </row>
    <row r="471" spans="1:5" x14ac:dyDescent="0.25">
      <c r="A471" s="59" t="s">
        <v>8</v>
      </c>
      <c r="B471" s="16" t="s">
        <v>9</v>
      </c>
      <c r="C471" s="38" t="s">
        <v>10</v>
      </c>
      <c r="D471" s="38" t="s">
        <v>340</v>
      </c>
      <c r="E471" s="16" t="s">
        <v>65</v>
      </c>
    </row>
    <row r="472" spans="1:5" ht="33.6" x14ac:dyDescent="0.4">
      <c r="A472" s="76" t="s">
        <v>73</v>
      </c>
      <c r="B472" s="25" t="s">
        <v>74</v>
      </c>
      <c r="C472" s="35" t="s">
        <v>75</v>
      </c>
      <c r="D472" s="35" t="s">
        <v>378</v>
      </c>
      <c r="E472" s="50">
        <f>E473*E476*E477*E478*E479*E480</f>
        <v>1.5716725605926316</v>
      </c>
    </row>
    <row r="473" spans="1:5" ht="46.8" x14ac:dyDescent="0.4">
      <c r="A473" s="77" t="s">
        <v>207</v>
      </c>
      <c r="B473" s="25" t="s">
        <v>76</v>
      </c>
      <c r="C473" s="35" t="s">
        <v>77</v>
      </c>
      <c r="D473" s="35" t="s">
        <v>379</v>
      </c>
      <c r="E473" s="52">
        <f>E474/E475</f>
        <v>77.389298809786311</v>
      </c>
    </row>
    <row r="474" spans="1:5" ht="46.8" x14ac:dyDescent="0.25">
      <c r="A474" s="63" t="s">
        <v>208</v>
      </c>
      <c r="B474" s="25" t="s">
        <v>78</v>
      </c>
      <c r="C474" s="35" t="s">
        <v>79</v>
      </c>
      <c r="D474" s="53" t="s">
        <v>352</v>
      </c>
      <c r="E474" s="52">
        <f>0.000185543070152802*E447</f>
        <v>386.94649404893153</v>
      </c>
    </row>
    <row r="475" spans="1:5" ht="31.2" x14ac:dyDescent="0.25">
      <c r="A475" s="63" t="s">
        <v>209</v>
      </c>
      <c r="B475" s="25" t="s">
        <v>80</v>
      </c>
      <c r="C475" s="35" t="s">
        <v>81</v>
      </c>
      <c r="D475" s="35" t="s">
        <v>353</v>
      </c>
      <c r="E475" s="25">
        <f>5</f>
        <v>5</v>
      </c>
    </row>
    <row r="476" spans="1:5" ht="62.4" x14ac:dyDescent="0.25">
      <c r="A476" s="63" t="s">
        <v>210</v>
      </c>
      <c r="B476" s="25" t="s">
        <v>82</v>
      </c>
      <c r="C476" s="35" t="s">
        <v>83</v>
      </c>
      <c r="D476" s="53" t="s">
        <v>354</v>
      </c>
      <c r="E476" s="25">
        <f>15*2</f>
        <v>30</v>
      </c>
    </row>
    <row r="477" spans="1:5" ht="172.2" x14ac:dyDescent="0.25">
      <c r="A477" s="63" t="s">
        <v>211</v>
      </c>
      <c r="B477" s="25" t="s">
        <v>84</v>
      </c>
      <c r="C477" s="35" t="s">
        <v>85</v>
      </c>
      <c r="D477" s="35" t="s">
        <v>355</v>
      </c>
      <c r="E477" s="25">
        <f>25.1/100</f>
        <v>0.251</v>
      </c>
    </row>
    <row r="478" spans="1:5" ht="156" x14ac:dyDescent="0.25">
      <c r="A478" s="63" t="s">
        <v>212</v>
      </c>
      <c r="B478" s="25" t="s">
        <v>87</v>
      </c>
      <c r="C478" s="35" t="s">
        <v>86</v>
      </c>
      <c r="D478" s="35" t="s">
        <v>356</v>
      </c>
      <c r="E478" s="25">
        <f>0.84/1000</f>
        <v>8.3999999999999993E-4</v>
      </c>
    </row>
    <row r="479" spans="1:5" ht="171.6" x14ac:dyDescent="0.25">
      <c r="A479" s="63" t="s">
        <v>213</v>
      </c>
      <c r="B479" s="25" t="s">
        <v>88</v>
      </c>
      <c r="C479" s="35" t="s">
        <v>89</v>
      </c>
      <c r="D479" s="35" t="s">
        <v>357</v>
      </c>
      <c r="E479" s="25">
        <f>43.33/1000</f>
        <v>4.333E-2</v>
      </c>
    </row>
    <row r="480" spans="1:5" ht="62.4" x14ac:dyDescent="0.25">
      <c r="A480" s="63" t="s">
        <v>214</v>
      </c>
      <c r="B480" s="25" t="s">
        <v>90</v>
      </c>
      <c r="C480" s="35" t="s">
        <v>91</v>
      </c>
      <c r="D480" s="35" t="s">
        <v>358</v>
      </c>
      <c r="E480" s="25">
        <v>74.099999999999994</v>
      </c>
    </row>
    <row r="482" spans="1:133" x14ac:dyDescent="0.25">
      <c r="A482" s="158" t="s">
        <v>93</v>
      </c>
      <c r="B482" s="158"/>
      <c r="C482" s="158"/>
      <c r="D482" s="158"/>
      <c r="E482" s="158"/>
    </row>
    <row r="483" spans="1:133" x14ac:dyDescent="0.25">
      <c r="A483" s="57" t="s">
        <v>8</v>
      </c>
      <c r="B483" s="58" t="s">
        <v>9</v>
      </c>
      <c r="C483" s="34" t="s">
        <v>10</v>
      </c>
      <c r="D483" s="34" t="s">
        <v>340</v>
      </c>
      <c r="E483" s="16" t="s">
        <v>65</v>
      </c>
    </row>
    <row r="484" spans="1:133" ht="64.8" x14ac:dyDescent="0.25">
      <c r="A484" s="15" t="s">
        <v>94</v>
      </c>
      <c r="B484" s="25" t="s">
        <v>95</v>
      </c>
      <c r="C484" s="35" t="s">
        <v>96</v>
      </c>
      <c r="D484" s="35" t="s">
        <v>97</v>
      </c>
      <c r="E484" s="16">
        <v>0</v>
      </c>
    </row>
    <row r="486" spans="1:133" x14ac:dyDescent="0.25">
      <c r="A486" s="158" t="s">
        <v>98</v>
      </c>
      <c r="B486" s="158"/>
      <c r="C486" s="158"/>
      <c r="D486" s="158"/>
      <c r="E486" s="158"/>
    </row>
    <row r="487" spans="1:133" x14ac:dyDescent="0.25">
      <c r="A487" s="57" t="s">
        <v>8</v>
      </c>
      <c r="B487" s="58" t="s">
        <v>9</v>
      </c>
      <c r="C487" s="34" t="s">
        <v>10</v>
      </c>
      <c r="D487" s="34" t="s">
        <v>340</v>
      </c>
      <c r="E487" s="16" t="s">
        <v>65</v>
      </c>
    </row>
    <row r="488" spans="1:133" ht="49.2" x14ac:dyDescent="0.25">
      <c r="A488" s="15" t="s">
        <v>99</v>
      </c>
      <c r="B488" s="25" t="s">
        <v>95</v>
      </c>
      <c r="C488" s="35" t="s">
        <v>100</v>
      </c>
      <c r="D488" s="35" t="s">
        <v>101</v>
      </c>
      <c r="E488" s="16">
        <v>0</v>
      </c>
    </row>
    <row r="490" spans="1:133" x14ac:dyDescent="0.25">
      <c r="A490" s="57" t="s">
        <v>8</v>
      </c>
      <c r="B490" s="58" t="s">
        <v>9</v>
      </c>
      <c r="C490" s="34" t="s">
        <v>10</v>
      </c>
      <c r="D490" s="34" t="s">
        <v>340</v>
      </c>
      <c r="E490" s="16" t="s">
        <v>65</v>
      </c>
    </row>
    <row r="491" spans="1:133" ht="18" x14ac:dyDescent="0.25">
      <c r="A491" s="59" t="s">
        <v>102</v>
      </c>
      <c r="B491" s="25" t="s">
        <v>103</v>
      </c>
      <c r="C491" s="35" t="s">
        <v>104</v>
      </c>
      <c r="D491" s="53" t="s">
        <v>380</v>
      </c>
      <c r="E491" s="18">
        <f>ROUNDDOWN(E441+E472+E467+E484+E488,0)</f>
        <v>2473</v>
      </c>
    </row>
    <row r="492" spans="1:133" s="166" customFormat="1" ht="38.4" customHeight="1" x14ac:dyDescent="0.25">
      <c r="A492" s="165" t="s">
        <v>227</v>
      </c>
    </row>
    <row r="493" spans="1:133" s="167" customFormat="1" ht="43.2" customHeight="1" x14ac:dyDescent="0.25">
      <c r="A493" s="167" t="s">
        <v>228</v>
      </c>
    </row>
    <row r="494" spans="1:133" s="56" customFormat="1" ht="31.2" x14ac:dyDescent="0.25">
      <c r="A494" s="92" t="s">
        <v>8</v>
      </c>
      <c r="B494" s="93" t="s">
        <v>9</v>
      </c>
      <c r="C494" s="94" t="s">
        <v>10</v>
      </c>
      <c r="D494" s="93" t="s">
        <v>341</v>
      </c>
      <c r="E494" s="93" t="s">
        <v>11</v>
      </c>
      <c r="F494" s="16" t="s">
        <v>292</v>
      </c>
      <c r="G494" s="16" t="s">
        <v>292</v>
      </c>
      <c r="H494" s="16" t="s">
        <v>292</v>
      </c>
      <c r="I494" s="16" t="s">
        <v>292</v>
      </c>
      <c r="J494" s="16" t="s">
        <v>292</v>
      </c>
      <c r="K494" s="16" t="s">
        <v>292</v>
      </c>
      <c r="L494" s="16" t="s">
        <v>292</v>
      </c>
      <c r="M494" s="16" t="s">
        <v>292</v>
      </c>
      <c r="N494" s="16" t="s">
        <v>306</v>
      </c>
      <c r="O494" s="16" t="s">
        <v>293</v>
      </c>
      <c r="P494" s="16" t="s">
        <v>294</v>
      </c>
      <c r="Q494" s="16" t="s">
        <v>295</v>
      </c>
      <c r="R494" s="54"/>
      <c r="S494" s="54"/>
      <c r="T494" s="54"/>
      <c r="U494" s="54"/>
      <c r="V494" s="54"/>
      <c r="W494" s="54"/>
      <c r="X494" s="54"/>
      <c r="Y494" s="54"/>
      <c r="Z494" s="54"/>
      <c r="AA494" s="54"/>
      <c r="AB494" s="54"/>
      <c r="AC494" s="54"/>
      <c r="AD494" s="54"/>
      <c r="AE494" s="54"/>
      <c r="AF494" s="54"/>
      <c r="AG494" s="54"/>
      <c r="AH494" s="54"/>
      <c r="AI494" s="54"/>
      <c r="AJ494" s="54"/>
      <c r="AK494" s="54"/>
      <c r="AL494" s="54"/>
      <c r="AM494" s="54"/>
      <c r="AN494" s="54"/>
      <c r="AO494" s="54"/>
      <c r="AP494" s="54"/>
      <c r="AQ494" s="54"/>
      <c r="AR494" s="54"/>
      <c r="AS494" s="54"/>
      <c r="AT494" s="54"/>
      <c r="AU494" s="54"/>
      <c r="AV494" s="54"/>
      <c r="AW494" s="54"/>
      <c r="AX494" s="54"/>
      <c r="AY494" s="54"/>
      <c r="AZ494" s="54"/>
      <c r="BA494" s="54"/>
      <c r="BB494" s="54"/>
      <c r="BC494" s="54"/>
      <c r="BD494" s="54"/>
      <c r="BE494" s="54"/>
      <c r="BF494" s="54"/>
      <c r="BG494" s="54"/>
      <c r="BH494" s="54"/>
      <c r="BI494" s="54"/>
      <c r="BJ494" s="54"/>
      <c r="BK494" s="54"/>
      <c r="BL494" s="54"/>
      <c r="BM494" s="54"/>
      <c r="BN494" s="54"/>
      <c r="BO494" s="54"/>
      <c r="BP494" s="54"/>
      <c r="BQ494" s="54"/>
      <c r="BR494" s="54"/>
      <c r="BS494" s="54"/>
      <c r="BT494" s="54"/>
      <c r="BU494" s="54"/>
      <c r="BV494" s="54"/>
      <c r="BW494" s="54"/>
      <c r="BX494" s="54"/>
      <c r="BY494" s="54"/>
      <c r="BZ494" s="54"/>
      <c r="CA494" s="54"/>
      <c r="CB494" s="54"/>
      <c r="CC494" s="54"/>
      <c r="CD494" s="54"/>
      <c r="CE494" s="54"/>
      <c r="CF494" s="54"/>
      <c r="CG494" s="54"/>
      <c r="CH494" s="54"/>
      <c r="CI494" s="54"/>
      <c r="CJ494" s="54"/>
      <c r="CK494" s="54"/>
      <c r="CL494" s="54"/>
      <c r="CM494" s="54"/>
      <c r="CN494" s="54"/>
      <c r="CO494" s="54"/>
      <c r="CP494" s="54"/>
      <c r="CQ494" s="54"/>
      <c r="CR494" s="54"/>
      <c r="CS494" s="54"/>
      <c r="CT494" s="54"/>
      <c r="CU494" s="54"/>
      <c r="CV494" s="54"/>
      <c r="CW494" s="54"/>
      <c r="CX494" s="54"/>
      <c r="CY494" s="54"/>
      <c r="CZ494" s="54"/>
      <c r="DA494" s="54"/>
      <c r="DB494" s="54"/>
      <c r="DC494" s="54"/>
      <c r="DD494" s="54"/>
      <c r="DE494" s="54"/>
      <c r="DF494" s="54"/>
      <c r="DG494" s="54"/>
      <c r="DH494" s="54"/>
      <c r="DI494" s="54"/>
      <c r="DJ494" s="54"/>
      <c r="DK494" s="54"/>
      <c r="DL494" s="54"/>
      <c r="DM494" s="54"/>
      <c r="DN494" s="54"/>
      <c r="DO494" s="54"/>
      <c r="DP494" s="54"/>
      <c r="DQ494" s="54"/>
      <c r="DR494" s="54"/>
      <c r="DS494" s="54"/>
      <c r="DT494" s="54"/>
      <c r="DU494" s="54"/>
      <c r="DV494" s="54"/>
      <c r="DW494" s="54"/>
      <c r="DX494" s="54"/>
      <c r="DY494" s="54"/>
      <c r="DZ494" s="54"/>
      <c r="EA494" s="54"/>
      <c r="EB494" s="54"/>
      <c r="EC494" s="54"/>
    </row>
    <row r="495" spans="1:133" s="56" customFormat="1" x14ac:dyDescent="0.25">
      <c r="A495" s="58" t="s">
        <v>12</v>
      </c>
      <c r="B495" s="58"/>
      <c r="C495" s="34"/>
      <c r="D495" s="34"/>
      <c r="E495" s="58"/>
      <c r="F495" s="16" t="s">
        <v>297</v>
      </c>
      <c r="G495" s="16" t="s">
        <v>297</v>
      </c>
      <c r="H495" s="16" t="s">
        <v>297</v>
      </c>
      <c r="I495" s="16" t="s">
        <v>297</v>
      </c>
      <c r="J495" s="16" t="s">
        <v>297</v>
      </c>
      <c r="K495" s="16" t="s">
        <v>297</v>
      </c>
      <c r="L495" s="16" t="s">
        <v>297</v>
      </c>
      <c r="M495" s="16" t="s">
        <v>297</v>
      </c>
      <c r="N495" s="16">
        <v>22</v>
      </c>
      <c r="O495" s="16">
        <v>31</v>
      </c>
      <c r="P495" s="16">
        <v>30</v>
      </c>
      <c r="Q495" s="16">
        <v>31</v>
      </c>
      <c r="R495" s="54"/>
      <c r="S495" s="54"/>
      <c r="T495" s="54"/>
      <c r="U495" s="54"/>
      <c r="V495" s="54"/>
      <c r="W495" s="54"/>
      <c r="X495" s="54"/>
      <c r="Y495" s="54"/>
      <c r="Z495" s="54"/>
      <c r="AA495" s="54"/>
      <c r="AB495" s="54"/>
      <c r="AC495" s="54"/>
      <c r="AD495" s="54"/>
      <c r="AE495" s="54"/>
      <c r="AF495" s="54"/>
      <c r="AG495" s="54"/>
      <c r="AH495" s="54"/>
      <c r="AI495" s="54"/>
      <c r="AJ495" s="54"/>
      <c r="AK495" s="54"/>
      <c r="AL495" s="54"/>
      <c r="AM495" s="54"/>
      <c r="AN495" s="54"/>
      <c r="AO495" s="54"/>
      <c r="AP495" s="54"/>
      <c r="AQ495" s="54"/>
      <c r="AR495" s="54"/>
      <c r="AS495" s="54"/>
      <c r="AT495" s="54"/>
      <c r="AU495" s="54"/>
      <c r="AV495" s="54"/>
      <c r="AW495" s="54"/>
      <c r="AX495" s="54"/>
      <c r="AY495" s="54"/>
      <c r="AZ495" s="54"/>
      <c r="BA495" s="54"/>
      <c r="BB495" s="54"/>
      <c r="BC495" s="54"/>
      <c r="BD495" s="54"/>
      <c r="BE495" s="54"/>
      <c r="BF495" s="54"/>
      <c r="BG495" s="54"/>
      <c r="BH495" s="54"/>
      <c r="BI495" s="54"/>
      <c r="BJ495" s="54"/>
      <c r="BK495" s="54"/>
      <c r="BL495" s="54"/>
      <c r="BM495" s="54"/>
      <c r="BN495" s="54"/>
      <c r="BO495" s="54"/>
      <c r="BP495" s="54"/>
      <c r="BQ495" s="54"/>
      <c r="BR495" s="54"/>
      <c r="BS495" s="54"/>
      <c r="BT495" s="54"/>
      <c r="BU495" s="54"/>
      <c r="BV495" s="54"/>
      <c r="BW495" s="54"/>
      <c r="BX495" s="54"/>
      <c r="BY495" s="54"/>
      <c r="BZ495" s="54"/>
      <c r="CA495" s="54"/>
      <c r="CB495" s="54"/>
      <c r="CC495" s="54"/>
      <c r="CD495" s="54"/>
      <c r="CE495" s="54"/>
      <c r="CF495" s="54"/>
      <c r="CG495" s="54"/>
      <c r="CH495" s="54"/>
      <c r="CI495" s="54"/>
      <c r="CJ495" s="54"/>
      <c r="CK495" s="54"/>
      <c r="CL495" s="54"/>
      <c r="CM495" s="54"/>
      <c r="CN495" s="54"/>
      <c r="CO495" s="54"/>
      <c r="CP495" s="54"/>
      <c r="CQ495" s="54"/>
      <c r="CR495" s="54"/>
      <c r="CS495" s="54"/>
      <c r="CT495" s="54"/>
      <c r="CU495" s="54"/>
      <c r="CV495" s="54"/>
      <c r="CW495" s="54"/>
      <c r="CX495" s="54"/>
      <c r="CY495" s="54"/>
      <c r="CZ495" s="54"/>
      <c r="DA495" s="54"/>
      <c r="DB495" s="54"/>
      <c r="DC495" s="54"/>
      <c r="DD495" s="54"/>
      <c r="DE495" s="54"/>
      <c r="DF495" s="54"/>
      <c r="DG495" s="54"/>
      <c r="DH495" s="54"/>
      <c r="DI495" s="54"/>
      <c r="DJ495" s="54"/>
      <c r="DK495" s="54"/>
      <c r="DL495" s="54"/>
      <c r="DM495" s="54"/>
      <c r="DN495" s="54"/>
      <c r="DO495" s="54"/>
      <c r="DP495" s="54"/>
      <c r="DQ495" s="54"/>
      <c r="DR495" s="54"/>
      <c r="DS495" s="54"/>
      <c r="DT495" s="54"/>
      <c r="DU495" s="54"/>
      <c r="DV495" s="54"/>
      <c r="DW495" s="54"/>
      <c r="DX495" s="54"/>
      <c r="DY495" s="54"/>
      <c r="DZ495" s="54"/>
      <c r="EA495" s="54"/>
      <c r="EB495" s="54"/>
      <c r="EC495" s="54"/>
    </row>
    <row r="496" spans="1:133" ht="46.8" x14ac:dyDescent="0.25">
      <c r="A496" s="59" t="s">
        <v>13</v>
      </c>
      <c r="B496" s="60" t="s">
        <v>14</v>
      </c>
      <c r="C496" s="53" t="s">
        <v>15</v>
      </c>
      <c r="D496" s="53" t="s">
        <v>369</v>
      </c>
      <c r="E496" s="61">
        <f>SUM(F496:Q496)</f>
        <v>651.55933925251816</v>
      </c>
      <c r="F496" s="62" t="s">
        <v>297</v>
      </c>
      <c r="G496" s="62" t="s">
        <v>297</v>
      </c>
      <c r="H496" s="62" t="s">
        <v>297</v>
      </c>
      <c r="I496" s="62" t="s">
        <v>297</v>
      </c>
      <c r="J496" s="62" t="s">
        <v>297</v>
      </c>
      <c r="K496" s="62" t="s">
        <v>297</v>
      </c>
      <c r="L496" s="62" t="s">
        <v>297</v>
      </c>
      <c r="M496" s="62" t="s">
        <v>297</v>
      </c>
      <c r="N496" s="62">
        <f>$E$497*$E$498*N499*$E$510</f>
        <v>132.11984505910681</v>
      </c>
      <c r="O496" s="62">
        <f t="shared" ref="O496:Q496" si="70">$E$497*$E$498*O499*$E$510</f>
        <v>186.037442871292</v>
      </c>
      <c r="P496" s="62">
        <f t="shared" si="70"/>
        <v>163.89364550951558</v>
      </c>
      <c r="Q496" s="62">
        <f t="shared" si="70"/>
        <v>169.50840581260377</v>
      </c>
    </row>
    <row r="497" spans="1:17" ht="31.2" x14ac:dyDescent="0.25">
      <c r="A497" s="63" t="s">
        <v>16</v>
      </c>
      <c r="B497" s="60" t="s">
        <v>193</v>
      </c>
      <c r="C497" s="35" t="s">
        <v>17</v>
      </c>
      <c r="D497" s="35" t="s">
        <v>205</v>
      </c>
      <c r="E497" s="168">
        <v>28</v>
      </c>
      <c r="F497" s="169"/>
      <c r="G497" s="169"/>
      <c r="H497" s="169"/>
      <c r="I497" s="169"/>
      <c r="J497" s="169"/>
      <c r="K497" s="169"/>
      <c r="L497" s="169"/>
      <c r="M497" s="169"/>
      <c r="N497" s="169"/>
      <c r="O497" s="169"/>
      <c r="P497" s="169"/>
      <c r="Q497" s="170"/>
    </row>
    <row r="498" spans="1:17" ht="64.8" x14ac:dyDescent="0.25">
      <c r="A498" s="63" t="s">
        <v>18</v>
      </c>
      <c r="B498" s="25" t="s">
        <v>194</v>
      </c>
      <c r="C498" s="35" t="s">
        <v>20</v>
      </c>
      <c r="D498" s="35" t="s">
        <v>394</v>
      </c>
      <c r="E498" s="168">
        <v>0.21</v>
      </c>
      <c r="F498" s="169"/>
      <c r="G498" s="169"/>
      <c r="H498" s="169"/>
      <c r="I498" s="169"/>
      <c r="J498" s="169"/>
      <c r="K498" s="169"/>
      <c r="L498" s="169"/>
      <c r="M498" s="169"/>
      <c r="N498" s="169"/>
      <c r="O498" s="169"/>
      <c r="P498" s="169"/>
      <c r="Q498" s="170"/>
    </row>
    <row r="499" spans="1:17" ht="46.8" x14ac:dyDescent="0.25">
      <c r="A499" s="35" t="s">
        <v>21</v>
      </c>
      <c r="B499" s="25" t="s">
        <v>195</v>
      </c>
      <c r="C499" s="53" t="s">
        <v>22</v>
      </c>
      <c r="D499" s="53" t="s">
        <v>370</v>
      </c>
      <c r="E499" s="64">
        <f t="shared" ref="E499:Q499" si="71">E507*E500</f>
        <v>234.11315610515567</v>
      </c>
      <c r="F499" s="64" t="s">
        <v>297</v>
      </c>
      <c r="G499" s="64" t="s">
        <v>297</v>
      </c>
      <c r="H499" s="64" t="s">
        <v>297</v>
      </c>
      <c r="I499" s="64" t="s">
        <v>297</v>
      </c>
      <c r="J499" s="64" t="s">
        <v>297</v>
      </c>
      <c r="K499" s="64" t="s">
        <v>297</v>
      </c>
      <c r="L499" s="64" t="s">
        <v>297</v>
      </c>
      <c r="M499" s="64" t="s">
        <v>297</v>
      </c>
      <c r="N499" s="64">
        <f t="shared" si="71"/>
        <v>47.472259313167555</v>
      </c>
      <c r="O499" s="64">
        <f t="shared" si="71"/>
        <v>66.845504746039808</v>
      </c>
      <c r="P499" s="64">
        <f t="shared" si="71"/>
        <v>58.88897035814221</v>
      </c>
      <c r="Q499" s="64">
        <f t="shared" si="71"/>
        <v>60.906421687806102</v>
      </c>
    </row>
    <row r="500" spans="1:17" ht="46.8" x14ac:dyDescent="0.25">
      <c r="A500" s="35" t="s">
        <v>23</v>
      </c>
      <c r="B500" s="25" t="s">
        <v>197</v>
      </c>
      <c r="C500" s="35" t="s">
        <v>191</v>
      </c>
      <c r="D500" s="35" t="s">
        <v>371</v>
      </c>
      <c r="E500" s="20">
        <f>SUM(N500:Q500)</f>
        <v>246.3876850464568</v>
      </c>
      <c r="F500" s="20" t="s">
        <v>297</v>
      </c>
      <c r="G500" s="20" t="s">
        <v>297</v>
      </c>
      <c r="H500" s="20" t="s">
        <v>297</v>
      </c>
      <c r="I500" s="20" t="s">
        <v>297</v>
      </c>
      <c r="J500" s="20" t="s">
        <v>297</v>
      </c>
      <c r="K500" s="20" t="s">
        <v>297</v>
      </c>
      <c r="L500" s="20" t="s">
        <v>297</v>
      </c>
      <c r="M500" s="20" t="s">
        <v>297</v>
      </c>
      <c r="N500" s="20">
        <f t="shared" ref="N500:Q500" si="72">N502*N505</f>
        <v>49.96122503616477</v>
      </c>
      <c r="O500" s="20">
        <f t="shared" si="72"/>
        <v>70.350207754838721</v>
      </c>
      <c r="P500" s="20">
        <f t="shared" si="72"/>
        <v>61.976513078978321</v>
      </c>
      <c r="Q500" s="20">
        <f t="shared" si="72"/>
        <v>64.099739176475012</v>
      </c>
    </row>
    <row r="501" spans="1:17" ht="62.4" x14ac:dyDescent="0.25">
      <c r="A501" s="17" t="s">
        <v>334</v>
      </c>
      <c r="B501" s="60" t="s">
        <v>192</v>
      </c>
      <c r="C501" s="35" t="s">
        <v>25</v>
      </c>
      <c r="D501" s="35" t="s">
        <v>333</v>
      </c>
      <c r="E501" s="121">
        <f>AVERAGE(N501:Q501)</f>
        <v>5089.4356673264901</v>
      </c>
      <c r="F501" s="20" t="s">
        <v>297</v>
      </c>
      <c r="G501" s="20" t="s">
        <v>297</v>
      </c>
      <c r="H501" s="20" t="s">
        <v>297</v>
      </c>
      <c r="I501" s="20" t="s">
        <v>297</v>
      </c>
      <c r="J501" s="20" t="s">
        <v>297</v>
      </c>
      <c r="K501" s="20" t="s">
        <v>297</v>
      </c>
      <c r="L501" s="20" t="s">
        <v>297</v>
      </c>
      <c r="M501" s="20" t="s">
        <v>297</v>
      </c>
      <c r="N501" s="121">
        <v>5328.7284090909088</v>
      </c>
      <c r="O501" s="121">
        <v>5329.5611935483876</v>
      </c>
      <c r="P501" s="121">
        <v>4848.7620666666662</v>
      </c>
      <c r="Q501" s="121">
        <v>4850.6909999999998</v>
      </c>
    </row>
    <row r="502" spans="1:17" ht="46.8" x14ac:dyDescent="0.25">
      <c r="A502" s="35" t="s">
        <v>26</v>
      </c>
      <c r="B502" s="60" t="s">
        <v>198</v>
      </c>
      <c r="C502" s="35" t="s">
        <v>27</v>
      </c>
      <c r="D502" s="35" t="s">
        <v>206</v>
      </c>
      <c r="E502" s="65">
        <f>SUM(N502:Q502)</f>
        <v>578282.70499999996</v>
      </c>
      <c r="F502" s="65" t="s">
        <v>297</v>
      </c>
      <c r="G502" s="65" t="s">
        <v>297</v>
      </c>
      <c r="H502" s="65" t="s">
        <v>297</v>
      </c>
      <c r="I502" s="65" t="s">
        <v>297</v>
      </c>
      <c r="J502" s="65" t="s">
        <v>297</v>
      </c>
      <c r="K502" s="65" t="s">
        <v>297</v>
      </c>
      <c r="L502" s="65" t="s">
        <v>297</v>
      </c>
      <c r="M502" s="65" t="s">
        <v>297</v>
      </c>
      <c r="N502" s="65">
        <f t="shared" ref="N502:Q502" si="73">N501*N495</f>
        <v>117232.02499999999</v>
      </c>
      <c r="O502" s="65">
        <f t="shared" si="73"/>
        <v>165216.39700000003</v>
      </c>
      <c r="P502" s="65">
        <f t="shared" si="73"/>
        <v>145462.86199999999</v>
      </c>
      <c r="Q502" s="65">
        <f t="shared" si="73"/>
        <v>150371.421</v>
      </c>
    </row>
    <row r="503" spans="1:17" ht="62.4" x14ac:dyDescent="0.25">
      <c r="A503" s="35" t="s">
        <v>28</v>
      </c>
      <c r="B503" s="60" t="s">
        <v>199</v>
      </c>
      <c r="C503" s="35" t="s">
        <v>29</v>
      </c>
      <c r="D503" s="35" t="s">
        <v>332</v>
      </c>
      <c r="E503" s="125">
        <f>AVERAGE(N503:Q503)</f>
        <v>426.08013929618767</v>
      </c>
      <c r="F503" s="66" t="s">
        <v>297</v>
      </c>
      <c r="G503" s="66" t="s">
        <v>297</v>
      </c>
      <c r="H503" s="66" t="s">
        <v>297</v>
      </c>
      <c r="I503" s="66" t="s">
        <v>297</v>
      </c>
      <c r="J503" s="66" t="s">
        <v>297</v>
      </c>
      <c r="K503" s="66" t="s">
        <v>297</v>
      </c>
      <c r="L503" s="66" t="s">
        <v>297</v>
      </c>
      <c r="M503" s="66" t="s">
        <v>297</v>
      </c>
      <c r="N503" s="123">
        <v>426.17386363636359</v>
      </c>
      <c r="O503" s="123">
        <v>425.80645161290317</v>
      </c>
      <c r="P503" s="123">
        <v>426.06416666666661</v>
      </c>
      <c r="Q503" s="123">
        <v>426.27607526881729</v>
      </c>
    </row>
    <row r="504" spans="1:17" ht="62.4" x14ac:dyDescent="0.25">
      <c r="A504" s="35" t="s">
        <v>30</v>
      </c>
      <c r="B504" s="60" t="s">
        <v>199</v>
      </c>
      <c r="C504" s="35" t="s">
        <v>31</v>
      </c>
      <c r="D504" s="35" t="s">
        <v>331</v>
      </c>
      <c r="E504" s="125">
        <f>AVERAGE(N504:Q504)</f>
        <v>19.951105205278591</v>
      </c>
      <c r="F504" s="65" t="s">
        <v>297</v>
      </c>
      <c r="G504" s="65" t="s">
        <v>297</v>
      </c>
      <c r="H504" s="65" t="s">
        <v>297</v>
      </c>
      <c r="I504" s="65" t="s">
        <v>297</v>
      </c>
      <c r="J504" s="65" t="s">
        <v>297</v>
      </c>
      <c r="K504" s="65" t="s">
        <v>297</v>
      </c>
      <c r="L504" s="65" t="s">
        <v>297</v>
      </c>
      <c r="M504" s="65" t="s">
        <v>297</v>
      </c>
      <c r="N504" s="123">
        <v>20.043560606060602</v>
      </c>
      <c r="O504" s="123">
        <v>19.99462365591398</v>
      </c>
      <c r="P504" s="123">
        <v>19.753333333333334</v>
      </c>
      <c r="Q504" s="123">
        <v>20.012903225806451</v>
      </c>
    </row>
    <row r="505" spans="1:17" ht="62.4" x14ac:dyDescent="0.25">
      <c r="A505" s="35" t="s">
        <v>32</v>
      </c>
      <c r="B505" s="60" t="s">
        <v>200</v>
      </c>
      <c r="C505" s="35" t="s">
        <v>34</v>
      </c>
      <c r="D505" s="35" t="s">
        <v>338</v>
      </c>
      <c r="E505" s="122">
        <f>E503/1000000</f>
        <v>4.2608013929618766E-4</v>
      </c>
      <c r="F505" s="120" t="s">
        <v>297</v>
      </c>
      <c r="G505" s="120" t="s">
        <v>297</v>
      </c>
      <c r="H505" s="120" t="s">
        <v>297</v>
      </c>
      <c r="I505" s="120" t="s">
        <v>297</v>
      </c>
      <c r="J505" s="120" t="s">
        <v>297</v>
      </c>
      <c r="K505" s="120" t="s">
        <v>297</v>
      </c>
      <c r="L505" s="120" t="s">
        <v>297</v>
      </c>
      <c r="M505" s="120" t="s">
        <v>297</v>
      </c>
      <c r="N505" s="120">
        <f t="shared" ref="N505:Q505" si="74">N503/1000000</f>
        <v>4.2617386363636361E-4</v>
      </c>
      <c r="O505" s="120">
        <f t="shared" si="74"/>
        <v>4.258064516129032E-4</v>
      </c>
      <c r="P505" s="120">
        <f t="shared" si="74"/>
        <v>4.2606416666666661E-4</v>
      </c>
      <c r="Q505" s="120">
        <f t="shared" si="74"/>
        <v>4.2627607526881728E-4</v>
      </c>
    </row>
    <row r="506" spans="1:17" ht="62.4" x14ac:dyDescent="0.25">
      <c r="A506" s="35" t="s">
        <v>30</v>
      </c>
      <c r="B506" s="60" t="s">
        <v>33</v>
      </c>
      <c r="C506" s="35" t="s">
        <v>35</v>
      </c>
      <c r="D506" s="35" t="s">
        <v>339</v>
      </c>
      <c r="E506" s="122">
        <f>E504/1000000</f>
        <v>1.995110520527859E-5</v>
      </c>
      <c r="F506" s="120" t="s">
        <v>297</v>
      </c>
      <c r="G506" s="120" t="s">
        <v>297</v>
      </c>
      <c r="H506" s="120" t="s">
        <v>297</v>
      </c>
      <c r="I506" s="120" t="s">
        <v>297</v>
      </c>
      <c r="J506" s="120" t="s">
        <v>297</v>
      </c>
      <c r="K506" s="120" t="s">
        <v>297</v>
      </c>
      <c r="L506" s="120" t="s">
        <v>297</v>
      </c>
      <c r="M506" s="120" t="s">
        <v>297</v>
      </c>
      <c r="N506" s="120">
        <f t="shared" ref="N506:Q506" si="75">N504/1000000</f>
        <v>2.0043560606060601E-5</v>
      </c>
      <c r="O506" s="120">
        <f t="shared" si="75"/>
        <v>1.9994623655913979E-5</v>
      </c>
      <c r="P506" s="120">
        <f t="shared" si="75"/>
        <v>1.9753333333333333E-5</v>
      </c>
      <c r="Q506" s="120">
        <f t="shared" si="75"/>
        <v>2.0012903225806452E-5</v>
      </c>
    </row>
    <row r="507" spans="1:17" ht="46.8" x14ac:dyDescent="0.25">
      <c r="A507" s="63" t="s">
        <v>36</v>
      </c>
      <c r="B507" s="25" t="s">
        <v>201</v>
      </c>
      <c r="C507" s="35" t="s">
        <v>38</v>
      </c>
      <c r="D507" s="35" t="s">
        <v>368</v>
      </c>
      <c r="E507" s="68">
        <f>(1-(E508/E509))</f>
        <v>0.95018205175722659</v>
      </c>
      <c r="F507" s="68" t="s">
        <v>297</v>
      </c>
      <c r="G507" s="68" t="s">
        <v>297</v>
      </c>
      <c r="H507" s="68" t="s">
        <v>297</v>
      </c>
      <c r="I507" s="68" t="s">
        <v>297</v>
      </c>
      <c r="J507" s="68" t="s">
        <v>297</v>
      </c>
      <c r="K507" s="68" t="s">
        <v>297</v>
      </c>
      <c r="L507" s="68" t="s">
        <v>297</v>
      </c>
      <c r="M507" s="68" t="s">
        <v>297</v>
      </c>
      <c r="N507" s="68">
        <f>E507</f>
        <v>0.95018205175722659</v>
      </c>
      <c r="O507" s="68">
        <f>E507</f>
        <v>0.95018205175722659</v>
      </c>
      <c r="P507" s="68">
        <f>E507</f>
        <v>0.95018205175722659</v>
      </c>
      <c r="Q507" s="68">
        <f>E507</f>
        <v>0.95018205175722659</v>
      </c>
    </row>
    <row r="508" spans="1:17" ht="31.2" x14ac:dyDescent="0.25">
      <c r="A508" s="35" t="s">
        <v>39</v>
      </c>
      <c r="B508" s="25" t="s">
        <v>196</v>
      </c>
      <c r="C508" s="35" t="s">
        <v>40</v>
      </c>
      <c r="D508" s="35" t="s">
        <v>351</v>
      </c>
      <c r="E508" s="52">
        <f>SUM(F508:Q508)</f>
        <v>11.605083138600001</v>
      </c>
      <c r="F508" s="52" t="s">
        <v>297</v>
      </c>
      <c r="G508" s="52" t="s">
        <v>297</v>
      </c>
      <c r="H508" s="52" t="s">
        <v>297</v>
      </c>
      <c r="I508" s="52" t="s">
        <v>297</v>
      </c>
      <c r="J508" s="52" t="s">
        <v>297</v>
      </c>
      <c r="K508" s="52" t="s">
        <v>297</v>
      </c>
      <c r="L508" s="52" t="s">
        <v>297</v>
      </c>
      <c r="M508" s="52" t="s">
        <v>297</v>
      </c>
      <c r="N508" s="52">
        <v>2.2395774478000003</v>
      </c>
      <c r="O508" s="52">
        <v>3.1557682219000003</v>
      </c>
      <c r="P508" s="52">
        <v>3.0539692469999999</v>
      </c>
      <c r="Q508" s="52">
        <v>3.1557682219000003</v>
      </c>
    </row>
    <row r="509" spans="1:17" ht="31.2" x14ac:dyDescent="0.25">
      <c r="A509" s="63" t="s">
        <v>41</v>
      </c>
      <c r="B509" s="25" t="s">
        <v>24</v>
      </c>
      <c r="C509" s="35" t="s">
        <v>42</v>
      </c>
      <c r="D509" s="35" t="s">
        <v>351</v>
      </c>
      <c r="E509" s="52">
        <f>SUM(F509:Q509)</f>
        <v>232.94984133119999</v>
      </c>
      <c r="F509" s="52" t="s">
        <v>297</v>
      </c>
      <c r="G509" s="52" t="s">
        <v>297</v>
      </c>
      <c r="H509" s="52" t="s">
        <v>297</v>
      </c>
      <c r="I509" s="52" t="s">
        <v>297</v>
      </c>
      <c r="J509" s="52" t="s">
        <v>297</v>
      </c>
      <c r="K509" s="52" t="s">
        <v>297</v>
      </c>
      <c r="L509" s="52" t="s">
        <v>297</v>
      </c>
      <c r="M509" s="52" t="s">
        <v>297</v>
      </c>
      <c r="N509" s="52">
        <v>44.955232537600004</v>
      </c>
      <c r="O509" s="52">
        <v>63.346009484799993</v>
      </c>
      <c r="P509" s="52">
        <v>61.302589824000009</v>
      </c>
      <c r="Q509" s="52">
        <v>63.346009484799993</v>
      </c>
    </row>
    <row r="510" spans="1:17" ht="31.2" x14ac:dyDescent="0.25">
      <c r="A510" s="53" t="s">
        <v>43</v>
      </c>
      <c r="B510" s="25" t="s">
        <v>201</v>
      </c>
      <c r="C510" s="53" t="s">
        <v>44</v>
      </c>
      <c r="D510" s="35" t="s">
        <v>372</v>
      </c>
      <c r="E510" s="159">
        <f>E511*E512*0.89</f>
        <v>0.47331561062604816</v>
      </c>
      <c r="F510" s="160"/>
      <c r="G510" s="160"/>
      <c r="H510" s="160"/>
      <c r="I510" s="160"/>
      <c r="J510" s="160"/>
      <c r="K510" s="160"/>
      <c r="L510" s="160"/>
      <c r="M510" s="160"/>
      <c r="N510" s="160"/>
      <c r="O510" s="160"/>
      <c r="P510" s="160"/>
      <c r="Q510" s="161"/>
    </row>
    <row r="511" spans="1:17" ht="31.2" x14ac:dyDescent="0.25">
      <c r="A511" s="70" t="s">
        <v>45</v>
      </c>
      <c r="B511" s="25" t="s">
        <v>201</v>
      </c>
      <c r="C511" s="53" t="s">
        <v>46</v>
      </c>
      <c r="D511" s="35" t="s">
        <v>373</v>
      </c>
      <c r="E511" s="162">
        <v>0.7</v>
      </c>
      <c r="F511" s="163"/>
      <c r="G511" s="163"/>
      <c r="H511" s="163"/>
      <c r="I511" s="163"/>
      <c r="J511" s="163"/>
      <c r="K511" s="163"/>
      <c r="L511" s="163"/>
      <c r="M511" s="163"/>
      <c r="N511" s="163"/>
      <c r="O511" s="163"/>
      <c r="P511" s="163"/>
      <c r="Q511" s="164"/>
    </row>
    <row r="512" spans="1:17" ht="36" customHeight="1" x14ac:dyDescent="0.25">
      <c r="A512" s="70" t="s">
        <v>47</v>
      </c>
      <c r="B512" s="25" t="s">
        <v>37</v>
      </c>
      <c r="C512" s="53" t="s">
        <v>48</v>
      </c>
      <c r="D512" s="35" t="s">
        <v>374</v>
      </c>
      <c r="E512" s="159">
        <f>(N513*N518+O513*O518+P513*P518+Q513*Q518)/(N507*N505*N502+O507*O502*O505+P507*P505*P502+Q507*Q505*Q502)</f>
        <v>0.75973613262608053</v>
      </c>
      <c r="F512" s="160"/>
      <c r="G512" s="160"/>
      <c r="H512" s="160"/>
      <c r="I512" s="160"/>
      <c r="J512" s="160"/>
      <c r="K512" s="160"/>
      <c r="L512" s="160"/>
      <c r="M512" s="160"/>
      <c r="N512" s="160"/>
      <c r="O512" s="160"/>
      <c r="P512" s="160"/>
      <c r="Q512" s="161"/>
    </row>
    <row r="513" spans="1:133" s="9" customFormat="1" ht="46.8" x14ac:dyDescent="0.4">
      <c r="A513" s="71" t="s">
        <v>49</v>
      </c>
      <c r="B513" s="25" t="s">
        <v>37</v>
      </c>
      <c r="C513" s="53" t="s">
        <v>50</v>
      </c>
      <c r="D513" s="53" t="s">
        <v>375</v>
      </c>
      <c r="E513" s="72">
        <f>AVERAGE(F513:Q513)</f>
        <v>0.55196746463981816</v>
      </c>
      <c r="F513" s="72" t="s">
        <v>297</v>
      </c>
      <c r="G513" s="72" t="s">
        <v>297</v>
      </c>
      <c r="H513" s="72" t="s">
        <v>297</v>
      </c>
      <c r="I513" s="72" t="s">
        <v>297</v>
      </c>
      <c r="J513" s="72" t="s">
        <v>297</v>
      </c>
      <c r="K513" s="72" t="s">
        <v>297</v>
      </c>
      <c r="L513" s="72" t="s">
        <v>297</v>
      </c>
      <c r="M513" s="72" t="s">
        <v>297</v>
      </c>
      <c r="N513" s="72">
        <f t="shared" ref="N513:Q513" si="76">IF(N517&lt;283,0,IF(N517&gt;303,1,EXP(($E$23*(N517-$E$24))/($E$25*$E$24*N517))))</f>
        <v>0.84523513966163832</v>
      </c>
      <c r="O513" s="72">
        <f t="shared" si="76"/>
        <v>0.60078639810878987</v>
      </c>
      <c r="P513" s="72">
        <f t="shared" si="76"/>
        <v>0.50475941545474445</v>
      </c>
      <c r="Q513" s="72">
        <f t="shared" si="76"/>
        <v>0.25708890533410012</v>
      </c>
      <c r="R513" s="78"/>
      <c r="S513" s="78"/>
      <c r="T513" s="78"/>
      <c r="U513" s="78"/>
      <c r="V513" s="78"/>
      <c r="W513" s="78"/>
      <c r="X513" s="78"/>
      <c r="Y513" s="78"/>
      <c r="Z513" s="78"/>
      <c r="AA513" s="78"/>
      <c r="AB513" s="78"/>
      <c r="AC513" s="78"/>
      <c r="AD513" s="78"/>
      <c r="AE513" s="78"/>
      <c r="AF513" s="78"/>
      <c r="AG513" s="78"/>
      <c r="AH513" s="78"/>
      <c r="AI513" s="78"/>
      <c r="AJ513" s="78"/>
      <c r="AK513" s="78"/>
      <c r="AL513" s="78"/>
      <c r="AM513" s="78"/>
      <c r="AN513" s="78"/>
      <c r="AO513" s="78"/>
      <c r="AP513" s="78"/>
      <c r="AQ513" s="78"/>
      <c r="AR513" s="78"/>
      <c r="AS513" s="78"/>
      <c r="AT513" s="78"/>
      <c r="AU513" s="78"/>
      <c r="AV513" s="78"/>
      <c r="AW513" s="78"/>
      <c r="AX513" s="78"/>
      <c r="AY513" s="78"/>
      <c r="AZ513" s="78"/>
      <c r="BA513" s="78"/>
      <c r="BB513" s="78"/>
      <c r="BC513" s="78"/>
      <c r="BD513" s="78"/>
      <c r="BE513" s="78"/>
      <c r="BF513" s="78"/>
      <c r="BG513" s="78"/>
      <c r="BH513" s="78"/>
      <c r="BI513" s="78"/>
      <c r="BJ513" s="78"/>
      <c r="BK513" s="78"/>
      <c r="BL513" s="78"/>
      <c r="BM513" s="78"/>
      <c r="BN513" s="78"/>
      <c r="BO513" s="78"/>
      <c r="BP513" s="78"/>
      <c r="BQ513" s="78"/>
      <c r="BR513" s="78"/>
      <c r="BS513" s="78"/>
      <c r="BT513" s="78"/>
      <c r="BU513" s="78"/>
      <c r="BV513" s="78"/>
      <c r="BW513" s="78"/>
      <c r="BX513" s="78"/>
      <c r="BY513" s="78"/>
      <c r="BZ513" s="78"/>
      <c r="CA513" s="78"/>
      <c r="CB513" s="78"/>
      <c r="CC513" s="78"/>
      <c r="CD513" s="78"/>
      <c r="CE513" s="78"/>
      <c r="CF513" s="78"/>
      <c r="CG513" s="78"/>
      <c r="CH513" s="78"/>
      <c r="CI513" s="78"/>
      <c r="CJ513" s="78"/>
      <c r="CK513" s="78"/>
      <c r="CL513" s="78"/>
      <c r="CM513" s="78"/>
      <c r="CN513" s="78"/>
      <c r="CO513" s="78"/>
      <c r="CP513" s="78"/>
      <c r="CQ513" s="78"/>
      <c r="CR513" s="78"/>
      <c r="CS513" s="78"/>
      <c r="CT513" s="78"/>
      <c r="CU513" s="78"/>
      <c r="CV513" s="78"/>
      <c r="CW513" s="78"/>
      <c r="CX513" s="78"/>
      <c r="CY513" s="78"/>
      <c r="CZ513" s="78"/>
      <c r="DA513" s="78"/>
      <c r="DB513" s="78"/>
      <c r="DC513" s="78"/>
      <c r="DD513" s="78"/>
      <c r="DE513" s="78"/>
      <c r="DF513" s="78"/>
      <c r="DG513" s="78"/>
      <c r="DH513" s="78"/>
      <c r="DI513" s="78"/>
      <c r="DJ513" s="78"/>
      <c r="DK513" s="78"/>
      <c r="DL513" s="78"/>
      <c r="DM513" s="78"/>
      <c r="DN513" s="78"/>
      <c r="DO513" s="78"/>
      <c r="DP513" s="78"/>
      <c r="DQ513" s="78"/>
      <c r="DR513" s="78"/>
      <c r="DS513" s="78"/>
      <c r="DT513" s="78"/>
      <c r="DU513" s="78"/>
      <c r="DV513" s="78"/>
      <c r="DW513" s="78"/>
      <c r="DX513" s="78"/>
      <c r="DY513" s="78"/>
      <c r="DZ513" s="78"/>
      <c r="EA513" s="78"/>
      <c r="EB513" s="78"/>
      <c r="EC513" s="78"/>
    </row>
    <row r="514" spans="1:133" s="9" customFormat="1" x14ac:dyDescent="0.25">
      <c r="A514" s="73" t="s">
        <v>51</v>
      </c>
      <c r="B514" s="60" t="s">
        <v>202</v>
      </c>
      <c r="C514" s="53" t="s">
        <v>53</v>
      </c>
      <c r="D514" s="53" t="s">
        <v>376</v>
      </c>
      <c r="E514" s="162">
        <v>15175</v>
      </c>
      <c r="F514" s="163"/>
      <c r="G514" s="163"/>
      <c r="H514" s="163"/>
      <c r="I514" s="163"/>
      <c r="J514" s="163"/>
      <c r="K514" s="163"/>
      <c r="L514" s="163"/>
      <c r="M514" s="163"/>
      <c r="N514" s="163"/>
      <c r="O514" s="163"/>
      <c r="P514" s="163"/>
      <c r="Q514" s="164"/>
      <c r="R514" s="78"/>
      <c r="S514" s="78"/>
      <c r="T514" s="78"/>
      <c r="U514" s="78"/>
      <c r="V514" s="78"/>
      <c r="W514" s="78"/>
      <c r="X514" s="78"/>
      <c r="Y514" s="78"/>
      <c r="Z514" s="78"/>
      <c r="AA514" s="78"/>
      <c r="AB514" s="78"/>
      <c r="AC514" s="78"/>
      <c r="AD514" s="78"/>
      <c r="AE514" s="78"/>
      <c r="AF514" s="78"/>
      <c r="AG514" s="78"/>
      <c r="AH514" s="78"/>
      <c r="AI514" s="78"/>
      <c r="AJ514" s="78"/>
      <c r="AK514" s="78"/>
      <c r="AL514" s="78"/>
      <c r="AM514" s="78"/>
      <c r="AN514" s="78"/>
      <c r="AO514" s="78"/>
      <c r="AP514" s="78"/>
      <c r="AQ514" s="78"/>
      <c r="AR514" s="78"/>
      <c r="AS514" s="78"/>
      <c r="AT514" s="78"/>
      <c r="AU514" s="78"/>
      <c r="AV514" s="78"/>
      <c r="AW514" s="78"/>
      <c r="AX514" s="78"/>
      <c r="AY514" s="78"/>
      <c r="AZ514" s="78"/>
      <c r="BA514" s="78"/>
      <c r="BB514" s="78"/>
      <c r="BC514" s="78"/>
      <c r="BD514" s="78"/>
      <c r="BE514" s="78"/>
      <c r="BF514" s="78"/>
      <c r="BG514" s="78"/>
      <c r="BH514" s="78"/>
      <c r="BI514" s="78"/>
      <c r="BJ514" s="78"/>
      <c r="BK514" s="78"/>
      <c r="BL514" s="78"/>
      <c r="BM514" s="78"/>
      <c r="BN514" s="78"/>
      <c r="BO514" s="78"/>
      <c r="BP514" s="78"/>
      <c r="BQ514" s="78"/>
      <c r="BR514" s="78"/>
      <c r="BS514" s="78"/>
      <c r="BT514" s="78"/>
      <c r="BU514" s="78"/>
      <c r="BV514" s="78"/>
      <c r="BW514" s="78"/>
      <c r="BX514" s="78"/>
      <c r="BY514" s="78"/>
      <c r="BZ514" s="78"/>
      <c r="CA514" s="78"/>
      <c r="CB514" s="78"/>
      <c r="CC514" s="78"/>
      <c r="CD514" s="78"/>
      <c r="CE514" s="78"/>
      <c r="CF514" s="78"/>
      <c r="CG514" s="78"/>
      <c r="CH514" s="78"/>
      <c r="CI514" s="78"/>
      <c r="CJ514" s="78"/>
      <c r="CK514" s="78"/>
      <c r="CL514" s="78"/>
      <c r="CM514" s="78"/>
      <c r="CN514" s="78"/>
      <c r="CO514" s="78"/>
      <c r="CP514" s="78"/>
      <c r="CQ514" s="78"/>
      <c r="CR514" s="78"/>
      <c r="CS514" s="78"/>
      <c r="CT514" s="78"/>
      <c r="CU514" s="78"/>
      <c r="CV514" s="78"/>
      <c r="CW514" s="78"/>
      <c r="CX514" s="78"/>
      <c r="CY514" s="78"/>
      <c r="CZ514" s="78"/>
      <c r="DA514" s="78"/>
      <c r="DB514" s="78"/>
      <c r="DC514" s="78"/>
      <c r="DD514" s="78"/>
      <c r="DE514" s="78"/>
      <c r="DF514" s="78"/>
      <c r="DG514" s="78"/>
      <c r="DH514" s="78"/>
      <c r="DI514" s="78"/>
      <c r="DJ514" s="78"/>
      <c r="DK514" s="78"/>
      <c r="DL514" s="78"/>
      <c r="DM514" s="78"/>
      <c r="DN514" s="78"/>
      <c r="DO514" s="78"/>
      <c r="DP514" s="78"/>
      <c r="DQ514" s="78"/>
      <c r="DR514" s="78"/>
      <c r="DS514" s="78"/>
      <c r="DT514" s="78"/>
      <c r="DU514" s="78"/>
      <c r="DV514" s="78"/>
      <c r="DW514" s="78"/>
      <c r="DX514" s="78"/>
      <c r="DY514" s="78"/>
      <c r="DZ514" s="78"/>
      <c r="EA514" s="78"/>
      <c r="EB514" s="78"/>
      <c r="EC514" s="78"/>
    </row>
    <row r="515" spans="1:133" s="9" customFormat="1" ht="18" x14ac:dyDescent="0.25">
      <c r="A515" s="73" t="s">
        <v>54</v>
      </c>
      <c r="B515" s="60" t="s">
        <v>203</v>
      </c>
      <c r="C515" s="53" t="s">
        <v>56</v>
      </c>
      <c r="D515" s="53" t="s">
        <v>376</v>
      </c>
      <c r="E515" s="162">
        <v>303.16000000000003</v>
      </c>
      <c r="F515" s="163"/>
      <c r="G515" s="163"/>
      <c r="H515" s="163"/>
      <c r="I515" s="163"/>
      <c r="J515" s="163"/>
      <c r="K515" s="163"/>
      <c r="L515" s="163"/>
      <c r="M515" s="163"/>
      <c r="N515" s="163"/>
      <c r="O515" s="163"/>
      <c r="P515" s="163"/>
      <c r="Q515" s="164"/>
      <c r="R515" s="78"/>
      <c r="S515" s="78"/>
      <c r="T515" s="78"/>
      <c r="U515" s="78"/>
      <c r="V515" s="78"/>
      <c r="W515" s="78"/>
      <c r="X515" s="78"/>
      <c r="Y515" s="78"/>
      <c r="Z515" s="78"/>
      <c r="AA515" s="78"/>
      <c r="AB515" s="78"/>
      <c r="AC515" s="78"/>
      <c r="AD515" s="78"/>
      <c r="AE515" s="78"/>
      <c r="AF515" s="78"/>
      <c r="AG515" s="78"/>
      <c r="AH515" s="78"/>
      <c r="AI515" s="78"/>
      <c r="AJ515" s="78"/>
      <c r="AK515" s="78"/>
      <c r="AL515" s="78"/>
      <c r="AM515" s="78"/>
      <c r="AN515" s="78"/>
      <c r="AO515" s="78"/>
      <c r="AP515" s="78"/>
      <c r="AQ515" s="78"/>
      <c r="AR515" s="78"/>
      <c r="AS515" s="78"/>
      <c r="AT515" s="78"/>
      <c r="AU515" s="78"/>
      <c r="AV515" s="78"/>
      <c r="AW515" s="78"/>
      <c r="AX515" s="78"/>
      <c r="AY515" s="78"/>
      <c r="AZ515" s="78"/>
      <c r="BA515" s="78"/>
      <c r="BB515" s="78"/>
      <c r="BC515" s="78"/>
      <c r="BD515" s="78"/>
      <c r="BE515" s="78"/>
      <c r="BF515" s="78"/>
      <c r="BG515" s="78"/>
      <c r="BH515" s="78"/>
      <c r="BI515" s="78"/>
      <c r="BJ515" s="78"/>
      <c r="BK515" s="78"/>
      <c r="BL515" s="78"/>
      <c r="BM515" s="78"/>
      <c r="BN515" s="78"/>
      <c r="BO515" s="78"/>
      <c r="BP515" s="78"/>
      <c r="BQ515" s="78"/>
      <c r="BR515" s="78"/>
      <c r="BS515" s="78"/>
      <c r="BT515" s="78"/>
      <c r="BU515" s="78"/>
      <c r="BV515" s="78"/>
      <c r="BW515" s="78"/>
      <c r="BX515" s="78"/>
      <c r="BY515" s="78"/>
      <c r="BZ515" s="78"/>
      <c r="CA515" s="78"/>
      <c r="CB515" s="78"/>
      <c r="CC515" s="78"/>
      <c r="CD515" s="78"/>
      <c r="CE515" s="78"/>
      <c r="CF515" s="78"/>
      <c r="CG515" s="78"/>
      <c r="CH515" s="78"/>
      <c r="CI515" s="78"/>
      <c r="CJ515" s="78"/>
      <c r="CK515" s="78"/>
      <c r="CL515" s="78"/>
      <c r="CM515" s="78"/>
      <c r="CN515" s="78"/>
      <c r="CO515" s="78"/>
      <c r="CP515" s="78"/>
      <c r="CQ515" s="78"/>
      <c r="CR515" s="78"/>
      <c r="CS515" s="78"/>
      <c r="CT515" s="78"/>
      <c r="CU515" s="78"/>
      <c r="CV515" s="78"/>
      <c r="CW515" s="78"/>
      <c r="CX515" s="78"/>
      <c r="CY515" s="78"/>
      <c r="CZ515" s="78"/>
      <c r="DA515" s="78"/>
      <c r="DB515" s="78"/>
      <c r="DC515" s="78"/>
      <c r="DD515" s="78"/>
      <c r="DE515" s="78"/>
      <c r="DF515" s="78"/>
      <c r="DG515" s="78"/>
      <c r="DH515" s="78"/>
      <c r="DI515" s="78"/>
      <c r="DJ515" s="78"/>
      <c r="DK515" s="78"/>
      <c r="DL515" s="78"/>
      <c r="DM515" s="78"/>
      <c r="DN515" s="78"/>
      <c r="DO515" s="78"/>
      <c r="DP515" s="78"/>
      <c r="DQ515" s="78"/>
      <c r="DR515" s="78"/>
      <c r="DS515" s="78"/>
      <c r="DT515" s="78"/>
      <c r="DU515" s="78"/>
      <c r="DV515" s="78"/>
      <c r="DW515" s="78"/>
      <c r="DX515" s="78"/>
      <c r="DY515" s="78"/>
      <c r="DZ515" s="78"/>
      <c r="EA515" s="78"/>
      <c r="EB515" s="78"/>
      <c r="EC515" s="78"/>
    </row>
    <row r="516" spans="1:133" s="9" customFormat="1" x14ac:dyDescent="0.25">
      <c r="A516" s="73" t="s">
        <v>57</v>
      </c>
      <c r="B516" s="60" t="s">
        <v>204</v>
      </c>
      <c r="C516" s="53" t="s">
        <v>59</v>
      </c>
      <c r="D516" s="53" t="s">
        <v>376</v>
      </c>
      <c r="E516" s="162">
        <v>1.9870000000000001</v>
      </c>
      <c r="F516" s="163"/>
      <c r="G516" s="163"/>
      <c r="H516" s="163"/>
      <c r="I516" s="163"/>
      <c r="J516" s="163"/>
      <c r="K516" s="163"/>
      <c r="L516" s="163"/>
      <c r="M516" s="163"/>
      <c r="N516" s="163"/>
      <c r="O516" s="163"/>
      <c r="P516" s="163"/>
      <c r="Q516" s="164"/>
      <c r="R516" s="78"/>
      <c r="S516" s="78"/>
      <c r="T516" s="78"/>
      <c r="U516" s="78"/>
      <c r="V516" s="78"/>
      <c r="W516" s="78"/>
      <c r="X516" s="78"/>
      <c r="Y516" s="78"/>
      <c r="Z516" s="78"/>
      <c r="AA516" s="78"/>
      <c r="AB516" s="78"/>
      <c r="AC516" s="78"/>
      <c r="AD516" s="78"/>
      <c r="AE516" s="78"/>
      <c r="AF516" s="78"/>
      <c r="AG516" s="78"/>
      <c r="AH516" s="78"/>
      <c r="AI516" s="78"/>
      <c r="AJ516" s="78"/>
      <c r="AK516" s="78"/>
      <c r="AL516" s="78"/>
      <c r="AM516" s="78"/>
      <c r="AN516" s="78"/>
      <c r="AO516" s="78"/>
      <c r="AP516" s="78"/>
      <c r="AQ516" s="78"/>
      <c r="AR516" s="78"/>
      <c r="AS516" s="78"/>
      <c r="AT516" s="78"/>
      <c r="AU516" s="78"/>
      <c r="AV516" s="78"/>
      <c r="AW516" s="78"/>
      <c r="AX516" s="78"/>
      <c r="AY516" s="78"/>
      <c r="AZ516" s="78"/>
      <c r="BA516" s="78"/>
      <c r="BB516" s="78"/>
      <c r="BC516" s="78"/>
      <c r="BD516" s="78"/>
      <c r="BE516" s="78"/>
      <c r="BF516" s="78"/>
      <c r="BG516" s="78"/>
      <c r="BH516" s="78"/>
      <c r="BI516" s="78"/>
      <c r="BJ516" s="78"/>
      <c r="BK516" s="78"/>
      <c r="BL516" s="78"/>
      <c r="BM516" s="78"/>
      <c r="BN516" s="78"/>
      <c r="BO516" s="78"/>
      <c r="BP516" s="78"/>
      <c r="BQ516" s="78"/>
      <c r="BR516" s="78"/>
      <c r="BS516" s="78"/>
      <c r="BT516" s="78"/>
      <c r="BU516" s="78"/>
      <c r="BV516" s="78"/>
      <c r="BW516" s="78"/>
      <c r="BX516" s="78"/>
      <c r="BY516" s="78"/>
      <c r="BZ516" s="78"/>
      <c r="CA516" s="78"/>
      <c r="CB516" s="78"/>
      <c r="CC516" s="78"/>
      <c r="CD516" s="78"/>
      <c r="CE516" s="78"/>
      <c r="CF516" s="78"/>
      <c r="CG516" s="78"/>
      <c r="CH516" s="78"/>
      <c r="CI516" s="78"/>
      <c r="CJ516" s="78"/>
      <c r="CK516" s="78"/>
      <c r="CL516" s="78"/>
      <c r="CM516" s="78"/>
      <c r="CN516" s="78"/>
      <c r="CO516" s="78"/>
      <c r="CP516" s="78"/>
      <c r="CQ516" s="78"/>
      <c r="CR516" s="78"/>
      <c r="CS516" s="78"/>
      <c r="CT516" s="78"/>
      <c r="CU516" s="78"/>
      <c r="CV516" s="78"/>
      <c r="CW516" s="78"/>
      <c r="CX516" s="78"/>
      <c r="CY516" s="78"/>
      <c r="CZ516" s="78"/>
      <c r="DA516" s="78"/>
      <c r="DB516" s="78"/>
      <c r="DC516" s="78"/>
      <c r="DD516" s="78"/>
      <c r="DE516" s="78"/>
      <c r="DF516" s="78"/>
      <c r="DG516" s="78"/>
      <c r="DH516" s="78"/>
      <c r="DI516" s="78"/>
      <c r="DJ516" s="78"/>
      <c r="DK516" s="78"/>
      <c r="DL516" s="78"/>
      <c r="DM516" s="78"/>
      <c r="DN516" s="78"/>
      <c r="DO516" s="78"/>
      <c r="DP516" s="78"/>
      <c r="DQ516" s="78"/>
      <c r="DR516" s="78"/>
      <c r="DS516" s="78"/>
      <c r="DT516" s="78"/>
      <c r="DU516" s="78"/>
      <c r="DV516" s="78"/>
      <c r="DW516" s="78"/>
      <c r="DX516" s="78"/>
      <c r="DY516" s="78"/>
      <c r="DZ516" s="78"/>
      <c r="EA516" s="78"/>
      <c r="EB516" s="78"/>
      <c r="EC516" s="78"/>
    </row>
    <row r="517" spans="1:133" s="9" customFormat="1" ht="31.2" x14ac:dyDescent="0.25">
      <c r="A517" s="73" t="s">
        <v>60</v>
      </c>
      <c r="B517" s="60" t="s">
        <v>203</v>
      </c>
      <c r="C517" s="53" t="s">
        <v>61</v>
      </c>
      <c r="D517" s="143" t="s">
        <v>363</v>
      </c>
      <c r="E517" s="98">
        <f>AVERAGE(F517:Q517)</f>
        <v>295.27499999999998</v>
      </c>
      <c r="F517" s="60" t="s">
        <v>311</v>
      </c>
      <c r="G517" s="60" t="s">
        <v>297</v>
      </c>
      <c r="H517" s="60" t="s">
        <v>297</v>
      </c>
      <c r="I517" s="60" t="s">
        <v>297</v>
      </c>
      <c r="J517" s="60" t="s">
        <v>297</v>
      </c>
      <c r="K517" s="60" t="s">
        <v>297</v>
      </c>
      <c r="L517" s="60" t="s">
        <v>297</v>
      </c>
      <c r="M517" s="60" t="s">
        <v>297</v>
      </c>
      <c r="N517" s="60">
        <v>301.14999999999998</v>
      </c>
      <c r="O517" s="60">
        <v>297.14999999999998</v>
      </c>
      <c r="P517" s="60">
        <v>295.14999999999998</v>
      </c>
      <c r="Q517" s="60">
        <v>287.64999999999998</v>
      </c>
      <c r="R517" s="78"/>
      <c r="S517" s="78"/>
      <c r="T517" s="78"/>
      <c r="U517" s="78"/>
      <c r="V517" s="78"/>
      <c r="W517" s="78"/>
      <c r="X517" s="78"/>
      <c r="Y517" s="78"/>
      <c r="Z517" s="78"/>
      <c r="AA517" s="78"/>
      <c r="AB517" s="78"/>
      <c r="AC517" s="78"/>
      <c r="AD517" s="78"/>
      <c r="AE517" s="78"/>
      <c r="AF517" s="78"/>
      <c r="AG517" s="78"/>
      <c r="AH517" s="78"/>
      <c r="AI517" s="78"/>
      <c r="AJ517" s="78"/>
      <c r="AK517" s="78"/>
      <c r="AL517" s="78"/>
      <c r="AM517" s="78"/>
      <c r="AN517" s="78"/>
      <c r="AO517" s="78"/>
      <c r="AP517" s="78"/>
      <c r="AQ517" s="78"/>
      <c r="AR517" s="78"/>
      <c r="AS517" s="78"/>
      <c r="AT517" s="78"/>
      <c r="AU517" s="78"/>
      <c r="AV517" s="78"/>
      <c r="AW517" s="78"/>
      <c r="AX517" s="78"/>
      <c r="AY517" s="78"/>
      <c r="AZ517" s="78"/>
      <c r="BA517" s="78"/>
      <c r="BB517" s="78"/>
      <c r="BC517" s="78"/>
      <c r="BD517" s="78"/>
      <c r="BE517" s="78"/>
      <c r="BF517" s="78"/>
      <c r="BG517" s="78"/>
      <c r="BH517" s="78"/>
      <c r="BI517" s="78"/>
      <c r="BJ517" s="78"/>
      <c r="BK517" s="78"/>
      <c r="BL517" s="78"/>
      <c r="BM517" s="78"/>
      <c r="BN517" s="78"/>
      <c r="BO517" s="78"/>
      <c r="BP517" s="78"/>
      <c r="BQ517" s="78"/>
      <c r="BR517" s="78"/>
      <c r="BS517" s="78"/>
      <c r="BT517" s="78"/>
      <c r="BU517" s="78"/>
      <c r="BV517" s="78"/>
      <c r="BW517" s="78"/>
      <c r="BX517" s="78"/>
      <c r="BY517" s="78"/>
      <c r="BZ517" s="78"/>
      <c r="CA517" s="78"/>
      <c r="CB517" s="78"/>
      <c r="CC517" s="78"/>
      <c r="CD517" s="78"/>
      <c r="CE517" s="78"/>
      <c r="CF517" s="78"/>
      <c r="CG517" s="78"/>
      <c r="CH517" s="78"/>
      <c r="CI517" s="78"/>
      <c r="CJ517" s="78"/>
      <c r="CK517" s="78"/>
      <c r="CL517" s="78"/>
      <c r="CM517" s="78"/>
      <c r="CN517" s="78"/>
      <c r="CO517" s="78"/>
      <c r="CP517" s="78"/>
      <c r="CQ517" s="78"/>
      <c r="CR517" s="78"/>
      <c r="CS517" s="78"/>
      <c r="CT517" s="78"/>
      <c r="CU517" s="78"/>
      <c r="CV517" s="78"/>
      <c r="CW517" s="78"/>
      <c r="CX517" s="78"/>
      <c r="CY517" s="78"/>
      <c r="CZ517" s="78"/>
      <c r="DA517" s="78"/>
      <c r="DB517" s="78"/>
      <c r="DC517" s="78"/>
      <c r="DD517" s="78"/>
      <c r="DE517" s="78"/>
      <c r="DF517" s="78"/>
      <c r="DG517" s="78"/>
      <c r="DH517" s="78"/>
      <c r="DI517" s="78"/>
      <c r="DJ517" s="78"/>
      <c r="DK517" s="78"/>
      <c r="DL517" s="78"/>
      <c r="DM517" s="78"/>
      <c r="DN517" s="78"/>
      <c r="DO517" s="78"/>
      <c r="DP517" s="78"/>
      <c r="DQ517" s="78"/>
      <c r="DR517" s="78"/>
      <c r="DS517" s="78"/>
      <c r="DT517" s="78"/>
      <c r="DU517" s="78"/>
      <c r="DV517" s="78"/>
      <c r="DW517" s="78"/>
      <c r="DX517" s="78"/>
      <c r="DY517" s="78"/>
      <c r="DZ517" s="78"/>
      <c r="EA517" s="78"/>
      <c r="EB517" s="78"/>
      <c r="EC517" s="78"/>
    </row>
    <row r="518" spans="1:133" s="9" customFormat="1" ht="31.2" x14ac:dyDescent="0.4">
      <c r="A518" s="71" t="s">
        <v>62</v>
      </c>
      <c r="B518" s="60" t="s">
        <v>196</v>
      </c>
      <c r="C518" s="53" t="s">
        <v>63</v>
      </c>
      <c r="D518" s="53" t="s">
        <v>377</v>
      </c>
      <c r="E518" s="74">
        <f>SUM(F518:Q518)</f>
        <v>370.87062815286117</v>
      </c>
      <c r="F518" s="74" t="s">
        <v>297</v>
      </c>
      <c r="G518" s="74" t="s">
        <v>297</v>
      </c>
      <c r="H518" s="74" t="s">
        <v>297</v>
      </c>
      <c r="I518" s="74" t="s">
        <v>297</v>
      </c>
      <c r="J518" s="74" t="s">
        <v>297</v>
      </c>
      <c r="K518" s="74" t="s">
        <v>297</v>
      </c>
      <c r="L518" s="74" t="s">
        <v>297</v>
      </c>
      <c r="M518" s="74" t="s">
        <v>297</v>
      </c>
      <c r="N518" s="74">
        <f>N507*N502*N505+(1-N513)*0</f>
        <v>47.472259313167555</v>
      </c>
      <c r="O518" s="74">
        <f t="shared" ref="O518:Q518" si="77">O507*O502*O505+(1-O513)*N518</f>
        <v>85.79707637636298</v>
      </c>
      <c r="P518" s="74">
        <f t="shared" si="77"/>
        <v>101.37916461504614</v>
      </c>
      <c r="Q518" s="74">
        <f t="shared" si="77"/>
        <v>136.22212784828449</v>
      </c>
      <c r="R518" s="78"/>
      <c r="S518" s="78"/>
      <c r="T518" s="78"/>
      <c r="U518" s="78"/>
      <c r="V518" s="78"/>
      <c r="W518" s="78"/>
      <c r="X518" s="78"/>
      <c r="Y518" s="78"/>
      <c r="Z518" s="78"/>
      <c r="AA518" s="78"/>
      <c r="AB518" s="78"/>
      <c r="AC518" s="78"/>
      <c r="AD518" s="78"/>
      <c r="AE518" s="78"/>
      <c r="AF518" s="78"/>
      <c r="AG518" s="78"/>
      <c r="AH518" s="78"/>
      <c r="AI518" s="78"/>
      <c r="AJ518" s="78"/>
      <c r="AK518" s="78"/>
      <c r="AL518" s="78"/>
      <c r="AM518" s="78"/>
      <c r="AN518" s="78"/>
      <c r="AO518" s="78"/>
      <c r="AP518" s="78"/>
      <c r="AQ518" s="78"/>
      <c r="AR518" s="78"/>
      <c r="AS518" s="78"/>
      <c r="AT518" s="78"/>
      <c r="AU518" s="78"/>
      <c r="AV518" s="78"/>
      <c r="AW518" s="78"/>
      <c r="AX518" s="78"/>
      <c r="AY518" s="78"/>
      <c r="AZ518" s="78"/>
      <c r="BA518" s="78"/>
      <c r="BB518" s="78"/>
      <c r="BC518" s="78"/>
      <c r="BD518" s="78"/>
      <c r="BE518" s="78"/>
      <c r="BF518" s="78"/>
      <c r="BG518" s="78"/>
      <c r="BH518" s="78"/>
      <c r="BI518" s="78"/>
      <c r="BJ518" s="78"/>
      <c r="BK518" s="78"/>
      <c r="BL518" s="78"/>
      <c r="BM518" s="78"/>
      <c r="BN518" s="78"/>
      <c r="BO518" s="78"/>
      <c r="BP518" s="78"/>
      <c r="BQ518" s="78"/>
      <c r="BR518" s="78"/>
      <c r="BS518" s="78"/>
      <c r="BT518" s="78"/>
      <c r="BU518" s="78"/>
      <c r="BV518" s="78"/>
      <c r="BW518" s="78"/>
      <c r="BX518" s="78"/>
      <c r="BY518" s="78"/>
      <c r="BZ518" s="78"/>
      <c r="CA518" s="78"/>
      <c r="CB518" s="78"/>
      <c r="CC518" s="78"/>
      <c r="CD518" s="78"/>
      <c r="CE518" s="78"/>
      <c r="CF518" s="78"/>
      <c r="CG518" s="78"/>
      <c r="CH518" s="78"/>
      <c r="CI518" s="78"/>
      <c r="CJ518" s="78"/>
      <c r="CK518" s="78"/>
      <c r="CL518" s="78"/>
      <c r="CM518" s="78"/>
      <c r="CN518" s="78"/>
      <c r="CO518" s="78"/>
      <c r="CP518" s="78"/>
      <c r="CQ518" s="78"/>
      <c r="CR518" s="78"/>
      <c r="CS518" s="78"/>
      <c r="CT518" s="78"/>
      <c r="CU518" s="78"/>
      <c r="CV518" s="78"/>
      <c r="CW518" s="78"/>
      <c r="CX518" s="78"/>
      <c r="CY518" s="78"/>
      <c r="CZ518" s="78"/>
      <c r="DA518" s="78"/>
      <c r="DB518" s="78"/>
      <c r="DC518" s="78"/>
      <c r="DD518" s="78"/>
      <c r="DE518" s="78"/>
      <c r="DF518" s="78"/>
      <c r="DG518" s="78"/>
      <c r="DH518" s="78"/>
      <c r="DI518" s="78"/>
      <c r="DJ518" s="78"/>
      <c r="DK518" s="78"/>
      <c r="DL518" s="78"/>
      <c r="DM518" s="78"/>
      <c r="DN518" s="78"/>
      <c r="DO518" s="78"/>
      <c r="DP518" s="78"/>
      <c r="DQ518" s="78"/>
      <c r="DR518" s="78"/>
      <c r="DS518" s="78"/>
      <c r="DT518" s="78"/>
      <c r="DU518" s="78"/>
      <c r="DV518" s="78"/>
      <c r="DW518" s="78"/>
      <c r="DX518" s="78"/>
      <c r="DY518" s="78"/>
      <c r="DZ518" s="78"/>
      <c r="EA518" s="78"/>
      <c r="EB518" s="78"/>
      <c r="EC518" s="78"/>
    </row>
    <row r="520" spans="1:133" ht="15.6" customHeight="1" x14ac:dyDescent="0.25">
      <c r="A520" s="36" t="s">
        <v>64</v>
      </c>
      <c r="B520" s="36"/>
      <c r="C520" s="36"/>
      <c r="D520" s="36"/>
      <c r="E520" s="36"/>
    </row>
    <row r="521" spans="1:133" x14ac:dyDescent="0.25">
      <c r="A521" s="57" t="s">
        <v>8</v>
      </c>
      <c r="B521" s="58" t="s">
        <v>9</v>
      </c>
      <c r="C521" s="34" t="s">
        <v>10</v>
      </c>
      <c r="D521" s="34" t="s">
        <v>340</v>
      </c>
      <c r="E521" s="16" t="s">
        <v>65</v>
      </c>
    </row>
    <row r="522" spans="1:133" ht="46.8" x14ac:dyDescent="0.25">
      <c r="A522" s="59" t="s">
        <v>66</v>
      </c>
      <c r="B522" s="60" t="s">
        <v>14</v>
      </c>
      <c r="C522" s="53" t="s">
        <v>67</v>
      </c>
      <c r="D522" s="53" t="s">
        <v>68</v>
      </c>
      <c r="E522" s="75">
        <v>0</v>
      </c>
    </row>
    <row r="523" spans="1:133" ht="46.8" x14ac:dyDescent="0.25">
      <c r="A523" s="63" t="s">
        <v>69</v>
      </c>
      <c r="B523" s="25" t="s">
        <v>70</v>
      </c>
      <c r="C523" s="35" t="s">
        <v>71</v>
      </c>
      <c r="D523" s="53" t="str">
        <f>D529</f>
        <v>Historical data on site in the FSR (It was calculated with conservative value)</v>
      </c>
      <c r="E523" s="74">
        <f>E529</f>
        <v>107.50575679477065</v>
      </c>
    </row>
    <row r="525" spans="1:133" ht="15.6" customHeight="1" x14ac:dyDescent="0.25">
      <c r="A525" s="90" t="s">
        <v>72</v>
      </c>
      <c r="B525" s="90"/>
      <c r="C525" s="91"/>
      <c r="D525" s="91"/>
      <c r="E525" s="90"/>
    </row>
    <row r="526" spans="1:133" x14ac:dyDescent="0.25">
      <c r="A526" s="59" t="s">
        <v>8</v>
      </c>
      <c r="B526" s="16" t="s">
        <v>9</v>
      </c>
      <c r="C526" s="38" t="s">
        <v>10</v>
      </c>
      <c r="D526" s="38" t="s">
        <v>340</v>
      </c>
      <c r="E526" s="16" t="s">
        <v>65</v>
      </c>
    </row>
    <row r="527" spans="1:133" ht="33.6" x14ac:dyDescent="0.4">
      <c r="A527" s="76" t="s">
        <v>73</v>
      </c>
      <c r="B527" s="25" t="s">
        <v>74</v>
      </c>
      <c r="C527" s="35" t="s">
        <v>75</v>
      </c>
      <c r="D527" s="35" t="s">
        <v>378</v>
      </c>
      <c r="E527" s="50">
        <f>E528*E531*E532*E533*E534*E535</f>
        <v>0.43665946237703723</v>
      </c>
    </row>
    <row r="528" spans="1:133" ht="46.8" x14ac:dyDescent="0.4">
      <c r="A528" s="77" t="s">
        <v>207</v>
      </c>
      <c r="B528" s="25" t="s">
        <v>76</v>
      </c>
      <c r="C528" s="35" t="s">
        <v>77</v>
      </c>
      <c r="D528" s="35" t="s">
        <v>379</v>
      </c>
      <c r="E528" s="52">
        <f>E529/E530</f>
        <v>21.501151358954129</v>
      </c>
    </row>
    <row r="529" spans="1:5" ht="46.8" x14ac:dyDescent="0.25">
      <c r="A529" s="63" t="s">
        <v>208</v>
      </c>
      <c r="B529" s="25" t="s">
        <v>78</v>
      </c>
      <c r="C529" s="35" t="s">
        <v>79</v>
      </c>
      <c r="D529" s="53" t="s">
        <v>352</v>
      </c>
      <c r="E529" s="52">
        <f>0.000185905191120614*E502</f>
        <v>107.50575679477065</v>
      </c>
    </row>
    <row r="530" spans="1:5" ht="31.2" x14ac:dyDescent="0.25">
      <c r="A530" s="63" t="s">
        <v>209</v>
      </c>
      <c r="B530" s="25" t="s">
        <v>80</v>
      </c>
      <c r="C530" s="35" t="s">
        <v>81</v>
      </c>
      <c r="D530" s="35" t="s">
        <v>353</v>
      </c>
      <c r="E530" s="25">
        <f>5</f>
        <v>5</v>
      </c>
    </row>
    <row r="531" spans="1:5" ht="62.4" x14ac:dyDescent="0.25">
      <c r="A531" s="63" t="s">
        <v>210</v>
      </c>
      <c r="B531" s="25" t="s">
        <v>82</v>
      </c>
      <c r="C531" s="35" t="s">
        <v>83</v>
      </c>
      <c r="D531" s="53" t="s">
        <v>354</v>
      </c>
      <c r="E531" s="25">
        <f>15*2</f>
        <v>30</v>
      </c>
    </row>
    <row r="532" spans="1:5" ht="172.2" x14ac:dyDescent="0.25">
      <c r="A532" s="63" t="s">
        <v>211</v>
      </c>
      <c r="B532" s="25" t="s">
        <v>84</v>
      </c>
      <c r="C532" s="35" t="s">
        <v>85</v>
      </c>
      <c r="D532" s="35" t="s">
        <v>355</v>
      </c>
      <c r="E532" s="25">
        <f>25.1/100</f>
        <v>0.251</v>
      </c>
    </row>
    <row r="533" spans="1:5" ht="156" x14ac:dyDescent="0.25">
      <c r="A533" s="63" t="s">
        <v>212</v>
      </c>
      <c r="B533" s="25" t="s">
        <v>87</v>
      </c>
      <c r="C533" s="35" t="s">
        <v>86</v>
      </c>
      <c r="D533" s="35" t="s">
        <v>356</v>
      </c>
      <c r="E533" s="25">
        <f>0.84/1000</f>
        <v>8.3999999999999993E-4</v>
      </c>
    </row>
    <row r="534" spans="1:5" ht="171.6" x14ac:dyDescent="0.25">
      <c r="A534" s="63" t="s">
        <v>213</v>
      </c>
      <c r="B534" s="25" t="s">
        <v>88</v>
      </c>
      <c r="C534" s="35" t="s">
        <v>89</v>
      </c>
      <c r="D534" s="35" t="s">
        <v>357</v>
      </c>
      <c r="E534" s="25">
        <f>43.33/1000</f>
        <v>4.333E-2</v>
      </c>
    </row>
    <row r="535" spans="1:5" ht="62.4" x14ac:dyDescent="0.25">
      <c r="A535" s="63" t="s">
        <v>214</v>
      </c>
      <c r="B535" s="25" t="s">
        <v>90</v>
      </c>
      <c r="C535" s="35" t="s">
        <v>91</v>
      </c>
      <c r="D535" s="35" t="s">
        <v>358</v>
      </c>
      <c r="E535" s="25">
        <v>74.099999999999994</v>
      </c>
    </row>
    <row r="537" spans="1:5" ht="15.6" customHeight="1" x14ac:dyDescent="0.25">
      <c r="A537" s="36" t="s">
        <v>93</v>
      </c>
      <c r="B537" s="36"/>
      <c r="C537" s="36"/>
      <c r="D537" s="36"/>
      <c r="E537" s="36"/>
    </row>
    <row r="538" spans="1:5" x14ac:dyDescent="0.25">
      <c r="A538" s="57" t="s">
        <v>8</v>
      </c>
      <c r="B538" s="58" t="s">
        <v>9</v>
      </c>
      <c r="C538" s="34" t="s">
        <v>10</v>
      </c>
      <c r="D538" s="34" t="s">
        <v>340</v>
      </c>
      <c r="E538" s="16" t="s">
        <v>65</v>
      </c>
    </row>
    <row r="539" spans="1:5" ht="64.8" x14ac:dyDescent="0.25">
      <c r="A539" s="15" t="s">
        <v>94</v>
      </c>
      <c r="B539" s="25" t="s">
        <v>95</v>
      </c>
      <c r="C539" s="35" t="s">
        <v>96</v>
      </c>
      <c r="D539" s="35" t="s">
        <v>97</v>
      </c>
      <c r="E539" s="16">
        <v>0</v>
      </c>
    </row>
    <row r="541" spans="1:5" ht="15.6" customHeight="1" x14ac:dyDescent="0.25">
      <c r="A541" s="36" t="s">
        <v>98</v>
      </c>
      <c r="B541" s="36"/>
      <c r="C541" s="36"/>
      <c r="D541" s="36"/>
      <c r="E541" s="36"/>
    </row>
    <row r="542" spans="1:5" x14ac:dyDescent="0.25">
      <c r="A542" s="57" t="s">
        <v>8</v>
      </c>
      <c r="B542" s="58" t="s">
        <v>9</v>
      </c>
      <c r="C542" s="34" t="s">
        <v>10</v>
      </c>
      <c r="D542" s="34" t="s">
        <v>340</v>
      </c>
      <c r="E542" s="16" t="s">
        <v>65</v>
      </c>
    </row>
    <row r="543" spans="1:5" ht="49.2" x14ac:dyDescent="0.25">
      <c r="A543" s="15" t="s">
        <v>99</v>
      </c>
      <c r="B543" s="25" t="s">
        <v>95</v>
      </c>
      <c r="C543" s="35" t="s">
        <v>100</v>
      </c>
      <c r="D543" s="35" t="s">
        <v>101</v>
      </c>
      <c r="E543" s="16">
        <v>0</v>
      </c>
    </row>
    <row r="545" spans="1:133" x14ac:dyDescent="0.25">
      <c r="A545" s="57" t="s">
        <v>8</v>
      </c>
      <c r="B545" s="58" t="s">
        <v>9</v>
      </c>
      <c r="C545" s="34" t="s">
        <v>10</v>
      </c>
      <c r="D545" s="34" t="s">
        <v>340</v>
      </c>
      <c r="E545" s="16" t="s">
        <v>65</v>
      </c>
    </row>
    <row r="546" spans="1:133" ht="18" x14ac:dyDescent="0.25">
      <c r="A546" s="59" t="s">
        <v>102</v>
      </c>
      <c r="B546" s="25" t="s">
        <v>103</v>
      </c>
      <c r="C546" s="35" t="s">
        <v>104</v>
      </c>
      <c r="D546" s="53" t="s">
        <v>380</v>
      </c>
      <c r="E546" s="18">
        <f>ROUNDDOWN(E496+E527+E522+E539+E543,0)</f>
        <v>651</v>
      </c>
    </row>
    <row r="547" spans="1:133" s="167" customFormat="1" ht="43.2" customHeight="1" x14ac:dyDescent="0.25">
      <c r="A547" s="171" t="s">
        <v>229</v>
      </c>
      <c r="B547" s="172"/>
      <c r="C547" s="172"/>
      <c r="D547" s="172"/>
      <c r="E547" s="172"/>
      <c r="F547" s="172"/>
      <c r="G547" s="172"/>
      <c r="H547" s="172"/>
      <c r="I547" s="172"/>
      <c r="J547" s="172"/>
      <c r="K547" s="172"/>
      <c r="L547" s="172"/>
      <c r="M547" s="172"/>
      <c r="N547" s="172"/>
      <c r="O547" s="172"/>
      <c r="P547" s="172"/>
      <c r="Q547" s="172"/>
      <c r="R547" s="172"/>
      <c r="S547" s="172"/>
      <c r="T547" s="172"/>
      <c r="U547" s="172"/>
      <c r="V547" s="172"/>
      <c r="W547" s="172"/>
      <c r="X547" s="172"/>
      <c r="Y547" s="172"/>
      <c r="Z547" s="172"/>
      <c r="AA547" s="172"/>
      <c r="AB547" s="172"/>
      <c r="AC547" s="172"/>
      <c r="AD547" s="172"/>
      <c r="AE547" s="172"/>
      <c r="AF547" s="172"/>
      <c r="AG547" s="172"/>
      <c r="AH547" s="172"/>
      <c r="AI547" s="172"/>
      <c r="AJ547" s="172"/>
      <c r="AK547" s="172"/>
      <c r="AL547" s="172"/>
      <c r="AM547" s="172"/>
      <c r="AN547" s="172"/>
      <c r="AO547" s="172"/>
      <c r="AP547" s="172"/>
      <c r="AQ547" s="172"/>
      <c r="AR547" s="172"/>
      <c r="AS547" s="172"/>
      <c r="AT547" s="172"/>
      <c r="AU547" s="172"/>
      <c r="AV547" s="172"/>
      <c r="AW547" s="172"/>
      <c r="AX547" s="172"/>
      <c r="AY547" s="172"/>
      <c r="AZ547" s="172"/>
      <c r="BA547" s="172"/>
      <c r="BB547" s="172"/>
      <c r="BC547" s="172"/>
      <c r="BD547" s="172"/>
      <c r="BE547" s="172"/>
      <c r="BF547" s="172"/>
      <c r="BG547" s="172"/>
      <c r="BH547" s="172"/>
      <c r="BI547" s="172"/>
      <c r="BJ547" s="172"/>
      <c r="BK547" s="172"/>
      <c r="BL547" s="172"/>
      <c r="BM547" s="172"/>
      <c r="BN547" s="172"/>
      <c r="BO547" s="172"/>
      <c r="BP547" s="172"/>
      <c r="BQ547" s="172"/>
      <c r="BR547" s="172"/>
      <c r="BS547" s="172"/>
      <c r="BT547" s="172"/>
      <c r="BU547" s="172"/>
      <c r="BV547" s="172"/>
      <c r="BW547" s="172"/>
      <c r="BX547" s="172"/>
      <c r="BY547" s="172"/>
      <c r="BZ547" s="172"/>
      <c r="CA547" s="172"/>
      <c r="CB547" s="172"/>
      <c r="CC547" s="172"/>
      <c r="CD547" s="172"/>
      <c r="CE547" s="172"/>
      <c r="CF547" s="172"/>
      <c r="CG547" s="172"/>
      <c r="CH547" s="172"/>
      <c r="CI547" s="172"/>
      <c r="CJ547" s="172"/>
      <c r="CK547" s="172"/>
      <c r="CL547" s="172"/>
      <c r="CM547" s="172"/>
      <c r="CN547" s="172"/>
      <c r="CO547" s="172"/>
      <c r="CP547" s="172"/>
      <c r="CQ547" s="172"/>
      <c r="CR547" s="172"/>
      <c r="CS547" s="172"/>
      <c r="CT547" s="172"/>
      <c r="CU547" s="172"/>
      <c r="CV547" s="172"/>
      <c r="CW547" s="172"/>
      <c r="CX547" s="172"/>
      <c r="CY547" s="172"/>
      <c r="CZ547" s="172"/>
      <c r="DA547" s="172"/>
      <c r="DB547" s="172"/>
      <c r="DC547" s="172"/>
      <c r="DD547" s="172"/>
      <c r="DE547" s="172"/>
      <c r="DF547" s="172"/>
      <c r="DG547" s="172"/>
      <c r="DH547" s="172"/>
      <c r="DI547" s="172"/>
      <c r="DJ547" s="172"/>
      <c r="DK547" s="172"/>
      <c r="DL547" s="172"/>
      <c r="DM547" s="172"/>
      <c r="DN547" s="172"/>
      <c r="DO547" s="172"/>
      <c r="DP547" s="172"/>
      <c r="DQ547" s="172"/>
      <c r="DR547" s="172"/>
      <c r="DS547" s="172"/>
      <c r="DT547" s="172"/>
      <c r="DU547" s="172"/>
      <c r="DV547" s="172"/>
      <c r="DW547" s="172"/>
      <c r="DX547" s="172"/>
      <c r="DY547" s="172"/>
      <c r="DZ547" s="172"/>
      <c r="EA547" s="172"/>
      <c r="EB547" s="172"/>
      <c r="EC547" s="173"/>
    </row>
    <row r="548" spans="1:133" s="56" customFormat="1" ht="31.2" x14ac:dyDescent="0.25">
      <c r="A548" s="92" t="s">
        <v>8</v>
      </c>
      <c r="B548" s="93" t="s">
        <v>9</v>
      </c>
      <c r="C548" s="94" t="s">
        <v>10</v>
      </c>
      <c r="D548" s="93" t="s">
        <v>341</v>
      </c>
      <c r="E548" s="93" t="s">
        <v>11</v>
      </c>
      <c r="F548" s="16" t="s">
        <v>292</v>
      </c>
      <c r="G548" s="16" t="s">
        <v>292</v>
      </c>
      <c r="H548" s="16" t="s">
        <v>292</v>
      </c>
      <c r="I548" s="16" t="s">
        <v>292</v>
      </c>
      <c r="J548" s="16" t="s">
        <v>292</v>
      </c>
      <c r="K548" s="16" t="s">
        <v>292</v>
      </c>
      <c r="L548" s="16" t="s">
        <v>292</v>
      </c>
      <c r="M548" s="16" t="s">
        <v>292</v>
      </c>
      <c r="N548" s="16" t="s">
        <v>307</v>
      </c>
      <c r="O548" s="16" t="s">
        <v>293</v>
      </c>
      <c r="P548" s="16" t="s">
        <v>294</v>
      </c>
      <c r="Q548" s="16" t="s">
        <v>295</v>
      </c>
      <c r="R548" s="54"/>
      <c r="S548" s="54"/>
      <c r="T548" s="54"/>
      <c r="U548" s="54"/>
      <c r="V548" s="54"/>
      <c r="W548" s="54"/>
      <c r="X548" s="54"/>
      <c r="Y548" s="54"/>
      <c r="Z548" s="54"/>
      <c r="AA548" s="54"/>
      <c r="AB548" s="54"/>
      <c r="AC548" s="54"/>
      <c r="AD548" s="54"/>
      <c r="AE548" s="54"/>
      <c r="AF548" s="54"/>
      <c r="AG548" s="54"/>
      <c r="AH548" s="54"/>
      <c r="AI548" s="54"/>
      <c r="AJ548" s="54"/>
      <c r="AK548" s="54"/>
      <c r="AL548" s="54"/>
      <c r="AM548" s="54"/>
      <c r="AN548" s="54"/>
      <c r="AO548" s="54"/>
      <c r="AP548" s="54"/>
      <c r="AQ548" s="54"/>
      <c r="AR548" s="54"/>
      <c r="AS548" s="54"/>
      <c r="AT548" s="54"/>
      <c r="AU548" s="54"/>
      <c r="AV548" s="54"/>
      <c r="AW548" s="54"/>
      <c r="AX548" s="54"/>
      <c r="AY548" s="54"/>
      <c r="AZ548" s="54"/>
      <c r="BA548" s="54"/>
      <c r="BB548" s="54"/>
      <c r="BC548" s="54"/>
      <c r="BD548" s="54"/>
      <c r="BE548" s="54"/>
      <c r="BF548" s="54"/>
      <c r="BG548" s="54"/>
      <c r="BH548" s="54"/>
      <c r="BI548" s="54"/>
      <c r="BJ548" s="54"/>
      <c r="BK548" s="54"/>
      <c r="BL548" s="54"/>
      <c r="BM548" s="54"/>
      <c r="BN548" s="54"/>
      <c r="BO548" s="54"/>
      <c r="BP548" s="54"/>
      <c r="BQ548" s="54"/>
      <c r="BR548" s="54"/>
      <c r="BS548" s="54"/>
      <c r="BT548" s="54"/>
      <c r="BU548" s="54"/>
      <c r="BV548" s="54"/>
      <c r="BW548" s="54"/>
      <c r="BX548" s="54"/>
      <c r="BY548" s="54"/>
      <c r="BZ548" s="54"/>
      <c r="CA548" s="54"/>
      <c r="CB548" s="54"/>
      <c r="CC548" s="54"/>
      <c r="CD548" s="54"/>
      <c r="CE548" s="54"/>
      <c r="CF548" s="54"/>
      <c r="CG548" s="54"/>
      <c r="CH548" s="54"/>
      <c r="CI548" s="54"/>
      <c r="CJ548" s="54"/>
      <c r="CK548" s="54"/>
      <c r="CL548" s="54"/>
      <c r="CM548" s="54"/>
      <c r="CN548" s="54"/>
      <c r="CO548" s="54"/>
      <c r="CP548" s="54"/>
      <c r="CQ548" s="54"/>
      <c r="CR548" s="54"/>
      <c r="CS548" s="54"/>
      <c r="CT548" s="54"/>
      <c r="CU548" s="54"/>
      <c r="CV548" s="54"/>
      <c r="CW548" s="54"/>
      <c r="CX548" s="54"/>
      <c r="CY548" s="54"/>
      <c r="CZ548" s="54"/>
      <c r="DA548" s="54"/>
      <c r="DB548" s="54"/>
      <c r="DC548" s="54"/>
      <c r="DD548" s="54"/>
      <c r="DE548" s="54"/>
      <c r="DF548" s="54"/>
      <c r="DG548" s="54"/>
      <c r="DH548" s="54"/>
      <c r="DI548" s="54"/>
      <c r="DJ548" s="54"/>
      <c r="DK548" s="54"/>
      <c r="DL548" s="54"/>
      <c r="DM548" s="54"/>
      <c r="DN548" s="54"/>
      <c r="DO548" s="54"/>
      <c r="DP548" s="54"/>
      <c r="DQ548" s="54"/>
      <c r="DR548" s="54"/>
      <c r="DS548" s="54"/>
      <c r="DT548" s="54"/>
      <c r="DU548" s="54"/>
      <c r="DV548" s="54"/>
      <c r="DW548" s="54"/>
      <c r="DX548" s="54"/>
      <c r="DY548" s="54"/>
      <c r="DZ548" s="54"/>
      <c r="EA548" s="54"/>
      <c r="EB548" s="54"/>
      <c r="EC548" s="54"/>
    </row>
    <row r="549" spans="1:133" s="56" customFormat="1" x14ac:dyDescent="0.25">
      <c r="A549" s="58" t="s">
        <v>12</v>
      </c>
      <c r="B549" s="58"/>
      <c r="C549" s="34"/>
      <c r="D549" s="34"/>
      <c r="E549" s="58"/>
      <c r="F549" s="16" t="s">
        <v>297</v>
      </c>
      <c r="G549" s="16" t="s">
        <v>297</v>
      </c>
      <c r="H549" s="16" t="s">
        <v>297</v>
      </c>
      <c r="I549" s="16" t="s">
        <v>297</v>
      </c>
      <c r="J549" s="16" t="s">
        <v>297</v>
      </c>
      <c r="K549" s="16" t="s">
        <v>297</v>
      </c>
      <c r="L549" s="16" t="s">
        <v>297</v>
      </c>
      <c r="M549" s="16" t="s">
        <v>297</v>
      </c>
      <c r="N549" s="16">
        <v>19</v>
      </c>
      <c r="O549" s="16">
        <v>31</v>
      </c>
      <c r="P549" s="16">
        <v>30</v>
      </c>
      <c r="Q549" s="16">
        <v>31</v>
      </c>
      <c r="R549" s="54"/>
      <c r="S549" s="54"/>
      <c r="T549" s="54"/>
      <c r="U549" s="54"/>
      <c r="V549" s="54"/>
      <c r="W549" s="54"/>
      <c r="X549" s="54"/>
      <c r="Y549" s="54"/>
      <c r="Z549" s="54"/>
      <c r="AA549" s="54"/>
      <c r="AB549" s="54"/>
      <c r="AC549" s="54"/>
      <c r="AD549" s="54"/>
      <c r="AE549" s="54"/>
      <c r="AF549" s="54"/>
      <c r="AG549" s="54"/>
      <c r="AH549" s="54"/>
      <c r="AI549" s="54"/>
      <c r="AJ549" s="54"/>
      <c r="AK549" s="54"/>
      <c r="AL549" s="54"/>
      <c r="AM549" s="54"/>
      <c r="AN549" s="54"/>
      <c r="AO549" s="54"/>
      <c r="AP549" s="54"/>
      <c r="AQ549" s="54"/>
      <c r="AR549" s="54"/>
      <c r="AS549" s="54"/>
      <c r="AT549" s="54"/>
      <c r="AU549" s="54"/>
      <c r="AV549" s="54"/>
      <c r="AW549" s="54"/>
      <c r="AX549" s="54"/>
      <c r="AY549" s="54"/>
      <c r="AZ549" s="54"/>
      <c r="BA549" s="54"/>
      <c r="BB549" s="54"/>
      <c r="BC549" s="54"/>
      <c r="BD549" s="54"/>
      <c r="BE549" s="54"/>
      <c r="BF549" s="54"/>
      <c r="BG549" s="54"/>
      <c r="BH549" s="54"/>
      <c r="BI549" s="54"/>
      <c r="BJ549" s="54"/>
      <c r="BK549" s="54"/>
      <c r="BL549" s="54"/>
      <c r="BM549" s="54"/>
      <c r="BN549" s="54"/>
      <c r="BO549" s="54"/>
      <c r="BP549" s="54"/>
      <c r="BQ549" s="54"/>
      <c r="BR549" s="54"/>
      <c r="BS549" s="54"/>
      <c r="BT549" s="54"/>
      <c r="BU549" s="54"/>
      <c r="BV549" s="54"/>
      <c r="BW549" s="54"/>
      <c r="BX549" s="54"/>
      <c r="BY549" s="54"/>
      <c r="BZ549" s="54"/>
      <c r="CA549" s="54"/>
      <c r="CB549" s="54"/>
      <c r="CC549" s="54"/>
      <c r="CD549" s="54"/>
      <c r="CE549" s="54"/>
      <c r="CF549" s="54"/>
      <c r="CG549" s="54"/>
      <c r="CH549" s="54"/>
      <c r="CI549" s="54"/>
      <c r="CJ549" s="54"/>
      <c r="CK549" s="54"/>
      <c r="CL549" s="54"/>
      <c r="CM549" s="54"/>
      <c r="CN549" s="54"/>
      <c r="CO549" s="54"/>
      <c r="CP549" s="54"/>
      <c r="CQ549" s="54"/>
      <c r="CR549" s="54"/>
      <c r="CS549" s="54"/>
      <c r="CT549" s="54"/>
      <c r="CU549" s="54"/>
      <c r="CV549" s="54"/>
      <c r="CW549" s="54"/>
      <c r="CX549" s="54"/>
      <c r="CY549" s="54"/>
      <c r="CZ549" s="54"/>
      <c r="DA549" s="54"/>
      <c r="DB549" s="54"/>
      <c r="DC549" s="54"/>
      <c r="DD549" s="54"/>
      <c r="DE549" s="54"/>
      <c r="DF549" s="54"/>
      <c r="DG549" s="54"/>
      <c r="DH549" s="54"/>
      <c r="DI549" s="54"/>
      <c r="DJ549" s="54"/>
      <c r="DK549" s="54"/>
      <c r="DL549" s="54"/>
      <c r="DM549" s="54"/>
      <c r="DN549" s="54"/>
      <c r="DO549" s="54"/>
      <c r="DP549" s="54"/>
      <c r="DQ549" s="54"/>
      <c r="DR549" s="54"/>
      <c r="DS549" s="54"/>
      <c r="DT549" s="54"/>
      <c r="DU549" s="54"/>
      <c r="DV549" s="54"/>
      <c r="DW549" s="54"/>
      <c r="DX549" s="54"/>
      <c r="DY549" s="54"/>
      <c r="DZ549" s="54"/>
      <c r="EA549" s="54"/>
      <c r="EB549" s="54"/>
      <c r="EC549" s="54"/>
    </row>
    <row r="550" spans="1:133" ht="46.8" x14ac:dyDescent="0.25">
      <c r="A550" s="59" t="s">
        <v>13</v>
      </c>
      <c r="B550" s="60" t="s">
        <v>14</v>
      </c>
      <c r="C550" s="53" t="s">
        <v>15</v>
      </c>
      <c r="D550" s="53" t="s">
        <v>369</v>
      </c>
      <c r="E550" s="61">
        <f>SUM(F550:Q550)</f>
        <v>739.86720325655574</v>
      </c>
      <c r="F550" s="62" t="s">
        <v>297</v>
      </c>
      <c r="G550" s="62" t="s">
        <v>297</v>
      </c>
      <c r="H550" s="62" t="s">
        <v>297</v>
      </c>
      <c r="I550" s="62" t="s">
        <v>297</v>
      </c>
      <c r="J550" s="62" t="s">
        <v>297</v>
      </c>
      <c r="K550" s="62" t="s">
        <v>297</v>
      </c>
      <c r="L550" s="62" t="s">
        <v>297</v>
      </c>
      <c r="M550" s="62" t="s">
        <v>297</v>
      </c>
      <c r="N550" s="62">
        <f>$E$551*$E$552*N553*$E$564</f>
        <v>135.8697408995595</v>
      </c>
      <c r="O550" s="62">
        <f t="shared" ref="O550:Q550" si="78">$E$551*$E$552*O553*$E$564</f>
        <v>221.70869026221041</v>
      </c>
      <c r="P550" s="62">
        <f t="shared" si="78"/>
        <v>188.1627813850759</v>
      </c>
      <c r="Q550" s="62">
        <f t="shared" si="78"/>
        <v>194.12599070970987</v>
      </c>
    </row>
    <row r="551" spans="1:133" ht="31.2" x14ac:dyDescent="0.25">
      <c r="A551" s="63" t="s">
        <v>16</v>
      </c>
      <c r="B551" s="60" t="s">
        <v>193</v>
      </c>
      <c r="C551" s="35" t="s">
        <v>17</v>
      </c>
      <c r="D551" s="35" t="s">
        <v>205</v>
      </c>
      <c r="E551" s="168">
        <v>28</v>
      </c>
      <c r="F551" s="169"/>
      <c r="G551" s="169"/>
      <c r="H551" s="169"/>
      <c r="I551" s="169"/>
      <c r="J551" s="169"/>
      <c r="K551" s="169"/>
      <c r="L551" s="169"/>
      <c r="M551" s="169"/>
      <c r="N551" s="169"/>
      <c r="O551" s="169"/>
      <c r="P551" s="169"/>
      <c r="Q551" s="170"/>
    </row>
    <row r="552" spans="1:133" ht="64.8" x14ac:dyDescent="0.25">
      <c r="A552" s="63" t="s">
        <v>18</v>
      </c>
      <c r="B552" s="25" t="s">
        <v>194</v>
      </c>
      <c r="C552" s="35" t="s">
        <v>20</v>
      </c>
      <c r="D552" s="35" t="s">
        <v>394</v>
      </c>
      <c r="E552" s="168">
        <v>0.21</v>
      </c>
      <c r="F552" s="169"/>
      <c r="G552" s="169"/>
      <c r="H552" s="169"/>
      <c r="I552" s="169"/>
      <c r="J552" s="169"/>
      <c r="K552" s="169"/>
      <c r="L552" s="169"/>
      <c r="M552" s="169"/>
      <c r="N552" s="169"/>
      <c r="O552" s="169"/>
      <c r="P552" s="169"/>
      <c r="Q552" s="170"/>
    </row>
    <row r="553" spans="1:133" ht="46.8" x14ac:dyDescent="0.25">
      <c r="A553" s="35" t="s">
        <v>21</v>
      </c>
      <c r="B553" s="25" t="s">
        <v>195</v>
      </c>
      <c r="C553" s="53" t="s">
        <v>22</v>
      </c>
      <c r="D553" s="53" t="s">
        <v>370</v>
      </c>
      <c r="E553" s="64">
        <f t="shared" ref="E553:Q553" si="79">E561*E554</f>
        <v>268.50380538310446</v>
      </c>
      <c r="F553" s="64" t="s">
        <v>297</v>
      </c>
      <c r="G553" s="64" t="s">
        <v>297</v>
      </c>
      <c r="H553" s="64" t="s">
        <v>297</v>
      </c>
      <c r="I553" s="64" t="s">
        <v>297</v>
      </c>
      <c r="J553" s="64" t="s">
        <v>297</v>
      </c>
      <c r="K553" s="64" t="s">
        <v>297</v>
      </c>
      <c r="L553" s="64" t="s">
        <v>297</v>
      </c>
      <c r="M553" s="64" t="s">
        <v>297</v>
      </c>
      <c r="N553" s="64">
        <f t="shared" si="79"/>
        <v>49.308230324811198</v>
      </c>
      <c r="O553" s="64">
        <f t="shared" si="79"/>
        <v>80.459880854139016</v>
      </c>
      <c r="P553" s="64">
        <f t="shared" si="79"/>
        <v>68.285798601405148</v>
      </c>
      <c r="Q553" s="64">
        <f t="shared" si="79"/>
        <v>70.449895602749081</v>
      </c>
    </row>
    <row r="554" spans="1:133" ht="46.8" x14ac:dyDescent="0.25">
      <c r="A554" s="35" t="s">
        <v>23</v>
      </c>
      <c r="B554" s="25" t="s">
        <v>197</v>
      </c>
      <c r="C554" s="35" t="s">
        <v>191</v>
      </c>
      <c r="D554" s="35" t="s">
        <v>371</v>
      </c>
      <c r="E554" s="20">
        <f>SUM(N554:Q554)</f>
        <v>283.12145829204229</v>
      </c>
      <c r="F554" s="20" t="s">
        <v>297</v>
      </c>
      <c r="G554" s="20" t="s">
        <v>297</v>
      </c>
      <c r="H554" s="20" t="s">
        <v>297</v>
      </c>
      <c r="I554" s="20" t="s">
        <v>297</v>
      </c>
      <c r="J554" s="20" t="s">
        <v>297</v>
      </c>
      <c r="K554" s="20" t="s">
        <v>297</v>
      </c>
      <c r="L554" s="20" t="s">
        <v>297</v>
      </c>
      <c r="M554" s="20" t="s">
        <v>297</v>
      </c>
      <c r="N554" s="20">
        <f t="shared" ref="N554:Q554" si="80">N556*N559</f>
        <v>51.992626530718411</v>
      </c>
      <c r="O554" s="20">
        <f t="shared" si="80"/>
        <v>84.840208387084687</v>
      </c>
      <c r="P554" s="20">
        <f t="shared" si="80"/>
        <v>72.003355233948071</v>
      </c>
      <c r="Q554" s="20">
        <f t="shared" si="80"/>
        <v>74.285268140291123</v>
      </c>
    </row>
    <row r="555" spans="1:133" ht="62.4" x14ac:dyDescent="0.25">
      <c r="A555" s="17" t="s">
        <v>334</v>
      </c>
      <c r="B555" s="60" t="s">
        <v>192</v>
      </c>
      <c r="C555" s="35" t="s">
        <v>25</v>
      </c>
      <c r="D555" s="35" t="s">
        <v>333</v>
      </c>
      <c r="E555" s="121">
        <f>AVERAGE(N555:Q555)</f>
        <v>5482.5709038058867</v>
      </c>
      <c r="F555" s="20" t="s">
        <v>297</v>
      </c>
      <c r="G555" s="20" t="s">
        <v>297</v>
      </c>
      <c r="H555" s="20" t="s">
        <v>297</v>
      </c>
      <c r="I555" s="20" t="s">
        <v>297</v>
      </c>
      <c r="J555" s="20" t="s">
        <v>297</v>
      </c>
      <c r="K555" s="20" t="s">
        <v>297</v>
      </c>
      <c r="L555" s="20" t="s">
        <v>297</v>
      </c>
      <c r="M555" s="20" t="s">
        <v>297</v>
      </c>
      <c r="N555" s="121">
        <v>5843.5588421052626</v>
      </c>
      <c r="O555" s="121">
        <v>5842.1546774193557</v>
      </c>
      <c r="P555" s="121">
        <v>5123.2229666666681</v>
      </c>
      <c r="Q555" s="121">
        <v>5121.3471290322577</v>
      </c>
    </row>
    <row r="556" spans="1:133" ht="46.8" x14ac:dyDescent="0.25">
      <c r="A556" s="35" t="s">
        <v>26</v>
      </c>
      <c r="B556" s="60" t="s">
        <v>198</v>
      </c>
      <c r="C556" s="35" t="s">
        <v>27</v>
      </c>
      <c r="D556" s="35" t="s">
        <v>206</v>
      </c>
      <c r="E556" s="65">
        <f>SUM(N556:Q556)</f>
        <v>604592.86300000013</v>
      </c>
      <c r="F556" s="65" t="s">
        <v>297</v>
      </c>
      <c r="G556" s="65" t="s">
        <v>297</v>
      </c>
      <c r="H556" s="65" t="s">
        <v>297</v>
      </c>
      <c r="I556" s="65" t="s">
        <v>297</v>
      </c>
      <c r="J556" s="65" t="s">
        <v>297</v>
      </c>
      <c r="K556" s="65" t="s">
        <v>297</v>
      </c>
      <c r="L556" s="65" t="s">
        <v>297</v>
      </c>
      <c r="M556" s="65" t="s">
        <v>297</v>
      </c>
      <c r="N556" s="65">
        <f t="shared" ref="N556:Q556" si="81">N555*N549</f>
        <v>111027.61799999999</v>
      </c>
      <c r="O556" s="65">
        <f t="shared" si="81"/>
        <v>181106.79500000004</v>
      </c>
      <c r="P556" s="65">
        <f t="shared" si="81"/>
        <v>153696.68900000004</v>
      </c>
      <c r="Q556" s="65">
        <f t="shared" si="81"/>
        <v>158761.761</v>
      </c>
    </row>
    <row r="557" spans="1:133" ht="62.4" x14ac:dyDescent="0.25">
      <c r="A557" s="35" t="s">
        <v>28</v>
      </c>
      <c r="B557" s="60" t="s">
        <v>199</v>
      </c>
      <c r="C557" s="35" t="s">
        <v>29</v>
      </c>
      <c r="D557" s="35" t="s">
        <v>332</v>
      </c>
      <c r="E557" s="125">
        <f>AVERAGE(N557:Q557)</f>
        <v>468.28013381909068</v>
      </c>
      <c r="F557" s="66" t="s">
        <v>297</v>
      </c>
      <c r="G557" s="66" t="s">
        <v>297</v>
      </c>
      <c r="H557" s="66" t="s">
        <v>297</v>
      </c>
      <c r="I557" s="66" t="s">
        <v>297</v>
      </c>
      <c r="J557" s="66" t="s">
        <v>297</v>
      </c>
      <c r="K557" s="66" t="s">
        <v>297</v>
      </c>
      <c r="L557" s="66" t="s">
        <v>297</v>
      </c>
      <c r="M557" s="66" t="s">
        <v>297</v>
      </c>
      <c r="N557" s="123">
        <v>468.28552631578941</v>
      </c>
      <c r="O557" s="123">
        <v>468.45403225806444</v>
      </c>
      <c r="P557" s="123">
        <v>468.47694444444443</v>
      </c>
      <c r="Q557" s="123">
        <v>467.90403225806449</v>
      </c>
    </row>
    <row r="558" spans="1:133" ht="62.4" x14ac:dyDescent="0.25">
      <c r="A558" s="35" t="s">
        <v>30</v>
      </c>
      <c r="B558" s="60" t="s">
        <v>199</v>
      </c>
      <c r="C558" s="35" t="s">
        <v>31</v>
      </c>
      <c r="D558" s="35" t="s">
        <v>331</v>
      </c>
      <c r="E558" s="125">
        <f>AVERAGE(N558:Q558)</f>
        <v>22.444338921901526</v>
      </c>
      <c r="F558" s="65" t="s">
        <v>297</v>
      </c>
      <c r="G558" s="65" t="s">
        <v>297</v>
      </c>
      <c r="H558" s="65" t="s">
        <v>297</v>
      </c>
      <c r="I558" s="65" t="s">
        <v>297</v>
      </c>
      <c r="J558" s="65" t="s">
        <v>297</v>
      </c>
      <c r="K558" s="65" t="s">
        <v>297</v>
      </c>
      <c r="L558" s="65" t="s">
        <v>297</v>
      </c>
      <c r="M558" s="65" t="s">
        <v>297</v>
      </c>
      <c r="N558" s="123">
        <v>22.734210526315785</v>
      </c>
      <c r="O558" s="123">
        <v>22.645430107526881</v>
      </c>
      <c r="P558" s="123">
        <v>22.304166666666664</v>
      </c>
      <c r="Q558" s="123">
        <v>22.093548387096778</v>
      </c>
    </row>
    <row r="559" spans="1:133" ht="62.4" x14ac:dyDescent="0.25">
      <c r="A559" s="35" t="s">
        <v>32</v>
      </c>
      <c r="B559" s="60" t="s">
        <v>200</v>
      </c>
      <c r="C559" s="35" t="s">
        <v>34</v>
      </c>
      <c r="D559" s="35" t="s">
        <v>338</v>
      </c>
      <c r="E559" s="122">
        <f>E557/1000000</f>
        <v>4.6828013381909069E-4</v>
      </c>
      <c r="F559" s="120" t="s">
        <v>297</v>
      </c>
      <c r="G559" s="120" t="s">
        <v>297</v>
      </c>
      <c r="H559" s="120" t="s">
        <v>297</v>
      </c>
      <c r="I559" s="120" t="s">
        <v>297</v>
      </c>
      <c r="J559" s="120" t="s">
        <v>297</v>
      </c>
      <c r="K559" s="120" t="s">
        <v>297</v>
      </c>
      <c r="L559" s="120" t="s">
        <v>297</v>
      </c>
      <c r="M559" s="120" t="s">
        <v>297</v>
      </c>
      <c r="N559" s="120">
        <f t="shared" ref="N559:Q559" si="82">N557/1000000</f>
        <v>4.6828552631578943E-4</v>
      </c>
      <c r="O559" s="120">
        <f t="shared" si="82"/>
        <v>4.6845403225806442E-4</v>
      </c>
      <c r="P559" s="120">
        <f t="shared" si="82"/>
        <v>4.6847694444444442E-4</v>
      </c>
      <c r="Q559" s="120">
        <f t="shared" si="82"/>
        <v>4.6790403225806449E-4</v>
      </c>
    </row>
    <row r="560" spans="1:133" ht="62.4" x14ac:dyDescent="0.25">
      <c r="A560" s="35" t="s">
        <v>30</v>
      </c>
      <c r="B560" s="60" t="s">
        <v>33</v>
      </c>
      <c r="C560" s="35" t="s">
        <v>35</v>
      </c>
      <c r="D560" s="35" t="s">
        <v>339</v>
      </c>
      <c r="E560" s="122">
        <f>E558/1000000</f>
        <v>2.2444338921901527E-5</v>
      </c>
      <c r="F560" s="120" t="s">
        <v>297</v>
      </c>
      <c r="G560" s="120" t="s">
        <v>297</v>
      </c>
      <c r="H560" s="120" t="s">
        <v>297</v>
      </c>
      <c r="I560" s="120" t="s">
        <v>297</v>
      </c>
      <c r="J560" s="120" t="s">
        <v>297</v>
      </c>
      <c r="K560" s="120" t="s">
        <v>297</v>
      </c>
      <c r="L560" s="120" t="s">
        <v>297</v>
      </c>
      <c r="M560" s="120" t="s">
        <v>297</v>
      </c>
      <c r="N560" s="120">
        <f t="shared" ref="N560:Q560" si="83">N558/1000000</f>
        <v>2.2734210526315784E-5</v>
      </c>
      <c r="O560" s="120">
        <f t="shared" si="83"/>
        <v>2.2645430107526883E-5</v>
      </c>
      <c r="P560" s="120">
        <f t="shared" si="83"/>
        <v>2.2304166666666662E-5</v>
      </c>
      <c r="Q560" s="120">
        <f t="shared" si="83"/>
        <v>2.2093548387096777E-5</v>
      </c>
    </row>
    <row r="561" spans="1:133" ht="46.8" x14ac:dyDescent="0.25">
      <c r="A561" s="63" t="s">
        <v>36</v>
      </c>
      <c r="B561" s="25" t="s">
        <v>201</v>
      </c>
      <c r="C561" s="35" t="s">
        <v>38</v>
      </c>
      <c r="D561" s="35" t="s">
        <v>368</v>
      </c>
      <c r="E561" s="68">
        <f>(1-(E562/E563))</f>
        <v>0.94836967498994862</v>
      </c>
      <c r="F561" s="68" t="s">
        <v>297</v>
      </c>
      <c r="G561" s="68" t="s">
        <v>297</v>
      </c>
      <c r="H561" s="68" t="s">
        <v>297</v>
      </c>
      <c r="I561" s="68" t="s">
        <v>297</v>
      </c>
      <c r="J561" s="68" t="s">
        <v>297</v>
      </c>
      <c r="K561" s="68" t="s">
        <v>297</v>
      </c>
      <c r="L561" s="68" t="s">
        <v>297</v>
      </c>
      <c r="M561" s="68" t="s">
        <v>297</v>
      </c>
      <c r="N561" s="68">
        <f>E561</f>
        <v>0.94836967498994862</v>
      </c>
      <c r="O561" s="68">
        <f>E561</f>
        <v>0.94836967498994862</v>
      </c>
      <c r="P561" s="68">
        <f>E561</f>
        <v>0.94836967498994862</v>
      </c>
      <c r="Q561" s="68">
        <f>E561</f>
        <v>0.94836967498994862</v>
      </c>
    </row>
    <row r="562" spans="1:133" ht="31.2" x14ac:dyDescent="0.25">
      <c r="A562" s="35" t="s">
        <v>39</v>
      </c>
      <c r="B562" s="25" t="s">
        <v>196</v>
      </c>
      <c r="C562" s="35" t="s">
        <v>40</v>
      </c>
      <c r="D562" s="35" t="s">
        <v>351</v>
      </c>
      <c r="E562" s="52">
        <f>SUM(F562:Q562)</f>
        <v>13.596117717</v>
      </c>
      <c r="F562" s="52" t="s">
        <v>297</v>
      </c>
      <c r="G562" s="52" t="s">
        <v>297</v>
      </c>
      <c r="H562" s="52" t="s">
        <v>297</v>
      </c>
      <c r="I562" s="52" t="s">
        <v>297</v>
      </c>
      <c r="J562" s="52" t="s">
        <v>297</v>
      </c>
      <c r="K562" s="52" t="s">
        <v>297</v>
      </c>
      <c r="L562" s="52" t="s">
        <v>297</v>
      </c>
      <c r="M562" s="52" t="s">
        <v>297</v>
      </c>
      <c r="N562" s="52">
        <v>2.327263393</v>
      </c>
      <c r="O562" s="52">
        <v>3.7971139570000001</v>
      </c>
      <c r="P562" s="52">
        <v>3.6746264100000001</v>
      </c>
      <c r="Q562" s="52">
        <v>3.7971139570000001</v>
      </c>
    </row>
    <row r="563" spans="1:133" ht="31.2" x14ac:dyDescent="0.25">
      <c r="A563" s="63" t="s">
        <v>41</v>
      </c>
      <c r="B563" s="25" t="s">
        <v>24</v>
      </c>
      <c r="C563" s="35" t="s">
        <v>42</v>
      </c>
      <c r="D563" s="35" t="s">
        <v>351</v>
      </c>
      <c r="E563" s="52">
        <f>SUM(F563:Q563)</f>
        <v>263.33589250799997</v>
      </c>
      <c r="F563" s="52" t="s">
        <v>297</v>
      </c>
      <c r="G563" s="52" t="s">
        <v>297</v>
      </c>
      <c r="H563" s="52" t="s">
        <v>297</v>
      </c>
      <c r="I563" s="52" t="s">
        <v>297</v>
      </c>
      <c r="J563" s="52" t="s">
        <v>297</v>
      </c>
      <c r="K563" s="52" t="s">
        <v>297</v>
      </c>
      <c r="L563" s="52" t="s">
        <v>297</v>
      </c>
      <c r="M563" s="52" t="s">
        <v>297</v>
      </c>
      <c r="N563" s="52">
        <v>45.075513131999998</v>
      </c>
      <c r="O563" s="52">
        <v>73.544258267999993</v>
      </c>
      <c r="P563" s="52">
        <v>71.171862839999989</v>
      </c>
      <c r="Q563" s="52">
        <v>73.544258267999993</v>
      </c>
    </row>
    <row r="564" spans="1:133" ht="31.2" x14ac:dyDescent="0.25">
      <c r="A564" s="53" t="s">
        <v>43</v>
      </c>
      <c r="B564" s="25" t="s">
        <v>201</v>
      </c>
      <c r="C564" s="53" t="s">
        <v>44</v>
      </c>
      <c r="D564" s="35" t="s">
        <v>372</v>
      </c>
      <c r="E564" s="159">
        <f>E565*E566*0.89</f>
        <v>0.46862559536668119</v>
      </c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1"/>
    </row>
    <row r="565" spans="1:133" ht="31.2" x14ac:dyDescent="0.25">
      <c r="A565" s="70" t="s">
        <v>45</v>
      </c>
      <c r="B565" s="25" t="s">
        <v>201</v>
      </c>
      <c r="C565" s="53" t="s">
        <v>46</v>
      </c>
      <c r="D565" s="35" t="s">
        <v>373</v>
      </c>
      <c r="E565" s="162">
        <v>0.7</v>
      </c>
      <c r="F565" s="163"/>
      <c r="G565" s="163"/>
      <c r="H565" s="163"/>
      <c r="I565" s="163"/>
      <c r="J565" s="163"/>
      <c r="K565" s="163"/>
      <c r="L565" s="163"/>
      <c r="M565" s="163"/>
      <c r="N565" s="163"/>
      <c r="O565" s="163"/>
      <c r="P565" s="163"/>
      <c r="Q565" s="164"/>
    </row>
    <row r="566" spans="1:133" ht="36" customHeight="1" x14ac:dyDescent="0.25">
      <c r="A566" s="70" t="s">
        <v>47</v>
      </c>
      <c r="B566" s="25" t="s">
        <v>37</v>
      </c>
      <c r="C566" s="53" t="s">
        <v>48</v>
      </c>
      <c r="D566" s="35" t="s">
        <v>374</v>
      </c>
      <c r="E566" s="159">
        <f>(N567*N572+O567*O572+P567*P572+Q567*Q572)/(N561*N559*N556+O561*O556*O559+P561*P559*P556+Q561*Q559*Q556)</f>
        <v>0.75220801824507411</v>
      </c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1"/>
    </row>
    <row r="567" spans="1:133" s="9" customFormat="1" ht="46.8" x14ac:dyDescent="0.4">
      <c r="A567" s="71" t="s">
        <v>49</v>
      </c>
      <c r="B567" s="25" t="s">
        <v>37</v>
      </c>
      <c r="C567" s="53" t="s">
        <v>50</v>
      </c>
      <c r="D567" s="53" t="s">
        <v>375</v>
      </c>
      <c r="E567" s="72">
        <f>AVERAGE(F567:Q567)</f>
        <v>0.55196746463981816</v>
      </c>
      <c r="F567" s="72" t="s">
        <v>297</v>
      </c>
      <c r="G567" s="72" t="s">
        <v>297</v>
      </c>
      <c r="H567" s="72" t="s">
        <v>297</v>
      </c>
      <c r="I567" s="72" t="s">
        <v>297</v>
      </c>
      <c r="J567" s="72" t="s">
        <v>297</v>
      </c>
      <c r="K567" s="72" t="s">
        <v>297</v>
      </c>
      <c r="L567" s="72" t="s">
        <v>297</v>
      </c>
      <c r="M567" s="72" t="s">
        <v>297</v>
      </c>
      <c r="N567" s="72">
        <f t="shared" ref="N567:Q567" si="84">IF(N571&lt;283,0,IF(N571&gt;303,1,EXP(($E$23*(N571-$E$24))/($E$25*$E$24*N571))))</f>
        <v>0.84523513966163832</v>
      </c>
      <c r="O567" s="72">
        <f t="shared" si="84"/>
        <v>0.60078639810878987</v>
      </c>
      <c r="P567" s="72">
        <f t="shared" si="84"/>
        <v>0.50475941545474445</v>
      </c>
      <c r="Q567" s="72">
        <f t="shared" si="84"/>
        <v>0.25708890533410012</v>
      </c>
      <c r="R567" s="78"/>
      <c r="S567" s="78"/>
      <c r="T567" s="78"/>
      <c r="U567" s="78"/>
      <c r="V567" s="78"/>
      <c r="W567" s="78"/>
      <c r="X567" s="78"/>
      <c r="Y567" s="78"/>
      <c r="Z567" s="78"/>
      <c r="AA567" s="78"/>
      <c r="AB567" s="78"/>
      <c r="AC567" s="78"/>
      <c r="AD567" s="78"/>
      <c r="AE567" s="78"/>
      <c r="AF567" s="78"/>
      <c r="AG567" s="78"/>
      <c r="AH567" s="78"/>
      <c r="AI567" s="78"/>
      <c r="AJ567" s="78"/>
      <c r="AK567" s="78"/>
      <c r="AL567" s="78"/>
      <c r="AM567" s="78"/>
      <c r="AN567" s="78"/>
      <c r="AO567" s="78"/>
      <c r="AP567" s="78"/>
      <c r="AQ567" s="78"/>
      <c r="AR567" s="78"/>
      <c r="AS567" s="78"/>
      <c r="AT567" s="78"/>
      <c r="AU567" s="78"/>
      <c r="AV567" s="78"/>
      <c r="AW567" s="78"/>
      <c r="AX567" s="78"/>
      <c r="AY567" s="78"/>
      <c r="AZ567" s="78"/>
      <c r="BA567" s="78"/>
      <c r="BB567" s="78"/>
      <c r="BC567" s="78"/>
      <c r="BD567" s="78"/>
      <c r="BE567" s="78"/>
      <c r="BF567" s="78"/>
      <c r="BG567" s="78"/>
      <c r="BH567" s="78"/>
      <c r="BI567" s="78"/>
      <c r="BJ567" s="78"/>
      <c r="BK567" s="78"/>
      <c r="BL567" s="78"/>
      <c r="BM567" s="78"/>
      <c r="BN567" s="78"/>
      <c r="BO567" s="78"/>
      <c r="BP567" s="78"/>
      <c r="BQ567" s="78"/>
      <c r="BR567" s="78"/>
      <c r="BS567" s="78"/>
      <c r="BT567" s="78"/>
      <c r="BU567" s="78"/>
      <c r="BV567" s="78"/>
      <c r="BW567" s="78"/>
      <c r="BX567" s="78"/>
      <c r="BY567" s="78"/>
      <c r="BZ567" s="78"/>
      <c r="CA567" s="78"/>
      <c r="CB567" s="78"/>
      <c r="CC567" s="78"/>
      <c r="CD567" s="78"/>
      <c r="CE567" s="78"/>
      <c r="CF567" s="78"/>
      <c r="CG567" s="78"/>
      <c r="CH567" s="78"/>
      <c r="CI567" s="78"/>
      <c r="CJ567" s="78"/>
      <c r="CK567" s="78"/>
      <c r="CL567" s="78"/>
      <c r="CM567" s="78"/>
      <c r="CN567" s="78"/>
      <c r="CO567" s="78"/>
      <c r="CP567" s="78"/>
      <c r="CQ567" s="78"/>
      <c r="CR567" s="78"/>
      <c r="CS567" s="78"/>
      <c r="CT567" s="78"/>
      <c r="CU567" s="78"/>
      <c r="CV567" s="78"/>
      <c r="CW567" s="78"/>
      <c r="CX567" s="78"/>
      <c r="CY567" s="78"/>
      <c r="CZ567" s="78"/>
      <c r="DA567" s="78"/>
      <c r="DB567" s="78"/>
      <c r="DC567" s="78"/>
      <c r="DD567" s="78"/>
      <c r="DE567" s="78"/>
      <c r="DF567" s="78"/>
      <c r="DG567" s="78"/>
      <c r="DH567" s="78"/>
      <c r="DI567" s="78"/>
      <c r="DJ567" s="78"/>
      <c r="DK567" s="78"/>
      <c r="DL567" s="78"/>
      <c r="DM567" s="78"/>
      <c r="DN567" s="78"/>
      <c r="DO567" s="78"/>
      <c r="DP567" s="78"/>
      <c r="DQ567" s="78"/>
      <c r="DR567" s="78"/>
      <c r="DS567" s="78"/>
      <c r="DT567" s="78"/>
      <c r="DU567" s="78"/>
      <c r="DV567" s="78"/>
      <c r="DW567" s="78"/>
      <c r="DX567" s="78"/>
      <c r="DY567" s="78"/>
      <c r="DZ567" s="78"/>
      <c r="EA567" s="78"/>
      <c r="EB567" s="78"/>
      <c r="EC567" s="78"/>
    </row>
    <row r="568" spans="1:133" s="9" customFormat="1" x14ac:dyDescent="0.25">
      <c r="A568" s="73" t="s">
        <v>51</v>
      </c>
      <c r="B568" s="60" t="s">
        <v>202</v>
      </c>
      <c r="C568" s="53" t="s">
        <v>53</v>
      </c>
      <c r="D568" s="53" t="s">
        <v>376</v>
      </c>
      <c r="E568" s="162">
        <v>15175</v>
      </c>
      <c r="F568" s="163"/>
      <c r="G568" s="163"/>
      <c r="H568" s="163"/>
      <c r="I568" s="163"/>
      <c r="J568" s="163"/>
      <c r="K568" s="163"/>
      <c r="L568" s="163"/>
      <c r="M568" s="163"/>
      <c r="N568" s="163"/>
      <c r="O568" s="163"/>
      <c r="P568" s="163"/>
      <c r="Q568" s="164"/>
      <c r="R568" s="78"/>
      <c r="S568" s="78"/>
      <c r="T568" s="78"/>
      <c r="U568" s="78"/>
      <c r="V568" s="78"/>
      <c r="W568" s="78"/>
      <c r="X568" s="78"/>
      <c r="Y568" s="78"/>
      <c r="Z568" s="78"/>
      <c r="AA568" s="78"/>
      <c r="AB568" s="78"/>
      <c r="AC568" s="78"/>
      <c r="AD568" s="78"/>
      <c r="AE568" s="78"/>
      <c r="AF568" s="78"/>
      <c r="AG568" s="78"/>
      <c r="AH568" s="78"/>
      <c r="AI568" s="78"/>
      <c r="AJ568" s="78"/>
      <c r="AK568" s="78"/>
      <c r="AL568" s="78"/>
      <c r="AM568" s="78"/>
      <c r="AN568" s="78"/>
      <c r="AO568" s="78"/>
      <c r="AP568" s="78"/>
      <c r="AQ568" s="78"/>
      <c r="AR568" s="78"/>
      <c r="AS568" s="78"/>
      <c r="AT568" s="78"/>
      <c r="AU568" s="78"/>
      <c r="AV568" s="78"/>
      <c r="AW568" s="78"/>
      <c r="AX568" s="78"/>
      <c r="AY568" s="78"/>
      <c r="AZ568" s="78"/>
      <c r="BA568" s="78"/>
      <c r="BB568" s="78"/>
      <c r="BC568" s="78"/>
      <c r="BD568" s="78"/>
      <c r="BE568" s="78"/>
      <c r="BF568" s="78"/>
      <c r="BG568" s="78"/>
      <c r="BH568" s="78"/>
      <c r="BI568" s="78"/>
      <c r="BJ568" s="78"/>
      <c r="BK568" s="78"/>
      <c r="BL568" s="78"/>
      <c r="BM568" s="78"/>
      <c r="BN568" s="78"/>
      <c r="BO568" s="78"/>
      <c r="BP568" s="78"/>
      <c r="BQ568" s="78"/>
      <c r="BR568" s="78"/>
      <c r="BS568" s="78"/>
      <c r="BT568" s="78"/>
      <c r="BU568" s="78"/>
      <c r="BV568" s="78"/>
      <c r="BW568" s="78"/>
      <c r="BX568" s="78"/>
      <c r="BY568" s="78"/>
      <c r="BZ568" s="78"/>
      <c r="CA568" s="78"/>
      <c r="CB568" s="78"/>
      <c r="CC568" s="78"/>
      <c r="CD568" s="78"/>
      <c r="CE568" s="78"/>
      <c r="CF568" s="78"/>
      <c r="CG568" s="78"/>
      <c r="CH568" s="78"/>
      <c r="CI568" s="78"/>
      <c r="CJ568" s="78"/>
      <c r="CK568" s="78"/>
      <c r="CL568" s="78"/>
      <c r="CM568" s="78"/>
      <c r="CN568" s="78"/>
      <c r="CO568" s="78"/>
      <c r="CP568" s="78"/>
      <c r="CQ568" s="78"/>
      <c r="CR568" s="78"/>
      <c r="CS568" s="78"/>
      <c r="CT568" s="78"/>
      <c r="CU568" s="78"/>
      <c r="CV568" s="78"/>
      <c r="CW568" s="78"/>
      <c r="CX568" s="78"/>
      <c r="CY568" s="78"/>
      <c r="CZ568" s="78"/>
      <c r="DA568" s="78"/>
      <c r="DB568" s="78"/>
      <c r="DC568" s="78"/>
      <c r="DD568" s="78"/>
      <c r="DE568" s="78"/>
      <c r="DF568" s="78"/>
      <c r="DG568" s="78"/>
      <c r="DH568" s="78"/>
      <c r="DI568" s="78"/>
      <c r="DJ568" s="78"/>
      <c r="DK568" s="78"/>
      <c r="DL568" s="78"/>
      <c r="DM568" s="78"/>
      <c r="DN568" s="78"/>
      <c r="DO568" s="78"/>
      <c r="DP568" s="78"/>
      <c r="DQ568" s="78"/>
      <c r="DR568" s="78"/>
      <c r="DS568" s="78"/>
      <c r="DT568" s="78"/>
      <c r="DU568" s="78"/>
      <c r="DV568" s="78"/>
      <c r="DW568" s="78"/>
      <c r="DX568" s="78"/>
      <c r="DY568" s="78"/>
      <c r="DZ568" s="78"/>
      <c r="EA568" s="78"/>
      <c r="EB568" s="78"/>
      <c r="EC568" s="78"/>
    </row>
    <row r="569" spans="1:133" s="9" customFormat="1" ht="18" x14ac:dyDescent="0.25">
      <c r="A569" s="73" t="s">
        <v>54</v>
      </c>
      <c r="B569" s="60" t="s">
        <v>203</v>
      </c>
      <c r="C569" s="53" t="s">
        <v>56</v>
      </c>
      <c r="D569" s="53" t="s">
        <v>376</v>
      </c>
      <c r="E569" s="162">
        <v>303.16000000000003</v>
      </c>
      <c r="F569" s="163"/>
      <c r="G569" s="163"/>
      <c r="H569" s="163"/>
      <c r="I569" s="163"/>
      <c r="J569" s="163"/>
      <c r="K569" s="163"/>
      <c r="L569" s="163"/>
      <c r="M569" s="163"/>
      <c r="N569" s="163"/>
      <c r="O569" s="163"/>
      <c r="P569" s="163"/>
      <c r="Q569" s="164"/>
      <c r="R569" s="78"/>
      <c r="S569" s="78"/>
      <c r="T569" s="78"/>
      <c r="U569" s="78"/>
      <c r="V569" s="78"/>
      <c r="W569" s="78"/>
      <c r="X569" s="78"/>
      <c r="Y569" s="78"/>
      <c r="Z569" s="78"/>
      <c r="AA569" s="78"/>
      <c r="AB569" s="78"/>
      <c r="AC569" s="78"/>
      <c r="AD569" s="78"/>
      <c r="AE569" s="78"/>
      <c r="AF569" s="78"/>
      <c r="AG569" s="78"/>
      <c r="AH569" s="78"/>
      <c r="AI569" s="78"/>
      <c r="AJ569" s="78"/>
      <c r="AK569" s="78"/>
      <c r="AL569" s="78"/>
      <c r="AM569" s="78"/>
      <c r="AN569" s="78"/>
      <c r="AO569" s="78"/>
      <c r="AP569" s="78"/>
      <c r="AQ569" s="78"/>
      <c r="AR569" s="78"/>
      <c r="AS569" s="78"/>
      <c r="AT569" s="78"/>
      <c r="AU569" s="78"/>
      <c r="AV569" s="78"/>
      <c r="AW569" s="78"/>
      <c r="AX569" s="78"/>
      <c r="AY569" s="78"/>
      <c r="AZ569" s="78"/>
      <c r="BA569" s="78"/>
      <c r="BB569" s="78"/>
      <c r="BC569" s="78"/>
      <c r="BD569" s="78"/>
      <c r="BE569" s="78"/>
      <c r="BF569" s="78"/>
      <c r="BG569" s="78"/>
      <c r="BH569" s="78"/>
      <c r="BI569" s="78"/>
      <c r="BJ569" s="78"/>
      <c r="BK569" s="78"/>
      <c r="BL569" s="78"/>
      <c r="BM569" s="78"/>
      <c r="BN569" s="78"/>
      <c r="BO569" s="78"/>
      <c r="BP569" s="78"/>
      <c r="BQ569" s="78"/>
      <c r="BR569" s="78"/>
      <c r="BS569" s="78"/>
      <c r="BT569" s="78"/>
      <c r="BU569" s="78"/>
      <c r="BV569" s="78"/>
      <c r="BW569" s="78"/>
      <c r="BX569" s="78"/>
      <c r="BY569" s="78"/>
      <c r="BZ569" s="78"/>
      <c r="CA569" s="78"/>
      <c r="CB569" s="78"/>
      <c r="CC569" s="78"/>
      <c r="CD569" s="78"/>
      <c r="CE569" s="78"/>
      <c r="CF569" s="78"/>
      <c r="CG569" s="78"/>
      <c r="CH569" s="78"/>
      <c r="CI569" s="78"/>
      <c r="CJ569" s="78"/>
      <c r="CK569" s="78"/>
      <c r="CL569" s="78"/>
      <c r="CM569" s="78"/>
      <c r="CN569" s="78"/>
      <c r="CO569" s="78"/>
      <c r="CP569" s="78"/>
      <c r="CQ569" s="78"/>
      <c r="CR569" s="78"/>
      <c r="CS569" s="78"/>
      <c r="CT569" s="78"/>
      <c r="CU569" s="78"/>
      <c r="CV569" s="78"/>
      <c r="CW569" s="78"/>
      <c r="CX569" s="78"/>
      <c r="CY569" s="78"/>
      <c r="CZ569" s="78"/>
      <c r="DA569" s="78"/>
      <c r="DB569" s="78"/>
      <c r="DC569" s="78"/>
      <c r="DD569" s="78"/>
      <c r="DE569" s="78"/>
      <c r="DF569" s="78"/>
      <c r="DG569" s="78"/>
      <c r="DH569" s="78"/>
      <c r="DI569" s="78"/>
      <c r="DJ569" s="78"/>
      <c r="DK569" s="78"/>
      <c r="DL569" s="78"/>
      <c r="DM569" s="78"/>
      <c r="DN569" s="78"/>
      <c r="DO569" s="78"/>
      <c r="DP569" s="78"/>
      <c r="DQ569" s="78"/>
      <c r="DR569" s="78"/>
      <c r="DS569" s="78"/>
      <c r="DT569" s="78"/>
      <c r="DU569" s="78"/>
      <c r="DV569" s="78"/>
      <c r="DW569" s="78"/>
      <c r="DX569" s="78"/>
      <c r="DY569" s="78"/>
      <c r="DZ569" s="78"/>
      <c r="EA569" s="78"/>
      <c r="EB569" s="78"/>
      <c r="EC569" s="78"/>
    </row>
    <row r="570" spans="1:133" s="9" customFormat="1" x14ac:dyDescent="0.25">
      <c r="A570" s="73" t="s">
        <v>57</v>
      </c>
      <c r="B570" s="60" t="s">
        <v>204</v>
      </c>
      <c r="C570" s="53" t="s">
        <v>59</v>
      </c>
      <c r="D570" s="53" t="s">
        <v>376</v>
      </c>
      <c r="E570" s="162">
        <v>1.9870000000000001</v>
      </c>
      <c r="F570" s="163"/>
      <c r="G570" s="163"/>
      <c r="H570" s="163"/>
      <c r="I570" s="163"/>
      <c r="J570" s="163"/>
      <c r="K570" s="163"/>
      <c r="L570" s="163"/>
      <c r="M570" s="163"/>
      <c r="N570" s="163"/>
      <c r="O570" s="163"/>
      <c r="P570" s="163"/>
      <c r="Q570" s="164"/>
      <c r="R570" s="78"/>
      <c r="S570" s="78"/>
      <c r="T570" s="78"/>
      <c r="U570" s="78"/>
      <c r="V570" s="78"/>
      <c r="W570" s="78"/>
      <c r="X570" s="78"/>
      <c r="Y570" s="78"/>
      <c r="Z570" s="78"/>
      <c r="AA570" s="78"/>
      <c r="AB570" s="78"/>
      <c r="AC570" s="78"/>
      <c r="AD570" s="78"/>
      <c r="AE570" s="78"/>
      <c r="AF570" s="78"/>
      <c r="AG570" s="78"/>
      <c r="AH570" s="78"/>
      <c r="AI570" s="78"/>
      <c r="AJ570" s="78"/>
      <c r="AK570" s="78"/>
      <c r="AL570" s="78"/>
      <c r="AM570" s="78"/>
      <c r="AN570" s="78"/>
      <c r="AO570" s="78"/>
      <c r="AP570" s="78"/>
      <c r="AQ570" s="78"/>
      <c r="AR570" s="78"/>
      <c r="AS570" s="78"/>
      <c r="AT570" s="78"/>
      <c r="AU570" s="78"/>
      <c r="AV570" s="78"/>
      <c r="AW570" s="78"/>
      <c r="AX570" s="78"/>
      <c r="AY570" s="78"/>
      <c r="AZ570" s="78"/>
      <c r="BA570" s="78"/>
      <c r="BB570" s="78"/>
      <c r="BC570" s="78"/>
      <c r="BD570" s="78"/>
      <c r="BE570" s="78"/>
      <c r="BF570" s="78"/>
      <c r="BG570" s="78"/>
      <c r="BH570" s="78"/>
      <c r="BI570" s="78"/>
      <c r="BJ570" s="78"/>
      <c r="BK570" s="78"/>
      <c r="BL570" s="78"/>
      <c r="BM570" s="78"/>
      <c r="BN570" s="78"/>
      <c r="BO570" s="78"/>
      <c r="BP570" s="78"/>
      <c r="BQ570" s="78"/>
      <c r="BR570" s="78"/>
      <c r="BS570" s="78"/>
      <c r="BT570" s="78"/>
      <c r="BU570" s="78"/>
      <c r="BV570" s="78"/>
      <c r="BW570" s="78"/>
      <c r="BX570" s="78"/>
      <c r="BY570" s="78"/>
      <c r="BZ570" s="78"/>
      <c r="CA570" s="78"/>
      <c r="CB570" s="78"/>
      <c r="CC570" s="78"/>
      <c r="CD570" s="78"/>
      <c r="CE570" s="78"/>
      <c r="CF570" s="78"/>
      <c r="CG570" s="78"/>
      <c r="CH570" s="78"/>
      <c r="CI570" s="78"/>
      <c r="CJ570" s="78"/>
      <c r="CK570" s="78"/>
      <c r="CL570" s="78"/>
      <c r="CM570" s="78"/>
      <c r="CN570" s="78"/>
      <c r="CO570" s="78"/>
      <c r="CP570" s="78"/>
      <c r="CQ570" s="78"/>
      <c r="CR570" s="78"/>
      <c r="CS570" s="78"/>
      <c r="CT570" s="78"/>
      <c r="CU570" s="78"/>
      <c r="CV570" s="78"/>
      <c r="CW570" s="78"/>
      <c r="CX570" s="78"/>
      <c r="CY570" s="78"/>
      <c r="CZ570" s="78"/>
      <c r="DA570" s="78"/>
      <c r="DB570" s="78"/>
      <c r="DC570" s="78"/>
      <c r="DD570" s="78"/>
      <c r="DE570" s="78"/>
      <c r="DF570" s="78"/>
      <c r="DG570" s="78"/>
      <c r="DH570" s="78"/>
      <c r="DI570" s="78"/>
      <c r="DJ570" s="78"/>
      <c r="DK570" s="78"/>
      <c r="DL570" s="78"/>
      <c r="DM570" s="78"/>
      <c r="DN570" s="78"/>
      <c r="DO570" s="78"/>
      <c r="DP570" s="78"/>
      <c r="DQ570" s="78"/>
      <c r="DR570" s="78"/>
      <c r="DS570" s="78"/>
      <c r="DT570" s="78"/>
      <c r="DU570" s="78"/>
      <c r="DV570" s="78"/>
      <c r="DW570" s="78"/>
      <c r="DX570" s="78"/>
      <c r="DY570" s="78"/>
      <c r="DZ570" s="78"/>
      <c r="EA570" s="78"/>
      <c r="EB570" s="78"/>
      <c r="EC570" s="78"/>
    </row>
    <row r="571" spans="1:133" s="9" customFormat="1" ht="31.2" x14ac:dyDescent="0.25">
      <c r="A571" s="73" t="s">
        <v>60</v>
      </c>
      <c r="B571" s="60" t="s">
        <v>203</v>
      </c>
      <c r="C571" s="53" t="s">
        <v>61</v>
      </c>
      <c r="D571" s="143" t="s">
        <v>364</v>
      </c>
      <c r="E571" s="98">
        <f>AVERAGE(F571:Q571)</f>
        <v>295.27499999999998</v>
      </c>
      <c r="F571" s="60" t="s">
        <v>297</v>
      </c>
      <c r="G571" s="60" t="s">
        <v>297</v>
      </c>
      <c r="H571" s="60" t="s">
        <v>297</v>
      </c>
      <c r="I571" s="60" t="s">
        <v>297</v>
      </c>
      <c r="J571" s="60" t="s">
        <v>297</v>
      </c>
      <c r="K571" s="60" t="s">
        <v>297</v>
      </c>
      <c r="L571" s="60" t="s">
        <v>297</v>
      </c>
      <c r="M571" s="60" t="s">
        <v>297</v>
      </c>
      <c r="N571" s="60">
        <v>301.14999999999998</v>
      </c>
      <c r="O571" s="60">
        <v>297.14999999999998</v>
      </c>
      <c r="P571" s="60">
        <v>295.14999999999998</v>
      </c>
      <c r="Q571" s="60">
        <v>287.64999999999998</v>
      </c>
      <c r="R571" s="78"/>
      <c r="S571" s="78"/>
      <c r="T571" s="78"/>
      <c r="U571" s="78"/>
      <c r="V571" s="78"/>
      <c r="W571" s="78"/>
      <c r="X571" s="78"/>
      <c r="Y571" s="78"/>
      <c r="Z571" s="78"/>
      <c r="AA571" s="78"/>
      <c r="AB571" s="78"/>
      <c r="AC571" s="78"/>
      <c r="AD571" s="78"/>
      <c r="AE571" s="78"/>
      <c r="AF571" s="78"/>
      <c r="AG571" s="78"/>
      <c r="AH571" s="78"/>
      <c r="AI571" s="78"/>
      <c r="AJ571" s="78"/>
      <c r="AK571" s="78"/>
      <c r="AL571" s="78"/>
      <c r="AM571" s="78"/>
      <c r="AN571" s="78"/>
      <c r="AO571" s="78"/>
      <c r="AP571" s="78"/>
      <c r="AQ571" s="78"/>
      <c r="AR571" s="78"/>
      <c r="AS571" s="78"/>
      <c r="AT571" s="78"/>
      <c r="AU571" s="78"/>
      <c r="AV571" s="78"/>
      <c r="AW571" s="78"/>
      <c r="AX571" s="78"/>
      <c r="AY571" s="78"/>
      <c r="AZ571" s="78"/>
      <c r="BA571" s="78"/>
      <c r="BB571" s="78"/>
      <c r="BC571" s="78"/>
      <c r="BD571" s="78"/>
      <c r="BE571" s="78"/>
      <c r="BF571" s="78"/>
      <c r="BG571" s="78"/>
      <c r="BH571" s="78"/>
      <c r="BI571" s="78"/>
      <c r="BJ571" s="78"/>
      <c r="BK571" s="78"/>
      <c r="BL571" s="78"/>
      <c r="BM571" s="78"/>
      <c r="BN571" s="78"/>
      <c r="BO571" s="78"/>
      <c r="BP571" s="78"/>
      <c r="BQ571" s="78"/>
      <c r="BR571" s="78"/>
      <c r="BS571" s="78"/>
      <c r="BT571" s="78"/>
      <c r="BU571" s="78"/>
      <c r="BV571" s="78"/>
      <c r="BW571" s="78"/>
      <c r="BX571" s="78"/>
      <c r="BY571" s="78"/>
      <c r="BZ571" s="78"/>
      <c r="CA571" s="78"/>
      <c r="CB571" s="78"/>
      <c r="CC571" s="78"/>
      <c r="CD571" s="78"/>
      <c r="CE571" s="78"/>
      <c r="CF571" s="78"/>
      <c r="CG571" s="78"/>
      <c r="CH571" s="78"/>
      <c r="CI571" s="78"/>
      <c r="CJ571" s="78"/>
      <c r="CK571" s="78"/>
      <c r="CL571" s="78"/>
      <c r="CM571" s="78"/>
      <c r="CN571" s="78"/>
      <c r="CO571" s="78"/>
      <c r="CP571" s="78"/>
      <c r="CQ571" s="78"/>
      <c r="CR571" s="78"/>
      <c r="CS571" s="78"/>
      <c r="CT571" s="78"/>
      <c r="CU571" s="78"/>
      <c r="CV571" s="78"/>
      <c r="CW571" s="78"/>
      <c r="CX571" s="78"/>
      <c r="CY571" s="78"/>
      <c r="CZ571" s="78"/>
      <c r="DA571" s="78"/>
      <c r="DB571" s="78"/>
      <c r="DC571" s="78"/>
      <c r="DD571" s="78"/>
      <c r="DE571" s="78"/>
      <c r="DF571" s="78"/>
      <c r="DG571" s="78"/>
      <c r="DH571" s="78"/>
      <c r="DI571" s="78"/>
      <c r="DJ571" s="78"/>
      <c r="DK571" s="78"/>
      <c r="DL571" s="78"/>
      <c r="DM571" s="78"/>
      <c r="DN571" s="78"/>
      <c r="DO571" s="78"/>
      <c r="DP571" s="78"/>
      <c r="DQ571" s="78"/>
      <c r="DR571" s="78"/>
      <c r="DS571" s="78"/>
      <c r="DT571" s="78"/>
      <c r="DU571" s="78"/>
      <c r="DV571" s="78"/>
      <c r="DW571" s="78"/>
      <c r="DX571" s="78"/>
      <c r="DY571" s="78"/>
      <c r="DZ571" s="78"/>
      <c r="EA571" s="78"/>
      <c r="EB571" s="78"/>
      <c r="EC571" s="78"/>
    </row>
    <row r="572" spans="1:133" s="9" customFormat="1" ht="31.2" x14ac:dyDescent="0.4">
      <c r="A572" s="71" t="s">
        <v>62</v>
      </c>
      <c r="B572" s="60" t="s">
        <v>196</v>
      </c>
      <c r="C572" s="53" t="s">
        <v>63</v>
      </c>
      <c r="D572" s="53" t="s">
        <v>377</v>
      </c>
      <c r="E572" s="74">
        <f>SUM(F572:Q572)</f>
        <v>425.35926776887914</v>
      </c>
      <c r="F572" s="74" t="s">
        <v>297</v>
      </c>
      <c r="G572" s="74" t="s">
        <v>297</v>
      </c>
      <c r="H572" s="74" t="s">
        <v>297</v>
      </c>
      <c r="I572" s="74" t="s">
        <v>297</v>
      </c>
      <c r="J572" s="74" t="s">
        <v>297</v>
      </c>
      <c r="K572" s="74" t="s">
        <v>297</v>
      </c>
      <c r="L572" s="74" t="s">
        <v>297</v>
      </c>
      <c r="M572" s="74" t="s">
        <v>297</v>
      </c>
      <c r="N572" s="74">
        <f>N561*N556*N559+(1-N567)*0</f>
        <v>49.308230324811198</v>
      </c>
      <c r="O572" s="74">
        <f t="shared" ref="O572:Q572" si="85">O561*O556*O559+(1-O567)*N572</f>
        <v>100.14439708498827</v>
      </c>
      <c r="P572" s="74">
        <f t="shared" si="85"/>
        <v>117.88136835270691</v>
      </c>
      <c r="Q572" s="74">
        <f t="shared" si="85"/>
        <v>158.02527200637275</v>
      </c>
      <c r="R572" s="78"/>
      <c r="S572" s="78"/>
      <c r="T572" s="78"/>
      <c r="U572" s="78"/>
      <c r="V572" s="78"/>
      <c r="W572" s="78"/>
      <c r="X572" s="78"/>
      <c r="Y572" s="78"/>
      <c r="Z572" s="78"/>
      <c r="AA572" s="78"/>
      <c r="AB572" s="78"/>
      <c r="AC572" s="78"/>
      <c r="AD572" s="78"/>
      <c r="AE572" s="78"/>
      <c r="AF572" s="78"/>
      <c r="AG572" s="78"/>
      <c r="AH572" s="78"/>
      <c r="AI572" s="78"/>
      <c r="AJ572" s="78"/>
      <c r="AK572" s="78"/>
      <c r="AL572" s="78"/>
      <c r="AM572" s="78"/>
      <c r="AN572" s="78"/>
      <c r="AO572" s="78"/>
      <c r="AP572" s="78"/>
      <c r="AQ572" s="78"/>
      <c r="AR572" s="78"/>
      <c r="AS572" s="78"/>
      <c r="AT572" s="78"/>
      <c r="AU572" s="78"/>
      <c r="AV572" s="78"/>
      <c r="AW572" s="78"/>
      <c r="AX572" s="78"/>
      <c r="AY572" s="78"/>
      <c r="AZ572" s="78"/>
      <c r="BA572" s="78"/>
      <c r="BB572" s="78"/>
      <c r="BC572" s="78"/>
      <c r="BD572" s="78"/>
      <c r="BE572" s="78"/>
      <c r="BF572" s="78"/>
      <c r="BG572" s="78"/>
      <c r="BH572" s="78"/>
      <c r="BI572" s="78"/>
      <c r="BJ572" s="78"/>
      <c r="BK572" s="78"/>
      <c r="BL572" s="78"/>
      <c r="BM572" s="78"/>
      <c r="BN572" s="78"/>
      <c r="BO572" s="78"/>
      <c r="BP572" s="78"/>
      <c r="BQ572" s="78"/>
      <c r="BR572" s="78"/>
      <c r="BS572" s="78"/>
      <c r="BT572" s="78"/>
      <c r="BU572" s="78"/>
      <c r="BV572" s="78"/>
      <c r="BW572" s="78"/>
      <c r="BX572" s="78"/>
      <c r="BY572" s="78"/>
      <c r="BZ572" s="78"/>
      <c r="CA572" s="78"/>
      <c r="CB572" s="78"/>
      <c r="CC572" s="78"/>
      <c r="CD572" s="78"/>
      <c r="CE572" s="78"/>
      <c r="CF572" s="78"/>
      <c r="CG572" s="78"/>
      <c r="CH572" s="78"/>
      <c r="CI572" s="78"/>
      <c r="CJ572" s="78"/>
      <c r="CK572" s="78"/>
      <c r="CL572" s="78"/>
      <c r="CM572" s="78"/>
      <c r="CN572" s="78"/>
      <c r="CO572" s="78"/>
      <c r="CP572" s="78"/>
      <c r="CQ572" s="78"/>
      <c r="CR572" s="78"/>
      <c r="CS572" s="78"/>
      <c r="CT572" s="78"/>
      <c r="CU572" s="78"/>
      <c r="CV572" s="78"/>
      <c r="CW572" s="78"/>
      <c r="CX572" s="78"/>
      <c r="CY572" s="78"/>
      <c r="CZ572" s="78"/>
      <c r="DA572" s="78"/>
      <c r="DB572" s="78"/>
      <c r="DC572" s="78"/>
      <c r="DD572" s="78"/>
      <c r="DE572" s="78"/>
      <c r="DF572" s="78"/>
      <c r="DG572" s="78"/>
      <c r="DH572" s="78"/>
      <c r="DI572" s="78"/>
      <c r="DJ572" s="78"/>
      <c r="DK572" s="78"/>
      <c r="DL572" s="78"/>
      <c r="DM572" s="78"/>
      <c r="DN572" s="78"/>
      <c r="DO572" s="78"/>
      <c r="DP572" s="78"/>
      <c r="DQ572" s="78"/>
      <c r="DR572" s="78"/>
      <c r="DS572" s="78"/>
      <c r="DT572" s="78"/>
      <c r="DU572" s="78"/>
      <c r="DV572" s="78"/>
      <c r="DW572" s="78"/>
      <c r="DX572" s="78"/>
      <c r="DY572" s="78"/>
      <c r="DZ572" s="78"/>
      <c r="EA572" s="78"/>
      <c r="EB572" s="78"/>
      <c r="EC572" s="78"/>
    </row>
    <row r="574" spans="1:133" ht="15.6" customHeight="1" x14ac:dyDescent="0.25">
      <c r="A574" s="36" t="s">
        <v>64</v>
      </c>
      <c r="B574" s="36"/>
      <c r="C574" s="36"/>
      <c r="D574" s="36"/>
      <c r="E574" s="36"/>
    </row>
    <row r="575" spans="1:133" x14ac:dyDescent="0.25">
      <c r="A575" s="57" t="s">
        <v>8</v>
      </c>
      <c r="B575" s="58" t="s">
        <v>9</v>
      </c>
      <c r="C575" s="34" t="s">
        <v>10</v>
      </c>
      <c r="D575" s="34" t="s">
        <v>340</v>
      </c>
      <c r="E575" s="16" t="s">
        <v>65</v>
      </c>
    </row>
    <row r="576" spans="1:133" ht="46.8" x14ac:dyDescent="0.25">
      <c r="A576" s="59" t="s">
        <v>66</v>
      </c>
      <c r="B576" s="60" t="s">
        <v>14</v>
      </c>
      <c r="C576" s="53" t="s">
        <v>67</v>
      </c>
      <c r="D576" s="53" t="s">
        <v>68</v>
      </c>
      <c r="E576" s="75">
        <v>0</v>
      </c>
    </row>
    <row r="577" spans="1:5" ht="46.8" x14ac:dyDescent="0.25">
      <c r="A577" s="63" t="s">
        <v>69</v>
      </c>
      <c r="B577" s="25" t="s">
        <v>70</v>
      </c>
      <c r="C577" s="35" t="s">
        <v>71</v>
      </c>
      <c r="D577" s="53" t="str">
        <f>D583</f>
        <v>Historical data on site in the FSR (It was calculated with conservative value)</v>
      </c>
      <c r="E577" s="74">
        <f>E583</f>
        <v>112.41915293621058</v>
      </c>
    </row>
    <row r="579" spans="1:5" ht="15.6" customHeight="1" x14ac:dyDescent="0.25">
      <c r="A579" s="90" t="s">
        <v>72</v>
      </c>
      <c r="B579" s="90"/>
      <c r="C579" s="91"/>
      <c r="D579" s="91"/>
      <c r="E579" s="90"/>
    </row>
    <row r="580" spans="1:5" x14ac:dyDescent="0.25">
      <c r="A580" s="59" t="s">
        <v>8</v>
      </c>
      <c r="B580" s="16" t="s">
        <v>9</v>
      </c>
      <c r="C580" s="38" t="s">
        <v>10</v>
      </c>
      <c r="D580" s="38" t="s">
        <v>340</v>
      </c>
      <c r="E580" s="16" t="s">
        <v>65</v>
      </c>
    </row>
    <row r="581" spans="1:5" ht="33.6" x14ac:dyDescent="0.4">
      <c r="A581" s="76" t="s">
        <v>73</v>
      </c>
      <c r="B581" s="25" t="s">
        <v>74</v>
      </c>
      <c r="C581" s="35" t="s">
        <v>75</v>
      </c>
      <c r="D581" s="35" t="s">
        <v>378</v>
      </c>
      <c r="E581" s="50">
        <f>E582*E585*E586*E587*E588*E589</f>
        <v>0.45661635567775899</v>
      </c>
    </row>
    <row r="582" spans="1:5" ht="46.8" x14ac:dyDescent="0.4">
      <c r="A582" s="77" t="s">
        <v>207</v>
      </c>
      <c r="B582" s="25" t="s">
        <v>76</v>
      </c>
      <c r="C582" s="35" t="s">
        <v>77</v>
      </c>
      <c r="D582" s="35" t="s">
        <v>379</v>
      </c>
      <c r="E582" s="52">
        <f>E583/E584</f>
        <v>22.483830587242117</v>
      </c>
    </row>
    <row r="583" spans="1:5" ht="46.8" x14ac:dyDescent="0.25">
      <c r="A583" s="63" t="s">
        <v>208</v>
      </c>
      <c r="B583" s="25" t="s">
        <v>78</v>
      </c>
      <c r="C583" s="35" t="s">
        <v>79</v>
      </c>
      <c r="D583" s="53" t="s">
        <v>352</v>
      </c>
      <c r="E583" s="52">
        <f>0.000185941912013954*E556</f>
        <v>112.41915293621058</v>
      </c>
    </row>
    <row r="584" spans="1:5" ht="31.2" x14ac:dyDescent="0.25">
      <c r="A584" s="63" t="s">
        <v>209</v>
      </c>
      <c r="B584" s="25" t="s">
        <v>80</v>
      </c>
      <c r="C584" s="35" t="s">
        <v>81</v>
      </c>
      <c r="D584" s="35" t="s">
        <v>353</v>
      </c>
      <c r="E584" s="25">
        <f>5</f>
        <v>5</v>
      </c>
    </row>
    <row r="585" spans="1:5" ht="62.4" x14ac:dyDescent="0.25">
      <c r="A585" s="63" t="s">
        <v>210</v>
      </c>
      <c r="B585" s="25" t="s">
        <v>82</v>
      </c>
      <c r="C585" s="35" t="s">
        <v>83</v>
      </c>
      <c r="D585" s="53" t="s">
        <v>354</v>
      </c>
      <c r="E585" s="25">
        <f>15*2</f>
        <v>30</v>
      </c>
    </row>
    <row r="586" spans="1:5" ht="172.2" x14ac:dyDescent="0.25">
      <c r="A586" s="63" t="s">
        <v>211</v>
      </c>
      <c r="B586" s="25" t="s">
        <v>84</v>
      </c>
      <c r="C586" s="35" t="s">
        <v>85</v>
      </c>
      <c r="D586" s="35" t="s">
        <v>355</v>
      </c>
      <c r="E586" s="25">
        <f>25.1/100</f>
        <v>0.251</v>
      </c>
    </row>
    <row r="587" spans="1:5" ht="156" x14ac:dyDescent="0.25">
      <c r="A587" s="63" t="s">
        <v>212</v>
      </c>
      <c r="B587" s="25" t="s">
        <v>87</v>
      </c>
      <c r="C587" s="35" t="s">
        <v>86</v>
      </c>
      <c r="D587" s="35" t="s">
        <v>356</v>
      </c>
      <c r="E587" s="25">
        <f>0.84/1000</f>
        <v>8.3999999999999993E-4</v>
      </c>
    </row>
    <row r="588" spans="1:5" ht="171.6" x14ac:dyDescent="0.25">
      <c r="A588" s="63" t="s">
        <v>213</v>
      </c>
      <c r="B588" s="25" t="s">
        <v>88</v>
      </c>
      <c r="C588" s="35" t="s">
        <v>89</v>
      </c>
      <c r="D588" s="35" t="s">
        <v>357</v>
      </c>
      <c r="E588" s="25">
        <f>43.33/1000</f>
        <v>4.333E-2</v>
      </c>
    </row>
    <row r="589" spans="1:5" ht="62.4" x14ac:dyDescent="0.25">
      <c r="A589" s="63" t="s">
        <v>214</v>
      </c>
      <c r="B589" s="25" t="s">
        <v>90</v>
      </c>
      <c r="C589" s="35" t="s">
        <v>91</v>
      </c>
      <c r="D589" s="35" t="s">
        <v>358</v>
      </c>
      <c r="E589" s="25">
        <v>74.099999999999994</v>
      </c>
    </row>
    <row r="591" spans="1:5" ht="15.6" customHeight="1" x14ac:dyDescent="0.25">
      <c r="A591" s="36" t="s">
        <v>93</v>
      </c>
      <c r="B591" s="36"/>
      <c r="C591" s="36"/>
      <c r="D591" s="36"/>
      <c r="E591" s="36"/>
    </row>
    <row r="592" spans="1:5" x14ac:dyDescent="0.25">
      <c r="A592" s="57" t="s">
        <v>8</v>
      </c>
      <c r="B592" s="58" t="s">
        <v>9</v>
      </c>
      <c r="C592" s="34" t="s">
        <v>10</v>
      </c>
      <c r="D592" s="34" t="s">
        <v>340</v>
      </c>
      <c r="E592" s="16" t="s">
        <v>65</v>
      </c>
    </row>
    <row r="593" spans="1:133" ht="64.8" x14ac:dyDescent="0.25">
      <c r="A593" s="15" t="s">
        <v>94</v>
      </c>
      <c r="B593" s="25" t="s">
        <v>95</v>
      </c>
      <c r="C593" s="35" t="s">
        <v>96</v>
      </c>
      <c r="D593" s="35" t="s">
        <v>97</v>
      </c>
      <c r="E593" s="16">
        <v>0</v>
      </c>
    </row>
    <row r="595" spans="1:133" ht="15.6" customHeight="1" x14ac:dyDescent="0.25">
      <c r="A595" s="36" t="s">
        <v>98</v>
      </c>
      <c r="B595" s="36"/>
      <c r="C595" s="36"/>
      <c r="D595" s="36"/>
      <c r="E595" s="36"/>
    </row>
    <row r="596" spans="1:133" x14ac:dyDescent="0.25">
      <c r="A596" s="57" t="s">
        <v>8</v>
      </c>
      <c r="B596" s="58" t="s">
        <v>9</v>
      </c>
      <c r="C596" s="34" t="s">
        <v>10</v>
      </c>
      <c r="D596" s="34" t="s">
        <v>340</v>
      </c>
      <c r="E596" s="16" t="s">
        <v>65</v>
      </c>
    </row>
    <row r="597" spans="1:133" ht="49.2" x14ac:dyDescent="0.25">
      <c r="A597" s="15" t="s">
        <v>99</v>
      </c>
      <c r="B597" s="25" t="s">
        <v>95</v>
      </c>
      <c r="C597" s="35" t="s">
        <v>100</v>
      </c>
      <c r="D597" s="35" t="s">
        <v>101</v>
      </c>
      <c r="E597" s="16">
        <v>0</v>
      </c>
    </row>
    <row r="599" spans="1:133" x14ac:dyDescent="0.25">
      <c r="A599" s="57" t="s">
        <v>8</v>
      </c>
      <c r="B599" s="58" t="s">
        <v>9</v>
      </c>
      <c r="C599" s="34" t="s">
        <v>10</v>
      </c>
      <c r="D599" s="34" t="s">
        <v>340</v>
      </c>
      <c r="E599" s="16" t="s">
        <v>65</v>
      </c>
    </row>
    <row r="600" spans="1:133" ht="18" x14ac:dyDescent="0.25">
      <c r="A600" s="59" t="s">
        <v>102</v>
      </c>
      <c r="B600" s="25" t="s">
        <v>103</v>
      </c>
      <c r="C600" s="35" t="s">
        <v>104</v>
      </c>
      <c r="D600" s="53" t="s">
        <v>380</v>
      </c>
      <c r="E600" s="18">
        <f>ROUNDDOWN(E550+E581+E576+E593+E597,0)</f>
        <v>740</v>
      </c>
    </row>
    <row r="601" spans="1:133" s="165" customFormat="1" ht="38.4" customHeight="1" x14ac:dyDescent="0.25">
      <c r="A601" s="185" t="s">
        <v>230</v>
      </c>
      <c r="B601" s="186"/>
      <c r="C601" s="186"/>
      <c r="D601" s="186"/>
      <c r="E601" s="186"/>
      <c r="F601" s="186"/>
      <c r="G601" s="186"/>
      <c r="H601" s="186"/>
      <c r="I601" s="186"/>
      <c r="J601" s="186"/>
      <c r="K601" s="186"/>
      <c r="L601" s="186"/>
      <c r="M601" s="186"/>
      <c r="N601" s="186"/>
      <c r="O601" s="186"/>
      <c r="P601" s="186"/>
      <c r="Q601" s="186"/>
      <c r="R601" s="186"/>
      <c r="S601" s="186"/>
      <c r="T601" s="186"/>
      <c r="U601" s="186"/>
      <c r="V601" s="186"/>
      <c r="W601" s="186"/>
      <c r="X601" s="186"/>
      <c r="Y601" s="186"/>
      <c r="Z601" s="186"/>
      <c r="AA601" s="186"/>
      <c r="AB601" s="186"/>
      <c r="AC601" s="186"/>
      <c r="AD601" s="186"/>
      <c r="AE601" s="186"/>
      <c r="AF601" s="186"/>
      <c r="AG601" s="186"/>
      <c r="AH601" s="186"/>
      <c r="AI601" s="186"/>
      <c r="AJ601" s="186"/>
      <c r="AK601" s="186"/>
      <c r="AL601" s="186"/>
      <c r="AM601" s="186"/>
      <c r="AN601" s="186"/>
      <c r="AO601" s="186"/>
      <c r="AP601" s="186"/>
      <c r="AQ601" s="186"/>
      <c r="AR601" s="186"/>
      <c r="AS601" s="186"/>
      <c r="AT601" s="186"/>
      <c r="AU601" s="186"/>
      <c r="AV601" s="186"/>
      <c r="AW601" s="186"/>
      <c r="AX601" s="186"/>
      <c r="AY601" s="186"/>
      <c r="AZ601" s="186"/>
      <c r="BA601" s="186"/>
      <c r="BB601" s="186"/>
      <c r="BC601" s="186"/>
      <c r="BD601" s="186"/>
      <c r="BE601" s="186"/>
      <c r="BF601" s="186"/>
      <c r="BG601" s="186"/>
      <c r="BH601" s="186"/>
      <c r="BI601" s="186"/>
      <c r="BJ601" s="186"/>
      <c r="BK601" s="186"/>
      <c r="BL601" s="186"/>
      <c r="BM601" s="186"/>
      <c r="BN601" s="186"/>
      <c r="BO601" s="186"/>
      <c r="BP601" s="186"/>
      <c r="BQ601" s="186"/>
      <c r="BR601" s="186"/>
      <c r="BS601" s="186"/>
      <c r="BT601" s="186"/>
      <c r="BU601" s="186"/>
      <c r="BV601" s="186"/>
      <c r="BW601" s="186"/>
      <c r="BX601" s="186"/>
      <c r="BY601" s="186"/>
      <c r="BZ601" s="186"/>
      <c r="CA601" s="186"/>
      <c r="CB601" s="186"/>
      <c r="CC601" s="186"/>
      <c r="CD601" s="186"/>
      <c r="CE601" s="186"/>
      <c r="CF601" s="186"/>
      <c r="CG601" s="186"/>
      <c r="CH601" s="186"/>
      <c r="CI601" s="186"/>
      <c r="CJ601" s="186"/>
      <c r="CK601" s="186"/>
      <c r="CL601" s="186"/>
      <c r="CM601" s="186"/>
      <c r="CN601" s="186"/>
      <c r="CO601" s="186"/>
      <c r="CP601" s="186"/>
      <c r="CQ601" s="186"/>
      <c r="CR601" s="186"/>
      <c r="CS601" s="186"/>
      <c r="CT601" s="186"/>
      <c r="CU601" s="186"/>
      <c r="CV601" s="186"/>
      <c r="CW601" s="186"/>
      <c r="CX601" s="186"/>
      <c r="CY601" s="186"/>
      <c r="CZ601" s="186"/>
      <c r="DA601" s="186"/>
      <c r="DB601" s="186"/>
      <c r="DC601" s="186"/>
      <c r="DD601" s="186"/>
      <c r="DE601" s="186"/>
      <c r="DF601" s="186"/>
      <c r="DG601" s="186"/>
      <c r="DH601" s="186"/>
      <c r="DI601" s="186"/>
      <c r="DJ601" s="186"/>
      <c r="DK601" s="186"/>
      <c r="DL601" s="186"/>
      <c r="DM601" s="186"/>
      <c r="DN601" s="186"/>
      <c r="DO601" s="186"/>
      <c r="DP601" s="186"/>
      <c r="DQ601" s="186"/>
      <c r="DR601" s="186"/>
      <c r="DS601" s="186"/>
      <c r="DT601" s="186"/>
      <c r="DU601" s="186"/>
      <c r="DV601" s="186"/>
      <c r="DW601" s="186"/>
      <c r="DX601" s="186"/>
      <c r="DY601" s="186"/>
      <c r="DZ601" s="186"/>
      <c r="EA601" s="186"/>
      <c r="EB601" s="186"/>
      <c r="EC601" s="187"/>
    </row>
    <row r="602" spans="1:133" s="167" customFormat="1" ht="43.2" customHeight="1" x14ac:dyDescent="0.25">
      <c r="A602" s="171" t="s">
        <v>231</v>
      </c>
      <c r="B602" s="172"/>
      <c r="C602" s="172"/>
      <c r="D602" s="172"/>
      <c r="E602" s="172"/>
      <c r="F602" s="172"/>
      <c r="G602" s="172"/>
      <c r="H602" s="172"/>
      <c r="I602" s="172"/>
      <c r="J602" s="172"/>
      <c r="K602" s="172"/>
      <c r="L602" s="172"/>
      <c r="M602" s="172"/>
      <c r="N602" s="172"/>
      <c r="O602" s="172"/>
      <c r="P602" s="172"/>
      <c r="Q602" s="172"/>
      <c r="R602" s="172"/>
      <c r="S602" s="172"/>
      <c r="T602" s="172"/>
      <c r="U602" s="172"/>
      <c r="V602" s="172"/>
      <c r="W602" s="172"/>
      <c r="X602" s="172"/>
      <c r="Y602" s="172"/>
      <c r="Z602" s="172"/>
      <c r="AA602" s="172"/>
      <c r="AB602" s="172"/>
      <c r="AC602" s="172"/>
      <c r="AD602" s="172"/>
      <c r="AE602" s="172"/>
      <c r="AF602" s="172"/>
      <c r="AG602" s="172"/>
      <c r="AH602" s="172"/>
      <c r="AI602" s="172"/>
      <c r="AJ602" s="172"/>
      <c r="AK602" s="172"/>
      <c r="AL602" s="172"/>
      <c r="AM602" s="172"/>
      <c r="AN602" s="172"/>
      <c r="AO602" s="172"/>
      <c r="AP602" s="172"/>
      <c r="AQ602" s="172"/>
      <c r="AR602" s="172"/>
      <c r="AS602" s="172"/>
      <c r="AT602" s="172"/>
      <c r="AU602" s="172"/>
      <c r="AV602" s="172"/>
      <c r="AW602" s="172"/>
      <c r="AX602" s="172"/>
      <c r="AY602" s="172"/>
      <c r="AZ602" s="172"/>
      <c r="BA602" s="172"/>
      <c r="BB602" s="172"/>
      <c r="BC602" s="172"/>
      <c r="BD602" s="172"/>
      <c r="BE602" s="172"/>
      <c r="BF602" s="172"/>
      <c r="BG602" s="172"/>
      <c r="BH602" s="172"/>
      <c r="BI602" s="172"/>
      <c r="BJ602" s="172"/>
      <c r="BK602" s="172"/>
      <c r="BL602" s="172"/>
      <c r="BM602" s="172"/>
      <c r="BN602" s="172"/>
      <c r="BO602" s="172"/>
      <c r="BP602" s="172"/>
      <c r="BQ602" s="172"/>
      <c r="BR602" s="172"/>
      <c r="BS602" s="172"/>
      <c r="BT602" s="172"/>
      <c r="BU602" s="172"/>
      <c r="BV602" s="172"/>
      <c r="BW602" s="172"/>
      <c r="BX602" s="172"/>
      <c r="BY602" s="172"/>
      <c r="BZ602" s="172"/>
      <c r="CA602" s="172"/>
      <c r="CB602" s="172"/>
      <c r="CC602" s="172"/>
      <c r="CD602" s="172"/>
      <c r="CE602" s="172"/>
      <c r="CF602" s="172"/>
      <c r="CG602" s="172"/>
      <c r="CH602" s="172"/>
      <c r="CI602" s="172"/>
      <c r="CJ602" s="172"/>
      <c r="CK602" s="172"/>
      <c r="CL602" s="172"/>
      <c r="CM602" s="172"/>
      <c r="CN602" s="172"/>
      <c r="CO602" s="172"/>
      <c r="CP602" s="172"/>
      <c r="CQ602" s="172"/>
      <c r="CR602" s="172"/>
      <c r="CS602" s="172"/>
      <c r="CT602" s="172"/>
      <c r="CU602" s="172"/>
      <c r="CV602" s="172"/>
      <c r="CW602" s="172"/>
      <c r="CX602" s="172"/>
      <c r="CY602" s="172"/>
      <c r="CZ602" s="172"/>
      <c r="DA602" s="172"/>
      <c r="DB602" s="172"/>
      <c r="DC602" s="172"/>
      <c r="DD602" s="172"/>
      <c r="DE602" s="172"/>
      <c r="DF602" s="172"/>
      <c r="DG602" s="172"/>
      <c r="DH602" s="172"/>
      <c r="DI602" s="172"/>
      <c r="DJ602" s="172"/>
      <c r="DK602" s="172"/>
      <c r="DL602" s="172"/>
      <c r="DM602" s="172"/>
      <c r="DN602" s="172"/>
      <c r="DO602" s="172"/>
      <c r="DP602" s="172"/>
      <c r="DQ602" s="172"/>
      <c r="DR602" s="172"/>
      <c r="DS602" s="172"/>
      <c r="DT602" s="172"/>
      <c r="DU602" s="172"/>
      <c r="DV602" s="172"/>
      <c r="DW602" s="172"/>
      <c r="DX602" s="172"/>
      <c r="DY602" s="172"/>
      <c r="DZ602" s="172"/>
      <c r="EA602" s="172"/>
      <c r="EB602" s="172"/>
      <c r="EC602" s="173"/>
    </row>
    <row r="603" spans="1:133" s="56" customFormat="1" ht="31.2" x14ac:dyDescent="0.25">
      <c r="A603" s="92" t="s">
        <v>8</v>
      </c>
      <c r="B603" s="93" t="s">
        <v>9</v>
      </c>
      <c r="C603" s="94" t="s">
        <v>10</v>
      </c>
      <c r="D603" s="93" t="s">
        <v>341</v>
      </c>
      <c r="E603" s="93" t="s">
        <v>11</v>
      </c>
      <c r="F603" s="16" t="s">
        <v>292</v>
      </c>
      <c r="G603" s="16" t="s">
        <v>292</v>
      </c>
      <c r="H603" s="16" t="s">
        <v>292</v>
      </c>
      <c r="I603" s="16" t="s">
        <v>292</v>
      </c>
      <c r="J603" s="16" t="s">
        <v>292</v>
      </c>
      <c r="K603" s="16" t="s">
        <v>292</v>
      </c>
      <c r="L603" s="16" t="s">
        <v>292</v>
      </c>
      <c r="M603" s="16" t="s">
        <v>292</v>
      </c>
      <c r="N603" s="16" t="s">
        <v>308</v>
      </c>
      <c r="O603" s="16" t="s">
        <v>293</v>
      </c>
      <c r="P603" s="16" t="s">
        <v>294</v>
      </c>
      <c r="Q603" s="16" t="s">
        <v>295</v>
      </c>
      <c r="R603" s="54"/>
      <c r="S603" s="54"/>
      <c r="T603" s="54"/>
      <c r="U603" s="54"/>
      <c r="V603" s="54"/>
      <c r="W603" s="54"/>
      <c r="X603" s="54"/>
      <c r="Y603" s="54"/>
      <c r="Z603" s="54"/>
      <c r="AA603" s="54"/>
      <c r="AB603" s="54"/>
      <c r="AC603" s="54"/>
      <c r="AD603" s="54"/>
      <c r="AE603" s="54"/>
      <c r="AF603" s="54"/>
      <c r="AG603" s="54"/>
      <c r="AH603" s="54"/>
      <c r="AI603" s="54"/>
      <c r="AJ603" s="54"/>
      <c r="AK603" s="54"/>
      <c r="AL603" s="54"/>
      <c r="AM603" s="54"/>
      <c r="AN603" s="54"/>
      <c r="AO603" s="54"/>
      <c r="AP603" s="54"/>
      <c r="AQ603" s="54"/>
      <c r="AR603" s="54"/>
      <c r="AS603" s="54"/>
      <c r="AT603" s="54"/>
      <c r="AU603" s="54"/>
      <c r="AV603" s="54"/>
      <c r="AW603" s="54"/>
      <c r="AX603" s="54"/>
      <c r="AY603" s="54"/>
      <c r="AZ603" s="54"/>
      <c r="BA603" s="54"/>
      <c r="BB603" s="54"/>
      <c r="BC603" s="54"/>
      <c r="BD603" s="54"/>
      <c r="BE603" s="54"/>
      <c r="BF603" s="54"/>
      <c r="BG603" s="54"/>
      <c r="BH603" s="54"/>
      <c r="BI603" s="54"/>
      <c r="BJ603" s="54"/>
      <c r="BK603" s="54"/>
      <c r="BL603" s="54"/>
      <c r="BM603" s="54"/>
      <c r="BN603" s="54"/>
      <c r="BO603" s="54"/>
      <c r="BP603" s="54"/>
      <c r="BQ603" s="54"/>
      <c r="BR603" s="54"/>
      <c r="BS603" s="54"/>
      <c r="BT603" s="54"/>
      <c r="BU603" s="54"/>
      <c r="BV603" s="54"/>
      <c r="BW603" s="54"/>
      <c r="BX603" s="54"/>
      <c r="BY603" s="54"/>
      <c r="BZ603" s="54"/>
      <c r="CA603" s="54"/>
      <c r="CB603" s="54"/>
      <c r="CC603" s="54"/>
      <c r="CD603" s="54"/>
      <c r="CE603" s="54"/>
      <c r="CF603" s="54"/>
      <c r="CG603" s="54"/>
      <c r="CH603" s="54"/>
      <c r="CI603" s="54"/>
      <c r="CJ603" s="54"/>
      <c r="CK603" s="54"/>
      <c r="CL603" s="54"/>
      <c r="CM603" s="54"/>
      <c r="CN603" s="54"/>
      <c r="CO603" s="54"/>
      <c r="CP603" s="54"/>
      <c r="CQ603" s="54"/>
      <c r="CR603" s="54"/>
      <c r="CS603" s="54"/>
      <c r="CT603" s="54"/>
      <c r="CU603" s="54"/>
      <c r="CV603" s="54"/>
      <c r="CW603" s="54"/>
      <c r="CX603" s="54"/>
      <c r="CY603" s="54"/>
      <c r="CZ603" s="54"/>
      <c r="DA603" s="54"/>
      <c r="DB603" s="54"/>
      <c r="DC603" s="54"/>
      <c r="DD603" s="54"/>
      <c r="DE603" s="54"/>
      <c r="DF603" s="54"/>
      <c r="DG603" s="54"/>
      <c r="DH603" s="54"/>
      <c r="DI603" s="54"/>
      <c r="DJ603" s="54"/>
      <c r="DK603" s="54"/>
      <c r="DL603" s="54"/>
      <c r="DM603" s="54"/>
      <c r="DN603" s="54"/>
      <c r="DO603" s="54"/>
      <c r="DP603" s="54"/>
      <c r="DQ603" s="54"/>
      <c r="DR603" s="54"/>
      <c r="DS603" s="54"/>
      <c r="DT603" s="54"/>
      <c r="DU603" s="54"/>
      <c r="DV603" s="54"/>
      <c r="DW603" s="54"/>
      <c r="DX603" s="54"/>
      <c r="DY603" s="54"/>
      <c r="DZ603" s="54"/>
      <c r="EA603" s="54"/>
      <c r="EB603" s="54"/>
      <c r="EC603" s="54"/>
    </row>
    <row r="604" spans="1:133" s="56" customFormat="1" x14ac:dyDescent="0.25">
      <c r="A604" s="58" t="s">
        <v>12</v>
      </c>
      <c r="B604" s="58"/>
      <c r="C604" s="34"/>
      <c r="D604" s="34"/>
      <c r="E604" s="58"/>
      <c r="F604" s="16" t="s">
        <v>297</v>
      </c>
      <c r="G604" s="16" t="s">
        <v>297</v>
      </c>
      <c r="H604" s="16" t="s">
        <v>297</v>
      </c>
      <c r="I604" s="16" t="s">
        <v>297</v>
      </c>
      <c r="J604" s="16" t="s">
        <v>297</v>
      </c>
      <c r="K604" s="16" t="s">
        <v>297</v>
      </c>
      <c r="L604" s="16" t="s">
        <v>297</v>
      </c>
      <c r="M604" s="16" t="s">
        <v>297</v>
      </c>
      <c r="N604" s="16">
        <v>20</v>
      </c>
      <c r="O604" s="16">
        <v>31</v>
      </c>
      <c r="P604" s="16">
        <v>30</v>
      </c>
      <c r="Q604" s="16">
        <v>31</v>
      </c>
      <c r="R604" s="54"/>
      <c r="S604" s="54"/>
      <c r="T604" s="54"/>
      <c r="U604" s="54"/>
      <c r="V604" s="54"/>
      <c r="W604" s="54"/>
      <c r="X604" s="54"/>
      <c r="Y604" s="54"/>
      <c r="Z604" s="54"/>
      <c r="AA604" s="54"/>
      <c r="AB604" s="54"/>
      <c r="AC604" s="54"/>
      <c r="AD604" s="54"/>
      <c r="AE604" s="54"/>
      <c r="AF604" s="54"/>
      <c r="AG604" s="54"/>
      <c r="AH604" s="54"/>
      <c r="AI604" s="54"/>
      <c r="AJ604" s="54"/>
      <c r="AK604" s="54"/>
      <c r="AL604" s="54"/>
      <c r="AM604" s="54"/>
      <c r="AN604" s="54"/>
      <c r="AO604" s="54"/>
      <c r="AP604" s="54"/>
      <c r="AQ604" s="54"/>
      <c r="AR604" s="54"/>
      <c r="AS604" s="54"/>
      <c r="AT604" s="54"/>
      <c r="AU604" s="54"/>
      <c r="AV604" s="54"/>
      <c r="AW604" s="54"/>
      <c r="AX604" s="54"/>
      <c r="AY604" s="54"/>
      <c r="AZ604" s="54"/>
      <c r="BA604" s="54"/>
      <c r="BB604" s="54"/>
      <c r="BC604" s="54"/>
      <c r="BD604" s="54"/>
      <c r="BE604" s="54"/>
      <c r="BF604" s="54"/>
      <c r="BG604" s="54"/>
      <c r="BH604" s="54"/>
      <c r="BI604" s="54"/>
      <c r="BJ604" s="54"/>
      <c r="BK604" s="54"/>
      <c r="BL604" s="54"/>
      <c r="BM604" s="54"/>
      <c r="BN604" s="54"/>
      <c r="BO604" s="54"/>
      <c r="BP604" s="54"/>
      <c r="BQ604" s="54"/>
      <c r="BR604" s="54"/>
      <c r="BS604" s="54"/>
      <c r="BT604" s="54"/>
      <c r="BU604" s="54"/>
      <c r="BV604" s="54"/>
      <c r="BW604" s="54"/>
      <c r="BX604" s="54"/>
      <c r="BY604" s="54"/>
      <c r="BZ604" s="54"/>
      <c r="CA604" s="54"/>
      <c r="CB604" s="54"/>
      <c r="CC604" s="54"/>
      <c r="CD604" s="54"/>
      <c r="CE604" s="54"/>
      <c r="CF604" s="54"/>
      <c r="CG604" s="54"/>
      <c r="CH604" s="54"/>
      <c r="CI604" s="54"/>
      <c r="CJ604" s="54"/>
      <c r="CK604" s="54"/>
      <c r="CL604" s="54"/>
      <c r="CM604" s="54"/>
      <c r="CN604" s="54"/>
      <c r="CO604" s="54"/>
      <c r="CP604" s="54"/>
      <c r="CQ604" s="54"/>
      <c r="CR604" s="54"/>
      <c r="CS604" s="54"/>
      <c r="CT604" s="54"/>
      <c r="CU604" s="54"/>
      <c r="CV604" s="54"/>
      <c r="CW604" s="54"/>
      <c r="CX604" s="54"/>
      <c r="CY604" s="54"/>
      <c r="CZ604" s="54"/>
      <c r="DA604" s="54"/>
      <c r="DB604" s="54"/>
      <c r="DC604" s="54"/>
      <c r="DD604" s="54"/>
      <c r="DE604" s="54"/>
      <c r="DF604" s="54"/>
      <c r="DG604" s="54"/>
      <c r="DH604" s="54"/>
      <c r="DI604" s="54"/>
      <c r="DJ604" s="54"/>
      <c r="DK604" s="54"/>
      <c r="DL604" s="54"/>
      <c r="DM604" s="54"/>
      <c r="DN604" s="54"/>
      <c r="DO604" s="54"/>
      <c r="DP604" s="54"/>
      <c r="DQ604" s="54"/>
      <c r="DR604" s="54"/>
      <c r="DS604" s="54"/>
      <c r="DT604" s="54"/>
      <c r="DU604" s="54"/>
      <c r="DV604" s="54"/>
      <c r="DW604" s="54"/>
      <c r="DX604" s="54"/>
      <c r="DY604" s="54"/>
      <c r="DZ604" s="54"/>
      <c r="EA604" s="54"/>
      <c r="EB604" s="54"/>
      <c r="EC604" s="54"/>
    </row>
    <row r="605" spans="1:133" ht="46.8" x14ac:dyDescent="0.25">
      <c r="A605" s="59" t="s">
        <v>13</v>
      </c>
      <c r="B605" s="60" t="s">
        <v>14</v>
      </c>
      <c r="C605" s="53" t="s">
        <v>15</v>
      </c>
      <c r="D605" s="53" t="s">
        <v>369</v>
      </c>
      <c r="E605" s="61">
        <f>SUM(F605:Q605)</f>
        <v>559.56711072748305</v>
      </c>
      <c r="F605" s="62" t="s">
        <v>297</v>
      </c>
      <c r="G605" s="62" t="s">
        <v>297</v>
      </c>
      <c r="H605" s="62" t="s">
        <v>297</v>
      </c>
      <c r="I605" s="62" t="s">
        <v>297</v>
      </c>
      <c r="J605" s="62" t="s">
        <v>297</v>
      </c>
      <c r="K605" s="62" t="s">
        <v>297</v>
      </c>
      <c r="L605" s="62" t="s">
        <v>297</v>
      </c>
      <c r="M605" s="62" t="s">
        <v>297</v>
      </c>
      <c r="N605" s="62">
        <f t="shared" ref="N605:Q605" si="86">$E$6*$E$7*N608*$E$19</f>
        <v>107.15205965985197</v>
      </c>
      <c r="O605" s="62">
        <f t="shared" si="86"/>
        <v>166.08897753861064</v>
      </c>
      <c r="P605" s="62">
        <f t="shared" si="86"/>
        <v>140.81364775793261</v>
      </c>
      <c r="Q605" s="62">
        <f t="shared" si="86"/>
        <v>145.51242577108783</v>
      </c>
    </row>
    <row r="606" spans="1:133" ht="31.2" x14ac:dyDescent="0.25">
      <c r="A606" s="63" t="s">
        <v>16</v>
      </c>
      <c r="B606" s="60" t="s">
        <v>193</v>
      </c>
      <c r="C606" s="35" t="s">
        <v>17</v>
      </c>
      <c r="D606" s="35" t="s">
        <v>205</v>
      </c>
      <c r="E606" s="25">
        <v>28</v>
      </c>
      <c r="F606" s="25"/>
      <c r="G606" s="25"/>
      <c r="H606" s="25"/>
      <c r="I606" s="25"/>
      <c r="J606" s="25"/>
      <c r="K606" s="25"/>
      <c r="L606" s="25"/>
      <c r="M606" s="25"/>
      <c r="N606" s="25"/>
      <c r="O606" s="25"/>
      <c r="P606" s="25"/>
      <c r="Q606" s="25"/>
    </row>
    <row r="607" spans="1:133" ht="64.8" x14ac:dyDescent="0.25">
      <c r="A607" s="63" t="s">
        <v>18</v>
      </c>
      <c r="B607" s="25" t="s">
        <v>194</v>
      </c>
      <c r="C607" s="35" t="s">
        <v>20</v>
      </c>
      <c r="D607" s="35" t="s">
        <v>394</v>
      </c>
      <c r="E607" s="25">
        <v>0.21</v>
      </c>
      <c r="F607" s="25"/>
      <c r="G607" s="25"/>
      <c r="H607" s="25"/>
      <c r="I607" s="25"/>
      <c r="J607" s="25"/>
      <c r="K607" s="25"/>
      <c r="L607" s="25"/>
      <c r="M607" s="25"/>
      <c r="N607" s="25"/>
      <c r="O607" s="25"/>
      <c r="P607" s="25"/>
      <c r="Q607" s="25"/>
    </row>
    <row r="608" spans="1:133" ht="46.8" x14ac:dyDescent="0.25">
      <c r="A608" s="35" t="s">
        <v>21</v>
      </c>
      <c r="B608" s="25" t="s">
        <v>195</v>
      </c>
      <c r="C608" s="53" t="s">
        <v>22</v>
      </c>
      <c r="D608" s="53" t="s">
        <v>370</v>
      </c>
      <c r="E608" s="64">
        <f t="shared" ref="E608:Q608" si="87">E616*E609</f>
        <v>188.55858069186925</v>
      </c>
      <c r="F608" s="64" t="s">
        <v>297</v>
      </c>
      <c r="G608" s="64" t="s">
        <v>297</v>
      </c>
      <c r="H608" s="64" t="s">
        <v>297</v>
      </c>
      <c r="I608" s="64" t="s">
        <v>297</v>
      </c>
      <c r="J608" s="64" t="s">
        <v>297</v>
      </c>
      <c r="K608" s="64" t="s">
        <v>297</v>
      </c>
      <c r="L608" s="64" t="s">
        <v>297</v>
      </c>
      <c r="M608" s="64" t="s">
        <v>297</v>
      </c>
      <c r="N608" s="64">
        <f t="shared" si="87"/>
        <v>36.107269173495133</v>
      </c>
      <c r="O608" s="64">
        <f t="shared" si="87"/>
        <v>55.967374194900152</v>
      </c>
      <c r="P608" s="64">
        <f t="shared" si="87"/>
        <v>47.45028979412551</v>
      </c>
      <c r="Q608" s="64">
        <f t="shared" si="87"/>
        <v>49.03364752934845</v>
      </c>
    </row>
    <row r="609" spans="1:133" ht="46.8" x14ac:dyDescent="0.25">
      <c r="A609" s="35" t="s">
        <v>23</v>
      </c>
      <c r="B609" s="25" t="s">
        <v>197</v>
      </c>
      <c r="C609" s="35" t="s">
        <v>191</v>
      </c>
      <c r="D609" s="35" t="s">
        <v>371</v>
      </c>
      <c r="E609" s="20">
        <f>SUM(N609:Q609)</f>
        <v>198.72064710427074</v>
      </c>
      <c r="F609" s="20" t="s">
        <v>297</v>
      </c>
      <c r="G609" s="20" t="s">
        <v>297</v>
      </c>
      <c r="H609" s="20" t="s">
        <v>297</v>
      </c>
      <c r="I609" s="20" t="s">
        <v>297</v>
      </c>
      <c r="J609" s="20" t="s">
        <v>297</v>
      </c>
      <c r="K609" s="20" t="s">
        <v>297</v>
      </c>
      <c r="L609" s="20" t="s">
        <v>297</v>
      </c>
      <c r="M609" s="20" t="s">
        <v>297</v>
      </c>
      <c r="N609" s="20">
        <f t="shared" ref="N609:Q609" si="88">N611*N614</f>
        <v>38.05321332498999</v>
      </c>
      <c r="O609" s="20">
        <f t="shared" si="88"/>
        <v>58.983647288436572</v>
      </c>
      <c r="P609" s="20">
        <f t="shared" si="88"/>
        <v>50.00754809765278</v>
      </c>
      <c r="Q609" s="20">
        <f t="shared" si="88"/>
        <v>51.67623839319139</v>
      </c>
    </row>
    <row r="610" spans="1:133" ht="62.4" x14ac:dyDescent="0.25">
      <c r="A610" s="17" t="s">
        <v>334</v>
      </c>
      <c r="B610" s="60" t="s">
        <v>192</v>
      </c>
      <c r="C610" s="35" t="s">
        <v>25</v>
      </c>
      <c r="D610" s="35" t="s">
        <v>333</v>
      </c>
      <c r="E610" s="20">
        <f>AVERAGE(N610:Q610)</f>
        <v>5482.3186864247318</v>
      </c>
      <c r="F610" s="20" t="s">
        <v>297</v>
      </c>
      <c r="G610" s="20" t="s">
        <v>297</v>
      </c>
      <c r="H610" s="20" t="s">
        <v>297</v>
      </c>
      <c r="I610" s="20" t="s">
        <v>297</v>
      </c>
      <c r="J610" s="20" t="s">
        <v>297</v>
      </c>
      <c r="K610" s="20" t="s">
        <v>297</v>
      </c>
      <c r="L610" s="20" t="s">
        <v>297</v>
      </c>
      <c r="M610" s="20" t="s">
        <v>297</v>
      </c>
      <c r="N610" s="121">
        <v>5843.372949999999</v>
      </c>
      <c r="O610" s="121">
        <v>5841.5170322580652</v>
      </c>
      <c r="P610" s="121">
        <v>5122.1016666666674</v>
      </c>
      <c r="Q610" s="121">
        <v>5122.2830967741938</v>
      </c>
    </row>
    <row r="611" spans="1:133" ht="46.8" x14ac:dyDescent="0.25">
      <c r="A611" s="35" t="s">
        <v>26</v>
      </c>
      <c r="B611" s="60" t="s">
        <v>198</v>
      </c>
      <c r="C611" s="35" t="s">
        <v>27</v>
      </c>
      <c r="D611" s="35" t="s">
        <v>206</v>
      </c>
      <c r="E611" s="65">
        <f>SUM(N611:Q611)</f>
        <v>610408.31300000008</v>
      </c>
      <c r="F611" s="65" t="s">
        <v>297</v>
      </c>
      <c r="G611" s="65" t="s">
        <v>297</v>
      </c>
      <c r="H611" s="65" t="s">
        <v>297</v>
      </c>
      <c r="I611" s="65" t="s">
        <v>297</v>
      </c>
      <c r="J611" s="65" t="s">
        <v>297</v>
      </c>
      <c r="K611" s="65" t="s">
        <v>297</v>
      </c>
      <c r="L611" s="65" t="s">
        <v>297</v>
      </c>
      <c r="M611" s="65" t="s">
        <v>297</v>
      </c>
      <c r="N611" s="65">
        <f t="shared" ref="N611:Q611" si="89">N610*N604</f>
        <v>116867.45899999997</v>
      </c>
      <c r="O611" s="65">
        <f t="shared" si="89"/>
        <v>181087.02800000002</v>
      </c>
      <c r="P611" s="65">
        <f t="shared" si="89"/>
        <v>153663.05000000002</v>
      </c>
      <c r="Q611" s="65">
        <f t="shared" si="89"/>
        <v>158790.77600000001</v>
      </c>
    </row>
    <row r="612" spans="1:133" ht="62.4" x14ac:dyDescent="0.25">
      <c r="A612" s="35" t="s">
        <v>28</v>
      </c>
      <c r="B612" s="60" t="s">
        <v>199</v>
      </c>
      <c r="C612" s="35" t="s">
        <v>29</v>
      </c>
      <c r="D612" s="35" t="s">
        <v>332</v>
      </c>
      <c r="E612" s="125">
        <f>AVERAGE(N612:Q612)</f>
        <v>325.55057571684586</v>
      </c>
      <c r="F612" s="66" t="s">
        <v>297</v>
      </c>
      <c r="G612" s="66" t="s">
        <v>297</v>
      </c>
      <c r="H612" s="66" t="s">
        <v>297</v>
      </c>
      <c r="I612" s="66" t="s">
        <v>297</v>
      </c>
      <c r="J612" s="66" t="s">
        <v>297</v>
      </c>
      <c r="K612" s="66" t="s">
        <v>297</v>
      </c>
      <c r="L612" s="66" t="s">
        <v>297</v>
      </c>
      <c r="M612" s="66" t="s">
        <v>297</v>
      </c>
      <c r="N612" s="126">
        <v>325.61</v>
      </c>
      <c r="O612" s="126">
        <v>325.71989247311831</v>
      </c>
      <c r="P612" s="126">
        <v>325.43638888888887</v>
      </c>
      <c r="Q612" s="126">
        <v>325.43602150537629</v>
      </c>
    </row>
    <row r="613" spans="1:133" ht="62.4" x14ac:dyDescent="0.25">
      <c r="A613" s="35" t="s">
        <v>30</v>
      </c>
      <c r="B613" s="60" t="s">
        <v>199</v>
      </c>
      <c r="C613" s="35" t="s">
        <v>31</v>
      </c>
      <c r="D613" s="35" t="s">
        <v>331</v>
      </c>
      <c r="E613" s="125">
        <f>AVERAGE(N613:Q613)</f>
        <v>15.324389560931898</v>
      </c>
      <c r="F613" s="65" t="s">
        <v>297</v>
      </c>
      <c r="G613" s="65" t="s">
        <v>297</v>
      </c>
      <c r="H613" s="65" t="s">
        <v>297</v>
      </c>
      <c r="I613" s="65" t="s">
        <v>297</v>
      </c>
      <c r="J613" s="65" t="s">
        <v>297</v>
      </c>
      <c r="K613" s="65" t="s">
        <v>297</v>
      </c>
      <c r="L613" s="65" t="s">
        <v>297</v>
      </c>
      <c r="M613" s="65" t="s">
        <v>297</v>
      </c>
      <c r="N613" s="126">
        <v>15.567083333333334</v>
      </c>
      <c r="O613" s="126">
        <v>15.057526881720429</v>
      </c>
      <c r="P613" s="126">
        <v>15.536388888888888</v>
      </c>
      <c r="Q613" s="126">
        <v>15.136559139784946</v>
      </c>
    </row>
    <row r="614" spans="1:133" ht="62.4" x14ac:dyDescent="0.25">
      <c r="A614" s="35" t="s">
        <v>32</v>
      </c>
      <c r="B614" s="60" t="s">
        <v>200</v>
      </c>
      <c r="C614" s="35" t="s">
        <v>34</v>
      </c>
      <c r="D614" s="35" t="s">
        <v>338</v>
      </c>
      <c r="E614" s="122">
        <f>E612/1000000</f>
        <v>3.2555057571684586E-4</v>
      </c>
      <c r="F614" s="120" t="s">
        <v>297</v>
      </c>
      <c r="G614" s="120" t="s">
        <v>297</v>
      </c>
      <c r="H614" s="120" t="s">
        <v>297</v>
      </c>
      <c r="I614" s="120" t="s">
        <v>297</v>
      </c>
      <c r="J614" s="120" t="s">
        <v>297</v>
      </c>
      <c r="K614" s="120" t="s">
        <v>297</v>
      </c>
      <c r="L614" s="120" t="s">
        <v>297</v>
      </c>
      <c r="M614" s="120" t="s">
        <v>297</v>
      </c>
      <c r="N614" s="120">
        <f t="shared" ref="N614:Q614" si="90">N612/1000000</f>
        <v>3.2560999999999999E-4</v>
      </c>
      <c r="O614" s="120">
        <f t="shared" si="90"/>
        <v>3.2571989247311833E-4</v>
      </c>
      <c r="P614" s="120">
        <f t="shared" si="90"/>
        <v>3.2543638888888888E-4</v>
      </c>
      <c r="Q614" s="120">
        <f t="shared" si="90"/>
        <v>3.2543602150537628E-4</v>
      </c>
    </row>
    <row r="615" spans="1:133" ht="62.4" x14ac:dyDescent="0.25">
      <c r="A615" s="35" t="s">
        <v>30</v>
      </c>
      <c r="B615" s="60" t="s">
        <v>33</v>
      </c>
      <c r="C615" s="35" t="s">
        <v>35</v>
      </c>
      <c r="D615" s="35" t="s">
        <v>339</v>
      </c>
      <c r="E615" s="122">
        <f>E613/1000000</f>
        <v>1.5324389560931898E-5</v>
      </c>
      <c r="F615" s="120" t="s">
        <v>297</v>
      </c>
      <c r="G615" s="120" t="s">
        <v>297</v>
      </c>
      <c r="H615" s="120" t="s">
        <v>297</v>
      </c>
      <c r="I615" s="120" t="s">
        <v>297</v>
      </c>
      <c r="J615" s="120" t="s">
        <v>297</v>
      </c>
      <c r="K615" s="120" t="s">
        <v>297</v>
      </c>
      <c r="L615" s="120" t="s">
        <v>297</v>
      </c>
      <c r="M615" s="120" t="s">
        <v>297</v>
      </c>
      <c r="N615" s="120">
        <f t="shared" ref="N615:Q615" si="91">N613/1000000</f>
        <v>1.5567083333333335E-5</v>
      </c>
      <c r="O615" s="120">
        <f t="shared" si="91"/>
        <v>1.5057526881720429E-5</v>
      </c>
      <c r="P615" s="120">
        <f t="shared" si="91"/>
        <v>1.5536388888888887E-5</v>
      </c>
      <c r="Q615" s="120">
        <f t="shared" si="91"/>
        <v>1.5136559139784946E-5</v>
      </c>
    </row>
    <row r="616" spans="1:133" ht="46.8" x14ac:dyDescent="0.25">
      <c r="A616" s="63" t="s">
        <v>36</v>
      </c>
      <c r="B616" s="25" t="s">
        <v>201</v>
      </c>
      <c r="C616" s="35" t="s">
        <v>38</v>
      </c>
      <c r="D616" s="35" t="s">
        <v>368</v>
      </c>
      <c r="E616" s="68">
        <f>(1-(E617/E618))</f>
        <v>0.94886255373821649</v>
      </c>
      <c r="F616" s="68" t="s">
        <v>297</v>
      </c>
      <c r="G616" s="68" t="s">
        <v>297</v>
      </c>
      <c r="H616" s="68" t="s">
        <v>297</v>
      </c>
      <c r="I616" s="68" t="s">
        <v>297</v>
      </c>
      <c r="J616" s="68" t="s">
        <v>297</v>
      </c>
      <c r="K616" s="68" t="s">
        <v>297</v>
      </c>
      <c r="L616" s="68" t="s">
        <v>297</v>
      </c>
      <c r="M616" s="68" t="s">
        <v>297</v>
      </c>
      <c r="N616" s="68">
        <f>E616</f>
        <v>0.94886255373821649</v>
      </c>
      <c r="O616" s="68">
        <f>E616</f>
        <v>0.94886255373821649</v>
      </c>
      <c r="P616" s="68">
        <f>E616</f>
        <v>0.94886255373821649</v>
      </c>
      <c r="Q616" s="68">
        <f>E616</f>
        <v>0.94886255373821649</v>
      </c>
    </row>
    <row r="617" spans="1:133" ht="31.2" x14ac:dyDescent="0.25">
      <c r="A617" s="35" t="s">
        <v>39</v>
      </c>
      <c r="B617" s="25" t="s">
        <v>196</v>
      </c>
      <c r="C617" s="35" t="s">
        <v>40</v>
      </c>
      <c r="D617" s="35" t="s">
        <v>351</v>
      </c>
      <c r="E617" s="52">
        <f>SUM(F617:Q617)</f>
        <v>9.4492435520000004</v>
      </c>
      <c r="F617" s="52" t="s">
        <v>297</v>
      </c>
      <c r="G617" s="52" t="s">
        <v>297</v>
      </c>
      <c r="H617" s="52" t="s">
        <v>297</v>
      </c>
      <c r="I617" s="52" t="s">
        <v>297</v>
      </c>
      <c r="J617" s="52" t="s">
        <v>297</v>
      </c>
      <c r="K617" s="52" t="s">
        <v>297</v>
      </c>
      <c r="L617" s="52" t="s">
        <v>297</v>
      </c>
      <c r="M617" s="52" t="s">
        <v>297</v>
      </c>
      <c r="N617" s="52">
        <v>1.6873649199999998</v>
      </c>
      <c r="O617" s="52">
        <v>2.6154156260000003</v>
      </c>
      <c r="P617" s="52">
        <v>2.53104738</v>
      </c>
      <c r="Q617" s="52">
        <v>2.6154156260000003</v>
      </c>
    </row>
    <row r="618" spans="1:133" ht="31.2" x14ac:dyDescent="0.25">
      <c r="A618" s="63" t="s">
        <v>41</v>
      </c>
      <c r="B618" s="25" t="s">
        <v>24</v>
      </c>
      <c r="C618" s="35" t="s">
        <v>42</v>
      </c>
      <c r="D618" s="35" t="s">
        <v>351</v>
      </c>
      <c r="E618" s="52">
        <f>SUM(F618:Q618)</f>
        <v>184.78129517119999</v>
      </c>
      <c r="F618" s="52" t="s">
        <v>297</v>
      </c>
      <c r="G618" s="52" t="s">
        <v>297</v>
      </c>
      <c r="H618" s="52" t="s">
        <v>297</v>
      </c>
      <c r="I618" s="52" t="s">
        <v>297</v>
      </c>
      <c r="J618" s="52" t="s">
        <v>297</v>
      </c>
      <c r="K618" s="52" t="s">
        <v>297</v>
      </c>
      <c r="L618" s="52" t="s">
        <v>297</v>
      </c>
      <c r="M618" s="52" t="s">
        <v>297</v>
      </c>
      <c r="N618" s="52">
        <v>32.996659851999993</v>
      </c>
      <c r="O618" s="52">
        <v>51.144822770600001</v>
      </c>
      <c r="P618" s="52">
        <v>49.494989777999997</v>
      </c>
      <c r="Q618" s="52">
        <v>51.144822770600001</v>
      </c>
    </row>
    <row r="619" spans="1:133" ht="31.2" x14ac:dyDescent="0.25">
      <c r="A619" s="53" t="s">
        <v>43</v>
      </c>
      <c r="B619" s="25" t="s">
        <v>201</v>
      </c>
      <c r="C619" s="53" t="s">
        <v>44</v>
      </c>
      <c r="D619" s="35" t="s">
        <v>372</v>
      </c>
      <c r="E619" s="159">
        <f>E620*E621*0.89</f>
        <v>0.44217316398510415</v>
      </c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1"/>
    </row>
    <row r="620" spans="1:133" ht="31.2" x14ac:dyDescent="0.25">
      <c r="A620" s="70" t="s">
        <v>45</v>
      </c>
      <c r="B620" s="25" t="s">
        <v>201</v>
      </c>
      <c r="C620" s="53" t="s">
        <v>46</v>
      </c>
      <c r="D620" s="35" t="s">
        <v>373</v>
      </c>
      <c r="E620" s="162">
        <v>0.7</v>
      </c>
      <c r="F620" s="163"/>
      <c r="G620" s="163"/>
      <c r="H620" s="163"/>
      <c r="I620" s="163"/>
      <c r="J620" s="163"/>
      <c r="K620" s="163"/>
      <c r="L620" s="163"/>
      <c r="M620" s="163"/>
      <c r="N620" s="163"/>
      <c r="O620" s="163"/>
      <c r="P620" s="163"/>
      <c r="Q620" s="164"/>
    </row>
    <row r="621" spans="1:133" ht="36" customHeight="1" x14ac:dyDescent="0.25">
      <c r="A621" s="70" t="s">
        <v>47</v>
      </c>
      <c r="B621" s="25" t="s">
        <v>37</v>
      </c>
      <c r="C621" s="53" t="s">
        <v>48</v>
      </c>
      <c r="D621" s="35" t="s">
        <v>374</v>
      </c>
      <c r="E621" s="159">
        <f>(N622*N627+O622*O627+P622*P627+Q622*Q627)/(N616*N614*N611+O616*O611*O614+P616*P614*P611+Q616*Q614*Q611)</f>
        <v>0.70974825679791997</v>
      </c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1"/>
    </row>
    <row r="622" spans="1:133" s="9" customFormat="1" ht="46.8" x14ac:dyDescent="0.4">
      <c r="A622" s="71" t="s">
        <v>49</v>
      </c>
      <c r="B622" s="25" t="s">
        <v>37</v>
      </c>
      <c r="C622" s="53" t="s">
        <v>50</v>
      </c>
      <c r="D622" s="53" t="s">
        <v>375</v>
      </c>
      <c r="E622" s="72">
        <f>AVERAGE(F622:Q622)</f>
        <v>0.50105255042206698</v>
      </c>
      <c r="F622" s="72" t="s">
        <v>297</v>
      </c>
      <c r="G622" s="72" t="s">
        <v>297</v>
      </c>
      <c r="H622" s="72" t="s">
        <v>297</v>
      </c>
      <c r="I622" s="72" t="s">
        <v>297</v>
      </c>
      <c r="J622" s="72" t="s">
        <v>297</v>
      </c>
      <c r="K622" s="72" t="s">
        <v>297</v>
      </c>
      <c r="L622" s="72" t="s">
        <v>297</v>
      </c>
      <c r="M622" s="72" t="s">
        <v>297</v>
      </c>
      <c r="N622" s="72">
        <f t="shared" ref="N622:Q622" si="92">IF(N626&lt;283,0,IF(N626&gt;303,1,EXP(($E$23*(N626-$E$24))/($E$25*$E$24*N626))))</f>
        <v>0.77675425208684001</v>
      </c>
      <c r="O622" s="72">
        <f t="shared" si="92"/>
        <v>0.55084569341606926</v>
      </c>
      <c r="P622" s="72">
        <f t="shared" si="92"/>
        <v>0.44226396815696317</v>
      </c>
      <c r="Q622" s="72">
        <f t="shared" si="92"/>
        <v>0.23434628802839541</v>
      </c>
      <c r="R622" s="78"/>
      <c r="S622" s="78"/>
      <c r="T622" s="78"/>
      <c r="U622" s="78"/>
      <c r="V622" s="78"/>
      <c r="W622" s="78"/>
      <c r="X622" s="78"/>
      <c r="Y622" s="78"/>
      <c r="Z622" s="78"/>
      <c r="AA622" s="78"/>
      <c r="AB622" s="78"/>
      <c r="AC622" s="78"/>
      <c r="AD622" s="78"/>
      <c r="AE622" s="78"/>
      <c r="AF622" s="78"/>
      <c r="AG622" s="78"/>
      <c r="AH622" s="78"/>
      <c r="AI622" s="78"/>
      <c r="AJ622" s="78"/>
      <c r="AK622" s="78"/>
      <c r="AL622" s="78"/>
      <c r="AM622" s="78"/>
      <c r="AN622" s="78"/>
      <c r="AO622" s="78"/>
      <c r="AP622" s="78"/>
      <c r="AQ622" s="78"/>
      <c r="AR622" s="78"/>
      <c r="AS622" s="78"/>
      <c r="AT622" s="78"/>
      <c r="AU622" s="78"/>
      <c r="AV622" s="78"/>
      <c r="AW622" s="78"/>
      <c r="AX622" s="78"/>
      <c r="AY622" s="78"/>
      <c r="AZ622" s="78"/>
      <c r="BA622" s="78"/>
      <c r="BB622" s="78"/>
      <c r="BC622" s="78"/>
      <c r="BD622" s="78"/>
      <c r="BE622" s="78"/>
      <c r="BF622" s="78"/>
      <c r="BG622" s="78"/>
      <c r="BH622" s="78"/>
      <c r="BI622" s="78"/>
      <c r="BJ622" s="78"/>
      <c r="BK622" s="78"/>
      <c r="BL622" s="78"/>
      <c r="BM622" s="78"/>
      <c r="BN622" s="78"/>
      <c r="BO622" s="78"/>
      <c r="BP622" s="78"/>
      <c r="BQ622" s="78"/>
      <c r="BR622" s="78"/>
      <c r="BS622" s="78"/>
      <c r="BT622" s="78"/>
      <c r="BU622" s="78"/>
      <c r="BV622" s="78"/>
      <c r="BW622" s="78"/>
      <c r="BX622" s="78"/>
      <c r="BY622" s="78"/>
      <c r="BZ622" s="78"/>
      <c r="CA622" s="78"/>
      <c r="CB622" s="78"/>
      <c r="CC622" s="78"/>
      <c r="CD622" s="78"/>
      <c r="CE622" s="78"/>
      <c r="CF622" s="78"/>
      <c r="CG622" s="78"/>
      <c r="CH622" s="78"/>
      <c r="CI622" s="78"/>
      <c r="CJ622" s="78"/>
      <c r="CK622" s="78"/>
      <c r="CL622" s="78"/>
      <c r="CM622" s="78"/>
      <c r="CN622" s="78"/>
      <c r="CO622" s="78"/>
      <c r="CP622" s="78"/>
      <c r="CQ622" s="78"/>
      <c r="CR622" s="78"/>
      <c r="CS622" s="78"/>
      <c r="CT622" s="78"/>
      <c r="CU622" s="78"/>
      <c r="CV622" s="78"/>
      <c r="CW622" s="78"/>
      <c r="CX622" s="78"/>
      <c r="CY622" s="78"/>
      <c r="CZ622" s="78"/>
      <c r="DA622" s="78"/>
      <c r="DB622" s="78"/>
      <c r="DC622" s="78"/>
      <c r="DD622" s="78"/>
      <c r="DE622" s="78"/>
      <c r="DF622" s="78"/>
      <c r="DG622" s="78"/>
      <c r="DH622" s="78"/>
      <c r="DI622" s="78"/>
      <c r="DJ622" s="78"/>
      <c r="DK622" s="78"/>
      <c r="DL622" s="78"/>
      <c r="DM622" s="78"/>
      <c r="DN622" s="78"/>
      <c r="DO622" s="78"/>
      <c r="DP622" s="78"/>
      <c r="DQ622" s="78"/>
      <c r="DR622" s="78"/>
      <c r="DS622" s="78"/>
      <c r="DT622" s="78"/>
      <c r="DU622" s="78"/>
      <c r="DV622" s="78"/>
      <c r="DW622" s="78"/>
      <c r="DX622" s="78"/>
      <c r="DY622" s="78"/>
      <c r="DZ622" s="78"/>
      <c r="EA622" s="78"/>
      <c r="EB622" s="78"/>
      <c r="EC622" s="78"/>
    </row>
    <row r="623" spans="1:133" s="9" customFormat="1" x14ac:dyDescent="0.25">
      <c r="A623" s="73" t="s">
        <v>51</v>
      </c>
      <c r="B623" s="60" t="s">
        <v>202</v>
      </c>
      <c r="C623" s="53" t="s">
        <v>53</v>
      </c>
      <c r="D623" s="53" t="s">
        <v>376</v>
      </c>
      <c r="E623" s="162">
        <v>15175</v>
      </c>
      <c r="F623" s="163"/>
      <c r="G623" s="163"/>
      <c r="H623" s="163"/>
      <c r="I623" s="163"/>
      <c r="J623" s="163"/>
      <c r="K623" s="163"/>
      <c r="L623" s="163"/>
      <c r="M623" s="163"/>
      <c r="N623" s="163"/>
      <c r="O623" s="163"/>
      <c r="P623" s="163"/>
      <c r="Q623" s="164"/>
      <c r="R623" s="78"/>
      <c r="S623" s="78"/>
      <c r="T623" s="78"/>
      <c r="U623" s="78"/>
      <c r="V623" s="78"/>
      <c r="W623" s="78"/>
      <c r="X623" s="78"/>
      <c r="Y623" s="78"/>
      <c r="Z623" s="78"/>
      <c r="AA623" s="78"/>
      <c r="AB623" s="78"/>
      <c r="AC623" s="78"/>
      <c r="AD623" s="78"/>
      <c r="AE623" s="78"/>
      <c r="AF623" s="78"/>
      <c r="AG623" s="78"/>
      <c r="AH623" s="78"/>
      <c r="AI623" s="78"/>
      <c r="AJ623" s="78"/>
      <c r="AK623" s="78"/>
      <c r="AL623" s="78"/>
      <c r="AM623" s="78"/>
      <c r="AN623" s="78"/>
      <c r="AO623" s="78"/>
      <c r="AP623" s="78"/>
      <c r="AQ623" s="78"/>
      <c r="AR623" s="78"/>
      <c r="AS623" s="78"/>
      <c r="AT623" s="78"/>
      <c r="AU623" s="78"/>
      <c r="AV623" s="78"/>
      <c r="AW623" s="78"/>
      <c r="AX623" s="78"/>
      <c r="AY623" s="78"/>
      <c r="AZ623" s="78"/>
      <c r="BA623" s="78"/>
      <c r="BB623" s="78"/>
      <c r="BC623" s="78"/>
      <c r="BD623" s="78"/>
      <c r="BE623" s="78"/>
      <c r="BF623" s="78"/>
      <c r="BG623" s="78"/>
      <c r="BH623" s="78"/>
      <c r="BI623" s="78"/>
      <c r="BJ623" s="78"/>
      <c r="BK623" s="78"/>
      <c r="BL623" s="78"/>
      <c r="BM623" s="78"/>
      <c r="BN623" s="78"/>
      <c r="BO623" s="78"/>
      <c r="BP623" s="78"/>
      <c r="BQ623" s="78"/>
      <c r="BR623" s="78"/>
      <c r="BS623" s="78"/>
      <c r="BT623" s="78"/>
      <c r="BU623" s="78"/>
      <c r="BV623" s="78"/>
      <c r="BW623" s="78"/>
      <c r="BX623" s="78"/>
      <c r="BY623" s="78"/>
      <c r="BZ623" s="78"/>
      <c r="CA623" s="78"/>
      <c r="CB623" s="78"/>
      <c r="CC623" s="78"/>
      <c r="CD623" s="78"/>
      <c r="CE623" s="78"/>
      <c r="CF623" s="78"/>
      <c r="CG623" s="78"/>
      <c r="CH623" s="78"/>
      <c r="CI623" s="78"/>
      <c r="CJ623" s="78"/>
      <c r="CK623" s="78"/>
      <c r="CL623" s="78"/>
      <c r="CM623" s="78"/>
      <c r="CN623" s="78"/>
      <c r="CO623" s="78"/>
      <c r="CP623" s="78"/>
      <c r="CQ623" s="78"/>
      <c r="CR623" s="78"/>
      <c r="CS623" s="78"/>
      <c r="CT623" s="78"/>
      <c r="CU623" s="78"/>
      <c r="CV623" s="78"/>
      <c r="CW623" s="78"/>
      <c r="CX623" s="78"/>
      <c r="CY623" s="78"/>
      <c r="CZ623" s="78"/>
      <c r="DA623" s="78"/>
      <c r="DB623" s="78"/>
      <c r="DC623" s="78"/>
      <c r="DD623" s="78"/>
      <c r="DE623" s="78"/>
      <c r="DF623" s="78"/>
      <c r="DG623" s="78"/>
      <c r="DH623" s="78"/>
      <c r="DI623" s="78"/>
      <c r="DJ623" s="78"/>
      <c r="DK623" s="78"/>
      <c r="DL623" s="78"/>
      <c r="DM623" s="78"/>
      <c r="DN623" s="78"/>
      <c r="DO623" s="78"/>
      <c r="DP623" s="78"/>
      <c r="DQ623" s="78"/>
      <c r="DR623" s="78"/>
      <c r="DS623" s="78"/>
      <c r="DT623" s="78"/>
      <c r="DU623" s="78"/>
      <c r="DV623" s="78"/>
      <c r="DW623" s="78"/>
      <c r="DX623" s="78"/>
      <c r="DY623" s="78"/>
      <c r="DZ623" s="78"/>
      <c r="EA623" s="78"/>
      <c r="EB623" s="78"/>
      <c r="EC623" s="78"/>
    </row>
    <row r="624" spans="1:133" s="9" customFormat="1" ht="18" x14ac:dyDescent="0.25">
      <c r="A624" s="73" t="s">
        <v>54</v>
      </c>
      <c r="B624" s="60" t="s">
        <v>203</v>
      </c>
      <c r="C624" s="53" t="s">
        <v>56</v>
      </c>
      <c r="D624" s="53" t="s">
        <v>376</v>
      </c>
      <c r="E624" s="162">
        <v>303.16000000000003</v>
      </c>
      <c r="F624" s="163"/>
      <c r="G624" s="163"/>
      <c r="H624" s="163"/>
      <c r="I624" s="163"/>
      <c r="J624" s="163"/>
      <c r="K624" s="163"/>
      <c r="L624" s="163"/>
      <c r="M624" s="163"/>
      <c r="N624" s="163"/>
      <c r="O624" s="163"/>
      <c r="P624" s="163"/>
      <c r="Q624" s="164"/>
      <c r="R624" s="78"/>
      <c r="S624" s="78"/>
      <c r="T624" s="78"/>
      <c r="U624" s="78"/>
      <c r="V624" s="78"/>
      <c r="W624" s="78"/>
      <c r="X624" s="78"/>
      <c r="Y624" s="78"/>
      <c r="Z624" s="78"/>
      <c r="AA624" s="78"/>
      <c r="AB624" s="78"/>
      <c r="AC624" s="78"/>
      <c r="AD624" s="78"/>
      <c r="AE624" s="78"/>
      <c r="AF624" s="78"/>
      <c r="AG624" s="78"/>
      <c r="AH624" s="78"/>
      <c r="AI624" s="78"/>
      <c r="AJ624" s="78"/>
      <c r="AK624" s="78"/>
      <c r="AL624" s="78"/>
      <c r="AM624" s="78"/>
      <c r="AN624" s="78"/>
      <c r="AO624" s="78"/>
      <c r="AP624" s="78"/>
      <c r="AQ624" s="78"/>
      <c r="AR624" s="78"/>
      <c r="AS624" s="78"/>
      <c r="AT624" s="78"/>
      <c r="AU624" s="78"/>
      <c r="AV624" s="78"/>
      <c r="AW624" s="78"/>
      <c r="AX624" s="78"/>
      <c r="AY624" s="78"/>
      <c r="AZ624" s="78"/>
      <c r="BA624" s="78"/>
      <c r="BB624" s="78"/>
      <c r="BC624" s="78"/>
      <c r="BD624" s="78"/>
      <c r="BE624" s="78"/>
      <c r="BF624" s="78"/>
      <c r="BG624" s="78"/>
      <c r="BH624" s="78"/>
      <c r="BI624" s="78"/>
      <c r="BJ624" s="78"/>
      <c r="BK624" s="78"/>
      <c r="BL624" s="78"/>
      <c r="BM624" s="78"/>
      <c r="BN624" s="78"/>
      <c r="BO624" s="78"/>
      <c r="BP624" s="78"/>
      <c r="BQ624" s="78"/>
      <c r="BR624" s="78"/>
      <c r="BS624" s="78"/>
      <c r="BT624" s="78"/>
      <c r="BU624" s="78"/>
      <c r="BV624" s="78"/>
      <c r="BW624" s="78"/>
      <c r="BX624" s="78"/>
      <c r="BY624" s="78"/>
      <c r="BZ624" s="78"/>
      <c r="CA624" s="78"/>
      <c r="CB624" s="78"/>
      <c r="CC624" s="78"/>
      <c r="CD624" s="78"/>
      <c r="CE624" s="78"/>
      <c r="CF624" s="78"/>
      <c r="CG624" s="78"/>
      <c r="CH624" s="78"/>
      <c r="CI624" s="78"/>
      <c r="CJ624" s="78"/>
      <c r="CK624" s="78"/>
      <c r="CL624" s="78"/>
      <c r="CM624" s="78"/>
      <c r="CN624" s="78"/>
      <c r="CO624" s="78"/>
      <c r="CP624" s="78"/>
      <c r="CQ624" s="78"/>
      <c r="CR624" s="78"/>
      <c r="CS624" s="78"/>
      <c r="CT624" s="78"/>
      <c r="CU624" s="78"/>
      <c r="CV624" s="78"/>
      <c r="CW624" s="78"/>
      <c r="CX624" s="78"/>
      <c r="CY624" s="78"/>
      <c r="CZ624" s="78"/>
      <c r="DA624" s="78"/>
      <c r="DB624" s="78"/>
      <c r="DC624" s="78"/>
      <c r="DD624" s="78"/>
      <c r="DE624" s="78"/>
      <c r="DF624" s="78"/>
      <c r="DG624" s="78"/>
      <c r="DH624" s="78"/>
      <c r="DI624" s="78"/>
      <c r="DJ624" s="78"/>
      <c r="DK624" s="78"/>
      <c r="DL624" s="78"/>
      <c r="DM624" s="78"/>
      <c r="DN624" s="78"/>
      <c r="DO624" s="78"/>
      <c r="DP624" s="78"/>
      <c r="DQ624" s="78"/>
      <c r="DR624" s="78"/>
      <c r="DS624" s="78"/>
      <c r="DT624" s="78"/>
      <c r="DU624" s="78"/>
      <c r="DV624" s="78"/>
      <c r="DW624" s="78"/>
      <c r="DX624" s="78"/>
      <c r="DY624" s="78"/>
      <c r="DZ624" s="78"/>
      <c r="EA624" s="78"/>
      <c r="EB624" s="78"/>
      <c r="EC624" s="78"/>
    </row>
    <row r="625" spans="1:133" s="9" customFormat="1" x14ac:dyDescent="0.25">
      <c r="A625" s="73" t="s">
        <v>57</v>
      </c>
      <c r="B625" s="60" t="s">
        <v>204</v>
      </c>
      <c r="C625" s="53" t="s">
        <v>59</v>
      </c>
      <c r="D625" s="53" t="s">
        <v>376</v>
      </c>
      <c r="E625" s="162">
        <v>1.9870000000000001</v>
      </c>
      <c r="F625" s="163"/>
      <c r="G625" s="163"/>
      <c r="H625" s="163"/>
      <c r="I625" s="163"/>
      <c r="J625" s="163"/>
      <c r="K625" s="163"/>
      <c r="L625" s="163"/>
      <c r="M625" s="163"/>
      <c r="N625" s="163"/>
      <c r="O625" s="163"/>
      <c r="P625" s="163"/>
      <c r="Q625" s="164"/>
      <c r="R625" s="78"/>
      <c r="S625" s="78"/>
      <c r="T625" s="78"/>
      <c r="U625" s="78"/>
      <c r="V625" s="78"/>
      <c r="W625" s="78"/>
      <c r="X625" s="78"/>
      <c r="Y625" s="78"/>
      <c r="Z625" s="78"/>
      <c r="AA625" s="78"/>
      <c r="AB625" s="78"/>
      <c r="AC625" s="78"/>
      <c r="AD625" s="78"/>
      <c r="AE625" s="78"/>
      <c r="AF625" s="78"/>
      <c r="AG625" s="78"/>
      <c r="AH625" s="78"/>
      <c r="AI625" s="78"/>
      <c r="AJ625" s="78"/>
      <c r="AK625" s="78"/>
      <c r="AL625" s="78"/>
      <c r="AM625" s="78"/>
      <c r="AN625" s="78"/>
      <c r="AO625" s="78"/>
      <c r="AP625" s="78"/>
      <c r="AQ625" s="78"/>
      <c r="AR625" s="78"/>
      <c r="AS625" s="78"/>
      <c r="AT625" s="78"/>
      <c r="AU625" s="78"/>
      <c r="AV625" s="78"/>
      <c r="AW625" s="78"/>
      <c r="AX625" s="78"/>
      <c r="AY625" s="78"/>
      <c r="AZ625" s="78"/>
      <c r="BA625" s="78"/>
      <c r="BB625" s="78"/>
      <c r="BC625" s="78"/>
      <c r="BD625" s="78"/>
      <c r="BE625" s="78"/>
      <c r="BF625" s="78"/>
      <c r="BG625" s="78"/>
      <c r="BH625" s="78"/>
      <c r="BI625" s="78"/>
      <c r="BJ625" s="78"/>
      <c r="BK625" s="78"/>
      <c r="BL625" s="78"/>
      <c r="BM625" s="78"/>
      <c r="BN625" s="78"/>
      <c r="BO625" s="78"/>
      <c r="BP625" s="78"/>
      <c r="BQ625" s="78"/>
      <c r="BR625" s="78"/>
      <c r="BS625" s="78"/>
      <c r="BT625" s="78"/>
      <c r="BU625" s="78"/>
      <c r="BV625" s="78"/>
      <c r="BW625" s="78"/>
      <c r="BX625" s="78"/>
      <c r="BY625" s="78"/>
      <c r="BZ625" s="78"/>
      <c r="CA625" s="78"/>
      <c r="CB625" s="78"/>
      <c r="CC625" s="78"/>
      <c r="CD625" s="78"/>
      <c r="CE625" s="78"/>
      <c r="CF625" s="78"/>
      <c r="CG625" s="78"/>
      <c r="CH625" s="78"/>
      <c r="CI625" s="78"/>
      <c r="CJ625" s="78"/>
      <c r="CK625" s="78"/>
      <c r="CL625" s="78"/>
      <c r="CM625" s="78"/>
      <c r="CN625" s="78"/>
      <c r="CO625" s="78"/>
      <c r="CP625" s="78"/>
      <c r="CQ625" s="78"/>
      <c r="CR625" s="78"/>
      <c r="CS625" s="78"/>
      <c r="CT625" s="78"/>
      <c r="CU625" s="78"/>
      <c r="CV625" s="78"/>
      <c r="CW625" s="78"/>
      <c r="CX625" s="78"/>
      <c r="CY625" s="78"/>
      <c r="CZ625" s="78"/>
      <c r="DA625" s="78"/>
      <c r="DB625" s="78"/>
      <c r="DC625" s="78"/>
      <c r="DD625" s="78"/>
      <c r="DE625" s="78"/>
      <c r="DF625" s="78"/>
      <c r="DG625" s="78"/>
      <c r="DH625" s="78"/>
      <c r="DI625" s="78"/>
      <c r="DJ625" s="78"/>
      <c r="DK625" s="78"/>
      <c r="DL625" s="78"/>
      <c r="DM625" s="78"/>
      <c r="DN625" s="78"/>
      <c r="DO625" s="78"/>
      <c r="DP625" s="78"/>
      <c r="DQ625" s="78"/>
      <c r="DR625" s="78"/>
      <c r="DS625" s="78"/>
      <c r="DT625" s="78"/>
      <c r="DU625" s="78"/>
      <c r="DV625" s="78"/>
      <c r="DW625" s="78"/>
      <c r="DX625" s="78"/>
      <c r="DY625" s="78"/>
      <c r="DZ625" s="78"/>
      <c r="EA625" s="78"/>
      <c r="EB625" s="78"/>
      <c r="EC625" s="78"/>
    </row>
    <row r="626" spans="1:133" s="9" customFormat="1" ht="31.2" x14ac:dyDescent="0.25">
      <c r="A626" s="73" t="s">
        <v>60</v>
      </c>
      <c r="B626" s="60" t="s">
        <v>203</v>
      </c>
      <c r="C626" s="53" t="s">
        <v>61</v>
      </c>
      <c r="D626" s="143" t="s">
        <v>363</v>
      </c>
      <c r="E626" s="98">
        <f>AVERAGE(F626:Q626)</f>
        <v>294.14999999999998</v>
      </c>
      <c r="F626" s="60" t="s">
        <v>297</v>
      </c>
      <c r="G626" s="60" t="s">
        <v>297</v>
      </c>
      <c r="H626" s="60" t="s">
        <v>297</v>
      </c>
      <c r="I626" s="60" t="s">
        <v>297</v>
      </c>
      <c r="J626" s="60" t="s">
        <v>297</v>
      </c>
      <c r="K626" s="60" t="s">
        <v>297</v>
      </c>
      <c r="L626" s="60" t="s">
        <v>297</v>
      </c>
      <c r="M626" s="60" t="s">
        <v>297</v>
      </c>
      <c r="N626" s="60">
        <v>300.14999999999998</v>
      </c>
      <c r="O626" s="60">
        <v>296.14999999999998</v>
      </c>
      <c r="P626" s="60">
        <v>293.64999999999998</v>
      </c>
      <c r="Q626" s="60">
        <v>286.64999999999998</v>
      </c>
      <c r="R626" s="78"/>
      <c r="S626" s="78"/>
      <c r="T626" s="78"/>
      <c r="U626" s="78"/>
      <c r="V626" s="78"/>
      <c r="W626" s="78"/>
      <c r="X626" s="78"/>
      <c r="Y626" s="78"/>
      <c r="Z626" s="78"/>
      <c r="AA626" s="78"/>
      <c r="AB626" s="78"/>
      <c r="AC626" s="78"/>
      <c r="AD626" s="78"/>
      <c r="AE626" s="78"/>
      <c r="AF626" s="78"/>
      <c r="AG626" s="78"/>
      <c r="AH626" s="78"/>
      <c r="AI626" s="78"/>
      <c r="AJ626" s="78"/>
      <c r="AK626" s="78"/>
      <c r="AL626" s="78"/>
      <c r="AM626" s="78"/>
      <c r="AN626" s="78"/>
      <c r="AO626" s="78"/>
      <c r="AP626" s="78"/>
      <c r="AQ626" s="78"/>
      <c r="AR626" s="78"/>
      <c r="AS626" s="78"/>
      <c r="AT626" s="78"/>
      <c r="AU626" s="78"/>
      <c r="AV626" s="78"/>
      <c r="AW626" s="78"/>
      <c r="AX626" s="78"/>
      <c r="AY626" s="78"/>
      <c r="AZ626" s="78"/>
      <c r="BA626" s="78"/>
      <c r="BB626" s="78"/>
      <c r="BC626" s="78"/>
      <c r="BD626" s="78"/>
      <c r="BE626" s="78"/>
      <c r="BF626" s="78"/>
      <c r="BG626" s="78"/>
      <c r="BH626" s="78"/>
      <c r="BI626" s="78"/>
      <c r="BJ626" s="78"/>
      <c r="BK626" s="78"/>
      <c r="BL626" s="78"/>
      <c r="BM626" s="78"/>
      <c r="BN626" s="78"/>
      <c r="BO626" s="78"/>
      <c r="BP626" s="78"/>
      <c r="BQ626" s="78"/>
      <c r="BR626" s="78"/>
      <c r="BS626" s="78"/>
      <c r="BT626" s="78"/>
      <c r="BU626" s="78"/>
      <c r="BV626" s="78"/>
      <c r="BW626" s="78"/>
      <c r="BX626" s="78"/>
      <c r="BY626" s="78"/>
      <c r="BZ626" s="78"/>
      <c r="CA626" s="78"/>
      <c r="CB626" s="78"/>
      <c r="CC626" s="78"/>
      <c r="CD626" s="78"/>
      <c r="CE626" s="78"/>
      <c r="CF626" s="78"/>
      <c r="CG626" s="78"/>
      <c r="CH626" s="78"/>
      <c r="CI626" s="78"/>
      <c r="CJ626" s="78"/>
      <c r="CK626" s="78"/>
      <c r="CL626" s="78"/>
      <c r="CM626" s="78"/>
      <c r="CN626" s="78"/>
      <c r="CO626" s="78"/>
      <c r="CP626" s="78"/>
      <c r="CQ626" s="78"/>
      <c r="CR626" s="78"/>
      <c r="CS626" s="78"/>
      <c r="CT626" s="78"/>
      <c r="CU626" s="78"/>
      <c r="CV626" s="78"/>
      <c r="CW626" s="78"/>
      <c r="CX626" s="78"/>
      <c r="CY626" s="78"/>
      <c r="CZ626" s="78"/>
      <c r="DA626" s="78"/>
      <c r="DB626" s="78"/>
      <c r="DC626" s="78"/>
      <c r="DD626" s="78"/>
      <c r="DE626" s="78"/>
      <c r="DF626" s="78"/>
      <c r="DG626" s="78"/>
      <c r="DH626" s="78"/>
      <c r="DI626" s="78"/>
      <c r="DJ626" s="78"/>
      <c r="DK626" s="78"/>
      <c r="DL626" s="78"/>
      <c r="DM626" s="78"/>
      <c r="DN626" s="78"/>
      <c r="DO626" s="78"/>
      <c r="DP626" s="78"/>
      <c r="DQ626" s="78"/>
      <c r="DR626" s="78"/>
      <c r="DS626" s="78"/>
      <c r="DT626" s="78"/>
      <c r="DU626" s="78"/>
      <c r="DV626" s="78"/>
      <c r="DW626" s="78"/>
      <c r="DX626" s="78"/>
      <c r="DY626" s="78"/>
      <c r="DZ626" s="78"/>
      <c r="EA626" s="78"/>
      <c r="EB626" s="78"/>
      <c r="EC626" s="78"/>
    </row>
    <row r="627" spans="1:133" s="9" customFormat="1" ht="31.2" x14ac:dyDescent="0.4">
      <c r="A627" s="71" t="s">
        <v>62</v>
      </c>
      <c r="B627" s="60" t="s">
        <v>196</v>
      </c>
      <c r="C627" s="53" t="s">
        <v>63</v>
      </c>
      <c r="D627" s="53" t="s">
        <v>377</v>
      </c>
      <c r="E627" s="74">
        <f>SUM(F627:Q627)</f>
        <v>312.19244287136945</v>
      </c>
      <c r="F627" s="74" t="s">
        <v>297</v>
      </c>
      <c r="G627" s="74" t="s">
        <v>297</v>
      </c>
      <c r="H627" s="74" t="s">
        <v>297</v>
      </c>
      <c r="I627" s="74" t="s">
        <v>297</v>
      </c>
      <c r="J627" s="74" t="s">
        <v>297</v>
      </c>
      <c r="K627" s="74" t="s">
        <v>297</v>
      </c>
      <c r="L627" s="74" t="s">
        <v>297</v>
      </c>
      <c r="M627" s="74" t="s">
        <v>297</v>
      </c>
      <c r="N627" s="74">
        <f>N616*N611*N614+(1-N622)*0</f>
        <v>36.107269173495133</v>
      </c>
      <c r="O627" s="74">
        <f t="shared" ref="O627:Q627" si="93">O616*O611*O614+(1-O622)*N627</f>
        <v>72.1851096431607</v>
      </c>
      <c r="P627" s="74">
        <f t="shared" si="93"/>
        <v>87.710526404656491</v>
      </c>
      <c r="Q627" s="74">
        <f t="shared" si="93"/>
        <v>116.18953765005713</v>
      </c>
      <c r="R627" s="78"/>
      <c r="S627" s="78"/>
      <c r="T627" s="78"/>
      <c r="U627" s="78"/>
      <c r="V627" s="78"/>
      <c r="W627" s="78"/>
      <c r="X627" s="78"/>
      <c r="Y627" s="78"/>
      <c r="Z627" s="78"/>
      <c r="AA627" s="78"/>
      <c r="AB627" s="78"/>
      <c r="AC627" s="78"/>
      <c r="AD627" s="78"/>
      <c r="AE627" s="78"/>
      <c r="AF627" s="78"/>
      <c r="AG627" s="78"/>
      <c r="AH627" s="78"/>
      <c r="AI627" s="78"/>
      <c r="AJ627" s="78"/>
      <c r="AK627" s="78"/>
      <c r="AL627" s="78"/>
      <c r="AM627" s="78"/>
      <c r="AN627" s="78"/>
      <c r="AO627" s="78"/>
      <c r="AP627" s="78"/>
      <c r="AQ627" s="78"/>
      <c r="AR627" s="78"/>
      <c r="AS627" s="78"/>
      <c r="AT627" s="78"/>
      <c r="AU627" s="78"/>
      <c r="AV627" s="78"/>
      <c r="AW627" s="78"/>
      <c r="AX627" s="78"/>
      <c r="AY627" s="78"/>
      <c r="AZ627" s="78"/>
      <c r="BA627" s="78"/>
      <c r="BB627" s="78"/>
      <c r="BC627" s="78"/>
      <c r="BD627" s="78"/>
      <c r="BE627" s="78"/>
      <c r="BF627" s="78"/>
      <c r="BG627" s="78"/>
      <c r="BH627" s="78"/>
      <c r="BI627" s="78"/>
      <c r="BJ627" s="78"/>
      <c r="BK627" s="78"/>
      <c r="BL627" s="78"/>
      <c r="BM627" s="78"/>
      <c r="BN627" s="78"/>
      <c r="BO627" s="78"/>
      <c r="BP627" s="78"/>
      <c r="BQ627" s="78"/>
      <c r="BR627" s="78"/>
      <c r="BS627" s="78"/>
      <c r="BT627" s="78"/>
      <c r="BU627" s="78"/>
      <c r="BV627" s="78"/>
      <c r="BW627" s="78"/>
      <c r="BX627" s="78"/>
      <c r="BY627" s="78"/>
      <c r="BZ627" s="78"/>
      <c r="CA627" s="78"/>
      <c r="CB627" s="78"/>
      <c r="CC627" s="78"/>
      <c r="CD627" s="78"/>
      <c r="CE627" s="78"/>
      <c r="CF627" s="78"/>
      <c r="CG627" s="78"/>
      <c r="CH627" s="78"/>
      <c r="CI627" s="78"/>
      <c r="CJ627" s="78"/>
      <c r="CK627" s="78"/>
      <c r="CL627" s="78"/>
      <c r="CM627" s="78"/>
      <c r="CN627" s="78"/>
      <c r="CO627" s="78"/>
      <c r="CP627" s="78"/>
      <c r="CQ627" s="78"/>
      <c r="CR627" s="78"/>
      <c r="CS627" s="78"/>
      <c r="CT627" s="78"/>
      <c r="CU627" s="78"/>
      <c r="CV627" s="78"/>
      <c r="CW627" s="78"/>
      <c r="CX627" s="78"/>
      <c r="CY627" s="78"/>
      <c r="CZ627" s="78"/>
      <c r="DA627" s="78"/>
      <c r="DB627" s="78"/>
      <c r="DC627" s="78"/>
      <c r="DD627" s="78"/>
      <c r="DE627" s="78"/>
      <c r="DF627" s="78"/>
      <c r="DG627" s="78"/>
      <c r="DH627" s="78"/>
      <c r="DI627" s="78"/>
      <c r="DJ627" s="78"/>
      <c r="DK627" s="78"/>
      <c r="DL627" s="78"/>
      <c r="DM627" s="78"/>
      <c r="DN627" s="78"/>
      <c r="DO627" s="78"/>
      <c r="DP627" s="78"/>
      <c r="DQ627" s="78"/>
      <c r="DR627" s="78"/>
      <c r="DS627" s="78"/>
      <c r="DT627" s="78"/>
      <c r="DU627" s="78"/>
      <c r="DV627" s="78"/>
      <c r="DW627" s="78"/>
      <c r="DX627" s="78"/>
      <c r="DY627" s="78"/>
      <c r="DZ627" s="78"/>
      <c r="EA627" s="78"/>
      <c r="EB627" s="78"/>
      <c r="EC627" s="78"/>
    </row>
    <row r="629" spans="1:133" ht="15.6" customHeight="1" x14ac:dyDescent="0.25">
      <c r="A629" s="36" t="s">
        <v>64</v>
      </c>
      <c r="B629" s="36"/>
      <c r="C629" s="36"/>
      <c r="D629" s="36"/>
      <c r="E629" s="36"/>
    </row>
    <row r="630" spans="1:133" x14ac:dyDescent="0.25">
      <c r="A630" s="57" t="s">
        <v>8</v>
      </c>
      <c r="B630" s="58" t="s">
        <v>9</v>
      </c>
      <c r="C630" s="34" t="s">
        <v>10</v>
      </c>
      <c r="D630" s="34" t="s">
        <v>340</v>
      </c>
      <c r="E630" s="16" t="s">
        <v>65</v>
      </c>
    </row>
    <row r="631" spans="1:133" ht="46.8" x14ac:dyDescent="0.25">
      <c r="A631" s="59" t="s">
        <v>66</v>
      </c>
      <c r="B631" s="60" t="s">
        <v>14</v>
      </c>
      <c r="C631" s="53" t="s">
        <v>67</v>
      </c>
      <c r="D631" s="53" t="s">
        <v>68</v>
      </c>
      <c r="E631" s="75">
        <v>0</v>
      </c>
    </row>
    <row r="632" spans="1:133" ht="46.8" x14ac:dyDescent="0.25">
      <c r="A632" s="63" t="s">
        <v>69</v>
      </c>
      <c r="B632" s="25" t="s">
        <v>70</v>
      </c>
      <c r="C632" s="35" t="s">
        <v>71</v>
      </c>
      <c r="D632" s="53" t="str">
        <f>D638</f>
        <v>Historical data on site in the FSR (It was calculated with conservative value)</v>
      </c>
      <c r="E632" s="74">
        <f>E638</f>
        <v>114.0618093974079</v>
      </c>
    </row>
    <row r="634" spans="1:133" ht="15.6" customHeight="1" x14ac:dyDescent="0.25">
      <c r="A634" s="90" t="s">
        <v>72</v>
      </c>
      <c r="B634" s="90"/>
      <c r="C634" s="91"/>
      <c r="D634" s="91"/>
      <c r="E634" s="90"/>
    </row>
    <row r="635" spans="1:133" x14ac:dyDescent="0.25">
      <c r="A635" s="59" t="s">
        <v>8</v>
      </c>
      <c r="B635" s="16" t="s">
        <v>9</v>
      </c>
      <c r="C635" s="38" t="s">
        <v>10</v>
      </c>
      <c r="D635" s="38" t="s">
        <v>340</v>
      </c>
      <c r="E635" s="16" t="s">
        <v>65</v>
      </c>
    </row>
    <row r="636" spans="1:133" ht="33.6" x14ac:dyDescent="0.4">
      <c r="A636" s="76" t="s">
        <v>73</v>
      </c>
      <c r="B636" s="25" t="s">
        <v>74</v>
      </c>
      <c r="C636" s="35" t="s">
        <v>75</v>
      </c>
      <c r="D636" s="35" t="s">
        <v>378</v>
      </c>
      <c r="E636" s="50">
        <f>E637*E640*E641*E642*E643*E644</f>
        <v>0.46328838430768504</v>
      </c>
    </row>
    <row r="637" spans="1:133" ht="46.8" x14ac:dyDescent="0.4">
      <c r="A637" s="77" t="s">
        <v>207</v>
      </c>
      <c r="B637" s="25" t="s">
        <v>76</v>
      </c>
      <c r="C637" s="35" t="s">
        <v>77</v>
      </c>
      <c r="D637" s="35" t="s">
        <v>379</v>
      </c>
      <c r="E637" s="52">
        <f>E638/E639</f>
        <v>22.812361879481578</v>
      </c>
    </row>
    <row r="638" spans="1:133" ht="46.8" x14ac:dyDescent="0.25">
      <c r="A638" s="63" t="s">
        <v>208</v>
      </c>
      <c r="B638" s="25" t="s">
        <v>78</v>
      </c>
      <c r="C638" s="35" t="s">
        <v>79</v>
      </c>
      <c r="D638" s="53" t="s">
        <v>352</v>
      </c>
      <c r="E638" s="52">
        <f>0.000186861494131401*E611</f>
        <v>114.0618093974079</v>
      </c>
    </row>
    <row r="639" spans="1:133" ht="31.2" x14ac:dyDescent="0.25">
      <c r="A639" s="63" t="s">
        <v>209</v>
      </c>
      <c r="B639" s="25" t="s">
        <v>80</v>
      </c>
      <c r="C639" s="35" t="s">
        <v>81</v>
      </c>
      <c r="D639" s="35" t="s">
        <v>353</v>
      </c>
      <c r="E639" s="25">
        <f>5</f>
        <v>5</v>
      </c>
    </row>
    <row r="640" spans="1:133" ht="62.4" x14ac:dyDescent="0.25">
      <c r="A640" s="63" t="s">
        <v>210</v>
      </c>
      <c r="B640" s="25" t="s">
        <v>82</v>
      </c>
      <c r="C640" s="35" t="s">
        <v>83</v>
      </c>
      <c r="D640" s="53" t="s">
        <v>354</v>
      </c>
      <c r="E640" s="25">
        <f>15*2</f>
        <v>30</v>
      </c>
    </row>
    <row r="641" spans="1:133" ht="172.2" x14ac:dyDescent="0.25">
      <c r="A641" s="63" t="s">
        <v>211</v>
      </c>
      <c r="B641" s="25" t="s">
        <v>84</v>
      </c>
      <c r="C641" s="35" t="s">
        <v>85</v>
      </c>
      <c r="D641" s="35" t="s">
        <v>355</v>
      </c>
      <c r="E641" s="25">
        <f>25.1/100</f>
        <v>0.251</v>
      </c>
    </row>
    <row r="642" spans="1:133" ht="156" x14ac:dyDescent="0.25">
      <c r="A642" s="63" t="s">
        <v>212</v>
      </c>
      <c r="B642" s="25" t="s">
        <v>87</v>
      </c>
      <c r="C642" s="35" t="s">
        <v>86</v>
      </c>
      <c r="D642" s="35" t="s">
        <v>356</v>
      </c>
      <c r="E642" s="25">
        <f>0.84/1000</f>
        <v>8.3999999999999993E-4</v>
      </c>
    </row>
    <row r="643" spans="1:133" ht="171.6" x14ac:dyDescent="0.25">
      <c r="A643" s="63" t="s">
        <v>213</v>
      </c>
      <c r="B643" s="25" t="s">
        <v>88</v>
      </c>
      <c r="C643" s="35" t="s">
        <v>89</v>
      </c>
      <c r="D643" s="35" t="s">
        <v>357</v>
      </c>
      <c r="E643" s="25">
        <f>43.33/1000</f>
        <v>4.333E-2</v>
      </c>
    </row>
    <row r="644" spans="1:133" ht="62.4" x14ac:dyDescent="0.25">
      <c r="A644" s="63" t="s">
        <v>214</v>
      </c>
      <c r="B644" s="25" t="s">
        <v>90</v>
      </c>
      <c r="C644" s="35" t="s">
        <v>91</v>
      </c>
      <c r="D644" s="35" t="s">
        <v>358</v>
      </c>
      <c r="E644" s="25">
        <v>74.099999999999994</v>
      </c>
    </row>
    <row r="646" spans="1:133" ht="15.6" customHeight="1" x14ac:dyDescent="0.25">
      <c r="A646" s="36" t="s">
        <v>93</v>
      </c>
      <c r="B646" s="36"/>
      <c r="C646" s="36"/>
      <c r="D646" s="36"/>
      <c r="E646" s="36"/>
    </row>
    <row r="647" spans="1:133" x14ac:dyDescent="0.25">
      <c r="A647" s="57" t="s">
        <v>8</v>
      </c>
      <c r="B647" s="58" t="s">
        <v>9</v>
      </c>
      <c r="C647" s="34" t="s">
        <v>10</v>
      </c>
      <c r="D647" s="34" t="s">
        <v>340</v>
      </c>
      <c r="E647" s="16" t="s">
        <v>65</v>
      </c>
    </row>
    <row r="648" spans="1:133" ht="64.8" x14ac:dyDescent="0.25">
      <c r="A648" s="15" t="s">
        <v>94</v>
      </c>
      <c r="B648" s="25" t="s">
        <v>95</v>
      </c>
      <c r="C648" s="35" t="s">
        <v>96</v>
      </c>
      <c r="D648" s="35" t="s">
        <v>97</v>
      </c>
      <c r="E648" s="16">
        <v>0</v>
      </c>
    </row>
    <row r="650" spans="1:133" ht="15.6" customHeight="1" x14ac:dyDescent="0.25">
      <c r="A650" s="36" t="s">
        <v>98</v>
      </c>
      <c r="B650" s="36"/>
      <c r="C650" s="36"/>
      <c r="D650" s="36"/>
      <c r="E650" s="36"/>
    </row>
    <row r="651" spans="1:133" x14ac:dyDescent="0.25">
      <c r="A651" s="57" t="s">
        <v>8</v>
      </c>
      <c r="B651" s="58" t="s">
        <v>9</v>
      </c>
      <c r="C651" s="34" t="s">
        <v>10</v>
      </c>
      <c r="D651" s="34" t="s">
        <v>340</v>
      </c>
      <c r="E651" s="16" t="s">
        <v>65</v>
      </c>
    </row>
    <row r="652" spans="1:133" ht="49.2" x14ac:dyDescent="0.25">
      <c r="A652" s="15" t="s">
        <v>99</v>
      </c>
      <c r="B652" s="25" t="s">
        <v>95</v>
      </c>
      <c r="C652" s="35" t="s">
        <v>100</v>
      </c>
      <c r="D652" s="35" t="s">
        <v>101</v>
      </c>
      <c r="E652" s="16">
        <v>0</v>
      </c>
    </row>
    <row r="654" spans="1:133" x14ac:dyDescent="0.25">
      <c r="A654" s="57" t="s">
        <v>8</v>
      </c>
      <c r="B654" s="58" t="s">
        <v>9</v>
      </c>
      <c r="C654" s="34" t="s">
        <v>10</v>
      </c>
      <c r="D654" s="34" t="s">
        <v>340</v>
      </c>
      <c r="E654" s="16" t="s">
        <v>65</v>
      </c>
    </row>
    <row r="655" spans="1:133" ht="18" x14ac:dyDescent="0.25">
      <c r="A655" s="59" t="s">
        <v>102</v>
      </c>
      <c r="B655" s="25" t="s">
        <v>103</v>
      </c>
      <c r="C655" s="35" t="s">
        <v>104</v>
      </c>
      <c r="D655" s="53" t="s">
        <v>380</v>
      </c>
      <c r="E655" s="18">
        <f>ROUNDDOWN(E605+E636+E631+E648+E652,0)</f>
        <v>560</v>
      </c>
    </row>
    <row r="656" spans="1:133" s="167" customFormat="1" ht="43.2" customHeight="1" x14ac:dyDescent="0.25">
      <c r="A656" s="171" t="s">
        <v>232</v>
      </c>
      <c r="B656" s="172"/>
      <c r="C656" s="172"/>
      <c r="D656" s="172"/>
      <c r="E656" s="172"/>
      <c r="F656" s="172"/>
      <c r="G656" s="172"/>
      <c r="H656" s="172"/>
      <c r="I656" s="172"/>
      <c r="J656" s="172"/>
      <c r="K656" s="172"/>
      <c r="L656" s="172"/>
      <c r="M656" s="172"/>
      <c r="N656" s="172"/>
      <c r="O656" s="172"/>
      <c r="P656" s="172"/>
      <c r="Q656" s="172"/>
      <c r="R656" s="172"/>
      <c r="S656" s="172"/>
      <c r="T656" s="172"/>
      <c r="U656" s="172"/>
      <c r="V656" s="172"/>
      <c r="W656" s="172"/>
      <c r="X656" s="172"/>
      <c r="Y656" s="172"/>
      <c r="Z656" s="172"/>
      <c r="AA656" s="172"/>
      <c r="AB656" s="172"/>
      <c r="AC656" s="172"/>
      <c r="AD656" s="172"/>
      <c r="AE656" s="172"/>
      <c r="AF656" s="172"/>
      <c r="AG656" s="172"/>
      <c r="AH656" s="172"/>
      <c r="AI656" s="172"/>
      <c r="AJ656" s="172"/>
      <c r="AK656" s="172"/>
      <c r="AL656" s="172"/>
      <c r="AM656" s="172"/>
      <c r="AN656" s="172"/>
      <c r="AO656" s="172"/>
      <c r="AP656" s="172"/>
      <c r="AQ656" s="172"/>
      <c r="AR656" s="172"/>
      <c r="AS656" s="172"/>
      <c r="AT656" s="172"/>
      <c r="AU656" s="172"/>
      <c r="AV656" s="172"/>
      <c r="AW656" s="172"/>
      <c r="AX656" s="172"/>
      <c r="AY656" s="172"/>
      <c r="AZ656" s="172"/>
      <c r="BA656" s="172"/>
      <c r="BB656" s="172"/>
      <c r="BC656" s="172"/>
      <c r="BD656" s="172"/>
      <c r="BE656" s="172"/>
      <c r="BF656" s="172"/>
      <c r="BG656" s="172"/>
      <c r="BH656" s="172"/>
      <c r="BI656" s="172"/>
      <c r="BJ656" s="172"/>
      <c r="BK656" s="172"/>
      <c r="BL656" s="172"/>
      <c r="BM656" s="172"/>
      <c r="BN656" s="172"/>
      <c r="BO656" s="172"/>
      <c r="BP656" s="172"/>
      <c r="BQ656" s="172"/>
      <c r="BR656" s="172"/>
      <c r="BS656" s="172"/>
      <c r="BT656" s="172"/>
      <c r="BU656" s="172"/>
      <c r="BV656" s="172"/>
      <c r="BW656" s="172"/>
      <c r="BX656" s="172"/>
      <c r="BY656" s="172"/>
      <c r="BZ656" s="172"/>
      <c r="CA656" s="172"/>
      <c r="CB656" s="172"/>
      <c r="CC656" s="172"/>
      <c r="CD656" s="172"/>
      <c r="CE656" s="172"/>
      <c r="CF656" s="172"/>
      <c r="CG656" s="172"/>
      <c r="CH656" s="172"/>
      <c r="CI656" s="172"/>
      <c r="CJ656" s="172"/>
      <c r="CK656" s="172"/>
      <c r="CL656" s="172"/>
      <c r="CM656" s="172"/>
      <c r="CN656" s="172"/>
      <c r="CO656" s="172"/>
      <c r="CP656" s="172"/>
      <c r="CQ656" s="172"/>
      <c r="CR656" s="172"/>
      <c r="CS656" s="172"/>
      <c r="CT656" s="172"/>
      <c r="CU656" s="172"/>
      <c r="CV656" s="172"/>
      <c r="CW656" s="172"/>
      <c r="CX656" s="172"/>
      <c r="CY656" s="172"/>
      <c r="CZ656" s="172"/>
      <c r="DA656" s="172"/>
      <c r="DB656" s="172"/>
      <c r="DC656" s="172"/>
      <c r="DD656" s="172"/>
      <c r="DE656" s="172"/>
      <c r="DF656" s="172"/>
      <c r="DG656" s="172"/>
      <c r="DH656" s="172"/>
      <c r="DI656" s="172"/>
      <c r="DJ656" s="172"/>
      <c r="DK656" s="172"/>
      <c r="DL656" s="172"/>
      <c r="DM656" s="172"/>
      <c r="DN656" s="172"/>
      <c r="DO656" s="172"/>
      <c r="DP656" s="172"/>
      <c r="DQ656" s="172"/>
      <c r="DR656" s="172"/>
      <c r="DS656" s="172"/>
      <c r="DT656" s="172"/>
      <c r="DU656" s="172"/>
      <c r="DV656" s="172"/>
      <c r="DW656" s="172"/>
      <c r="DX656" s="172"/>
      <c r="DY656" s="172"/>
      <c r="DZ656" s="172"/>
      <c r="EA656" s="172"/>
      <c r="EB656" s="172"/>
      <c r="EC656" s="173"/>
    </row>
    <row r="657" spans="1:133" s="56" customFormat="1" ht="31.2" x14ac:dyDescent="0.25">
      <c r="A657" s="92" t="s">
        <v>8</v>
      </c>
      <c r="B657" s="93" t="s">
        <v>9</v>
      </c>
      <c r="C657" s="94" t="s">
        <v>10</v>
      </c>
      <c r="D657" s="93" t="s">
        <v>341</v>
      </c>
      <c r="E657" s="93" t="s">
        <v>11</v>
      </c>
      <c r="F657" s="16" t="s">
        <v>292</v>
      </c>
      <c r="G657" s="16" t="s">
        <v>292</v>
      </c>
      <c r="H657" s="16" t="s">
        <v>292</v>
      </c>
      <c r="I657" s="16" t="s">
        <v>292</v>
      </c>
      <c r="J657" s="16" t="s">
        <v>292</v>
      </c>
      <c r="K657" s="16" t="s">
        <v>292</v>
      </c>
      <c r="L657" s="16" t="s">
        <v>292</v>
      </c>
      <c r="M657" s="16" t="s">
        <v>292</v>
      </c>
      <c r="N657" s="16" t="s">
        <v>307</v>
      </c>
      <c r="O657" s="16" t="s">
        <v>293</v>
      </c>
      <c r="P657" s="16" t="s">
        <v>294</v>
      </c>
      <c r="Q657" s="16" t="s">
        <v>295</v>
      </c>
      <c r="R657" s="54"/>
      <c r="S657" s="54"/>
      <c r="T657" s="54"/>
      <c r="U657" s="54"/>
      <c r="V657" s="54"/>
      <c r="W657" s="54"/>
      <c r="X657" s="54"/>
      <c r="Y657" s="54"/>
      <c r="Z657" s="54"/>
      <c r="AA657" s="54"/>
      <c r="AB657" s="54"/>
      <c r="AC657" s="54"/>
      <c r="AD657" s="54"/>
      <c r="AE657" s="54"/>
      <c r="AF657" s="54"/>
      <c r="AG657" s="54"/>
      <c r="AH657" s="54"/>
      <c r="AI657" s="54"/>
      <c r="AJ657" s="54"/>
      <c r="AK657" s="54"/>
      <c r="AL657" s="54"/>
      <c r="AM657" s="54"/>
      <c r="AN657" s="54"/>
      <c r="AO657" s="54"/>
      <c r="AP657" s="54"/>
      <c r="AQ657" s="54"/>
      <c r="AR657" s="54"/>
      <c r="AS657" s="54"/>
      <c r="AT657" s="54"/>
      <c r="AU657" s="54"/>
      <c r="AV657" s="54"/>
      <c r="AW657" s="54"/>
      <c r="AX657" s="54"/>
      <c r="AY657" s="54"/>
      <c r="AZ657" s="54"/>
      <c r="BA657" s="54"/>
      <c r="BB657" s="54"/>
      <c r="BC657" s="54"/>
      <c r="BD657" s="54"/>
      <c r="BE657" s="54"/>
      <c r="BF657" s="54"/>
      <c r="BG657" s="54"/>
      <c r="BH657" s="54"/>
      <c r="BI657" s="54"/>
      <c r="BJ657" s="54"/>
      <c r="BK657" s="54"/>
      <c r="BL657" s="54"/>
      <c r="BM657" s="54"/>
      <c r="BN657" s="54"/>
      <c r="BO657" s="54"/>
      <c r="BP657" s="54"/>
      <c r="BQ657" s="54"/>
      <c r="BR657" s="54"/>
      <c r="BS657" s="54"/>
      <c r="BT657" s="54"/>
      <c r="BU657" s="54"/>
      <c r="BV657" s="54"/>
      <c r="BW657" s="54"/>
      <c r="BX657" s="54"/>
      <c r="BY657" s="54"/>
      <c r="BZ657" s="54"/>
      <c r="CA657" s="54"/>
      <c r="CB657" s="54"/>
      <c r="CC657" s="54"/>
      <c r="CD657" s="54"/>
      <c r="CE657" s="54"/>
      <c r="CF657" s="54"/>
      <c r="CG657" s="54"/>
      <c r="CH657" s="54"/>
      <c r="CI657" s="54"/>
      <c r="CJ657" s="54"/>
      <c r="CK657" s="54"/>
      <c r="CL657" s="54"/>
      <c r="CM657" s="54"/>
      <c r="CN657" s="54"/>
      <c r="CO657" s="54"/>
      <c r="CP657" s="54"/>
      <c r="CQ657" s="54"/>
      <c r="CR657" s="54"/>
      <c r="CS657" s="54"/>
      <c r="CT657" s="54"/>
      <c r="CU657" s="54"/>
      <c r="CV657" s="54"/>
      <c r="CW657" s="54"/>
      <c r="CX657" s="54"/>
      <c r="CY657" s="54"/>
      <c r="CZ657" s="54"/>
      <c r="DA657" s="54"/>
      <c r="DB657" s="54"/>
      <c r="DC657" s="54"/>
      <c r="DD657" s="54"/>
      <c r="DE657" s="54"/>
      <c r="DF657" s="54"/>
      <c r="DG657" s="54"/>
      <c r="DH657" s="54"/>
      <c r="DI657" s="54"/>
      <c r="DJ657" s="54"/>
      <c r="DK657" s="54"/>
      <c r="DL657" s="54"/>
      <c r="DM657" s="54"/>
      <c r="DN657" s="54"/>
      <c r="DO657" s="54"/>
      <c r="DP657" s="54"/>
      <c r="DQ657" s="54"/>
      <c r="DR657" s="54"/>
      <c r="DS657" s="54"/>
      <c r="DT657" s="54"/>
      <c r="DU657" s="54"/>
      <c r="DV657" s="54"/>
      <c r="DW657" s="54"/>
      <c r="DX657" s="54"/>
      <c r="DY657" s="54"/>
      <c r="DZ657" s="54"/>
      <c r="EA657" s="54"/>
      <c r="EB657" s="54"/>
      <c r="EC657" s="54"/>
    </row>
    <row r="658" spans="1:133" s="56" customFormat="1" x14ac:dyDescent="0.25">
      <c r="A658" s="58" t="s">
        <v>12</v>
      </c>
      <c r="B658" s="58"/>
      <c r="C658" s="34"/>
      <c r="D658" s="34"/>
      <c r="E658" s="58"/>
      <c r="F658" s="16" t="s">
        <v>297</v>
      </c>
      <c r="G658" s="16" t="s">
        <v>297</v>
      </c>
      <c r="H658" s="16" t="s">
        <v>297</v>
      </c>
      <c r="I658" s="16" t="s">
        <v>297</v>
      </c>
      <c r="J658" s="16" t="s">
        <v>297</v>
      </c>
      <c r="K658" s="16" t="s">
        <v>297</v>
      </c>
      <c r="L658" s="16" t="s">
        <v>297</v>
      </c>
      <c r="M658" s="16" t="s">
        <v>297</v>
      </c>
      <c r="N658" s="16">
        <v>19</v>
      </c>
      <c r="O658" s="16">
        <v>31</v>
      </c>
      <c r="P658" s="16">
        <v>30</v>
      </c>
      <c r="Q658" s="16">
        <v>31</v>
      </c>
      <c r="R658" s="54"/>
      <c r="S658" s="54"/>
      <c r="T658" s="54"/>
      <c r="U658" s="54"/>
      <c r="V658" s="54"/>
      <c r="W658" s="54"/>
      <c r="X658" s="54"/>
      <c r="Y658" s="54"/>
      <c r="Z658" s="54"/>
      <c r="AA658" s="54"/>
      <c r="AB658" s="54"/>
      <c r="AC658" s="54"/>
      <c r="AD658" s="54"/>
      <c r="AE658" s="54"/>
      <c r="AF658" s="54"/>
      <c r="AG658" s="54"/>
      <c r="AH658" s="54"/>
      <c r="AI658" s="54"/>
      <c r="AJ658" s="54"/>
      <c r="AK658" s="54"/>
      <c r="AL658" s="54"/>
      <c r="AM658" s="54"/>
      <c r="AN658" s="54"/>
      <c r="AO658" s="54"/>
      <c r="AP658" s="54"/>
      <c r="AQ658" s="54"/>
      <c r="AR658" s="54"/>
      <c r="AS658" s="54"/>
      <c r="AT658" s="54"/>
      <c r="AU658" s="54"/>
      <c r="AV658" s="54"/>
      <c r="AW658" s="54"/>
      <c r="AX658" s="54"/>
      <c r="AY658" s="54"/>
      <c r="AZ658" s="54"/>
      <c r="BA658" s="54"/>
      <c r="BB658" s="54"/>
      <c r="BC658" s="54"/>
      <c r="BD658" s="54"/>
      <c r="BE658" s="54"/>
      <c r="BF658" s="54"/>
      <c r="BG658" s="54"/>
      <c r="BH658" s="54"/>
      <c r="BI658" s="54"/>
      <c r="BJ658" s="54"/>
      <c r="BK658" s="54"/>
      <c r="BL658" s="54"/>
      <c r="BM658" s="54"/>
      <c r="BN658" s="54"/>
      <c r="BO658" s="54"/>
      <c r="BP658" s="54"/>
      <c r="BQ658" s="54"/>
      <c r="BR658" s="54"/>
      <c r="BS658" s="54"/>
      <c r="BT658" s="54"/>
      <c r="BU658" s="54"/>
      <c r="BV658" s="54"/>
      <c r="BW658" s="54"/>
      <c r="BX658" s="54"/>
      <c r="BY658" s="54"/>
      <c r="BZ658" s="54"/>
      <c r="CA658" s="54"/>
      <c r="CB658" s="54"/>
      <c r="CC658" s="54"/>
      <c r="CD658" s="54"/>
      <c r="CE658" s="54"/>
      <c r="CF658" s="54"/>
      <c r="CG658" s="54"/>
      <c r="CH658" s="54"/>
      <c r="CI658" s="54"/>
      <c r="CJ658" s="54"/>
      <c r="CK658" s="54"/>
      <c r="CL658" s="54"/>
      <c r="CM658" s="54"/>
      <c r="CN658" s="54"/>
      <c r="CO658" s="54"/>
      <c r="CP658" s="54"/>
      <c r="CQ658" s="54"/>
      <c r="CR658" s="54"/>
      <c r="CS658" s="54"/>
      <c r="CT658" s="54"/>
      <c r="CU658" s="54"/>
      <c r="CV658" s="54"/>
      <c r="CW658" s="54"/>
      <c r="CX658" s="54"/>
      <c r="CY658" s="54"/>
      <c r="CZ658" s="54"/>
      <c r="DA658" s="54"/>
      <c r="DB658" s="54"/>
      <c r="DC658" s="54"/>
      <c r="DD658" s="54"/>
      <c r="DE658" s="54"/>
      <c r="DF658" s="54"/>
      <c r="DG658" s="54"/>
      <c r="DH658" s="54"/>
      <c r="DI658" s="54"/>
      <c r="DJ658" s="54"/>
      <c r="DK658" s="54"/>
      <c r="DL658" s="54"/>
      <c r="DM658" s="54"/>
      <c r="DN658" s="54"/>
      <c r="DO658" s="54"/>
      <c r="DP658" s="54"/>
      <c r="DQ658" s="54"/>
      <c r="DR658" s="54"/>
      <c r="DS658" s="54"/>
      <c r="DT658" s="54"/>
      <c r="DU658" s="54"/>
      <c r="DV658" s="54"/>
      <c r="DW658" s="54"/>
      <c r="DX658" s="54"/>
      <c r="DY658" s="54"/>
      <c r="DZ658" s="54"/>
      <c r="EA658" s="54"/>
      <c r="EB658" s="54"/>
      <c r="EC658" s="54"/>
    </row>
    <row r="659" spans="1:133" ht="46.8" x14ac:dyDescent="0.25">
      <c r="A659" s="59" t="s">
        <v>13</v>
      </c>
      <c r="B659" s="60" t="s">
        <v>14</v>
      </c>
      <c r="C659" s="53" t="s">
        <v>15</v>
      </c>
      <c r="D659" s="53" t="s">
        <v>369</v>
      </c>
      <c r="E659" s="61">
        <f>SUM(F659:Q659)</f>
        <v>883.03690430515439</v>
      </c>
      <c r="F659" s="62" t="s">
        <v>297</v>
      </c>
      <c r="G659" s="62" t="s">
        <v>297</v>
      </c>
      <c r="H659" s="62" t="s">
        <v>297</v>
      </c>
      <c r="I659" s="62" t="s">
        <v>297</v>
      </c>
      <c r="J659" s="62" t="s">
        <v>297</v>
      </c>
      <c r="K659" s="62" t="s">
        <v>297</v>
      </c>
      <c r="L659" s="62" t="s">
        <v>297</v>
      </c>
      <c r="M659" s="62" t="s">
        <v>297</v>
      </c>
      <c r="N659" s="62">
        <f>$E$660*$E$661*N662*$E$673</f>
        <v>160.6432307436703</v>
      </c>
      <c r="O659" s="62">
        <f>$E$660*$E$661*O662*$E$673</f>
        <v>262.07616544825993</v>
      </c>
      <c r="P659" s="62">
        <f>$E$660*$E$661*P662*$E$673</f>
        <v>226.38410341561413</v>
      </c>
      <c r="Q659" s="62">
        <f>$E$660*$E$661*Q662*$E$673</f>
        <v>233.93340469761003</v>
      </c>
    </row>
    <row r="660" spans="1:133" ht="31.2" x14ac:dyDescent="0.25">
      <c r="A660" s="63" t="s">
        <v>16</v>
      </c>
      <c r="B660" s="60" t="s">
        <v>193</v>
      </c>
      <c r="C660" s="35" t="s">
        <v>17</v>
      </c>
      <c r="D660" s="35" t="s">
        <v>205</v>
      </c>
      <c r="E660" s="168">
        <v>28</v>
      </c>
      <c r="F660" s="169"/>
      <c r="G660" s="169"/>
      <c r="H660" s="169"/>
      <c r="I660" s="169"/>
      <c r="J660" s="169"/>
      <c r="K660" s="169"/>
      <c r="L660" s="169"/>
      <c r="M660" s="169"/>
      <c r="N660" s="169"/>
      <c r="O660" s="169"/>
      <c r="P660" s="169"/>
      <c r="Q660" s="170"/>
    </row>
    <row r="661" spans="1:133" ht="64.8" x14ac:dyDescent="0.25">
      <c r="A661" s="63" t="s">
        <v>18</v>
      </c>
      <c r="B661" s="25" t="s">
        <v>194</v>
      </c>
      <c r="C661" s="35" t="s">
        <v>20</v>
      </c>
      <c r="D661" s="35" t="s">
        <v>394</v>
      </c>
      <c r="E661" s="168">
        <v>0.21</v>
      </c>
      <c r="F661" s="169"/>
      <c r="G661" s="169"/>
      <c r="H661" s="169"/>
      <c r="I661" s="169"/>
      <c r="J661" s="169"/>
      <c r="K661" s="169"/>
      <c r="L661" s="169"/>
      <c r="M661" s="169"/>
      <c r="N661" s="169"/>
      <c r="O661" s="169"/>
      <c r="P661" s="169"/>
      <c r="Q661" s="170"/>
    </row>
    <row r="662" spans="1:133" ht="46.8" x14ac:dyDescent="0.25">
      <c r="A662" s="35" t="s">
        <v>21</v>
      </c>
      <c r="B662" s="25" t="s">
        <v>195</v>
      </c>
      <c r="C662" s="53" t="s">
        <v>22</v>
      </c>
      <c r="D662" s="53" t="s">
        <v>370</v>
      </c>
      <c r="E662" s="64">
        <f t="shared" ref="E662:Q662" si="94">E670*E663</f>
        <v>343.1314905110342</v>
      </c>
      <c r="F662" s="64" t="s">
        <v>297</v>
      </c>
      <c r="G662" s="64" t="s">
        <v>297</v>
      </c>
      <c r="H662" s="64" t="s">
        <v>297</v>
      </c>
      <c r="I662" s="64" t="s">
        <v>297</v>
      </c>
      <c r="J662" s="64" t="s">
        <v>297</v>
      </c>
      <c r="K662" s="64" t="s">
        <v>297</v>
      </c>
      <c r="L662" s="64" t="s">
        <v>297</v>
      </c>
      <c r="M662" s="64" t="s">
        <v>297</v>
      </c>
      <c r="N662" s="64">
        <f t="shared" si="94"/>
        <v>62.422930385857292</v>
      </c>
      <c r="O662" s="64">
        <f t="shared" si="94"/>
        <v>101.83785619745915</v>
      </c>
      <c r="P662" s="64">
        <f t="shared" si="94"/>
        <v>87.968593899400346</v>
      </c>
      <c r="Q662" s="64">
        <f t="shared" si="94"/>
        <v>90.902110028317367</v>
      </c>
    </row>
    <row r="663" spans="1:133" ht="46.8" x14ac:dyDescent="0.25">
      <c r="A663" s="35" t="s">
        <v>23</v>
      </c>
      <c r="B663" s="25" t="s">
        <v>197</v>
      </c>
      <c r="C663" s="35" t="s">
        <v>191</v>
      </c>
      <c r="D663" s="35" t="s">
        <v>371</v>
      </c>
      <c r="E663" s="20">
        <f>SUM(N663:Q663)</f>
        <v>358.42594094955302</v>
      </c>
      <c r="F663" s="20" t="s">
        <v>297</v>
      </c>
      <c r="G663" s="20" t="s">
        <v>297</v>
      </c>
      <c r="H663" s="20" t="s">
        <v>297</v>
      </c>
      <c r="I663" s="20" t="s">
        <v>297</v>
      </c>
      <c r="J663" s="20" t="s">
        <v>297</v>
      </c>
      <c r="K663" s="20" t="s">
        <v>297</v>
      </c>
      <c r="L663" s="20" t="s">
        <v>297</v>
      </c>
      <c r="M663" s="20" t="s">
        <v>297</v>
      </c>
      <c r="N663" s="20">
        <f t="shared" ref="N663:Q663" si="95">N665*N668</f>
        <v>65.205316851149973</v>
      </c>
      <c r="O663" s="20">
        <f t="shared" si="95"/>
        <v>106.37708995317578</v>
      </c>
      <c r="P663" s="20">
        <f t="shared" si="95"/>
        <v>91.889630985028319</v>
      </c>
      <c r="Q663" s="20">
        <f t="shared" si="95"/>
        <v>94.953903160198905</v>
      </c>
    </row>
    <row r="664" spans="1:133" ht="62.4" x14ac:dyDescent="0.25">
      <c r="A664" s="17" t="s">
        <v>334</v>
      </c>
      <c r="B664" s="60" t="s">
        <v>192</v>
      </c>
      <c r="C664" s="35" t="s">
        <v>25</v>
      </c>
      <c r="D664" s="35" t="s">
        <v>333</v>
      </c>
      <c r="E664" s="121">
        <f>AVERAGE(N664:Q664)</f>
        <v>6299.4640818902099</v>
      </c>
      <c r="F664" s="20" t="s">
        <v>297</v>
      </c>
      <c r="G664" s="20" t="s">
        <v>297</v>
      </c>
      <c r="H664" s="20" t="s">
        <v>297</v>
      </c>
      <c r="I664" s="20" t="s">
        <v>297</v>
      </c>
      <c r="J664" s="20" t="s">
        <v>297</v>
      </c>
      <c r="K664" s="20" t="s">
        <v>297</v>
      </c>
      <c r="L664" s="20" t="s">
        <v>297</v>
      </c>
      <c r="M664" s="20" t="s">
        <v>297</v>
      </c>
      <c r="N664" s="127">
        <v>6656.6943684210528</v>
      </c>
      <c r="O664" s="127">
        <v>6658.9484516129032</v>
      </c>
      <c r="P664" s="127">
        <v>5941.1367333333328</v>
      </c>
      <c r="Q664" s="127">
        <v>5941.076774193547</v>
      </c>
    </row>
    <row r="665" spans="1:133" ht="46.8" x14ac:dyDescent="0.25">
      <c r="A665" s="35" t="s">
        <v>26</v>
      </c>
      <c r="B665" s="60" t="s">
        <v>198</v>
      </c>
      <c r="C665" s="35" t="s">
        <v>27</v>
      </c>
      <c r="D665" s="35" t="s">
        <v>206</v>
      </c>
      <c r="E665" s="65">
        <f>SUM(N665:Q665)</f>
        <v>695312.07699999982</v>
      </c>
      <c r="F665" s="65" t="s">
        <v>297</v>
      </c>
      <c r="G665" s="65" t="s">
        <v>297</v>
      </c>
      <c r="H665" s="65" t="s">
        <v>297</v>
      </c>
      <c r="I665" s="65" t="s">
        <v>297</v>
      </c>
      <c r="J665" s="65" t="s">
        <v>297</v>
      </c>
      <c r="K665" s="65" t="s">
        <v>297</v>
      </c>
      <c r="L665" s="65" t="s">
        <v>297</v>
      </c>
      <c r="M665" s="65" t="s">
        <v>297</v>
      </c>
      <c r="N665" s="65">
        <f t="shared" ref="N665:Q665" si="96">N664*N658</f>
        <v>126477.193</v>
      </c>
      <c r="O665" s="65">
        <f t="shared" si="96"/>
        <v>206427.402</v>
      </c>
      <c r="P665" s="65">
        <f t="shared" si="96"/>
        <v>178234.10199999998</v>
      </c>
      <c r="Q665" s="65">
        <f t="shared" si="96"/>
        <v>184173.37999999995</v>
      </c>
    </row>
    <row r="666" spans="1:133" ht="62.4" x14ac:dyDescent="0.25">
      <c r="A666" s="35" t="s">
        <v>28</v>
      </c>
      <c r="B666" s="60" t="s">
        <v>199</v>
      </c>
      <c r="C666" s="35" t="s">
        <v>29</v>
      </c>
      <c r="D666" s="35" t="s">
        <v>332</v>
      </c>
      <c r="E666" s="125">
        <f>AVERAGE(N666:Q666)</f>
        <v>515.49957661290318</v>
      </c>
      <c r="F666" s="66" t="s">
        <v>297</v>
      </c>
      <c r="G666" s="66" t="s">
        <v>297</v>
      </c>
      <c r="H666" s="66" t="s">
        <v>297</v>
      </c>
      <c r="I666" s="66" t="s">
        <v>297</v>
      </c>
      <c r="J666" s="66" t="s">
        <v>297</v>
      </c>
      <c r="K666" s="66" t="s">
        <v>297</v>
      </c>
      <c r="L666" s="66" t="s">
        <v>297</v>
      </c>
      <c r="M666" s="66" t="s">
        <v>297</v>
      </c>
      <c r="N666" s="128">
        <v>515.54999999999984</v>
      </c>
      <c r="O666" s="128">
        <v>515.32446236559133</v>
      </c>
      <c r="P666" s="128">
        <v>515.55583333333334</v>
      </c>
      <c r="Q666" s="128">
        <v>515.56801075268822</v>
      </c>
    </row>
    <row r="667" spans="1:133" ht="62.4" x14ac:dyDescent="0.25">
      <c r="A667" s="35" t="s">
        <v>30</v>
      </c>
      <c r="B667" s="60" t="s">
        <v>199</v>
      </c>
      <c r="C667" s="35" t="s">
        <v>31</v>
      </c>
      <c r="D667" s="35" t="s">
        <v>331</v>
      </c>
      <c r="E667" s="125">
        <f>AVERAGE(N667:Q667)</f>
        <v>20.068543671005472</v>
      </c>
      <c r="F667" s="65" t="s">
        <v>297</v>
      </c>
      <c r="G667" s="65" t="s">
        <v>297</v>
      </c>
      <c r="H667" s="65" t="s">
        <v>297</v>
      </c>
      <c r="I667" s="65" t="s">
        <v>297</v>
      </c>
      <c r="J667" s="65" t="s">
        <v>297</v>
      </c>
      <c r="K667" s="65" t="s">
        <v>297</v>
      </c>
      <c r="L667" s="65" t="s">
        <v>297</v>
      </c>
      <c r="M667" s="65" t="s">
        <v>297</v>
      </c>
      <c r="N667" s="128">
        <v>20.00921052631579</v>
      </c>
      <c r="O667" s="128">
        <v>19.955913978494625</v>
      </c>
      <c r="P667" s="128">
        <v>19.905555555555562</v>
      </c>
      <c r="Q667" s="128">
        <v>20.403494623655909</v>
      </c>
    </row>
    <row r="668" spans="1:133" ht="62.4" x14ac:dyDescent="0.25">
      <c r="A668" s="35" t="s">
        <v>32</v>
      </c>
      <c r="B668" s="60" t="s">
        <v>200</v>
      </c>
      <c r="C668" s="35" t="s">
        <v>34</v>
      </c>
      <c r="D668" s="35" t="s">
        <v>338</v>
      </c>
      <c r="E668" s="122">
        <f>E666/1000000</f>
        <v>5.1549957661290314E-4</v>
      </c>
      <c r="F668" s="120" t="s">
        <v>297</v>
      </c>
      <c r="G668" s="120" t="s">
        <v>297</v>
      </c>
      <c r="H668" s="120" t="s">
        <v>297</v>
      </c>
      <c r="I668" s="120" t="s">
        <v>297</v>
      </c>
      <c r="J668" s="120" t="s">
        <v>297</v>
      </c>
      <c r="K668" s="120" t="s">
        <v>297</v>
      </c>
      <c r="L668" s="120" t="s">
        <v>297</v>
      </c>
      <c r="M668" s="120" t="s">
        <v>297</v>
      </c>
      <c r="N668" s="120">
        <f t="shared" ref="N668:Q668" si="97">N666/1000000</f>
        <v>5.1554999999999982E-4</v>
      </c>
      <c r="O668" s="120">
        <f t="shared" si="97"/>
        <v>5.1532446236559129E-4</v>
      </c>
      <c r="P668" s="120">
        <f t="shared" si="97"/>
        <v>5.1555583333333333E-4</v>
      </c>
      <c r="Q668" s="120">
        <f t="shared" si="97"/>
        <v>5.1556801075268823E-4</v>
      </c>
    </row>
    <row r="669" spans="1:133" ht="62.4" x14ac:dyDescent="0.25">
      <c r="A669" s="35" t="s">
        <v>30</v>
      </c>
      <c r="B669" s="60" t="s">
        <v>33</v>
      </c>
      <c r="C669" s="35" t="s">
        <v>35</v>
      </c>
      <c r="D669" s="35" t="s">
        <v>339</v>
      </c>
      <c r="E669" s="122">
        <f>E667/1000000</f>
        <v>2.0068543671005471E-5</v>
      </c>
      <c r="F669" s="120" t="s">
        <v>297</v>
      </c>
      <c r="G669" s="120" t="s">
        <v>297</v>
      </c>
      <c r="H669" s="120" t="s">
        <v>297</v>
      </c>
      <c r="I669" s="120" t="s">
        <v>297</v>
      </c>
      <c r="J669" s="120" t="s">
        <v>297</v>
      </c>
      <c r="K669" s="120" t="s">
        <v>297</v>
      </c>
      <c r="L669" s="120" t="s">
        <v>297</v>
      </c>
      <c r="M669" s="120" t="s">
        <v>297</v>
      </c>
      <c r="N669" s="120">
        <f t="shared" ref="N669:Q669" si="98">N667/1000000</f>
        <v>2.0009210526315789E-5</v>
      </c>
      <c r="O669" s="120">
        <f t="shared" si="98"/>
        <v>1.9955913978494624E-5</v>
      </c>
      <c r="P669" s="120">
        <f t="shared" si="98"/>
        <v>1.9905555555555562E-5</v>
      </c>
      <c r="Q669" s="120">
        <f t="shared" si="98"/>
        <v>2.0403494623655911E-5</v>
      </c>
    </row>
    <row r="670" spans="1:133" ht="46.8" x14ac:dyDescent="0.25">
      <c r="A670" s="63" t="s">
        <v>36</v>
      </c>
      <c r="B670" s="25" t="s">
        <v>201</v>
      </c>
      <c r="C670" s="35" t="s">
        <v>38</v>
      </c>
      <c r="D670" s="35" t="s">
        <v>368</v>
      </c>
      <c r="E670" s="68">
        <f>(1-(E671/E672))</f>
        <v>0.95732884065812784</v>
      </c>
      <c r="F670" s="68" t="s">
        <v>297</v>
      </c>
      <c r="G670" s="68" t="s">
        <v>297</v>
      </c>
      <c r="H670" s="68" t="s">
        <v>297</v>
      </c>
      <c r="I670" s="68" t="s">
        <v>297</v>
      </c>
      <c r="J670" s="68" t="s">
        <v>297</v>
      </c>
      <c r="K670" s="68" t="s">
        <v>297</v>
      </c>
      <c r="L670" s="68" t="s">
        <v>297</v>
      </c>
      <c r="M670" s="68" t="s">
        <v>297</v>
      </c>
      <c r="N670" s="68">
        <f>E670</f>
        <v>0.95732884065812784</v>
      </c>
      <c r="O670" s="68">
        <f>E670</f>
        <v>0.95732884065812784</v>
      </c>
      <c r="P670" s="68">
        <f>E670</f>
        <v>0.95732884065812784</v>
      </c>
      <c r="Q670" s="68">
        <f>E670</f>
        <v>0.95732884065812784</v>
      </c>
    </row>
    <row r="671" spans="1:133" ht="31.2" x14ac:dyDescent="0.25">
      <c r="A671" s="35" t="s">
        <v>39</v>
      </c>
      <c r="B671" s="25" t="s">
        <v>196</v>
      </c>
      <c r="C671" s="35" t="s">
        <v>40</v>
      </c>
      <c r="D671" s="35" t="s">
        <v>351</v>
      </c>
      <c r="E671" s="52">
        <f>SUM(F671:Q671)</f>
        <v>14.3446898955</v>
      </c>
      <c r="F671" s="52" t="s">
        <v>297</v>
      </c>
      <c r="G671" s="52" t="s">
        <v>297</v>
      </c>
      <c r="H671" s="52" t="s">
        <v>297</v>
      </c>
      <c r="I671" s="52" t="s">
        <v>297</v>
      </c>
      <c r="J671" s="52" t="s">
        <v>297</v>
      </c>
      <c r="K671" s="52" t="s">
        <v>297</v>
      </c>
      <c r="L671" s="52" t="s">
        <v>297</v>
      </c>
      <c r="M671" s="52" t="s">
        <v>297</v>
      </c>
      <c r="N671" s="52">
        <v>2.4553973695</v>
      </c>
      <c r="O671" s="52">
        <v>4.0061746554999997</v>
      </c>
      <c r="P671" s="52">
        <v>3.8769432150000003</v>
      </c>
      <c r="Q671" s="52">
        <v>4.0061746554999997</v>
      </c>
    </row>
    <row r="672" spans="1:133" ht="31.2" x14ac:dyDescent="0.25">
      <c r="A672" s="63" t="s">
        <v>41</v>
      </c>
      <c r="B672" s="25" t="s">
        <v>24</v>
      </c>
      <c r="C672" s="35" t="s">
        <v>42</v>
      </c>
      <c r="D672" s="35" t="s">
        <v>351</v>
      </c>
      <c r="E672" s="52">
        <f>SUM(F672:Q672)</f>
        <v>336.16827188999997</v>
      </c>
      <c r="F672" s="52" t="s">
        <v>297</v>
      </c>
      <c r="G672" s="52" t="s">
        <v>297</v>
      </c>
      <c r="H672" s="52" t="s">
        <v>297</v>
      </c>
      <c r="I672" s="52" t="s">
        <v>297</v>
      </c>
      <c r="J672" s="52" t="s">
        <v>297</v>
      </c>
      <c r="K672" s="52" t="s">
        <v>297</v>
      </c>
      <c r="L672" s="52" t="s">
        <v>297</v>
      </c>
      <c r="M672" s="52" t="s">
        <v>297</v>
      </c>
      <c r="N672" s="52">
        <v>57.542316810000003</v>
      </c>
      <c r="O672" s="52">
        <v>93.884832689999996</v>
      </c>
      <c r="P672" s="52">
        <v>90.856289700000005</v>
      </c>
      <c r="Q672" s="52">
        <v>93.884832689999996</v>
      </c>
    </row>
    <row r="673" spans="1:133" ht="31.2" x14ac:dyDescent="0.25">
      <c r="A673" s="53" t="s">
        <v>43</v>
      </c>
      <c r="B673" s="25" t="s">
        <v>201</v>
      </c>
      <c r="C673" s="53" t="s">
        <v>44</v>
      </c>
      <c r="D673" s="35" t="s">
        <v>372</v>
      </c>
      <c r="E673" s="159">
        <f>E674*E675*0.89</f>
        <v>0.437664127084118</v>
      </c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1"/>
    </row>
    <row r="674" spans="1:133" ht="31.2" x14ac:dyDescent="0.25">
      <c r="A674" s="70" t="s">
        <v>45</v>
      </c>
      <c r="B674" s="25" t="s">
        <v>201</v>
      </c>
      <c r="C674" s="53" t="s">
        <v>46</v>
      </c>
      <c r="D674" s="35" t="s">
        <v>373</v>
      </c>
      <c r="E674" s="188">
        <v>0.7</v>
      </c>
      <c r="F674" s="189"/>
      <c r="G674" s="189"/>
      <c r="H674" s="189"/>
      <c r="I674" s="189"/>
      <c r="J674" s="189"/>
      <c r="K674" s="189"/>
      <c r="L674" s="189"/>
      <c r="M674" s="189"/>
      <c r="N674" s="189"/>
      <c r="O674" s="189"/>
      <c r="P674" s="189"/>
      <c r="Q674" s="190"/>
    </row>
    <row r="675" spans="1:133" ht="36" customHeight="1" x14ac:dyDescent="0.25">
      <c r="A675" s="70" t="s">
        <v>47</v>
      </c>
      <c r="B675" s="25" t="s">
        <v>37</v>
      </c>
      <c r="C675" s="53" t="s">
        <v>48</v>
      </c>
      <c r="D675" s="35" t="s">
        <v>374</v>
      </c>
      <c r="E675" s="159">
        <f>(N676*N681+O676*O681+P676*P681+Q676*Q681)/(N670*N668*N665+O670*O665*O668+P670*P668*P665+Q670*Q668*Q665)</f>
        <v>0.70251063737418629</v>
      </c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1"/>
    </row>
    <row r="676" spans="1:133" s="9" customFormat="1" ht="46.8" x14ac:dyDescent="0.4">
      <c r="A676" s="71" t="s">
        <v>49</v>
      </c>
      <c r="B676" s="25" t="s">
        <v>37</v>
      </c>
      <c r="C676" s="53" t="s">
        <v>50</v>
      </c>
      <c r="D676" s="53" t="s">
        <v>375</v>
      </c>
      <c r="E676" s="72">
        <f>AVERAGE(F676:Q676)</f>
        <v>0.50105255042206698</v>
      </c>
      <c r="F676" s="72" t="s">
        <v>297</v>
      </c>
      <c r="G676" s="72" t="s">
        <v>297</v>
      </c>
      <c r="H676" s="72" t="s">
        <v>297</v>
      </c>
      <c r="I676" s="72" t="s">
        <v>297</v>
      </c>
      <c r="J676" s="72" t="s">
        <v>297</v>
      </c>
      <c r="K676" s="72" t="s">
        <v>297</v>
      </c>
      <c r="L676" s="72" t="s">
        <v>297</v>
      </c>
      <c r="M676" s="72" t="s">
        <v>297</v>
      </c>
      <c r="N676" s="72">
        <f t="shared" ref="N676:Q676" si="99">IF(N680&lt;283,0,IF(N680&gt;303,1,EXP(($E$23*(N680-$E$24))/($E$25*$E$24*N680))))</f>
        <v>0.77675425208684001</v>
      </c>
      <c r="O676" s="72">
        <f t="shared" si="99"/>
        <v>0.55084569341606926</v>
      </c>
      <c r="P676" s="72">
        <f t="shared" si="99"/>
        <v>0.44226396815696317</v>
      </c>
      <c r="Q676" s="72">
        <f t="shared" si="99"/>
        <v>0.23434628802839541</v>
      </c>
      <c r="R676" s="78"/>
      <c r="S676" s="78"/>
      <c r="T676" s="78"/>
      <c r="U676" s="78"/>
      <c r="V676" s="78"/>
      <c r="W676" s="78"/>
      <c r="X676" s="78"/>
      <c r="Y676" s="78"/>
      <c r="Z676" s="78"/>
      <c r="AA676" s="78"/>
      <c r="AB676" s="78"/>
      <c r="AC676" s="78"/>
      <c r="AD676" s="78"/>
      <c r="AE676" s="78"/>
      <c r="AF676" s="78"/>
      <c r="AG676" s="78"/>
      <c r="AH676" s="78"/>
      <c r="AI676" s="78"/>
      <c r="AJ676" s="78"/>
      <c r="AK676" s="78"/>
      <c r="AL676" s="78"/>
      <c r="AM676" s="78"/>
      <c r="AN676" s="78"/>
      <c r="AO676" s="78"/>
      <c r="AP676" s="78"/>
      <c r="AQ676" s="78"/>
      <c r="AR676" s="78"/>
      <c r="AS676" s="78"/>
      <c r="AT676" s="78"/>
      <c r="AU676" s="78"/>
      <c r="AV676" s="78"/>
      <c r="AW676" s="78"/>
      <c r="AX676" s="78"/>
      <c r="AY676" s="78"/>
      <c r="AZ676" s="78"/>
      <c r="BA676" s="78"/>
      <c r="BB676" s="78"/>
      <c r="BC676" s="78"/>
      <c r="BD676" s="78"/>
      <c r="BE676" s="78"/>
      <c r="BF676" s="78"/>
      <c r="BG676" s="78"/>
      <c r="BH676" s="78"/>
      <c r="BI676" s="78"/>
      <c r="BJ676" s="78"/>
      <c r="BK676" s="78"/>
      <c r="BL676" s="78"/>
      <c r="BM676" s="78"/>
      <c r="BN676" s="78"/>
      <c r="BO676" s="78"/>
      <c r="BP676" s="78"/>
      <c r="BQ676" s="78"/>
      <c r="BR676" s="78"/>
      <c r="BS676" s="78"/>
      <c r="BT676" s="78"/>
      <c r="BU676" s="78"/>
      <c r="BV676" s="78"/>
      <c r="BW676" s="78"/>
      <c r="BX676" s="78"/>
      <c r="BY676" s="78"/>
      <c r="BZ676" s="78"/>
      <c r="CA676" s="78"/>
      <c r="CB676" s="78"/>
      <c r="CC676" s="78"/>
      <c r="CD676" s="78"/>
      <c r="CE676" s="78"/>
      <c r="CF676" s="78"/>
      <c r="CG676" s="78"/>
      <c r="CH676" s="78"/>
      <c r="CI676" s="78"/>
      <c r="CJ676" s="78"/>
      <c r="CK676" s="78"/>
      <c r="CL676" s="78"/>
      <c r="CM676" s="78"/>
      <c r="CN676" s="78"/>
      <c r="CO676" s="78"/>
      <c r="CP676" s="78"/>
      <c r="CQ676" s="78"/>
      <c r="CR676" s="78"/>
      <c r="CS676" s="78"/>
      <c r="CT676" s="78"/>
      <c r="CU676" s="78"/>
      <c r="CV676" s="78"/>
      <c r="CW676" s="78"/>
      <c r="CX676" s="78"/>
      <c r="CY676" s="78"/>
      <c r="CZ676" s="78"/>
      <c r="DA676" s="78"/>
      <c r="DB676" s="78"/>
      <c r="DC676" s="78"/>
      <c r="DD676" s="78"/>
      <c r="DE676" s="78"/>
      <c r="DF676" s="78"/>
      <c r="DG676" s="78"/>
      <c r="DH676" s="78"/>
      <c r="DI676" s="78"/>
      <c r="DJ676" s="78"/>
      <c r="DK676" s="78"/>
      <c r="DL676" s="78"/>
      <c r="DM676" s="78"/>
      <c r="DN676" s="78"/>
      <c r="DO676" s="78"/>
      <c r="DP676" s="78"/>
      <c r="DQ676" s="78"/>
      <c r="DR676" s="78"/>
      <c r="DS676" s="78"/>
      <c r="DT676" s="78"/>
      <c r="DU676" s="78"/>
      <c r="DV676" s="78"/>
      <c r="DW676" s="78"/>
      <c r="DX676" s="78"/>
      <c r="DY676" s="78"/>
      <c r="DZ676" s="78"/>
      <c r="EA676" s="78"/>
      <c r="EB676" s="78"/>
      <c r="EC676" s="78"/>
    </row>
    <row r="677" spans="1:133" s="9" customFormat="1" x14ac:dyDescent="0.25">
      <c r="A677" s="73" t="s">
        <v>51</v>
      </c>
      <c r="B677" s="60" t="s">
        <v>202</v>
      </c>
      <c r="C677" s="53" t="s">
        <v>53</v>
      </c>
      <c r="D677" s="53" t="s">
        <v>376</v>
      </c>
      <c r="E677" s="162">
        <v>15175</v>
      </c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4"/>
      <c r="R677" s="78"/>
      <c r="S677" s="78"/>
      <c r="T677" s="78"/>
      <c r="U677" s="78"/>
      <c r="V677" s="78"/>
      <c r="W677" s="78"/>
      <c r="X677" s="78"/>
      <c r="Y677" s="78"/>
      <c r="Z677" s="78"/>
      <c r="AA677" s="78"/>
      <c r="AB677" s="78"/>
      <c r="AC677" s="78"/>
      <c r="AD677" s="78"/>
      <c r="AE677" s="78"/>
      <c r="AF677" s="78"/>
      <c r="AG677" s="78"/>
      <c r="AH677" s="78"/>
      <c r="AI677" s="78"/>
      <c r="AJ677" s="78"/>
      <c r="AK677" s="78"/>
      <c r="AL677" s="78"/>
      <c r="AM677" s="78"/>
      <c r="AN677" s="78"/>
      <c r="AO677" s="78"/>
      <c r="AP677" s="78"/>
      <c r="AQ677" s="78"/>
      <c r="AR677" s="78"/>
      <c r="AS677" s="78"/>
      <c r="AT677" s="78"/>
      <c r="AU677" s="78"/>
      <c r="AV677" s="78"/>
      <c r="AW677" s="78"/>
      <c r="AX677" s="78"/>
      <c r="AY677" s="78"/>
      <c r="AZ677" s="78"/>
      <c r="BA677" s="78"/>
      <c r="BB677" s="78"/>
      <c r="BC677" s="78"/>
      <c r="BD677" s="78"/>
      <c r="BE677" s="78"/>
      <c r="BF677" s="78"/>
      <c r="BG677" s="78"/>
      <c r="BH677" s="78"/>
      <c r="BI677" s="78"/>
      <c r="BJ677" s="78"/>
      <c r="BK677" s="78"/>
      <c r="BL677" s="78"/>
      <c r="BM677" s="78"/>
      <c r="BN677" s="78"/>
      <c r="BO677" s="78"/>
      <c r="BP677" s="78"/>
      <c r="BQ677" s="78"/>
      <c r="BR677" s="78"/>
      <c r="BS677" s="78"/>
      <c r="BT677" s="78"/>
      <c r="BU677" s="78"/>
      <c r="BV677" s="78"/>
      <c r="BW677" s="78"/>
      <c r="BX677" s="78"/>
      <c r="BY677" s="78"/>
      <c r="BZ677" s="78"/>
      <c r="CA677" s="78"/>
      <c r="CB677" s="78"/>
      <c r="CC677" s="78"/>
      <c r="CD677" s="78"/>
      <c r="CE677" s="78"/>
      <c r="CF677" s="78"/>
      <c r="CG677" s="78"/>
      <c r="CH677" s="78"/>
      <c r="CI677" s="78"/>
      <c r="CJ677" s="78"/>
      <c r="CK677" s="78"/>
      <c r="CL677" s="78"/>
      <c r="CM677" s="78"/>
      <c r="CN677" s="78"/>
      <c r="CO677" s="78"/>
      <c r="CP677" s="78"/>
      <c r="CQ677" s="78"/>
      <c r="CR677" s="78"/>
      <c r="CS677" s="78"/>
      <c r="CT677" s="78"/>
      <c r="CU677" s="78"/>
      <c r="CV677" s="78"/>
      <c r="CW677" s="78"/>
      <c r="CX677" s="78"/>
      <c r="CY677" s="78"/>
      <c r="CZ677" s="78"/>
      <c r="DA677" s="78"/>
      <c r="DB677" s="78"/>
      <c r="DC677" s="78"/>
      <c r="DD677" s="78"/>
      <c r="DE677" s="78"/>
      <c r="DF677" s="78"/>
      <c r="DG677" s="78"/>
      <c r="DH677" s="78"/>
      <c r="DI677" s="78"/>
      <c r="DJ677" s="78"/>
      <c r="DK677" s="78"/>
      <c r="DL677" s="78"/>
      <c r="DM677" s="78"/>
      <c r="DN677" s="78"/>
      <c r="DO677" s="78"/>
      <c r="DP677" s="78"/>
      <c r="DQ677" s="78"/>
      <c r="DR677" s="78"/>
      <c r="DS677" s="78"/>
      <c r="DT677" s="78"/>
      <c r="DU677" s="78"/>
      <c r="DV677" s="78"/>
      <c r="DW677" s="78"/>
      <c r="DX677" s="78"/>
      <c r="DY677" s="78"/>
      <c r="DZ677" s="78"/>
      <c r="EA677" s="78"/>
      <c r="EB677" s="78"/>
      <c r="EC677" s="78"/>
    </row>
    <row r="678" spans="1:133" s="9" customFormat="1" ht="18" x14ac:dyDescent="0.25">
      <c r="A678" s="73" t="s">
        <v>54</v>
      </c>
      <c r="B678" s="60" t="s">
        <v>203</v>
      </c>
      <c r="C678" s="53" t="s">
        <v>56</v>
      </c>
      <c r="D678" s="53" t="s">
        <v>376</v>
      </c>
      <c r="E678" s="162">
        <v>303.16000000000003</v>
      </c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4"/>
      <c r="R678" s="78"/>
      <c r="S678" s="78"/>
      <c r="T678" s="78"/>
      <c r="U678" s="78"/>
      <c r="V678" s="78"/>
      <c r="W678" s="78"/>
      <c r="X678" s="78"/>
      <c r="Y678" s="78"/>
      <c r="Z678" s="78"/>
      <c r="AA678" s="78"/>
      <c r="AB678" s="78"/>
      <c r="AC678" s="78"/>
      <c r="AD678" s="78"/>
      <c r="AE678" s="78"/>
      <c r="AF678" s="78"/>
      <c r="AG678" s="78"/>
      <c r="AH678" s="78"/>
      <c r="AI678" s="78"/>
      <c r="AJ678" s="78"/>
      <c r="AK678" s="78"/>
      <c r="AL678" s="78"/>
      <c r="AM678" s="78"/>
      <c r="AN678" s="78"/>
      <c r="AO678" s="78"/>
      <c r="AP678" s="78"/>
      <c r="AQ678" s="78"/>
      <c r="AR678" s="78"/>
      <c r="AS678" s="78"/>
      <c r="AT678" s="78"/>
      <c r="AU678" s="78"/>
      <c r="AV678" s="78"/>
      <c r="AW678" s="78"/>
      <c r="AX678" s="78"/>
      <c r="AY678" s="78"/>
      <c r="AZ678" s="78"/>
      <c r="BA678" s="78"/>
      <c r="BB678" s="78"/>
      <c r="BC678" s="78"/>
      <c r="BD678" s="78"/>
      <c r="BE678" s="78"/>
      <c r="BF678" s="78"/>
      <c r="BG678" s="78"/>
      <c r="BH678" s="78"/>
      <c r="BI678" s="78"/>
      <c r="BJ678" s="78"/>
      <c r="BK678" s="78"/>
      <c r="BL678" s="78"/>
      <c r="BM678" s="78"/>
      <c r="BN678" s="78"/>
      <c r="BO678" s="78"/>
      <c r="BP678" s="78"/>
      <c r="BQ678" s="78"/>
      <c r="BR678" s="78"/>
      <c r="BS678" s="78"/>
      <c r="BT678" s="78"/>
      <c r="BU678" s="78"/>
      <c r="BV678" s="78"/>
      <c r="BW678" s="78"/>
      <c r="BX678" s="78"/>
      <c r="BY678" s="78"/>
      <c r="BZ678" s="78"/>
      <c r="CA678" s="78"/>
      <c r="CB678" s="78"/>
      <c r="CC678" s="78"/>
      <c r="CD678" s="78"/>
      <c r="CE678" s="78"/>
      <c r="CF678" s="78"/>
      <c r="CG678" s="78"/>
      <c r="CH678" s="78"/>
      <c r="CI678" s="78"/>
      <c r="CJ678" s="78"/>
      <c r="CK678" s="78"/>
      <c r="CL678" s="78"/>
      <c r="CM678" s="78"/>
      <c r="CN678" s="78"/>
      <c r="CO678" s="78"/>
      <c r="CP678" s="78"/>
      <c r="CQ678" s="78"/>
      <c r="CR678" s="78"/>
      <c r="CS678" s="78"/>
      <c r="CT678" s="78"/>
      <c r="CU678" s="78"/>
      <c r="CV678" s="78"/>
      <c r="CW678" s="78"/>
      <c r="CX678" s="78"/>
      <c r="CY678" s="78"/>
      <c r="CZ678" s="78"/>
      <c r="DA678" s="78"/>
      <c r="DB678" s="78"/>
      <c r="DC678" s="78"/>
      <c r="DD678" s="78"/>
      <c r="DE678" s="78"/>
      <c r="DF678" s="78"/>
      <c r="DG678" s="78"/>
      <c r="DH678" s="78"/>
      <c r="DI678" s="78"/>
      <c r="DJ678" s="78"/>
      <c r="DK678" s="78"/>
      <c r="DL678" s="78"/>
      <c r="DM678" s="78"/>
      <c r="DN678" s="78"/>
      <c r="DO678" s="78"/>
      <c r="DP678" s="78"/>
      <c r="DQ678" s="78"/>
      <c r="DR678" s="78"/>
      <c r="DS678" s="78"/>
      <c r="DT678" s="78"/>
      <c r="DU678" s="78"/>
      <c r="DV678" s="78"/>
      <c r="DW678" s="78"/>
      <c r="DX678" s="78"/>
      <c r="DY678" s="78"/>
      <c r="DZ678" s="78"/>
      <c r="EA678" s="78"/>
      <c r="EB678" s="78"/>
      <c r="EC678" s="78"/>
    </row>
    <row r="679" spans="1:133" s="9" customFormat="1" x14ac:dyDescent="0.25">
      <c r="A679" s="73" t="s">
        <v>57</v>
      </c>
      <c r="B679" s="60" t="s">
        <v>204</v>
      </c>
      <c r="C679" s="53" t="s">
        <v>59</v>
      </c>
      <c r="D679" s="53" t="s">
        <v>376</v>
      </c>
      <c r="E679" s="162">
        <v>1.9870000000000001</v>
      </c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4"/>
      <c r="R679" s="78"/>
      <c r="S679" s="78"/>
      <c r="T679" s="78"/>
      <c r="U679" s="78"/>
      <c r="V679" s="78"/>
      <c r="W679" s="78"/>
      <c r="X679" s="78"/>
      <c r="Y679" s="78"/>
      <c r="Z679" s="78"/>
      <c r="AA679" s="78"/>
      <c r="AB679" s="78"/>
      <c r="AC679" s="78"/>
      <c r="AD679" s="78"/>
      <c r="AE679" s="78"/>
      <c r="AF679" s="78"/>
      <c r="AG679" s="78"/>
      <c r="AH679" s="78"/>
      <c r="AI679" s="78"/>
      <c r="AJ679" s="78"/>
      <c r="AK679" s="78"/>
      <c r="AL679" s="78"/>
      <c r="AM679" s="78"/>
      <c r="AN679" s="78"/>
      <c r="AO679" s="78"/>
      <c r="AP679" s="78"/>
      <c r="AQ679" s="78"/>
      <c r="AR679" s="78"/>
      <c r="AS679" s="78"/>
      <c r="AT679" s="78"/>
      <c r="AU679" s="78"/>
      <c r="AV679" s="78"/>
      <c r="AW679" s="78"/>
      <c r="AX679" s="78"/>
      <c r="AY679" s="78"/>
      <c r="AZ679" s="78"/>
      <c r="BA679" s="78"/>
      <c r="BB679" s="78"/>
      <c r="BC679" s="78"/>
      <c r="BD679" s="78"/>
      <c r="BE679" s="78"/>
      <c r="BF679" s="78"/>
      <c r="BG679" s="78"/>
      <c r="BH679" s="78"/>
      <c r="BI679" s="78"/>
      <c r="BJ679" s="78"/>
      <c r="BK679" s="78"/>
      <c r="BL679" s="78"/>
      <c r="BM679" s="78"/>
      <c r="BN679" s="78"/>
      <c r="BO679" s="78"/>
      <c r="BP679" s="78"/>
      <c r="BQ679" s="78"/>
      <c r="BR679" s="78"/>
      <c r="BS679" s="78"/>
      <c r="BT679" s="78"/>
      <c r="BU679" s="78"/>
      <c r="BV679" s="78"/>
      <c r="BW679" s="78"/>
      <c r="BX679" s="78"/>
      <c r="BY679" s="78"/>
      <c r="BZ679" s="78"/>
      <c r="CA679" s="78"/>
      <c r="CB679" s="78"/>
      <c r="CC679" s="78"/>
      <c r="CD679" s="78"/>
      <c r="CE679" s="78"/>
      <c r="CF679" s="78"/>
      <c r="CG679" s="78"/>
      <c r="CH679" s="78"/>
      <c r="CI679" s="78"/>
      <c r="CJ679" s="78"/>
      <c r="CK679" s="78"/>
      <c r="CL679" s="78"/>
      <c r="CM679" s="78"/>
      <c r="CN679" s="78"/>
      <c r="CO679" s="78"/>
      <c r="CP679" s="78"/>
      <c r="CQ679" s="78"/>
      <c r="CR679" s="78"/>
      <c r="CS679" s="78"/>
      <c r="CT679" s="78"/>
      <c r="CU679" s="78"/>
      <c r="CV679" s="78"/>
      <c r="CW679" s="78"/>
      <c r="CX679" s="78"/>
      <c r="CY679" s="78"/>
      <c r="CZ679" s="78"/>
      <c r="DA679" s="78"/>
      <c r="DB679" s="78"/>
      <c r="DC679" s="78"/>
      <c r="DD679" s="78"/>
      <c r="DE679" s="78"/>
      <c r="DF679" s="78"/>
      <c r="DG679" s="78"/>
      <c r="DH679" s="78"/>
      <c r="DI679" s="78"/>
      <c r="DJ679" s="78"/>
      <c r="DK679" s="78"/>
      <c r="DL679" s="78"/>
      <c r="DM679" s="78"/>
      <c r="DN679" s="78"/>
      <c r="DO679" s="78"/>
      <c r="DP679" s="78"/>
      <c r="DQ679" s="78"/>
      <c r="DR679" s="78"/>
      <c r="DS679" s="78"/>
      <c r="DT679" s="78"/>
      <c r="DU679" s="78"/>
      <c r="DV679" s="78"/>
      <c r="DW679" s="78"/>
      <c r="DX679" s="78"/>
      <c r="DY679" s="78"/>
      <c r="DZ679" s="78"/>
      <c r="EA679" s="78"/>
      <c r="EB679" s="78"/>
      <c r="EC679" s="78"/>
    </row>
    <row r="680" spans="1:133" s="9" customFormat="1" ht="31.2" x14ac:dyDescent="0.25">
      <c r="A680" s="73" t="s">
        <v>60</v>
      </c>
      <c r="B680" s="60" t="s">
        <v>203</v>
      </c>
      <c r="C680" s="53" t="s">
        <v>61</v>
      </c>
      <c r="D680" s="143" t="s">
        <v>363</v>
      </c>
      <c r="E680" s="98">
        <f>AVERAGE(F680:Q680)</f>
        <v>294.14999999999998</v>
      </c>
      <c r="F680" s="60" t="s">
        <v>297</v>
      </c>
      <c r="G680" s="60" t="s">
        <v>297</v>
      </c>
      <c r="H680" s="60" t="s">
        <v>297</v>
      </c>
      <c r="I680" s="60" t="s">
        <v>297</v>
      </c>
      <c r="J680" s="60" t="s">
        <v>297</v>
      </c>
      <c r="K680" s="60" t="s">
        <v>297</v>
      </c>
      <c r="L680" s="60" t="s">
        <v>297</v>
      </c>
      <c r="M680" s="60" t="s">
        <v>297</v>
      </c>
      <c r="N680" s="60">
        <v>300.14999999999998</v>
      </c>
      <c r="O680" s="60">
        <v>296.14999999999998</v>
      </c>
      <c r="P680" s="60">
        <v>293.64999999999998</v>
      </c>
      <c r="Q680" s="60">
        <v>286.64999999999998</v>
      </c>
      <c r="R680" s="78"/>
      <c r="S680" s="78"/>
      <c r="T680" s="78"/>
      <c r="U680" s="78"/>
      <c r="V680" s="78"/>
      <c r="W680" s="78"/>
      <c r="X680" s="78"/>
      <c r="Y680" s="78"/>
      <c r="Z680" s="78"/>
      <c r="AA680" s="78"/>
      <c r="AB680" s="78"/>
      <c r="AC680" s="78"/>
      <c r="AD680" s="78"/>
      <c r="AE680" s="78"/>
      <c r="AF680" s="78"/>
      <c r="AG680" s="78"/>
      <c r="AH680" s="78"/>
      <c r="AI680" s="78"/>
      <c r="AJ680" s="78"/>
      <c r="AK680" s="78"/>
      <c r="AL680" s="78"/>
      <c r="AM680" s="78"/>
      <c r="AN680" s="78"/>
      <c r="AO680" s="78"/>
      <c r="AP680" s="78"/>
      <c r="AQ680" s="78"/>
      <c r="AR680" s="78"/>
      <c r="AS680" s="78"/>
      <c r="AT680" s="78"/>
      <c r="AU680" s="78"/>
      <c r="AV680" s="78"/>
      <c r="AW680" s="78"/>
      <c r="AX680" s="78"/>
      <c r="AY680" s="78"/>
      <c r="AZ680" s="78"/>
      <c r="BA680" s="78"/>
      <c r="BB680" s="78"/>
      <c r="BC680" s="78"/>
      <c r="BD680" s="78"/>
      <c r="BE680" s="78"/>
      <c r="BF680" s="78"/>
      <c r="BG680" s="78"/>
      <c r="BH680" s="78"/>
      <c r="BI680" s="78"/>
      <c r="BJ680" s="78"/>
      <c r="BK680" s="78"/>
      <c r="BL680" s="78"/>
      <c r="BM680" s="78"/>
      <c r="BN680" s="78"/>
      <c r="BO680" s="78"/>
      <c r="BP680" s="78"/>
      <c r="BQ680" s="78"/>
      <c r="BR680" s="78"/>
      <c r="BS680" s="78"/>
      <c r="BT680" s="78"/>
      <c r="BU680" s="78"/>
      <c r="BV680" s="78"/>
      <c r="BW680" s="78"/>
      <c r="BX680" s="78"/>
      <c r="BY680" s="78"/>
      <c r="BZ680" s="78"/>
      <c r="CA680" s="78"/>
      <c r="CB680" s="78"/>
      <c r="CC680" s="78"/>
      <c r="CD680" s="78"/>
      <c r="CE680" s="78"/>
      <c r="CF680" s="78"/>
      <c r="CG680" s="78"/>
      <c r="CH680" s="78"/>
      <c r="CI680" s="78"/>
      <c r="CJ680" s="78"/>
      <c r="CK680" s="78"/>
      <c r="CL680" s="78"/>
      <c r="CM680" s="78"/>
      <c r="CN680" s="78"/>
      <c r="CO680" s="78"/>
      <c r="CP680" s="78"/>
      <c r="CQ680" s="78"/>
      <c r="CR680" s="78"/>
      <c r="CS680" s="78"/>
      <c r="CT680" s="78"/>
      <c r="CU680" s="78"/>
      <c r="CV680" s="78"/>
      <c r="CW680" s="78"/>
      <c r="CX680" s="78"/>
      <c r="CY680" s="78"/>
      <c r="CZ680" s="78"/>
      <c r="DA680" s="78"/>
      <c r="DB680" s="78"/>
      <c r="DC680" s="78"/>
      <c r="DD680" s="78"/>
      <c r="DE680" s="78"/>
      <c r="DF680" s="78"/>
      <c r="DG680" s="78"/>
      <c r="DH680" s="78"/>
      <c r="DI680" s="78"/>
      <c r="DJ680" s="78"/>
      <c r="DK680" s="78"/>
      <c r="DL680" s="78"/>
      <c r="DM680" s="78"/>
      <c r="DN680" s="78"/>
      <c r="DO680" s="78"/>
      <c r="DP680" s="78"/>
      <c r="DQ680" s="78"/>
      <c r="DR680" s="78"/>
      <c r="DS680" s="78"/>
      <c r="DT680" s="78"/>
      <c r="DU680" s="78"/>
      <c r="DV680" s="78"/>
      <c r="DW680" s="78"/>
      <c r="DX680" s="78"/>
      <c r="DY680" s="78"/>
      <c r="DZ680" s="78"/>
      <c r="EA680" s="78"/>
      <c r="EB680" s="78"/>
      <c r="EC680" s="78"/>
    </row>
    <row r="681" spans="1:133" s="9" customFormat="1" ht="31.2" x14ac:dyDescent="0.4">
      <c r="A681" s="71" t="s">
        <v>62</v>
      </c>
      <c r="B681" s="60" t="s">
        <v>196</v>
      </c>
      <c r="C681" s="53" t="s">
        <v>63</v>
      </c>
      <c r="D681" s="53" t="s">
        <v>377</v>
      </c>
      <c r="E681" s="74">
        <f>SUM(F681:Q681)</f>
        <v>566.41971159051843</v>
      </c>
      <c r="F681" s="74" t="s">
        <v>297</v>
      </c>
      <c r="G681" s="74" t="s">
        <v>297</v>
      </c>
      <c r="H681" s="74" t="s">
        <v>297</v>
      </c>
      <c r="I681" s="74" t="s">
        <v>297</v>
      </c>
      <c r="J681" s="74" t="s">
        <v>297</v>
      </c>
      <c r="K681" s="74" t="s">
        <v>297</v>
      </c>
      <c r="L681" s="74" t="s">
        <v>297</v>
      </c>
      <c r="M681" s="74" t="s">
        <v>297</v>
      </c>
      <c r="N681" s="74">
        <f>N670*N665*N668+(1-N676)*0</f>
        <v>62.422930385857292</v>
      </c>
      <c r="O681" s="74">
        <f t="shared" ref="O681:Q681" si="100">O670*O665*O668+(1-O676)*N681</f>
        <v>129.87538420985587</v>
      </c>
      <c r="P681" s="74">
        <f t="shared" si="100"/>
        <v>160.40477532269517</v>
      </c>
      <c r="Q681" s="74">
        <f t="shared" si="100"/>
        <v>213.71662167211016</v>
      </c>
      <c r="R681" s="78"/>
      <c r="S681" s="78"/>
      <c r="T681" s="78"/>
      <c r="U681" s="78"/>
      <c r="V681" s="78"/>
      <c r="W681" s="78"/>
      <c r="X681" s="78"/>
      <c r="Y681" s="78"/>
      <c r="Z681" s="78"/>
      <c r="AA681" s="78"/>
      <c r="AB681" s="78"/>
      <c r="AC681" s="78"/>
      <c r="AD681" s="78"/>
      <c r="AE681" s="78"/>
      <c r="AF681" s="78"/>
      <c r="AG681" s="78"/>
      <c r="AH681" s="78"/>
      <c r="AI681" s="78"/>
      <c r="AJ681" s="78"/>
      <c r="AK681" s="78"/>
      <c r="AL681" s="78"/>
      <c r="AM681" s="78"/>
      <c r="AN681" s="78"/>
      <c r="AO681" s="78"/>
      <c r="AP681" s="78"/>
      <c r="AQ681" s="78"/>
      <c r="AR681" s="78"/>
      <c r="AS681" s="78"/>
      <c r="AT681" s="78"/>
      <c r="AU681" s="78"/>
      <c r="AV681" s="78"/>
      <c r="AW681" s="78"/>
      <c r="AX681" s="78"/>
      <c r="AY681" s="78"/>
      <c r="AZ681" s="78"/>
      <c r="BA681" s="78"/>
      <c r="BB681" s="78"/>
      <c r="BC681" s="78"/>
      <c r="BD681" s="78"/>
      <c r="BE681" s="78"/>
      <c r="BF681" s="78"/>
      <c r="BG681" s="78"/>
      <c r="BH681" s="78"/>
      <c r="BI681" s="78"/>
      <c r="BJ681" s="78"/>
      <c r="BK681" s="78"/>
      <c r="BL681" s="78"/>
      <c r="BM681" s="78"/>
      <c r="BN681" s="78"/>
      <c r="BO681" s="78"/>
      <c r="BP681" s="78"/>
      <c r="BQ681" s="78"/>
      <c r="BR681" s="78"/>
      <c r="BS681" s="78"/>
      <c r="BT681" s="78"/>
      <c r="BU681" s="78"/>
      <c r="BV681" s="78"/>
      <c r="BW681" s="78"/>
      <c r="BX681" s="78"/>
      <c r="BY681" s="78"/>
      <c r="BZ681" s="78"/>
      <c r="CA681" s="78"/>
      <c r="CB681" s="78"/>
      <c r="CC681" s="78"/>
      <c r="CD681" s="78"/>
      <c r="CE681" s="78"/>
      <c r="CF681" s="78"/>
      <c r="CG681" s="78"/>
      <c r="CH681" s="78"/>
      <c r="CI681" s="78"/>
      <c r="CJ681" s="78"/>
      <c r="CK681" s="78"/>
      <c r="CL681" s="78"/>
      <c r="CM681" s="78"/>
      <c r="CN681" s="78"/>
      <c r="CO681" s="78"/>
      <c r="CP681" s="78"/>
      <c r="CQ681" s="78"/>
      <c r="CR681" s="78"/>
      <c r="CS681" s="78"/>
      <c r="CT681" s="78"/>
      <c r="CU681" s="78"/>
      <c r="CV681" s="78"/>
      <c r="CW681" s="78"/>
      <c r="CX681" s="78"/>
      <c r="CY681" s="78"/>
      <c r="CZ681" s="78"/>
      <c r="DA681" s="78"/>
      <c r="DB681" s="78"/>
      <c r="DC681" s="78"/>
      <c r="DD681" s="78"/>
      <c r="DE681" s="78"/>
      <c r="DF681" s="78"/>
      <c r="DG681" s="78"/>
      <c r="DH681" s="78"/>
      <c r="DI681" s="78"/>
      <c r="DJ681" s="78"/>
      <c r="DK681" s="78"/>
      <c r="DL681" s="78"/>
      <c r="DM681" s="78"/>
      <c r="DN681" s="78"/>
      <c r="DO681" s="78"/>
      <c r="DP681" s="78"/>
      <c r="DQ681" s="78"/>
      <c r="DR681" s="78"/>
      <c r="DS681" s="78"/>
      <c r="DT681" s="78"/>
      <c r="DU681" s="78"/>
      <c r="DV681" s="78"/>
      <c r="DW681" s="78"/>
      <c r="DX681" s="78"/>
      <c r="DY681" s="78"/>
      <c r="DZ681" s="78"/>
      <c r="EA681" s="78"/>
      <c r="EB681" s="78"/>
      <c r="EC681" s="78"/>
    </row>
    <row r="683" spans="1:133" ht="15.6" customHeight="1" x14ac:dyDescent="0.25">
      <c r="A683" s="36" t="s">
        <v>64</v>
      </c>
      <c r="B683" s="36"/>
      <c r="C683" s="36"/>
      <c r="D683" s="36"/>
      <c r="E683" s="36"/>
    </row>
    <row r="684" spans="1:133" x14ac:dyDescent="0.25">
      <c r="A684" s="57" t="s">
        <v>8</v>
      </c>
      <c r="B684" s="58" t="s">
        <v>9</v>
      </c>
      <c r="C684" s="34" t="s">
        <v>10</v>
      </c>
      <c r="D684" s="34" t="s">
        <v>340</v>
      </c>
      <c r="E684" s="16" t="s">
        <v>65</v>
      </c>
    </row>
    <row r="685" spans="1:133" ht="46.8" x14ac:dyDescent="0.25">
      <c r="A685" s="59" t="s">
        <v>66</v>
      </c>
      <c r="B685" s="60" t="s">
        <v>14</v>
      </c>
      <c r="C685" s="53" t="s">
        <v>67</v>
      </c>
      <c r="D685" s="53" t="s">
        <v>68</v>
      </c>
      <c r="E685" s="75">
        <v>0</v>
      </c>
    </row>
    <row r="686" spans="1:133" ht="46.8" x14ac:dyDescent="0.25">
      <c r="A686" s="63" t="s">
        <v>69</v>
      </c>
      <c r="B686" s="25" t="s">
        <v>70</v>
      </c>
      <c r="C686" s="35" t="s">
        <v>71</v>
      </c>
      <c r="D686" s="53" t="str">
        <f>D692</f>
        <v>Historical data on site in the FSR (It was calculated with conservative value)</v>
      </c>
      <c r="E686" s="74">
        <f>E692</f>
        <v>129.33597904568023</v>
      </c>
    </row>
    <row r="688" spans="1:133" ht="15.6" customHeight="1" x14ac:dyDescent="0.25">
      <c r="A688" s="90" t="s">
        <v>72</v>
      </c>
      <c r="B688" s="90"/>
      <c r="C688" s="91"/>
      <c r="D688" s="91"/>
      <c r="E688" s="90"/>
    </row>
    <row r="689" spans="1:5" x14ac:dyDescent="0.25">
      <c r="A689" s="59" t="s">
        <v>8</v>
      </c>
      <c r="B689" s="16" t="s">
        <v>9</v>
      </c>
      <c r="C689" s="38" t="s">
        <v>10</v>
      </c>
      <c r="D689" s="38" t="s">
        <v>340</v>
      </c>
      <c r="E689" s="16" t="s">
        <v>65</v>
      </c>
    </row>
    <row r="690" spans="1:5" ht="33.6" x14ac:dyDescent="0.4">
      <c r="A690" s="76" t="s">
        <v>73</v>
      </c>
      <c r="B690" s="25" t="s">
        <v>74</v>
      </c>
      <c r="C690" s="35" t="s">
        <v>75</v>
      </c>
      <c r="D690" s="35" t="s">
        <v>378</v>
      </c>
      <c r="E690" s="50">
        <f>E691*E694*E695*E696*E697*E698</f>
        <v>0.52532795228731066</v>
      </c>
    </row>
    <row r="691" spans="1:5" ht="46.8" x14ac:dyDescent="0.4">
      <c r="A691" s="77" t="s">
        <v>207</v>
      </c>
      <c r="B691" s="25" t="s">
        <v>76</v>
      </c>
      <c r="C691" s="35" t="s">
        <v>77</v>
      </c>
      <c r="D691" s="35" t="s">
        <v>379</v>
      </c>
      <c r="E691" s="52">
        <f>E692/E693</f>
        <v>25.867195809136046</v>
      </c>
    </row>
    <row r="692" spans="1:5" ht="46.8" x14ac:dyDescent="0.25">
      <c r="A692" s="63" t="s">
        <v>208</v>
      </c>
      <c r="B692" s="25" t="s">
        <v>78</v>
      </c>
      <c r="C692" s="35" t="s">
        <v>79</v>
      </c>
      <c r="D692" s="53" t="s">
        <v>352</v>
      </c>
      <c r="E692" s="52">
        <f>0.000186011408867964*E665</f>
        <v>129.33597904568023</v>
      </c>
    </row>
    <row r="693" spans="1:5" ht="31.2" x14ac:dyDescent="0.25">
      <c r="A693" s="63" t="s">
        <v>209</v>
      </c>
      <c r="B693" s="25" t="s">
        <v>80</v>
      </c>
      <c r="C693" s="35" t="s">
        <v>81</v>
      </c>
      <c r="D693" s="35" t="s">
        <v>353</v>
      </c>
      <c r="E693" s="25">
        <f>5</f>
        <v>5</v>
      </c>
    </row>
    <row r="694" spans="1:5" ht="62.4" x14ac:dyDescent="0.25">
      <c r="A694" s="63" t="s">
        <v>210</v>
      </c>
      <c r="B694" s="25" t="s">
        <v>82</v>
      </c>
      <c r="C694" s="35" t="s">
        <v>83</v>
      </c>
      <c r="D694" s="53" t="s">
        <v>354</v>
      </c>
      <c r="E694" s="25">
        <f>15*2</f>
        <v>30</v>
      </c>
    </row>
    <row r="695" spans="1:5" ht="172.2" x14ac:dyDescent="0.25">
      <c r="A695" s="63" t="s">
        <v>211</v>
      </c>
      <c r="B695" s="25" t="s">
        <v>84</v>
      </c>
      <c r="C695" s="35" t="s">
        <v>85</v>
      </c>
      <c r="D695" s="35" t="s">
        <v>355</v>
      </c>
      <c r="E695" s="25">
        <f>25.1/100</f>
        <v>0.251</v>
      </c>
    </row>
    <row r="696" spans="1:5" ht="156" x14ac:dyDescent="0.25">
      <c r="A696" s="63" t="s">
        <v>212</v>
      </c>
      <c r="B696" s="25" t="s">
        <v>87</v>
      </c>
      <c r="C696" s="35" t="s">
        <v>86</v>
      </c>
      <c r="D696" s="35" t="s">
        <v>356</v>
      </c>
      <c r="E696" s="25">
        <f>0.84/1000</f>
        <v>8.3999999999999993E-4</v>
      </c>
    </row>
    <row r="697" spans="1:5" ht="171.6" x14ac:dyDescent="0.25">
      <c r="A697" s="63" t="s">
        <v>213</v>
      </c>
      <c r="B697" s="25" t="s">
        <v>88</v>
      </c>
      <c r="C697" s="35" t="s">
        <v>89</v>
      </c>
      <c r="D697" s="35" t="s">
        <v>357</v>
      </c>
      <c r="E697" s="25">
        <f>43.33/1000</f>
        <v>4.333E-2</v>
      </c>
    </row>
    <row r="698" spans="1:5" ht="62.4" x14ac:dyDescent="0.25">
      <c r="A698" s="63" t="s">
        <v>214</v>
      </c>
      <c r="B698" s="25" t="s">
        <v>90</v>
      </c>
      <c r="C698" s="35" t="s">
        <v>91</v>
      </c>
      <c r="D698" s="35" t="s">
        <v>358</v>
      </c>
      <c r="E698" s="25">
        <v>74.099999999999994</v>
      </c>
    </row>
    <row r="700" spans="1:5" ht="15.6" customHeight="1" x14ac:dyDescent="0.25">
      <c r="A700" s="36" t="s">
        <v>93</v>
      </c>
      <c r="B700" s="36"/>
      <c r="C700" s="36"/>
      <c r="D700" s="36"/>
      <c r="E700" s="36"/>
    </row>
    <row r="701" spans="1:5" x14ac:dyDescent="0.25">
      <c r="A701" s="57" t="s">
        <v>8</v>
      </c>
      <c r="B701" s="58" t="s">
        <v>9</v>
      </c>
      <c r="C701" s="34" t="s">
        <v>10</v>
      </c>
      <c r="D701" s="34" t="s">
        <v>340</v>
      </c>
      <c r="E701" s="16" t="s">
        <v>65</v>
      </c>
    </row>
    <row r="702" spans="1:5" ht="64.8" x14ac:dyDescent="0.25">
      <c r="A702" s="15" t="s">
        <v>94</v>
      </c>
      <c r="B702" s="25" t="s">
        <v>95</v>
      </c>
      <c r="C702" s="35" t="s">
        <v>96</v>
      </c>
      <c r="D702" s="35" t="s">
        <v>97</v>
      </c>
      <c r="E702" s="16">
        <v>0</v>
      </c>
    </row>
    <row r="704" spans="1:5" ht="15.6" customHeight="1" x14ac:dyDescent="0.25">
      <c r="A704" s="36" t="s">
        <v>98</v>
      </c>
      <c r="B704" s="36"/>
      <c r="C704" s="36"/>
      <c r="D704" s="36"/>
      <c r="E704" s="36"/>
    </row>
    <row r="705" spans="1:133" x14ac:dyDescent="0.25">
      <c r="A705" s="57" t="s">
        <v>8</v>
      </c>
      <c r="B705" s="58" t="s">
        <v>9</v>
      </c>
      <c r="C705" s="34" t="s">
        <v>10</v>
      </c>
      <c r="D705" s="34" t="s">
        <v>340</v>
      </c>
      <c r="E705" s="16" t="s">
        <v>65</v>
      </c>
    </row>
    <row r="706" spans="1:133" ht="49.2" x14ac:dyDescent="0.25">
      <c r="A706" s="15" t="s">
        <v>99</v>
      </c>
      <c r="B706" s="25" t="s">
        <v>95</v>
      </c>
      <c r="C706" s="35" t="s">
        <v>100</v>
      </c>
      <c r="D706" s="35" t="s">
        <v>101</v>
      </c>
      <c r="E706" s="16">
        <v>0</v>
      </c>
    </row>
    <row r="708" spans="1:133" x14ac:dyDescent="0.25">
      <c r="A708" s="57" t="s">
        <v>8</v>
      </c>
      <c r="B708" s="58" t="s">
        <v>9</v>
      </c>
      <c r="C708" s="34" t="s">
        <v>10</v>
      </c>
      <c r="D708" s="34" t="s">
        <v>340</v>
      </c>
      <c r="E708" s="16" t="s">
        <v>65</v>
      </c>
    </row>
    <row r="709" spans="1:133" ht="18" x14ac:dyDescent="0.25">
      <c r="A709" s="59" t="s">
        <v>102</v>
      </c>
      <c r="B709" s="25" t="s">
        <v>103</v>
      </c>
      <c r="C709" s="35" t="s">
        <v>104</v>
      </c>
      <c r="D709" s="53" t="s">
        <v>380</v>
      </c>
      <c r="E709" s="18">
        <f>ROUNDDOWN(E659+E690+E685+E702+E706,0)</f>
        <v>883</v>
      </c>
    </row>
    <row r="710" spans="1:133" s="165" customFormat="1" ht="38.4" customHeight="1" x14ac:dyDescent="0.25">
      <c r="A710" s="185" t="s">
        <v>233</v>
      </c>
      <c r="B710" s="186"/>
      <c r="C710" s="186"/>
      <c r="D710" s="186"/>
      <c r="E710" s="186"/>
      <c r="F710" s="186"/>
      <c r="G710" s="186"/>
      <c r="H710" s="186"/>
      <c r="I710" s="186"/>
      <c r="J710" s="186"/>
      <c r="K710" s="186"/>
      <c r="L710" s="186"/>
      <c r="M710" s="186"/>
      <c r="N710" s="186"/>
      <c r="O710" s="186"/>
      <c r="P710" s="186"/>
      <c r="Q710" s="186"/>
      <c r="R710" s="186"/>
      <c r="S710" s="186"/>
      <c r="T710" s="186"/>
      <c r="U710" s="186"/>
      <c r="V710" s="186"/>
      <c r="W710" s="186"/>
      <c r="X710" s="186"/>
      <c r="Y710" s="186"/>
      <c r="Z710" s="186"/>
      <c r="AA710" s="186"/>
      <c r="AB710" s="186"/>
      <c r="AC710" s="186"/>
      <c r="AD710" s="186"/>
      <c r="AE710" s="186"/>
      <c r="AF710" s="186"/>
      <c r="AG710" s="186"/>
      <c r="AH710" s="186"/>
      <c r="AI710" s="186"/>
      <c r="AJ710" s="186"/>
      <c r="AK710" s="186"/>
      <c r="AL710" s="186"/>
      <c r="AM710" s="186"/>
      <c r="AN710" s="186"/>
      <c r="AO710" s="186"/>
      <c r="AP710" s="186"/>
      <c r="AQ710" s="186"/>
      <c r="AR710" s="186"/>
      <c r="AS710" s="186"/>
      <c r="AT710" s="186"/>
      <c r="AU710" s="186"/>
      <c r="AV710" s="186"/>
      <c r="AW710" s="186"/>
      <c r="AX710" s="186"/>
      <c r="AY710" s="186"/>
      <c r="AZ710" s="186"/>
      <c r="BA710" s="186"/>
      <c r="BB710" s="186"/>
      <c r="BC710" s="186"/>
      <c r="BD710" s="186"/>
      <c r="BE710" s="186"/>
      <c r="BF710" s="186"/>
      <c r="BG710" s="186"/>
      <c r="BH710" s="186"/>
      <c r="BI710" s="186"/>
      <c r="BJ710" s="186"/>
      <c r="BK710" s="186"/>
      <c r="BL710" s="186"/>
      <c r="BM710" s="186"/>
      <c r="BN710" s="186"/>
      <c r="BO710" s="186"/>
      <c r="BP710" s="186"/>
      <c r="BQ710" s="186"/>
      <c r="BR710" s="186"/>
      <c r="BS710" s="186"/>
      <c r="BT710" s="186"/>
      <c r="BU710" s="186"/>
      <c r="BV710" s="186"/>
      <c r="BW710" s="186"/>
      <c r="BX710" s="186"/>
      <c r="BY710" s="186"/>
      <c r="BZ710" s="186"/>
      <c r="CA710" s="186"/>
      <c r="CB710" s="186"/>
      <c r="CC710" s="186"/>
      <c r="CD710" s="186"/>
      <c r="CE710" s="186"/>
      <c r="CF710" s="186"/>
      <c r="CG710" s="186"/>
      <c r="CH710" s="186"/>
      <c r="CI710" s="186"/>
      <c r="CJ710" s="186"/>
      <c r="CK710" s="186"/>
      <c r="CL710" s="186"/>
      <c r="CM710" s="186"/>
      <c r="CN710" s="186"/>
      <c r="CO710" s="186"/>
      <c r="CP710" s="186"/>
      <c r="CQ710" s="186"/>
      <c r="CR710" s="186"/>
      <c r="CS710" s="186"/>
      <c r="CT710" s="186"/>
      <c r="CU710" s="186"/>
      <c r="CV710" s="186"/>
      <c r="CW710" s="186"/>
      <c r="CX710" s="186"/>
      <c r="CY710" s="186"/>
      <c r="CZ710" s="186"/>
      <c r="DA710" s="186"/>
      <c r="DB710" s="186"/>
      <c r="DC710" s="186"/>
      <c r="DD710" s="186"/>
      <c r="DE710" s="186"/>
      <c r="DF710" s="186"/>
      <c r="DG710" s="186"/>
      <c r="DH710" s="186"/>
      <c r="DI710" s="186"/>
      <c r="DJ710" s="186"/>
      <c r="DK710" s="186"/>
      <c r="DL710" s="186"/>
      <c r="DM710" s="186"/>
      <c r="DN710" s="186"/>
      <c r="DO710" s="186"/>
      <c r="DP710" s="186"/>
      <c r="DQ710" s="186"/>
      <c r="DR710" s="186"/>
      <c r="DS710" s="186"/>
      <c r="DT710" s="186"/>
      <c r="DU710" s="186"/>
      <c r="DV710" s="186"/>
      <c r="DW710" s="186"/>
      <c r="DX710" s="186"/>
      <c r="DY710" s="186"/>
      <c r="DZ710" s="186"/>
      <c r="EA710" s="186"/>
      <c r="EB710" s="186"/>
      <c r="EC710" s="187"/>
    </row>
    <row r="711" spans="1:133" s="167" customFormat="1" ht="43.2" customHeight="1" x14ac:dyDescent="0.25">
      <c r="A711" s="171" t="s">
        <v>234</v>
      </c>
      <c r="B711" s="172"/>
      <c r="C711" s="172"/>
      <c r="D711" s="172"/>
      <c r="E711" s="172"/>
      <c r="F711" s="172"/>
      <c r="G711" s="172"/>
      <c r="H711" s="172"/>
      <c r="I711" s="172"/>
      <c r="J711" s="172"/>
      <c r="K711" s="172"/>
      <c r="L711" s="172"/>
      <c r="M711" s="172"/>
      <c r="N711" s="172"/>
      <c r="O711" s="172"/>
      <c r="P711" s="172"/>
      <c r="Q711" s="172"/>
      <c r="R711" s="172"/>
      <c r="S711" s="172"/>
      <c r="T711" s="172"/>
      <c r="U711" s="172"/>
      <c r="V711" s="172"/>
      <c r="W711" s="172"/>
      <c r="X711" s="172"/>
      <c r="Y711" s="172"/>
      <c r="Z711" s="172"/>
      <c r="AA711" s="172"/>
      <c r="AB711" s="172"/>
      <c r="AC711" s="172"/>
      <c r="AD711" s="172"/>
      <c r="AE711" s="172"/>
      <c r="AF711" s="172"/>
      <c r="AG711" s="172"/>
      <c r="AH711" s="172"/>
      <c r="AI711" s="172"/>
      <c r="AJ711" s="172"/>
      <c r="AK711" s="172"/>
      <c r="AL711" s="172"/>
      <c r="AM711" s="172"/>
      <c r="AN711" s="172"/>
      <c r="AO711" s="172"/>
      <c r="AP711" s="172"/>
      <c r="AQ711" s="172"/>
      <c r="AR711" s="172"/>
      <c r="AS711" s="172"/>
      <c r="AT711" s="172"/>
      <c r="AU711" s="172"/>
      <c r="AV711" s="172"/>
      <c r="AW711" s="172"/>
      <c r="AX711" s="172"/>
      <c r="AY711" s="172"/>
      <c r="AZ711" s="172"/>
      <c r="BA711" s="172"/>
      <c r="BB711" s="172"/>
      <c r="BC711" s="172"/>
      <c r="BD711" s="172"/>
      <c r="BE711" s="172"/>
      <c r="BF711" s="172"/>
      <c r="BG711" s="172"/>
      <c r="BH711" s="172"/>
      <c r="BI711" s="172"/>
      <c r="BJ711" s="172"/>
      <c r="BK711" s="172"/>
      <c r="BL711" s="172"/>
      <c r="BM711" s="172"/>
      <c r="BN711" s="172"/>
      <c r="BO711" s="172"/>
      <c r="BP711" s="172"/>
      <c r="BQ711" s="172"/>
      <c r="BR711" s="172"/>
      <c r="BS711" s="172"/>
      <c r="BT711" s="172"/>
      <c r="BU711" s="172"/>
      <c r="BV711" s="172"/>
      <c r="BW711" s="172"/>
      <c r="BX711" s="172"/>
      <c r="BY711" s="172"/>
      <c r="BZ711" s="172"/>
      <c r="CA711" s="172"/>
      <c r="CB711" s="172"/>
      <c r="CC711" s="172"/>
      <c r="CD711" s="172"/>
      <c r="CE711" s="172"/>
      <c r="CF711" s="172"/>
      <c r="CG711" s="172"/>
      <c r="CH711" s="172"/>
      <c r="CI711" s="172"/>
      <c r="CJ711" s="172"/>
      <c r="CK711" s="172"/>
      <c r="CL711" s="172"/>
      <c r="CM711" s="172"/>
      <c r="CN711" s="172"/>
      <c r="CO711" s="172"/>
      <c r="CP711" s="172"/>
      <c r="CQ711" s="172"/>
      <c r="CR711" s="172"/>
      <c r="CS711" s="172"/>
      <c r="CT711" s="172"/>
      <c r="CU711" s="172"/>
      <c r="CV711" s="172"/>
      <c r="CW711" s="172"/>
      <c r="CX711" s="172"/>
      <c r="CY711" s="172"/>
      <c r="CZ711" s="172"/>
      <c r="DA711" s="172"/>
      <c r="DB711" s="172"/>
      <c r="DC711" s="172"/>
      <c r="DD711" s="172"/>
      <c r="DE711" s="172"/>
      <c r="DF711" s="172"/>
      <c r="DG711" s="172"/>
      <c r="DH711" s="172"/>
      <c r="DI711" s="172"/>
      <c r="DJ711" s="172"/>
      <c r="DK711" s="172"/>
      <c r="DL711" s="172"/>
      <c r="DM711" s="172"/>
      <c r="DN711" s="172"/>
      <c r="DO711" s="172"/>
      <c r="DP711" s="172"/>
      <c r="DQ711" s="172"/>
      <c r="DR711" s="172"/>
      <c r="DS711" s="172"/>
      <c r="DT711" s="172"/>
      <c r="DU711" s="172"/>
      <c r="DV711" s="172"/>
      <c r="DW711" s="172"/>
      <c r="DX711" s="172"/>
      <c r="DY711" s="172"/>
      <c r="DZ711" s="172"/>
      <c r="EA711" s="172"/>
      <c r="EB711" s="172"/>
      <c r="EC711" s="173"/>
    </row>
    <row r="712" spans="1:133" s="56" customFormat="1" ht="31.2" x14ac:dyDescent="0.25">
      <c r="A712" s="92" t="s">
        <v>8</v>
      </c>
      <c r="B712" s="93" t="s">
        <v>9</v>
      </c>
      <c r="C712" s="94" t="s">
        <v>10</v>
      </c>
      <c r="D712" s="93" t="s">
        <v>341</v>
      </c>
      <c r="E712" s="93" t="s">
        <v>11</v>
      </c>
      <c r="F712" s="16" t="s">
        <v>292</v>
      </c>
      <c r="G712" s="16" t="s">
        <v>292</v>
      </c>
      <c r="H712" s="16" t="s">
        <v>292</v>
      </c>
      <c r="I712" s="16" t="s">
        <v>292</v>
      </c>
      <c r="J712" s="16" t="s">
        <v>292</v>
      </c>
      <c r="K712" s="16" t="s">
        <v>292</v>
      </c>
      <c r="L712" s="16" t="s">
        <v>292</v>
      </c>
      <c r="M712" s="16" t="s">
        <v>292</v>
      </c>
      <c r="N712" s="16" t="s">
        <v>309</v>
      </c>
      <c r="O712" s="16" t="s">
        <v>293</v>
      </c>
      <c r="P712" s="16" t="s">
        <v>294</v>
      </c>
      <c r="Q712" s="16" t="s">
        <v>295</v>
      </c>
      <c r="R712" s="54"/>
      <c r="S712" s="54"/>
      <c r="T712" s="54"/>
      <c r="U712" s="54"/>
      <c r="V712" s="54"/>
      <c r="W712" s="54"/>
      <c r="X712" s="54"/>
      <c r="Y712" s="54"/>
      <c r="Z712" s="54"/>
      <c r="AA712" s="54"/>
      <c r="AB712" s="54"/>
      <c r="AC712" s="54"/>
      <c r="AD712" s="54"/>
      <c r="AE712" s="54"/>
      <c r="AF712" s="54"/>
      <c r="AG712" s="54"/>
      <c r="AH712" s="54"/>
      <c r="AI712" s="54"/>
      <c r="AJ712" s="54"/>
      <c r="AK712" s="54"/>
      <c r="AL712" s="54"/>
      <c r="AM712" s="54"/>
      <c r="AN712" s="54"/>
      <c r="AO712" s="54"/>
      <c r="AP712" s="54"/>
      <c r="AQ712" s="54"/>
      <c r="AR712" s="54"/>
      <c r="AS712" s="54"/>
      <c r="AT712" s="54"/>
      <c r="AU712" s="54"/>
      <c r="AV712" s="54"/>
      <c r="AW712" s="54"/>
      <c r="AX712" s="54"/>
      <c r="AY712" s="54"/>
      <c r="AZ712" s="54"/>
      <c r="BA712" s="54"/>
      <c r="BB712" s="54"/>
      <c r="BC712" s="54"/>
      <c r="BD712" s="54"/>
      <c r="BE712" s="54"/>
      <c r="BF712" s="54"/>
      <c r="BG712" s="54"/>
      <c r="BH712" s="54"/>
      <c r="BI712" s="54"/>
      <c r="BJ712" s="54"/>
      <c r="BK712" s="54"/>
      <c r="BL712" s="54"/>
      <c r="BM712" s="54"/>
      <c r="BN712" s="54"/>
      <c r="BO712" s="54"/>
      <c r="BP712" s="54"/>
      <c r="BQ712" s="54"/>
      <c r="BR712" s="54"/>
      <c r="BS712" s="54"/>
      <c r="BT712" s="54"/>
      <c r="BU712" s="54"/>
      <c r="BV712" s="54"/>
      <c r="BW712" s="54"/>
      <c r="BX712" s="54"/>
      <c r="BY712" s="54"/>
      <c r="BZ712" s="54"/>
      <c r="CA712" s="54"/>
      <c r="CB712" s="54"/>
      <c r="CC712" s="54"/>
      <c r="CD712" s="54"/>
      <c r="CE712" s="54"/>
      <c r="CF712" s="54"/>
      <c r="CG712" s="54"/>
      <c r="CH712" s="54"/>
      <c r="CI712" s="54"/>
      <c r="CJ712" s="54"/>
      <c r="CK712" s="54"/>
      <c r="CL712" s="54"/>
      <c r="CM712" s="54"/>
      <c r="CN712" s="54"/>
      <c r="CO712" s="54"/>
      <c r="CP712" s="54"/>
      <c r="CQ712" s="54"/>
      <c r="CR712" s="54"/>
      <c r="CS712" s="54"/>
      <c r="CT712" s="54"/>
      <c r="CU712" s="54"/>
      <c r="CV712" s="54"/>
      <c r="CW712" s="54"/>
      <c r="CX712" s="54"/>
      <c r="CY712" s="54"/>
      <c r="CZ712" s="54"/>
      <c r="DA712" s="54"/>
      <c r="DB712" s="54"/>
      <c r="DC712" s="54"/>
      <c r="DD712" s="54"/>
      <c r="DE712" s="54"/>
      <c r="DF712" s="54"/>
      <c r="DG712" s="54"/>
      <c r="DH712" s="54"/>
      <c r="DI712" s="54"/>
      <c r="DJ712" s="54"/>
      <c r="DK712" s="54"/>
      <c r="DL712" s="54"/>
      <c r="DM712" s="54"/>
      <c r="DN712" s="54"/>
      <c r="DO712" s="54"/>
      <c r="DP712" s="54"/>
      <c r="DQ712" s="54"/>
      <c r="DR712" s="54"/>
      <c r="DS712" s="54"/>
      <c r="DT712" s="54"/>
      <c r="DU712" s="54"/>
      <c r="DV712" s="54"/>
      <c r="DW712" s="54"/>
      <c r="DX712" s="54"/>
      <c r="DY712" s="54"/>
      <c r="DZ712" s="54"/>
      <c r="EA712" s="54"/>
      <c r="EB712" s="54"/>
      <c r="EC712" s="54"/>
    </row>
    <row r="713" spans="1:133" s="56" customFormat="1" x14ac:dyDescent="0.25">
      <c r="A713" s="58" t="s">
        <v>12</v>
      </c>
      <c r="B713" s="58"/>
      <c r="C713" s="34"/>
      <c r="D713" s="34"/>
      <c r="E713" s="58"/>
      <c r="F713" s="16" t="s">
        <v>297</v>
      </c>
      <c r="G713" s="16" t="s">
        <v>297</v>
      </c>
      <c r="H713" s="16" t="s">
        <v>297</v>
      </c>
      <c r="I713" s="16" t="s">
        <v>297</v>
      </c>
      <c r="J713" s="16" t="s">
        <v>297</v>
      </c>
      <c r="K713" s="16" t="s">
        <v>297</v>
      </c>
      <c r="L713" s="16" t="s">
        <v>297</v>
      </c>
      <c r="M713" s="16" t="s">
        <v>297</v>
      </c>
      <c r="N713" s="16">
        <v>13</v>
      </c>
      <c r="O713" s="16">
        <v>31</v>
      </c>
      <c r="P713" s="16">
        <v>30</v>
      </c>
      <c r="Q713" s="16">
        <v>31</v>
      </c>
      <c r="R713" s="54"/>
      <c r="S713" s="54"/>
      <c r="T713" s="54"/>
      <c r="U713" s="54"/>
      <c r="V713" s="54"/>
      <c r="W713" s="54"/>
      <c r="X713" s="54"/>
      <c r="Y713" s="54"/>
      <c r="Z713" s="54"/>
      <c r="AA713" s="54"/>
      <c r="AB713" s="54"/>
      <c r="AC713" s="54"/>
      <c r="AD713" s="54"/>
      <c r="AE713" s="54"/>
      <c r="AF713" s="54"/>
      <c r="AG713" s="54"/>
      <c r="AH713" s="54"/>
      <c r="AI713" s="54"/>
      <c r="AJ713" s="54"/>
      <c r="AK713" s="54"/>
      <c r="AL713" s="54"/>
      <c r="AM713" s="54"/>
      <c r="AN713" s="54"/>
      <c r="AO713" s="54"/>
      <c r="AP713" s="54"/>
      <c r="AQ713" s="54"/>
      <c r="AR713" s="54"/>
      <c r="AS713" s="54"/>
      <c r="AT713" s="54"/>
      <c r="AU713" s="54"/>
      <c r="AV713" s="54"/>
      <c r="AW713" s="54"/>
      <c r="AX713" s="54"/>
      <c r="AY713" s="54"/>
      <c r="AZ713" s="54"/>
      <c r="BA713" s="54"/>
      <c r="BB713" s="54"/>
      <c r="BC713" s="54"/>
      <c r="BD713" s="54"/>
      <c r="BE713" s="54"/>
      <c r="BF713" s="54"/>
      <c r="BG713" s="54"/>
      <c r="BH713" s="54"/>
      <c r="BI713" s="54"/>
      <c r="BJ713" s="54"/>
      <c r="BK713" s="54"/>
      <c r="BL713" s="54"/>
      <c r="BM713" s="54"/>
      <c r="BN713" s="54"/>
      <c r="BO713" s="54"/>
      <c r="BP713" s="54"/>
      <c r="BQ713" s="54"/>
      <c r="BR713" s="54"/>
      <c r="BS713" s="54"/>
      <c r="BT713" s="54"/>
      <c r="BU713" s="54"/>
      <c r="BV713" s="54"/>
      <c r="BW713" s="54"/>
      <c r="BX713" s="54"/>
      <c r="BY713" s="54"/>
      <c r="BZ713" s="54"/>
      <c r="CA713" s="54"/>
      <c r="CB713" s="54"/>
      <c r="CC713" s="54"/>
      <c r="CD713" s="54"/>
      <c r="CE713" s="54"/>
      <c r="CF713" s="54"/>
      <c r="CG713" s="54"/>
      <c r="CH713" s="54"/>
      <c r="CI713" s="54"/>
      <c r="CJ713" s="54"/>
      <c r="CK713" s="54"/>
      <c r="CL713" s="54"/>
      <c r="CM713" s="54"/>
      <c r="CN713" s="54"/>
      <c r="CO713" s="54"/>
      <c r="CP713" s="54"/>
      <c r="CQ713" s="54"/>
      <c r="CR713" s="54"/>
      <c r="CS713" s="54"/>
      <c r="CT713" s="54"/>
      <c r="CU713" s="54"/>
      <c r="CV713" s="54"/>
      <c r="CW713" s="54"/>
      <c r="CX713" s="54"/>
      <c r="CY713" s="54"/>
      <c r="CZ713" s="54"/>
      <c r="DA713" s="54"/>
      <c r="DB713" s="54"/>
      <c r="DC713" s="54"/>
      <c r="DD713" s="54"/>
      <c r="DE713" s="54"/>
      <c r="DF713" s="54"/>
      <c r="DG713" s="54"/>
      <c r="DH713" s="54"/>
      <c r="DI713" s="54"/>
      <c r="DJ713" s="54"/>
      <c r="DK713" s="54"/>
      <c r="DL713" s="54"/>
      <c r="DM713" s="54"/>
      <c r="DN713" s="54"/>
      <c r="DO713" s="54"/>
      <c r="DP713" s="54"/>
      <c r="DQ713" s="54"/>
      <c r="DR713" s="54"/>
      <c r="DS713" s="54"/>
      <c r="DT713" s="54"/>
      <c r="DU713" s="54"/>
      <c r="DV713" s="54"/>
      <c r="DW713" s="54"/>
      <c r="DX713" s="54"/>
      <c r="DY713" s="54"/>
      <c r="DZ713" s="54"/>
      <c r="EA713" s="54"/>
      <c r="EB713" s="54"/>
      <c r="EC713" s="54"/>
    </row>
    <row r="714" spans="1:133" ht="46.8" x14ac:dyDescent="0.25">
      <c r="A714" s="59" t="s">
        <v>13</v>
      </c>
      <c r="B714" s="60" t="s">
        <v>14</v>
      </c>
      <c r="C714" s="53" t="s">
        <v>15</v>
      </c>
      <c r="D714" s="53" t="s">
        <v>369</v>
      </c>
      <c r="E714" s="61">
        <f>SUM(F714:Q714)</f>
        <v>2922.2037548673011</v>
      </c>
      <c r="F714" s="62" t="s">
        <v>297</v>
      </c>
      <c r="G714" s="62" t="s">
        <v>297</v>
      </c>
      <c r="H714" s="62" t="s">
        <v>297</v>
      </c>
      <c r="I714" s="62" t="s">
        <v>297</v>
      </c>
      <c r="J714" s="62" t="s">
        <v>297</v>
      </c>
      <c r="K714" s="62" t="s">
        <v>297</v>
      </c>
      <c r="L714" s="62" t="s">
        <v>297</v>
      </c>
      <c r="M714" s="62" t="s">
        <v>297</v>
      </c>
      <c r="N714" s="62">
        <f>$E$715*$E$716*N717*$E$728</f>
        <v>372.58980289978496</v>
      </c>
      <c r="O714" s="62">
        <f t="shared" ref="O714:Q714" si="101">$E$715*$E$716*O717*$E$728</f>
        <v>888.0821723689196</v>
      </c>
      <c r="P714" s="62">
        <f t="shared" si="101"/>
        <v>816.74885412825574</v>
      </c>
      <c r="Q714" s="62">
        <f t="shared" si="101"/>
        <v>844.78292547034073</v>
      </c>
    </row>
    <row r="715" spans="1:133" ht="31.2" x14ac:dyDescent="0.25">
      <c r="A715" s="63" t="s">
        <v>16</v>
      </c>
      <c r="B715" s="60" t="s">
        <v>193</v>
      </c>
      <c r="C715" s="35" t="s">
        <v>17</v>
      </c>
      <c r="D715" s="35" t="s">
        <v>205</v>
      </c>
      <c r="E715" s="168">
        <v>28</v>
      </c>
      <c r="F715" s="169"/>
      <c r="G715" s="169"/>
      <c r="H715" s="169"/>
      <c r="I715" s="169"/>
      <c r="J715" s="169"/>
      <c r="K715" s="169"/>
      <c r="L715" s="169"/>
      <c r="M715" s="169"/>
      <c r="N715" s="169"/>
      <c r="O715" s="169"/>
      <c r="P715" s="169"/>
      <c r="Q715" s="170"/>
    </row>
    <row r="716" spans="1:133" ht="64.8" x14ac:dyDescent="0.25">
      <c r="A716" s="63" t="s">
        <v>18</v>
      </c>
      <c r="B716" s="25" t="s">
        <v>194</v>
      </c>
      <c r="C716" s="35" t="s">
        <v>20</v>
      </c>
      <c r="D716" s="35" t="s">
        <v>394</v>
      </c>
      <c r="E716" s="168">
        <v>0.21</v>
      </c>
      <c r="F716" s="169"/>
      <c r="G716" s="169"/>
      <c r="H716" s="169"/>
      <c r="I716" s="169"/>
      <c r="J716" s="169"/>
      <c r="K716" s="169"/>
      <c r="L716" s="169"/>
      <c r="M716" s="169"/>
      <c r="N716" s="169"/>
      <c r="O716" s="169"/>
      <c r="P716" s="169"/>
      <c r="Q716" s="170"/>
    </row>
    <row r="717" spans="1:133" ht="46.8" x14ac:dyDescent="0.25">
      <c r="A717" s="35" t="s">
        <v>21</v>
      </c>
      <c r="B717" s="25" t="s">
        <v>195</v>
      </c>
      <c r="C717" s="53" t="s">
        <v>22</v>
      </c>
      <c r="D717" s="53" t="s">
        <v>370</v>
      </c>
      <c r="E717" s="64">
        <f t="shared" ref="E717:Q717" si="102">E725*E718</f>
        <v>1028.5694092584024</v>
      </c>
      <c r="F717" s="64" t="s">
        <v>297</v>
      </c>
      <c r="G717" s="64" t="s">
        <v>297</v>
      </c>
      <c r="H717" s="64" t="s">
        <v>297</v>
      </c>
      <c r="I717" s="64" t="s">
        <v>297</v>
      </c>
      <c r="J717" s="64" t="s">
        <v>297</v>
      </c>
      <c r="K717" s="64" t="s">
        <v>297</v>
      </c>
      <c r="L717" s="64" t="s">
        <v>297</v>
      </c>
      <c r="M717" s="64" t="s">
        <v>297</v>
      </c>
      <c r="N717" s="64">
        <f t="shared" si="102"/>
        <v>131.14570564287681</v>
      </c>
      <c r="O717" s="64">
        <f t="shared" si="102"/>
        <v>312.59084993130426</v>
      </c>
      <c r="P717" s="64">
        <f t="shared" si="102"/>
        <v>287.48265243445553</v>
      </c>
      <c r="Q717" s="64">
        <f t="shared" si="102"/>
        <v>297.35020124976586</v>
      </c>
    </row>
    <row r="718" spans="1:133" ht="46.8" x14ac:dyDescent="0.25">
      <c r="A718" s="35" t="s">
        <v>23</v>
      </c>
      <c r="B718" s="25" t="s">
        <v>197</v>
      </c>
      <c r="C718" s="35" t="s">
        <v>191</v>
      </c>
      <c r="D718" s="35" t="s">
        <v>371</v>
      </c>
      <c r="E718" s="20">
        <f>SUM(N718:Q718)</f>
        <v>1046.4701216696508</v>
      </c>
      <c r="F718" s="20" t="s">
        <v>297</v>
      </c>
      <c r="G718" s="20" t="s">
        <v>297</v>
      </c>
      <c r="H718" s="20" t="s">
        <v>297</v>
      </c>
      <c r="I718" s="20" t="s">
        <v>297</v>
      </c>
      <c r="J718" s="20" t="s">
        <v>297</v>
      </c>
      <c r="K718" s="20" t="s">
        <v>297</v>
      </c>
      <c r="L718" s="20" t="s">
        <v>297</v>
      </c>
      <c r="M718" s="20" t="s">
        <v>297</v>
      </c>
      <c r="N718" s="20">
        <f t="shared" ref="N718:Q718" si="103">N720*N723</f>
        <v>133.42810052994233</v>
      </c>
      <c r="O718" s="20">
        <f t="shared" si="103"/>
        <v>318.03102621560811</v>
      </c>
      <c r="P718" s="20">
        <f t="shared" si="103"/>
        <v>292.48585808896007</v>
      </c>
      <c r="Q718" s="20">
        <f t="shared" si="103"/>
        <v>302.5251368351403</v>
      </c>
    </row>
    <row r="719" spans="1:133" ht="62.4" x14ac:dyDescent="0.25">
      <c r="A719" s="17" t="s">
        <v>334</v>
      </c>
      <c r="B719" s="60" t="s">
        <v>192</v>
      </c>
      <c r="C719" s="35" t="s">
        <v>25</v>
      </c>
      <c r="D719" s="35" t="s">
        <v>333</v>
      </c>
      <c r="E719" s="121">
        <f>AVERAGE(N719:Q719)</f>
        <v>19419.187033746901</v>
      </c>
      <c r="F719" s="20" t="s">
        <v>297</v>
      </c>
      <c r="G719" s="20" t="s">
        <v>297</v>
      </c>
      <c r="H719" s="20" t="s">
        <v>297</v>
      </c>
      <c r="I719" s="20" t="s">
        <v>297</v>
      </c>
      <c r="J719" s="20" t="s">
        <v>297</v>
      </c>
      <c r="K719" s="20" t="s">
        <v>297</v>
      </c>
      <c r="L719" s="20" t="s">
        <v>297</v>
      </c>
      <c r="M719" s="20" t="s">
        <v>297</v>
      </c>
      <c r="N719" s="121">
        <v>19907.585076923078</v>
      </c>
      <c r="O719" s="121">
        <v>19914.933096774192</v>
      </c>
      <c r="P719" s="121">
        <v>18926.3868</v>
      </c>
      <c r="Q719" s="121">
        <v>18927.843161290322</v>
      </c>
    </row>
    <row r="720" spans="1:133" ht="46.8" x14ac:dyDescent="0.25">
      <c r="A720" s="35" t="s">
        <v>26</v>
      </c>
      <c r="B720" s="60" t="s">
        <v>198</v>
      </c>
      <c r="C720" s="35" t="s">
        <v>27</v>
      </c>
      <c r="D720" s="35" t="s">
        <v>206</v>
      </c>
      <c r="E720" s="65">
        <f>SUM(N720:Q720)</f>
        <v>2030716.274</v>
      </c>
      <c r="F720" s="65" t="s">
        <v>297</v>
      </c>
      <c r="G720" s="65" t="s">
        <v>297</v>
      </c>
      <c r="H720" s="65" t="s">
        <v>297</v>
      </c>
      <c r="I720" s="65" t="s">
        <v>297</v>
      </c>
      <c r="J720" s="65" t="s">
        <v>297</v>
      </c>
      <c r="K720" s="65" t="s">
        <v>297</v>
      </c>
      <c r="L720" s="65" t="s">
        <v>297</v>
      </c>
      <c r="M720" s="65" t="s">
        <v>297</v>
      </c>
      <c r="N720" s="65">
        <f t="shared" ref="N720:Q720" si="104">N719*N713</f>
        <v>258798.60600000003</v>
      </c>
      <c r="O720" s="65">
        <f t="shared" si="104"/>
        <v>617362.92599999998</v>
      </c>
      <c r="P720" s="65">
        <f t="shared" si="104"/>
        <v>567791.60400000005</v>
      </c>
      <c r="Q720" s="65">
        <f t="shared" si="104"/>
        <v>586763.13800000004</v>
      </c>
    </row>
    <row r="721" spans="1:133" ht="62.4" x14ac:dyDescent="0.25">
      <c r="A721" s="35" t="s">
        <v>28</v>
      </c>
      <c r="B721" s="60" t="s">
        <v>199</v>
      </c>
      <c r="C721" s="35" t="s">
        <v>29</v>
      </c>
      <c r="D721" s="35" t="s">
        <v>332</v>
      </c>
      <c r="E721" s="125">
        <f>AVERAGE(N721:Q721)</f>
        <v>515.35590398400882</v>
      </c>
      <c r="F721" s="66" t="s">
        <v>297</v>
      </c>
      <c r="G721" s="66" t="s">
        <v>297</v>
      </c>
      <c r="H721" s="66" t="s">
        <v>297</v>
      </c>
      <c r="I721" s="66" t="s">
        <v>297</v>
      </c>
      <c r="J721" s="66" t="s">
        <v>297</v>
      </c>
      <c r="K721" s="66" t="s">
        <v>297</v>
      </c>
      <c r="L721" s="66" t="s">
        <v>297</v>
      </c>
      <c r="M721" s="66" t="s">
        <v>297</v>
      </c>
      <c r="N721" s="123">
        <v>515.56730769230774</v>
      </c>
      <c r="O721" s="123">
        <v>515.14435483870977</v>
      </c>
      <c r="P721" s="123">
        <v>515.12888888888892</v>
      </c>
      <c r="Q721" s="123">
        <v>515.58306451612896</v>
      </c>
    </row>
    <row r="722" spans="1:133" ht="62.4" x14ac:dyDescent="0.25">
      <c r="A722" s="35" t="s">
        <v>30</v>
      </c>
      <c r="B722" s="60" t="s">
        <v>199</v>
      </c>
      <c r="C722" s="35" t="s">
        <v>31</v>
      </c>
      <c r="D722" s="35" t="s">
        <v>331</v>
      </c>
      <c r="E722" s="125">
        <f>AVERAGE(N722:Q722)</f>
        <v>20.202502757099531</v>
      </c>
      <c r="F722" s="65" t="s">
        <v>297</v>
      </c>
      <c r="G722" s="65" t="s">
        <v>297</v>
      </c>
      <c r="H722" s="65" t="s">
        <v>297</v>
      </c>
      <c r="I722" s="65" t="s">
        <v>297</v>
      </c>
      <c r="J722" s="65" t="s">
        <v>297</v>
      </c>
      <c r="K722" s="65" t="s">
        <v>297</v>
      </c>
      <c r="L722" s="65" t="s">
        <v>297</v>
      </c>
      <c r="M722" s="65" t="s">
        <v>297</v>
      </c>
      <c r="N722" s="123">
        <v>20.837179487179487</v>
      </c>
      <c r="O722" s="123">
        <v>19.896505376344088</v>
      </c>
      <c r="P722" s="123">
        <v>20.316111111111116</v>
      </c>
      <c r="Q722" s="123">
        <v>19.760215053763439</v>
      </c>
    </row>
    <row r="723" spans="1:133" ht="62.4" x14ac:dyDescent="0.25">
      <c r="A723" s="35" t="s">
        <v>32</v>
      </c>
      <c r="B723" s="60" t="s">
        <v>200</v>
      </c>
      <c r="C723" s="35" t="s">
        <v>34</v>
      </c>
      <c r="D723" s="35" t="s">
        <v>338</v>
      </c>
      <c r="E723" s="122">
        <f>E721/1000000</f>
        <v>5.1535590398400885E-4</v>
      </c>
      <c r="F723" s="22" t="s">
        <v>297</v>
      </c>
      <c r="G723" s="22" t="s">
        <v>297</v>
      </c>
      <c r="H723" s="22" t="s">
        <v>297</v>
      </c>
      <c r="I723" s="22" t="s">
        <v>297</v>
      </c>
      <c r="J723" s="22" t="s">
        <v>297</v>
      </c>
      <c r="K723" s="22" t="s">
        <v>297</v>
      </c>
      <c r="L723" s="22" t="s">
        <v>297</v>
      </c>
      <c r="M723" s="22" t="s">
        <v>297</v>
      </c>
      <c r="N723" s="120">
        <f t="shared" ref="N723:Q723" si="105">N721/1000000</f>
        <v>5.155673076923077E-4</v>
      </c>
      <c r="O723" s="120">
        <f t="shared" si="105"/>
        <v>5.1514435483870978E-4</v>
      </c>
      <c r="P723" s="120">
        <f t="shared" si="105"/>
        <v>5.1512888888888893E-4</v>
      </c>
      <c r="Q723" s="120">
        <f t="shared" si="105"/>
        <v>5.15583064516129E-4</v>
      </c>
    </row>
    <row r="724" spans="1:133" ht="62.4" x14ac:dyDescent="0.25">
      <c r="A724" s="35" t="s">
        <v>30</v>
      </c>
      <c r="B724" s="60" t="s">
        <v>33</v>
      </c>
      <c r="C724" s="35" t="s">
        <v>35</v>
      </c>
      <c r="D724" s="35" t="s">
        <v>339</v>
      </c>
      <c r="E724" s="122">
        <f>E722/1000000</f>
        <v>2.020250275709953E-5</v>
      </c>
      <c r="F724" s="22" t="s">
        <v>297</v>
      </c>
      <c r="G724" s="22" t="s">
        <v>297</v>
      </c>
      <c r="H724" s="22" t="s">
        <v>297</v>
      </c>
      <c r="I724" s="22" t="s">
        <v>297</v>
      </c>
      <c r="J724" s="22" t="s">
        <v>297</v>
      </c>
      <c r="K724" s="22" t="s">
        <v>297</v>
      </c>
      <c r="L724" s="22" t="s">
        <v>297</v>
      </c>
      <c r="M724" s="22" t="s">
        <v>297</v>
      </c>
      <c r="N724" s="120">
        <f t="shared" ref="N724:Q724" si="106">N722/1000000</f>
        <v>2.0837179487179487E-5</v>
      </c>
      <c r="O724" s="120">
        <f t="shared" si="106"/>
        <v>1.9896505376344089E-5</v>
      </c>
      <c r="P724" s="120">
        <f t="shared" si="106"/>
        <v>2.0316111111111116E-5</v>
      </c>
      <c r="Q724" s="120">
        <f t="shared" si="106"/>
        <v>1.976021505376344E-5</v>
      </c>
    </row>
    <row r="725" spans="1:133" ht="46.8" x14ac:dyDescent="0.25">
      <c r="A725" s="63" t="s">
        <v>36</v>
      </c>
      <c r="B725" s="25" t="s">
        <v>201</v>
      </c>
      <c r="C725" s="35" t="s">
        <v>38</v>
      </c>
      <c r="D725" s="35" t="s">
        <v>368</v>
      </c>
      <c r="E725" s="68">
        <f>(1-(E726/E727))</f>
        <v>0.98289419636493047</v>
      </c>
      <c r="F725" s="68" t="s">
        <v>297</v>
      </c>
      <c r="G725" s="68" t="s">
        <v>297</v>
      </c>
      <c r="H725" s="68" t="s">
        <v>297</v>
      </c>
      <c r="I725" s="68" t="s">
        <v>297</v>
      </c>
      <c r="J725" s="68" t="s">
        <v>297</v>
      </c>
      <c r="K725" s="68" t="s">
        <v>297</v>
      </c>
      <c r="L725" s="68" t="s">
        <v>297</v>
      </c>
      <c r="M725" s="68" t="s">
        <v>297</v>
      </c>
      <c r="N725" s="68">
        <f>E725</f>
        <v>0.98289419636493047</v>
      </c>
      <c r="O725" s="68">
        <f>E725</f>
        <v>0.98289419636493047</v>
      </c>
      <c r="P725" s="68">
        <f>E725</f>
        <v>0.98289419636493047</v>
      </c>
      <c r="Q725" s="68">
        <f>E725</f>
        <v>0.98289419636493047</v>
      </c>
    </row>
    <row r="726" spans="1:133" ht="31.2" x14ac:dyDescent="0.25">
      <c r="A726" s="35" t="s">
        <v>39</v>
      </c>
      <c r="B726" s="25" t="s">
        <v>196</v>
      </c>
      <c r="C726" s="35" t="s">
        <v>40</v>
      </c>
      <c r="D726" s="35" t="s">
        <v>351</v>
      </c>
      <c r="E726" s="52">
        <f>SUM(F726:Q726)</f>
        <v>17.344681693800002</v>
      </c>
      <c r="F726" s="52" t="s">
        <v>297</v>
      </c>
      <c r="G726" s="52" t="s">
        <v>297</v>
      </c>
      <c r="H726" s="52" t="s">
        <v>297</v>
      </c>
      <c r="I726" s="52" t="s">
        <v>297</v>
      </c>
      <c r="J726" s="52" t="s">
        <v>297</v>
      </c>
      <c r="K726" s="52" t="s">
        <v>297</v>
      </c>
      <c r="L726" s="52" t="s">
        <v>297</v>
      </c>
      <c r="M726" s="52" t="s">
        <v>297</v>
      </c>
      <c r="N726" s="52">
        <v>5.4553891678000008</v>
      </c>
      <c r="O726" s="52">
        <v>4.0061746554999997</v>
      </c>
      <c r="P726" s="52">
        <v>3.8769432150000003</v>
      </c>
      <c r="Q726" s="52">
        <v>4.0061746554999997</v>
      </c>
    </row>
    <row r="727" spans="1:133" ht="31.2" x14ac:dyDescent="0.25">
      <c r="A727" s="63" t="s">
        <v>41</v>
      </c>
      <c r="B727" s="25" t="s">
        <v>24</v>
      </c>
      <c r="C727" s="35" t="s">
        <v>42</v>
      </c>
      <c r="D727" s="35" t="s">
        <v>351</v>
      </c>
      <c r="E727" s="52">
        <f>SUM(F727:Q727)</f>
        <v>1013.9647375725</v>
      </c>
      <c r="F727" s="52" t="s">
        <v>297</v>
      </c>
      <c r="G727" s="52" t="s">
        <v>297</v>
      </c>
      <c r="H727" s="52" t="s">
        <v>297</v>
      </c>
      <c r="I727" s="52" t="s">
        <v>297</v>
      </c>
      <c r="J727" s="52" t="s">
        <v>297</v>
      </c>
      <c r="K727" s="52" t="s">
        <v>297</v>
      </c>
      <c r="L727" s="52" t="s">
        <v>297</v>
      </c>
      <c r="M727" s="52" t="s">
        <v>297</v>
      </c>
      <c r="N727" s="52">
        <v>125.53849131849999</v>
      </c>
      <c r="O727" s="52">
        <v>299.36101775949999</v>
      </c>
      <c r="P727" s="52">
        <v>289.704210735</v>
      </c>
      <c r="Q727" s="52">
        <v>299.36101775949999</v>
      </c>
    </row>
    <row r="728" spans="1:133" ht="31.2" x14ac:dyDescent="0.25">
      <c r="A728" s="53" t="s">
        <v>43</v>
      </c>
      <c r="B728" s="25" t="s">
        <v>201</v>
      </c>
      <c r="C728" s="53" t="s">
        <v>44</v>
      </c>
      <c r="D728" s="35" t="s">
        <v>372</v>
      </c>
      <c r="E728" s="159">
        <f>E729*E730*0.89</f>
        <v>0.48316955883107388</v>
      </c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1"/>
    </row>
    <row r="729" spans="1:133" ht="31.2" x14ac:dyDescent="0.25">
      <c r="A729" s="70" t="s">
        <v>45</v>
      </c>
      <c r="B729" s="25" t="s">
        <v>201</v>
      </c>
      <c r="C729" s="53" t="s">
        <v>46</v>
      </c>
      <c r="D729" s="35" t="s">
        <v>373</v>
      </c>
      <c r="E729" s="162">
        <v>0.7</v>
      </c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4"/>
    </row>
    <row r="730" spans="1:133" ht="36" customHeight="1" x14ac:dyDescent="0.25">
      <c r="A730" s="70" t="s">
        <v>47</v>
      </c>
      <c r="B730" s="25" t="s">
        <v>37</v>
      </c>
      <c r="C730" s="53" t="s">
        <v>48</v>
      </c>
      <c r="D730" s="35" t="s">
        <v>374</v>
      </c>
      <c r="E730" s="159">
        <f>(N731*N736+O731*O736+P731*P736+Q731*Q736)/(N725*N723*N720+O725*O720*O723+P725*P723*P720+Q725*Q723*Q720)</f>
        <v>0.77555306393430801</v>
      </c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1"/>
    </row>
    <row r="731" spans="1:133" s="9" customFormat="1" ht="46.8" x14ac:dyDescent="0.4">
      <c r="A731" s="71" t="s">
        <v>49</v>
      </c>
      <c r="B731" s="25" t="s">
        <v>37</v>
      </c>
      <c r="C731" s="53" t="s">
        <v>50</v>
      </c>
      <c r="D731" s="53" t="s">
        <v>375</v>
      </c>
      <c r="E731" s="72">
        <f>AVERAGE(F731:Q731)</f>
        <v>0.60634569355483003</v>
      </c>
      <c r="F731" s="72" t="s">
        <v>297</v>
      </c>
      <c r="G731" s="72" t="s">
        <v>297</v>
      </c>
      <c r="H731" s="72" t="s">
        <v>297</v>
      </c>
      <c r="I731" s="72" t="s">
        <v>297</v>
      </c>
      <c r="J731" s="72" t="s">
        <v>297</v>
      </c>
      <c r="K731" s="72" t="s">
        <v>297</v>
      </c>
      <c r="L731" s="72" t="s">
        <v>297</v>
      </c>
      <c r="M731" s="72" t="s">
        <v>297</v>
      </c>
      <c r="N731" s="72">
        <f t="shared" ref="N731:Q731" si="107">IF(N735&lt;283,0,IF(N735&gt;303,1,EXP(($E$23*(N735-$E$24))/($E$25*$E$24*N735))))</f>
        <v>0.88152221926734242</v>
      </c>
      <c r="O731" s="72">
        <f t="shared" si="107"/>
        <v>0.65487347206548807</v>
      </c>
      <c r="P731" s="72">
        <f t="shared" si="107"/>
        <v>0.55084569341606926</v>
      </c>
      <c r="Q731" s="72">
        <f t="shared" si="107"/>
        <v>0.33814138947042022</v>
      </c>
      <c r="R731" s="78"/>
      <c r="S731" s="78"/>
      <c r="T731" s="78"/>
      <c r="U731" s="78"/>
      <c r="V731" s="78"/>
      <c r="W731" s="78"/>
      <c r="X731" s="78"/>
      <c r="Y731" s="78"/>
      <c r="Z731" s="78"/>
      <c r="AA731" s="78"/>
      <c r="AB731" s="78"/>
      <c r="AC731" s="78"/>
      <c r="AD731" s="78"/>
      <c r="AE731" s="78"/>
      <c r="AF731" s="78"/>
      <c r="AG731" s="78"/>
      <c r="AH731" s="78"/>
      <c r="AI731" s="78"/>
      <c r="AJ731" s="78"/>
      <c r="AK731" s="78"/>
      <c r="AL731" s="78"/>
      <c r="AM731" s="78"/>
      <c r="AN731" s="78"/>
      <c r="AO731" s="78"/>
      <c r="AP731" s="78"/>
      <c r="AQ731" s="78"/>
      <c r="AR731" s="78"/>
      <c r="AS731" s="78"/>
      <c r="AT731" s="78"/>
      <c r="AU731" s="78"/>
      <c r="AV731" s="78"/>
      <c r="AW731" s="78"/>
      <c r="AX731" s="78"/>
      <c r="AY731" s="78"/>
      <c r="AZ731" s="78"/>
      <c r="BA731" s="78"/>
      <c r="BB731" s="78"/>
      <c r="BC731" s="78"/>
      <c r="BD731" s="78"/>
      <c r="BE731" s="78"/>
      <c r="BF731" s="78"/>
      <c r="BG731" s="78"/>
      <c r="BH731" s="78"/>
      <c r="BI731" s="78"/>
      <c r="BJ731" s="78"/>
      <c r="BK731" s="78"/>
      <c r="BL731" s="78"/>
      <c r="BM731" s="78"/>
      <c r="BN731" s="78"/>
      <c r="BO731" s="78"/>
      <c r="BP731" s="78"/>
      <c r="BQ731" s="78"/>
      <c r="BR731" s="78"/>
      <c r="BS731" s="78"/>
      <c r="BT731" s="78"/>
      <c r="BU731" s="78"/>
      <c r="BV731" s="78"/>
      <c r="BW731" s="78"/>
      <c r="BX731" s="78"/>
      <c r="BY731" s="78"/>
      <c r="BZ731" s="78"/>
      <c r="CA731" s="78"/>
      <c r="CB731" s="78"/>
      <c r="CC731" s="78"/>
      <c r="CD731" s="78"/>
      <c r="CE731" s="78"/>
      <c r="CF731" s="78"/>
      <c r="CG731" s="78"/>
      <c r="CH731" s="78"/>
      <c r="CI731" s="78"/>
      <c r="CJ731" s="78"/>
      <c r="CK731" s="78"/>
      <c r="CL731" s="78"/>
      <c r="CM731" s="78"/>
      <c r="CN731" s="78"/>
      <c r="CO731" s="78"/>
      <c r="CP731" s="78"/>
      <c r="CQ731" s="78"/>
      <c r="CR731" s="78"/>
      <c r="CS731" s="78"/>
      <c r="CT731" s="78"/>
      <c r="CU731" s="78"/>
      <c r="CV731" s="78"/>
      <c r="CW731" s="78"/>
      <c r="CX731" s="78"/>
      <c r="CY731" s="78"/>
      <c r="CZ731" s="78"/>
      <c r="DA731" s="78"/>
      <c r="DB731" s="78"/>
      <c r="DC731" s="78"/>
      <c r="DD731" s="78"/>
      <c r="DE731" s="78"/>
      <c r="DF731" s="78"/>
      <c r="DG731" s="78"/>
      <c r="DH731" s="78"/>
      <c r="DI731" s="78"/>
      <c r="DJ731" s="78"/>
      <c r="DK731" s="78"/>
      <c r="DL731" s="78"/>
      <c r="DM731" s="78"/>
      <c r="DN731" s="78"/>
      <c r="DO731" s="78"/>
      <c r="DP731" s="78"/>
      <c r="DQ731" s="78"/>
      <c r="DR731" s="78"/>
      <c r="DS731" s="78"/>
      <c r="DT731" s="78"/>
      <c r="DU731" s="78"/>
      <c r="DV731" s="78"/>
      <c r="DW731" s="78"/>
      <c r="DX731" s="78"/>
      <c r="DY731" s="78"/>
      <c r="DZ731" s="78"/>
      <c r="EA731" s="78"/>
      <c r="EB731" s="78"/>
      <c r="EC731" s="78"/>
    </row>
    <row r="732" spans="1:133" s="9" customFormat="1" x14ac:dyDescent="0.25">
      <c r="A732" s="73" t="s">
        <v>51</v>
      </c>
      <c r="B732" s="60" t="s">
        <v>202</v>
      </c>
      <c r="C732" s="53" t="s">
        <v>53</v>
      </c>
      <c r="D732" s="53" t="s">
        <v>376</v>
      </c>
      <c r="E732" s="162">
        <v>15175</v>
      </c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4"/>
      <c r="R732" s="78"/>
      <c r="S732" s="78"/>
      <c r="T732" s="78"/>
      <c r="U732" s="78"/>
      <c r="V732" s="78"/>
      <c r="W732" s="78"/>
      <c r="X732" s="78"/>
      <c r="Y732" s="78"/>
      <c r="Z732" s="78"/>
      <c r="AA732" s="78"/>
      <c r="AB732" s="78"/>
      <c r="AC732" s="78"/>
      <c r="AD732" s="78"/>
      <c r="AE732" s="78"/>
      <c r="AF732" s="78"/>
      <c r="AG732" s="78"/>
      <c r="AH732" s="78"/>
      <c r="AI732" s="78"/>
      <c r="AJ732" s="78"/>
      <c r="AK732" s="78"/>
      <c r="AL732" s="78"/>
      <c r="AM732" s="78"/>
      <c r="AN732" s="78"/>
      <c r="AO732" s="78"/>
      <c r="AP732" s="78"/>
      <c r="AQ732" s="78"/>
      <c r="AR732" s="78"/>
      <c r="AS732" s="78"/>
      <c r="AT732" s="78"/>
      <c r="AU732" s="78"/>
      <c r="AV732" s="78"/>
      <c r="AW732" s="78"/>
      <c r="AX732" s="78"/>
      <c r="AY732" s="78"/>
      <c r="AZ732" s="78"/>
      <c r="BA732" s="78"/>
      <c r="BB732" s="78"/>
      <c r="BC732" s="78"/>
      <c r="BD732" s="78"/>
      <c r="BE732" s="78"/>
      <c r="BF732" s="78"/>
      <c r="BG732" s="78"/>
      <c r="BH732" s="78"/>
      <c r="BI732" s="78"/>
      <c r="BJ732" s="78"/>
      <c r="BK732" s="78"/>
      <c r="BL732" s="78"/>
      <c r="BM732" s="78"/>
      <c r="BN732" s="78"/>
      <c r="BO732" s="78"/>
      <c r="BP732" s="78"/>
      <c r="BQ732" s="78"/>
      <c r="BR732" s="78"/>
      <c r="BS732" s="78"/>
      <c r="BT732" s="78"/>
      <c r="BU732" s="78"/>
      <c r="BV732" s="78"/>
      <c r="BW732" s="78"/>
      <c r="BX732" s="78"/>
      <c r="BY732" s="78"/>
      <c r="BZ732" s="78"/>
      <c r="CA732" s="78"/>
      <c r="CB732" s="78"/>
      <c r="CC732" s="78"/>
      <c r="CD732" s="78"/>
      <c r="CE732" s="78"/>
      <c r="CF732" s="78"/>
      <c r="CG732" s="78"/>
      <c r="CH732" s="78"/>
      <c r="CI732" s="78"/>
      <c r="CJ732" s="78"/>
      <c r="CK732" s="78"/>
      <c r="CL732" s="78"/>
      <c r="CM732" s="78"/>
      <c r="CN732" s="78"/>
      <c r="CO732" s="78"/>
      <c r="CP732" s="78"/>
      <c r="CQ732" s="78"/>
      <c r="CR732" s="78"/>
      <c r="CS732" s="78"/>
      <c r="CT732" s="78"/>
      <c r="CU732" s="78"/>
      <c r="CV732" s="78"/>
      <c r="CW732" s="78"/>
      <c r="CX732" s="78"/>
      <c r="CY732" s="78"/>
      <c r="CZ732" s="78"/>
      <c r="DA732" s="78"/>
      <c r="DB732" s="78"/>
      <c r="DC732" s="78"/>
      <c r="DD732" s="78"/>
      <c r="DE732" s="78"/>
      <c r="DF732" s="78"/>
      <c r="DG732" s="78"/>
      <c r="DH732" s="78"/>
      <c r="DI732" s="78"/>
      <c r="DJ732" s="78"/>
      <c r="DK732" s="78"/>
      <c r="DL732" s="78"/>
      <c r="DM732" s="78"/>
      <c r="DN732" s="78"/>
      <c r="DO732" s="78"/>
      <c r="DP732" s="78"/>
      <c r="DQ732" s="78"/>
      <c r="DR732" s="78"/>
      <c r="DS732" s="78"/>
      <c r="DT732" s="78"/>
      <c r="DU732" s="78"/>
      <c r="DV732" s="78"/>
      <c r="DW732" s="78"/>
      <c r="DX732" s="78"/>
      <c r="DY732" s="78"/>
      <c r="DZ732" s="78"/>
      <c r="EA732" s="78"/>
      <c r="EB732" s="78"/>
      <c r="EC732" s="78"/>
    </row>
    <row r="733" spans="1:133" s="9" customFormat="1" ht="18" x14ac:dyDescent="0.25">
      <c r="A733" s="73" t="s">
        <v>54</v>
      </c>
      <c r="B733" s="60" t="s">
        <v>203</v>
      </c>
      <c r="C733" s="53" t="s">
        <v>56</v>
      </c>
      <c r="D733" s="53" t="s">
        <v>376</v>
      </c>
      <c r="E733" s="162">
        <v>303.16000000000003</v>
      </c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4"/>
      <c r="R733" s="78"/>
      <c r="S733" s="78"/>
      <c r="T733" s="78"/>
      <c r="U733" s="78"/>
      <c r="V733" s="78"/>
      <c r="W733" s="78"/>
      <c r="X733" s="78"/>
      <c r="Y733" s="78"/>
      <c r="Z733" s="78"/>
      <c r="AA733" s="78"/>
      <c r="AB733" s="78"/>
      <c r="AC733" s="78"/>
      <c r="AD733" s="78"/>
      <c r="AE733" s="78"/>
      <c r="AF733" s="78"/>
      <c r="AG733" s="78"/>
      <c r="AH733" s="78"/>
      <c r="AI733" s="78"/>
      <c r="AJ733" s="78"/>
      <c r="AK733" s="78"/>
      <c r="AL733" s="78"/>
      <c r="AM733" s="78"/>
      <c r="AN733" s="78"/>
      <c r="AO733" s="78"/>
      <c r="AP733" s="78"/>
      <c r="AQ733" s="78"/>
      <c r="AR733" s="78"/>
      <c r="AS733" s="78"/>
      <c r="AT733" s="78"/>
      <c r="AU733" s="78"/>
      <c r="AV733" s="78"/>
      <c r="AW733" s="78"/>
      <c r="AX733" s="78"/>
      <c r="AY733" s="78"/>
      <c r="AZ733" s="78"/>
      <c r="BA733" s="78"/>
      <c r="BB733" s="78"/>
      <c r="BC733" s="78"/>
      <c r="BD733" s="78"/>
      <c r="BE733" s="78"/>
      <c r="BF733" s="78"/>
      <c r="BG733" s="78"/>
      <c r="BH733" s="78"/>
      <c r="BI733" s="78"/>
      <c r="BJ733" s="78"/>
      <c r="BK733" s="78"/>
      <c r="BL733" s="78"/>
      <c r="BM733" s="78"/>
      <c r="BN733" s="78"/>
      <c r="BO733" s="78"/>
      <c r="BP733" s="78"/>
      <c r="BQ733" s="78"/>
      <c r="BR733" s="78"/>
      <c r="BS733" s="78"/>
      <c r="BT733" s="78"/>
      <c r="BU733" s="78"/>
      <c r="BV733" s="78"/>
      <c r="BW733" s="78"/>
      <c r="BX733" s="78"/>
      <c r="BY733" s="78"/>
      <c r="BZ733" s="78"/>
      <c r="CA733" s="78"/>
      <c r="CB733" s="78"/>
      <c r="CC733" s="78"/>
      <c r="CD733" s="78"/>
      <c r="CE733" s="78"/>
      <c r="CF733" s="78"/>
      <c r="CG733" s="78"/>
      <c r="CH733" s="78"/>
      <c r="CI733" s="78"/>
      <c r="CJ733" s="78"/>
      <c r="CK733" s="78"/>
      <c r="CL733" s="78"/>
      <c r="CM733" s="78"/>
      <c r="CN733" s="78"/>
      <c r="CO733" s="78"/>
      <c r="CP733" s="78"/>
      <c r="CQ733" s="78"/>
      <c r="CR733" s="78"/>
      <c r="CS733" s="78"/>
      <c r="CT733" s="78"/>
      <c r="CU733" s="78"/>
      <c r="CV733" s="78"/>
      <c r="CW733" s="78"/>
      <c r="CX733" s="78"/>
      <c r="CY733" s="78"/>
      <c r="CZ733" s="78"/>
      <c r="DA733" s="78"/>
      <c r="DB733" s="78"/>
      <c r="DC733" s="78"/>
      <c r="DD733" s="78"/>
      <c r="DE733" s="78"/>
      <c r="DF733" s="78"/>
      <c r="DG733" s="78"/>
      <c r="DH733" s="78"/>
      <c r="DI733" s="78"/>
      <c r="DJ733" s="78"/>
      <c r="DK733" s="78"/>
      <c r="DL733" s="78"/>
      <c r="DM733" s="78"/>
      <c r="DN733" s="78"/>
      <c r="DO733" s="78"/>
      <c r="DP733" s="78"/>
      <c r="DQ733" s="78"/>
      <c r="DR733" s="78"/>
      <c r="DS733" s="78"/>
      <c r="DT733" s="78"/>
      <c r="DU733" s="78"/>
      <c r="DV733" s="78"/>
      <c r="DW733" s="78"/>
      <c r="DX733" s="78"/>
      <c r="DY733" s="78"/>
      <c r="DZ733" s="78"/>
      <c r="EA733" s="78"/>
      <c r="EB733" s="78"/>
      <c r="EC733" s="78"/>
    </row>
    <row r="734" spans="1:133" s="9" customFormat="1" x14ac:dyDescent="0.25">
      <c r="A734" s="73" t="s">
        <v>57</v>
      </c>
      <c r="B734" s="60" t="s">
        <v>204</v>
      </c>
      <c r="C734" s="53" t="s">
        <v>59</v>
      </c>
      <c r="D734" s="53" t="s">
        <v>376</v>
      </c>
      <c r="E734" s="162">
        <v>1.9870000000000001</v>
      </c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4"/>
      <c r="R734" s="78"/>
      <c r="S734" s="78"/>
      <c r="T734" s="78"/>
      <c r="U734" s="78"/>
      <c r="V734" s="78"/>
      <c r="W734" s="78"/>
      <c r="X734" s="78"/>
      <c r="Y734" s="78"/>
      <c r="Z734" s="78"/>
      <c r="AA734" s="78"/>
      <c r="AB734" s="78"/>
      <c r="AC734" s="78"/>
      <c r="AD734" s="78"/>
      <c r="AE734" s="78"/>
      <c r="AF734" s="78"/>
      <c r="AG734" s="78"/>
      <c r="AH734" s="78"/>
      <c r="AI734" s="78"/>
      <c r="AJ734" s="78"/>
      <c r="AK734" s="78"/>
      <c r="AL734" s="78"/>
      <c r="AM734" s="78"/>
      <c r="AN734" s="78"/>
      <c r="AO734" s="78"/>
      <c r="AP734" s="78"/>
      <c r="AQ734" s="78"/>
      <c r="AR734" s="78"/>
      <c r="AS734" s="78"/>
      <c r="AT734" s="78"/>
      <c r="AU734" s="78"/>
      <c r="AV734" s="78"/>
      <c r="AW734" s="78"/>
      <c r="AX734" s="78"/>
      <c r="AY734" s="78"/>
      <c r="AZ734" s="78"/>
      <c r="BA734" s="78"/>
      <c r="BB734" s="78"/>
      <c r="BC734" s="78"/>
      <c r="BD734" s="78"/>
      <c r="BE734" s="78"/>
      <c r="BF734" s="78"/>
      <c r="BG734" s="78"/>
      <c r="BH734" s="78"/>
      <c r="BI734" s="78"/>
      <c r="BJ734" s="78"/>
      <c r="BK734" s="78"/>
      <c r="BL734" s="78"/>
      <c r="BM734" s="78"/>
      <c r="BN734" s="78"/>
      <c r="BO734" s="78"/>
      <c r="BP734" s="78"/>
      <c r="BQ734" s="78"/>
      <c r="BR734" s="78"/>
      <c r="BS734" s="78"/>
      <c r="BT734" s="78"/>
      <c r="BU734" s="78"/>
      <c r="BV734" s="78"/>
      <c r="BW734" s="78"/>
      <c r="BX734" s="78"/>
      <c r="BY734" s="78"/>
      <c r="BZ734" s="78"/>
      <c r="CA734" s="78"/>
      <c r="CB734" s="78"/>
      <c r="CC734" s="78"/>
      <c r="CD734" s="78"/>
      <c r="CE734" s="78"/>
      <c r="CF734" s="78"/>
      <c r="CG734" s="78"/>
      <c r="CH734" s="78"/>
      <c r="CI734" s="78"/>
      <c r="CJ734" s="78"/>
      <c r="CK734" s="78"/>
      <c r="CL734" s="78"/>
      <c r="CM734" s="78"/>
      <c r="CN734" s="78"/>
      <c r="CO734" s="78"/>
      <c r="CP734" s="78"/>
      <c r="CQ734" s="78"/>
      <c r="CR734" s="78"/>
      <c r="CS734" s="78"/>
      <c r="CT734" s="78"/>
      <c r="CU734" s="78"/>
      <c r="CV734" s="78"/>
      <c r="CW734" s="78"/>
      <c r="CX734" s="78"/>
      <c r="CY734" s="78"/>
      <c r="CZ734" s="78"/>
      <c r="DA734" s="78"/>
      <c r="DB734" s="78"/>
      <c r="DC734" s="78"/>
      <c r="DD734" s="78"/>
      <c r="DE734" s="78"/>
      <c r="DF734" s="78"/>
      <c r="DG734" s="78"/>
      <c r="DH734" s="78"/>
      <c r="DI734" s="78"/>
      <c r="DJ734" s="78"/>
      <c r="DK734" s="78"/>
      <c r="DL734" s="78"/>
      <c r="DM734" s="78"/>
      <c r="DN734" s="78"/>
      <c r="DO734" s="78"/>
      <c r="DP734" s="78"/>
      <c r="DQ734" s="78"/>
      <c r="DR734" s="78"/>
      <c r="DS734" s="78"/>
      <c r="DT734" s="78"/>
      <c r="DU734" s="78"/>
      <c r="DV734" s="78"/>
      <c r="DW734" s="78"/>
      <c r="DX734" s="78"/>
      <c r="DY734" s="78"/>
      <c r="DZ734" s="78"/>
      <c r="EA734" s="78"/>
      <c r="EB734" s="78"/>
      <c r="EC734" s="78"/>
    </row>
    <row r="735" spans="1:133" s="9" customFormat="1" ht="31.2" x14ac:dyDescent="0.25">
      <c r="A735" s="73" t="s">
        <v>60</v>
      </c>
      <c r="B735" s="60" t="s">
        <v>203</v>
      </c>
      <c r="C735" s="53" t="s">
        <v>61</v>
      </c>
      <c r="D735" s="143" t="s">
        <v>363</v>
      </c>
      <c r="E735" s="98">
        <f>AVERAGE(F735:Q735)</f>
        <v>296.64999999999998</v>
      </c>
      <c r="F735" s="60" t="s">
        <v>297</v>
      </c>
      <c r="G735" s="60" t="s">
        <v>297</v>
      </c>
      <c r="H735" s="60" t="s">
        <v>297</v>
      </c>
      <c r="I735" s="60" t="s">
        <v>297</v>
      </c>
      <c r="J735" s="60" t="s">
        <v>297</v>
      </c>
      <c r="K735" s="60" t="s">
        <v>297</v>
      </c>
      <c r="L735" s="60" t="s">
        <v>297</v>
      </c>
      <c r="M735" s="60" t="s">
        <v>297</v>
      </c>
      <c r="N735" s="60">
        <v>301.64999999999998</v>
      </c>
      <c r="O735" s="60">
        <v>298.14999999999998</v>
      </c>
      <c r="P735" s="60">
        <v>296.14999999999998</v>
      </c>
      <c r="Q735" s="60">
        <v>290.64999999999998</v>
      </c>
      <c r="R735" s="78"/>
      <c r="S735" s="78"/>
      <c r="T735" s="78"/>
      <c r="U735" s="78"/>
      <c r="V735" s="78"/>
      <c r="W735" s="78"/>
      <c r="X735" s="78"/>
      <c r="Y735" s="78"/>
      <c r="Z735" s="78"/>
      <c r="AA735" s="78"/>
      <c r="AB735" s="78"/>
      <c r="AC735" s="78"/>
      <c r="AD735" s="78"/>
      <c r="AE735" s="78"/>
      <c r="AF735" s="78"/>
      <c r="AG735" s="78"/>
      <c r="AH735" s="78"/>
      <c r="AI735" s="78"/>
      <c r="AJ735" s="78"/>
      <c r="AK735" s="78"/>
      <c r="AL735" s="78"/>
      <c r="AM735" s="78"/>
      <c r="AN735" s="78"/>
      <c r="AO735" s="78"/>
      <c r="AP735" s="78"/>
      <c r="AQ735" s="78"/>
      <c r="AR735" s="78"/>
      <c r="AS735" s="78"/>
      <c r="AT735" s="78"/>
      <c r="AU735" s="78"/>
      <c r="AV735" s="78"/>
      <c r="AW735" s="78"/>
      <c r="AX735" s="78"/>
      <c r="AY735" s="78"/>
      <c r="AZ735" s="78"/>
      <c r="BA735" s="78"/>
      <c r="BB735" s="78"/>
      <c r="BC735" s="78"/>
      <c r="BD735" s="78"/>
      <c r="BE735" s="78"/>
      <c r="BF735" s="78"/>
      <c r="BG735" s="78"/>
      <c r="BH735" s="78"/>
      <c r="BI735" s="78"/>
      <c r="BJ735" s="78"/>
      <c r="BK735" s="78"/>
      <c r="BL735" s="78"/>
      <c r="BM735" s="78"/>
      <c r="BN735" s="78"/>
      <c r="BO735" s="78"/>
      <c r="BP735" s="78"/>
      <c r="BQ735" s="78"/>
      <c r="BR735" s="78"/>
      <c r="BS735" s="78"/>
      <c r="BT735" s="78"/>
      <c r="BU735" s="78"/>
      <c r="BV735" s="78"/>
      <c r="BW735" s="78"/>
      <c r="BX735" s="78"/>
      <c r="BY735" s="78"/>
      <c r="BZ735" s="78"/>
      <c r="CA735" s="78"/>
      <c r="CB735" s="78"/>
      <c r="CC735" s="78"/>
      <c r="CD735" s="78"/>
      <c r="CE735" s="78"/>
      <c r="CF735" s="78"/>
      <c r="CG735" s="78"/>
      <c r="CH735" s="78"/>
      <c r="CI735" s="78"/>
      <c r="CJ735" s="78"/>
      <c r="CK735" s="78"/>
      <c r="CL735" s="78"/>
      <c r="CM735" s="78"/>
      <c r="CN735" s="78"/>
      <c r="CO735" s="78"/>
      <c r="CP735" s="78"/>
      <c r="CQ735" s="78"/>
      <c r="CR735" s="78"/>
      <c r="CS735" s="78"/>
      <c r="CT735" s="78"/>
      <c r="CU735" s="78"/>
      <c r="CV735" s="78"/>
      <c r="CW735" s="78"/>
      <c r="CX735" s="78"/>
      <c r="CY735" s="78"/>
      <c r="CZ735" s="78"/>
      <c r="DA735" s="78"/>
      <c r="DB735" s="78"/>
      <c r="DC735" s="78"/>
      <c r="DD735" s="78"/>
      <c r="DE735" s="78"/>
      <c r="DF735" s="78"/>
      <c r="DG735" s="78"/>
      <c r="DH735" s="78"/>
      <c r="DI735" s="78"/>
      <c r="DJ735" s="78"/>
      <c r="DK735" s="78"/>
      <c r="DL735" s="78"/>
      <c r="DM735" s="78"/>
      <c r="DN735" s="78"/>
      <c r="DO735" s="78"/>
      <c r="DP735" s="78"/>
      <c r="DQ735" s="78"/>
      <c r="DR735" s="78"/>
      <c r="DS735" s="78"/>
      <c r="DT735" s="78"/>
      <c r="DU735" s="78"/>
      <c r="DV735" s="78"/>
      <c r="DW735" s="78"/>
      <c r="DX735" s="78"/>
      <c r="DY735" s="78"/>
      <c r="DZ735" s="78"/>
      <c r="EA735" s="78"/>
      <c r="EB735" s="78"/>
      <c r="EC735" s="78"/>
    </row>
    <row r="736" spans="1:133" s="9" customFormat="1" ht="31.2" x14ac:dyDescent="0.4">
      <c r="A736" s="71" t="s">
        <v>62</v>
      </c>
      <c r="B736" s="60" t="s">
        <v>196</v>
      </c>
      <c r="C736" s="53" t="s">
        <v>63</v>
      </c>
      <c r="D736" s="53" t="s">
        <v>377</v>
      </c>
      <c r="E736" s="74">
        <f>SUM(F736:Q736)</f>
        <v>1531.2164806135049</v>
      </c>
      <c r="F736" s="74" t="s">
        <v>297</v>
      </c>
      <c r="G736" s="74" t="s">
        <v>297</v>
      </c>
      <c r="H736" s="74" t="s">
        <v>297</v>
      </c>
      <c r="I736" s="74" t="s">
        <v>297</v>
      </c>
      <c r="J736" s="74" t="s">
        <v>297</v>
      </c>
      <c r="K736" s="74" t="s">
        <v>297</v>
      </c>
      <c r="L736" s="74" t="s">
        <v>297</v>
      </c>
      <c r="M736" s="74" t="s">
        <v>297</v>
      </c>
      <c r="N736" s="74">
        <f>N725*N720*N723+(1-N731)*0</f>
        <v>131.14570564287681</v>
      </c>
      <c r="O736" s="74">
        <f t="shared" ref="O736:Q736" si="108">O725*O720*O723+(1-O731)*N736</f>
        <v>357.85271197335186</v>
      </c>
      <c r="P736" s="74">
        <f t="shared" si="108"/>
        <v>448.2137391400255</v>
      </c>
      <c r="Q736" s="74">
        <f t="shared" si="108"/>
        <v>594.00432385725071</v>
      </c>
      <c r="R736" s="78"/>
      <c r="S736" s="78"/>
      <c r="T736" s="78"/>
      <c r="U736" s="78"/>
      <c r="V736" s="78"/>
      <c r="W736" s="78"/>
      <c r="X736" s="78"/>
      <c r="Y736" s="78"/>
      <c r="Z736" s="78"/>
      <c r="AA736" s="78"/>
      <c r="AB736" s="78"/>
      <c r="AC736" s="78"/>
      <c r="AD736" s="78"/>
      <c r="AE736" s="78"/>
      <c r="AF736" s="78"/>
      <c r="AG736" s="78"/>
      <c r="AH736" s="78"/>
      <c r="AI736" s="78"/>
      <c r="AJ736" s="78"/>
      <c r="AK736" s="78"/>
      <c r="AL736" s="78"/>
      <c r="AM736" s="78"/>
      <c r="AN736" s="78"/>
      <c r="AO736" s="78"/>
      <c r="AP736" s="78"/>
      <c r="AQ736" s="78"/>
      <c r="AR736" s="78"/>
      <c r="AS736" s="78"/>
      <c r="AT736" s="78"/>
      <c r="AU736" s="78"/>
      <c r="AV736" s="78"/>
      <c r="AW736" s="78"/>
      <c r="AX736" s="78"/>
      <c r="AY736" s="78"/>
      <c r="AZ736" s="78"/>
      <c r="BA736" s="78"/>
      <c r="BB736" s="78"/>
      <c r="BC736" s="78"/>
      <c r="BD736" s="78"/>
      <c r="BE736" s="78"/>
      <c r="BF736" s="78"/>
      <c r="BG736" s="78"/>
      <c r="BH736" s="78"/>
      <c r="BI736" s="78"/>
      <c r="BJ736" s="78"/>
      <c r="BK736" s="78"/>
      <c r="BL736" s="78"/>
      <c r="BM736" s="78"/>
      <c r="BN736" s="78"/>
      <c r="BO736" s="78"/>
      <c r="BP736" s="78"/>
      <c r="BQ736" s="78"/>
      <c r="BR736" s="78"/>
      <c r="BS736" s="78"/>
      <c r="BT736" s="78"/>
      <c r="BU736" s="78"/>
      <c r="BV736" s="78"/>
      <c r="BW736" s="78"/>
      <c r="BX736" s="78"/>
      <c r="BY736" s="78"/>
      <c r="BZ736" s="78"/>
      <c r="CA736" s="78"/>
      <c r="CB736" s="78"/>
      <c r="CC736" s="78"/>
      <c r="CD736" s="78"/>
      <c r="CE736" s="78"/>
      <c r="CF736" s="78"/>
      <c r="CG736" s="78"/>
      <c r="CH736" s="78"/>
      <c r="CI736" s="78"/>
      <c r="CJ736" s="78"/>
      <c r="CK736" s="78"/>
      <c r="CL736" s="78"/>
      <c r="CM736" s="78"/>
      <c r="CN736" s="78"/>
      <c r="CO736" s="78"/>
      <c r="CP736" s="78"/>
      <c r="CQ736" s="78"/>
      <c r="CR736" s="78"/>
      <c r="CS736" s="78"/>
      <c r="CT736" s="78"/>
      <c r="CU736" s="78"/>
      <c r="CV736" s="78"/>
      <c r="CW736" s="78"/>
      <c r="CX736" s="78"/>
      <c r="CY736" s="78"/>
      <c r="CZ736" s="78"/>
      <c r="DA736" s="78"/>
      <c r="DB736" s="78"/>
      <c r="DC736" s="78"/>
      <c r="DD736" s="78"/>
      <c r="DE736" s="78"/>
      <c r="DF736" s="78"/>
      <c r="DG736" s="78"/>
      <c r="DH736" s="78"/>
      <c r="DI736" s="78"/>
      <c r="DJ736" s="78"/>
      <c r="DK736" s="78"/>
      <c r="DL736" s="78"/>
      <c r="DM736" s="78"/>
      <c r="DN736" s="78"/>
      <c r="DO736" s="78"/>
      <c r="DP736" s="78"/>
      <c r="DQ736" s="78"/>
      <c r="DR736" s="78"/>
      <c r="DS736" s="78"/>
      <c r="DT736" s="78"/>
      <c r="DU736" s="78"/>
      <c r="DV736" s="78"/>
      <c r="DW736" s="78"/>
      <c r="DX736" s="78"/>
      <c r="DY736" s="78"/>
      <c r="DZ736" s="78"/>
      <c r="EA736" s="78"/>
      <c r="EB736" s="78"/>
      <c r="EC736" s="78"/>
    </row>
    <row r="738" spans="1:5" ht="15.6" customHeight="1" x14ac:dyDescent="0.25">
      <c r="A738" s="36" t="s">
        <v>64</v>
      </c>
      <c r="B738" s="36"/>
      <c r="C738" s="36"/>
      <c r="D738" s="36"/>
      <c r="E738" s="36"/>
    </row>
    <row r="739" spans="1:5" x14ac:dyDescent="0.25">
      <c r="A739" s="57" t="s">
        <v>8</v>
      </c>
      <c r="B739" s="58" t="s">
        <v>9</v>
      </c>
      <c r="C739" s="34" t="s">
        <v>10</v>
      </c>
      <c r="D739" s="34" t="s">
        <v>340</v>
      </c>
      <c r="E739" s="16" t="s">
        <v>65</v>
      </c>
    </row>
    <row r="740" spans="1:5" ht="46.8" x14ac:dyDescent="0.25">
      <c r="A740" s="59" t="s">
        <v>66</v>
      </c>
      <c r="B740" s="60" t="s">
        <v>14</v>
      </c>
      <c r="C740" s="53" t="s">
        <v>67</v>
      </c>
      <c r="D740" s="53" t="s">
        <v>68</v>
      </c>
      <c r="E740" s="75">
        <v>0</v>
      </c>
    </row>
    <row r="741" spans="1:5" ht="46.8" x14ac:dyDescent="0.25">
      <c r="A741" s="63" t="s">
        <v>69</v>
      </c>
      <c r="B741" s="25" t="s">
        <v>70</v>
      </c>
      <c r="C741" s="35" t="s">
        <v>71</v>
      </c>
      <c r="D741" s="53" t="str">
        <f>D747</f>
        <v>Historical data on site in the FSR (It was calculated with conservative value)</v>
      </c>
      <c r="E741" s="74">
        <f>E747</f>
        <v>378.00758143970188</v>
      </c>
    </row>
    <row r="743" spans="1:5" ht="15.6" customHeight="1" x14ac:dyDescent="0.25">
      <c r="A743" s="90" t="s">
        <v>72</v>
      </c>
      <c r="B743" s="90"/>
      <c r="C743" s="91"/>
      <c r="D743" s="91"/>
      <c r="E743" s="90"/>
    </row>
    <row r="744" spans="1:5" x14ac:dyDescent="0.25">
      <c r="A744" s="59" t="s">
        <v>8</v>
      </c>
      <c r="B744" s="16" t="s">
        <v>9</v>
      </c>
      <c r="C744" s="38" t="s">
        <v>10</v>
      </c>
      <c r="D744" s="38" t="s">
        <v>340</v>
      </c>
      <c r="E744" s="16" t="s">
        <v>65</v>
      </c>
    </row>
    <row r="745" spans="1:5" ht="33.6" x14ac:dyDescent="0.4">
      <c r="A745" s="76" t="s">
        <v>73</v>
      </c>
      <c r="B745" s="25" t="s">
        <v>74</v>
      </c>
      <c r="C745" s="35" t="s">
        <v>75</v>
      </c>
      <c r="D745" s="35" t="s">
        <v>378</v>
      </c>
      <c r="E745" s="50">
        <f>E746*E749*E750*E751*E752*E753</f>
        <v>1.5353651023638331</v>
      </c>
    </row>
    <row r="746" spans="1:5" ht="46.8" x14ac:dyDescent="0.4">
      <c r="A746" s="77" t="s">
        <v>207</v>
      </c>
      <c r="B746" s="25" t="s">
        <v>76</v>
      </c>
      <c r="C746" s="35" t="s">
        <v>77</v>
      </c>
      <c r="D746" s="35" t="s">
        <v>379</v>
      </c>
      <c r="E746" s="52">
        <f>E747/E748</f>
        <v>75.60151628794037</v>
      </c>
    </row>
    <row r="747" spans="1:5" ht="46.8" x14ac:dyDescent="0.25">
      <c r="A747" s="63" t="s">
        <v>208</v>
      </c>
      <c r="B747" s="25" t="s">
        <v>78</v>
      </c>
      <c r="C747" s="35" t="s">
        <v>79</v>
      </c>
      <c r="D747" s="53" t="s">
        <v>352</v>
      </c>
      <c r="E747" s="52">
        <f>0.000186144951059619*E720</f>
        <v>378.00758143970188</v>
      </c>
    </row>
    <row r="748" spans="1:5" ht="31.2" x14ac:dyDescent="0.25">
      <c r="A748" s="63" t="s">
        <v>209</v>
      </c>
      <c r="B748" s="25" t="s">
        <v>80</v>
      </c>
      <c r="C748" s="35" t="s">
        <v>81</v>
      </c>
      <c r="D748" s="35" t="s">
        <v>353</v>
      </c>
      <c r="E748" s="25">
        <f>5</f>
        <v>5</v>
      </c>
    </row>
    <row r="749" spans="1:5" ht="62.4" x14ac:dyDescent="0.25">
      <c r="A749" s="63" t="s">
        <v>210</v>
      </c>
      <c r="B749" s="25" t="s">
        <v>82</v>
      </c>
      <c r="C749" s="35" t="s">
        <v>83</v>
      </c>
      <c r="D749" s="53" t="s">
        <v>354</v>
      </c>
      <c r="E749" s="25">
        <f>15*2</f>
        <v>30</v>
      </c>
    </row>
    <row r="750" spans="1:5" ht="172.2" x14ac:dyDescent="0.25">
      <c r="A750" s="63" t="s">
        <v>211</v>
      </c>
      <c r="B750" s="25" t="s">
        <v>84</v>
      </c>
      <c r="C750" s="35" t="s">
        <v>85</v>
      </c>
      <c r="D750" s="35" t="s">
        <v>355</v>
      </c>
      <c r="E750" s="25">
        <f>25.1/100</f>
        <v>0.251</v>
      </c>
    </row>
    <row r="751" spans="1:5" ht="156" x14ac:dyDescent="0.25">
      <c r="A751" s="63" t="s">
        <v>212</v>
      </c>
      <c r="B751" s="25" t="s">
        <v>87</v>
      </c>
      <c r="C751" s="35" t="s">
        <v>86</v>
      </c>
      <c r="D751" s="35" t="s">
        <v>356</v>
      </c>
      <c r="E751" s="25">
        <f>0.84/1000</f>
        <v>8.3999999999999993E-4</v>
      </c>
    </row>
    <row r="752" spans="1:5" ht="171.6" x14ac:dyDescent="0.25">
      <c r="A752" s="63" t="s">
        <v>213</v>
      </c>
      <c r="B752" s="25" t="s">
        <v>88</v>
      </c>
      <c r="C752" s="35" t="s">
        <v>89</v>
      </c>
      <c r="D752" s="35" t="s">
        <v>357</v>
      </c>
      <c r="E752" s="25">
        <f>43.33/1000</f>
        <v>4.333E-2</v>
      </c>
    </row>
    <row r="753" spans="1:133" ht="62.4" x14ac:dyDescent="0.25">
      <c r="A753" s="63" t="s">
        <v>214</v>
      </c>
      <c r="B753" s="25" t="s">
        <v>90</v>
      </c>
      <c r="C753" s="35" t="s">
        <v>91</v>
      </c>
      <c r="D753" s="35" t="s">
        <v>358</v>
      </c>
      <c r="E753" s="25">
        <v>74.099999999999994</v>
      </c>
    </row>
    <row r="755" spans="1:133" ht="15.6" customHeight="1" x14ac:dyDescent="0.25">
      <c r="A755" s="36" t="s">
        <v>93</v>
      </c>
      <c r="B755" s="36"/>
      <c r="C755" s="36"/>
      <c r="D755" s="36"/>
      <c r="E755" s="36"/>
    </row>
    <row r="756" spans="1:133" x14ac:dyDescent="0.25">
      <c r="A756" s="57" t="s">
        <v>8</v>
      </c>
      <c r="B756" s="58" t="s">
        <v>9</v>
      </c>
      <c r="C756" s="34" t="s">
        <v>10</v>
      </c>
      <c r="D756" s="34" t="s">
        <v>340</v>
      </c>
      <c r="E756" s="16" t="s">
        <v>65</v>
      </c>
    </row>
    <row r="757" spans="1:133" ht="64.8" x14ac:dyDescent="0.25">
      <c r="A757" s="15" t="s">
        <v>94</v>
      </c>
      <c r="B757" s="25" t="s">
        <v>95</v>
      </c>
      <c r="C757" s="35" t="s">
        <v>96</v>
      </c>
      <c r="D757" s="35" t="s">
        <v>97</v>
      </c>
      <c r="E757" s="16">
        <v>0</v>
      </c>
    </row>
    <row r="759" spans="1:133" ht="15.6" customHeight="1" x14ac:dyDescent="0.25">
      <c r="A759" s="36" t="s">
        <v>98</v>
      </c>
      <c r="B759" s="36"/>
      <c r="C759" s="36"/>
      <c r="D759" s="36"/>
      <c r="E759" s="36"/>
    </row>
    <row r="760" spans="1:133" x14ac:dyDescent="0.25">
      <c r="A760" s="57" t="s">
        <v>8</v>
      </c>
      <c r="B760" s="58" t="s">
        <v>9</v>
      </c>
      <c r="C760" s="34" t="s">
        <v>10</v>
      </c>
      <c r="D760" s="34" t="s">
        <v>340</v>
      </c>
      <c r="E760" s="16" t="s">
        <v>65</v>
      </c>
    </row>
    <row r="761" spans="1:133" ht="49.2" x14ac:dyDescent="0.25">
      <c r="A761" s="15" t="s">
        <v>99</v>
      </c>
      <c r="B761" s="25" t="s">
        <v>95</v>
      </c>
      <c r="C761" s="35" t="s">
        <v>100</v>
      </c>
      <c r="D761" s="35" t="s">
        <v>101</v>
      </c>
      <c r="E761" s="16">
        <v>0</v>
      </c>
    </row>
    <row r="763" spans="1:133" x14ac:dyDescent="0.25">
      <c r="A763" s="57" t="s">
        <v>8</v>
      </c>
      <c r="B763" s="58" t="s">
        <v>9</v>
      </c>
      <c r="C763" s="34" t="s">
        <v>10</v>
      </c>
      <c r="D763" s="34" t="s">
        <v>340</v>
      </c>
      <c r="E763" s="16" t="s">
        <v>65</v>
      </c>
    </row>
    <row r="764" spans="1:133" ht="18" x14ac:dyDescent="0.25">
      <c r="A764" s="59" t="s">
        <v>102</v>
      </c>
      <c r="B764" s="25" t="s">
        <v>103</v>
      </c>
      <c r="C764" s="35" t="s">
        <v>104</v>
      </c>
      <c r="D764" s="53" t="s">
        <v>380</v>
      </c>
      <c r="E764" s="18">
        <f>ROUNDDOWN(E714+E745+E740+E757+E761,0)</f>
        <v>2923</v>
      </c>
    </row>
    <row r="765" spans="1:133" s="167" customFormat="1" ht="43.2" customHeight="1" x14ac:dyDescent="0.25">
      <c r="A765" s="171" t="s">
        <v>275</v>
      </c>
      <c r="B765" s="172"/>
      <c r="C765" s="172"/>
      <c r="D765" s="172"/>
      <c r="E765" s="172"/>
      <c r="F765" s="172"/>
      <c r="G765" s="172"/>
      <c r="H765" s="172"/>
      <c r="I765" s="172"/>
      <c r="J765" s="172"/>
      <c r="K765" s="172"/>
      <c r="L765" s="172"/>
      <c r="M765" s="172"/>
      <c r="N765" s="172"/>
      <c r="O765" s="172"/>
      <c r="P765" s="172"/>
      <c r="Q765" s="172"/>
      <c r="R765" s="172"/>
      <c r="S765" s="172"/>
      <c r="T765" s="172"/>
      <c r="U765" s="172"/>
      <c r="V765" s="172"/>
      <c r="W765" s="172"/>
      <c r="X765" s="172"/>
      <c r="Y765" s="172"/>
      <c r="Z765" s="172"/>
      <c r="AA765" s="172"/>
      <c r="AB765" s="172"/>
      <c r="AC765" s="172"/>
      <c r="AD765" s="172"/>
      <c r="AE765" s="172"/>
      <c r="AF765" s="172"/>
      <c r="AG765" s="172"/>
      <c r="AH765" s="172"/>
      <c r="AI765" s="172"/>
      <c r="AJ765" s="172"/>
      <c r="AK765" s="172"/>
      <c r="AL765" s="172"/>
      <c r="AM765" s="172"/>
      <c r="AN765" s="172"/>
      <c r="AO765" s="172"/>
      <c r="AP765" s="172"/>
      <c r="AQ765" s="172"/>
      <c r="AR765" s="172"/>
      <c r="AS765" s="172"/>
      <c r="AT765" s="172"/>
      <c r="AU765" s="172"/>
      <c r="AV765" s="172"/>
      <c r="AW765" s="172"/>
      <c r="AX765" s="172"/>
      <c r="AY765" s="172"/>
      <c r="AZ765" s="172"/>
      <c r="BA765" s="172"/>
      <c r="BB765" s="172"/>
      <c r="BC765" s="172"/>
      <c r="BD765" s="172"/>
      <c r="BE765" s="172"/>
      <c r="BF765" s="172"/>
      <c r="BG765" s="172"/>
      <c r="BH765" s="172"/>
      <c r="BI765" s="172"/>
      <c r="BJ765" s="172"/>
      <c r="BK765" s="172"/>
      <c r="BL765" s="172"/>
      <c r="BM765" s="172"/>
      <c r="BN765" s="172"/>
      <c r="BO765" s="172"/>
      <c r="BP765" s="172"/>
      <c r="BQ765" s="172"/>
      <c r="BR765" s="172"/>
      <c r="BS765" s="172"/>
      <c r="BT765" s="172"/>
      <c r="BU765" s="172"/>
      <c r="BV765" s="172"/>
      <c r="BW765" s="172"/>
      <c r="BX765" s="172"/>
      <c r="BY765" s="172"/>
      <c r="BZ765" s="172"/>
      <c r="CA765" s="172"/>
      <c r="CB765" s="172"/>
      <c r="CC765" s="172"/>
      <c r="CD765" s="172"/>
      <c r="CE765" s="172"/>
      <c r="CF765" s="172"/>
      <c r="CG765" s="172"/>
      <c r="CH765" s="172"/>
      <c r="CI765" s="172"/>
      <c r="CJ765" s="172"/>
      <c r="CK765" s="172"/>
      <c r="CL765" s="172"/>
      <c r="CM765" s="172"/>
      <c r="CN765" s="172"/>
      <c r="CO765" s="172"/>
      <c r="CP765" s="172"/>
      <c r="CQ765" s="172"/>
      <c r="CR765" s="172"/>
      <c r="CS765" s="172"/>
      <c r="CT765" s="172"/>
      <c r="CU765" s="172"/>
      <c r="CV765" s="172"/>
      <c r="CW765" s="172"/>
      <c r="CX765" s="172"/>
      <c r="CY765" s="172"/>
      <c r="CZ765" s="172"/>
      <c r="DA765" s="172"/>
      <c r="DB765" s="172"/>
      <c r="DC765" s="172"/>
      <c r="DD765" s="172"/>
      <c r="DE765" s="172"/>
      <c r="DF765" s="172"/>
      <c r="DG765" s="172"/>
      <c r="DH765" s="172"/>
      <c r="DI765" s="172"/>
      <c r="DJ765" s="172"/>
      <c r="DK765" s="172"/>
      <c r="DL765" s="172"/>
      <c r="DM765" s="172"/>
      <c r="DN765" s="172"/>
      <c r="DO765" s="172"/>
      <c r="DP765" s="172"/>
      <c r="DQ765" s="172"/>
      <c r="DR765" s="172"/>
      <c r="DS765" s="172"/>
      <c r="DT765" s="172"/>
      <c r="DU765" s="172"/>
      <c r="DV765" s="172"/>
      <c r="DW765" s="172"/>
      <c r="DX765" s="172"/>
      <c r="DY765" s="172"/>
      <c r="DZ765" s="172"/>
      <c r="EA765" s="172"/>
      <c r="EB765" s="172"/>
      <c r="EC765" s="173"/>
    </row>
    <row r="766" spans="1:133" s="56" customFormat="1" ht="31.2" x14ac:dyDescent="0.25">
      <c r="A766" s="92" t="s">
        <v>8</v>
      </c>
      <c r="B766" s="93" t="s">
        <v>9</v>
      </c>
      <c r="C766" s="94" t="s">
        <v>10</v>
      </c>
      <c r="D766" s="93" t="s">
        <v>341</v>
      </c>
      <c r="E766" s="93" t="s">
        <v>11</v>
      </c>
      <c r="F766" s="16" t="s">
        <v>292</v>
      </c>
      <c r="G766" s="16" t="s">
        <v>292</v>
      </c>
      <c r="H766" s="16" t="s">
        <v>292</v>
      </c>
      <c r="I766" s="16" t="s">
        <v>292</v>
      </c>
      <c r="J766" s="16" t="s">
        <v>292</v>
      </c>
      <c r="K766" s="16" t="s">
        <v>292</v>
      </c>
      <c r="L766" s="16" t="s">
        <v>292</v>
      </c>
      <c r="M766" s="16" t="s">
        <v>292</v>
      </c>
      <c r="N766" s="16" t="s">
        <v>310</v>
      </c>
      <c r="O766" s="16" t="s">
        <v>293</v>
      </c>
      <c r="P766" s="16" t="s">
        <v>294</v>
      </c>
      <c r="Q766" s="16" t="s">
        <v>295</v>
      </c>
      <c r="R766" s="54"/>
      <c r="S766" s="54"/>
      <c r="T766" s="54"/>
      <c r="U766" s="54"/>
      <c r="V766" s="54"/>
      <c r="W766" s="54"/>
      <c r="X766" s="54"/>
      <c r="Y766" s="54"/>
      <c r="Z766" s="54"/>
      <c r="AA766" s="54"/>
      <c r="AB766" s="54"/>
      <c r="AC766" s="54"/>
      <c r="AD766" s="54"/>
      <c r="AE766" s="54"/>
      <c r="AF766" s="54"/>
      <c r="AG766" s="54"/>
      <c r="AH766" s="54"/>
      <c r="AI766" s="54"/>
      <c r="AJ766" s="54"/>
      <c r="AK766" s="54"/>
      <c r="AL766" s="54"/>
      <c r="AM766" s="54"/>
      <c r="AN766" s="54"/>
      <c r="AO766" s="54"/>
      <c r="AP766" s="54"/>
      <c r="AQ766" s="54"/>
      <c r="AR766" s="54"/>
      <c r="AS766" s="54"/>
      <c r="AT766" s="54"/>
      <c r="AU766" s="54"/>
      <c r="AV766" s="54"/>
      <c r="AW766" s="54"/>
      <c r="AX766" s="54"/>
      <c r="AY766" s="54"/>
      <c r="AZ766" s="54"/>
      <c r="BA766" s="54"/>
      <c r="BB766" s="54"/>
      <c r="BC766" s="54"/>
      <c r="BD766" s="54"/>
      <c r="BE766" s="54"/>
      <c r="BF766" s="54"/>
      <c r="BG766" s="54"/>
      <c r="BH766" s="54"/>
      <c r="BI766" s="54"/>
      <c r="BJ766" s="54"/>
      <c r="BK766" s="54"/>
      <c r="BL766" s="54"/>
      <c r="BM766" s="54"/>
      <c r="BN766" s="54"/>
      <c r="BO766" s="54"/>
      <c r="BP766" s="54"/>
      <c r="BQ766" s="54"/>
      <c r="BR766" s="54"/>
      <c r="BS766" s="54"/>
      <c r="BT766" s="54"/>
      <c r="BU766" s="54"/>
      <c r="BV766" s="54"/>
      <c r="BW766" s="54"/>
      <c r="BX766" s="54"/>
      <c r="BY766" s="54"/>
      <c r="BZ766" s="54"/>
      <c r="CA766" s="54"/>
      <c r="CB766" s="54"/>
      <c r="CC766" s="54"/>
      <c r="CD766" s="54"/>
      <c r="CE766" s="54"/>
      <c r="CF766" s="54"/>
      <c r="CG766" s="54"/>
      <c r="CH766" s="54"/>
      <c r="CI766" s="54"/>
      <c r="CJ766" s="54"/>
      <c r="CK766" s="54"/>
      <c r="CL766" s="54"/>
      <c r="CM766" s="54"/>
      <c r="CN766" s="54"/>
      <c r="CO766" s="54"/>
      <c r="CP766" s="54"/>
      <c r="CQ766" s="54"/>
      <c r="CR766" s="54"/>
      <c r="CS766" s="54"/>
      <c r="CT766" s="54"/>
      <c r="CU766" s="54"/>
      <c r="CV766" s="54"/>
      <c r="CW766" s="54"/>
      <c r="CX766" s="54"/>
      <c r="CY766" s="54"/>
      <c r="CZ766" s="54"/>
      <c r="DA766" s="54"/>
      <c r="DB766" s="54"/>
      <c r="DC766" s="54"/>
      <c r="DD766" s="54"/>
      <c r="DE766" s="54"/>
      <c r="DF766" s="54"/>
      <c r="DG766" s="54"/>
      <c r="DH766" s="54"/>
      <c r="DI766" s="54"/>
      <c r="DJ766" s="54"/>
      <c r="DK766" s="54"/>
      <c r="DL766" s="54"/>
      <c r="DM766" s="54"/>
      <c r="DN766" s="54"/>
      <c r="DO766" s="54"/>
      <c r="DP766" s="54"/>
      <c r="DQ766" s="54"/>
      <c r="DR766" s="54"/>
      <c r="DS766" s="54"/>
      <c r="DT766" s="54"/>
      <c r="DU766" s="54"/>
      <c r="DV766" s="54"/>
      <c r="DW766" s="54"/>
      <c r="DX766" s="54"/>
      <c r="DY766" s="54"/>
      <c r="DZ766" s="54"/>
      <c r="EA766" s="54"/>
      <c r="EB766" s="54"/>
      <c r="EC766" s="54"/>
    </row>
    <row r="767" spans="1:133" s="56" customFormat="1" x14ac:dyDescent="0.25">
      <c r="A767" s="58" t="s">
        <v>12</v>
      </c>
      <c r="B767" s="58"/>
      <c r="C767" s="34"/>
      <c r="D767" s="34"/>
      <c r="E767" s="58"/>
      <c r="F767" s="16" t="s">
        <v>297</v>
      </c>
      <c r="G767" s="16" t="s">
        <v>297</v>
      </c>
      <c r="H767" s="16" t="s">
        <v>297</v>
      </c>
      <c r="I767" s="16" t="s">
        <v>297</v>
      </c>
      <c r="J767" s="16" t="s">
        <v>297</v>
      </c>
      <c r="K767" s="16" t="s">
        <v>297</v>
      </c>
      <c r="L767" s="16" t="s">
        <v>297</v>
      </c>
      <c r="M767" s="16" t="s">
        <v>297</v>
      </c>
      <c r="N767" s="16">
        <v>11</v>
      </c>
      <c r="O767" s="16">
        <v>31</v>
      </c>
      <c r="P767" s="16">
        <v>30</v>
      </c>
      <c r="Q767" s="16">
        <v>31</v>
      </c>
      <c r="R767" s="54"/>
      <c r="S767" s="54"/>
      <c r="T767" s="54"/>
      <c r="U767" s="54"/>
      <c r="V767" s="54"/>
      <c r="W767" s="54"/>
      <c r="X767" s="54"/>
      <c r="Y767" s="54"/>
      <c r="Z767" s="54"/>
      <c r="AA767" s="54"/>
      <c r="AB767" s="54"/>
      <c r="AC767" s="54"/>
      <c r="AD767" s="54"/>
      <c r="AE767" s="54"/>
      <c r="AF767" s="54"/>
      <c r="AG767" s="54"/>
      <c r="AH767" s="54"/>
      <c r="AI767" s="54"/>
      <c r="AJ767" s="54"/>
      <c r="AK767" s="54"/>
      <c r="AL767" s="54"/>
      <c r="AM767" s="54"/>
      <c r="AN767" s="54"/>
      <c r="AO767" s="54"/>
      <c r="AP767" s="54"/>
      <c r="AQ767" s="54"/>
      <c r="AR767" s="54"/>
      <c r="AS767" s="54"/>
      <c r="AT767" s="54"/>
      <c r="AU767" s="54"/>
      <c r="AV767" s="54"/>
      <c r="AW767" s="54"/>
      <c r="AX767" s="54"/>
      <c r="AY767" s="54"/>
      <c r="AZ767" s="54"/>
      <c r="BA767" s="54"/>
      <c r="BB767" s="54"/>
      <c r="BC767" s="54"/>
      <c r="BD767" s="54"/>
      <c r="BE767" s="54"/>
      <c r="BF767" s="54"/>
      <c r="BG767" s="54"/>
      <c r="BH767" s="54"/>
      <c r="BI767" s="54"/>
      <c r="BJ767" s="54"/>
      <c r="BK767" s="54"/>
      <c r="BL767" s="54"/>
      <c r="BM767" s="54"/>
      <c r="BN767" s="54"/>
      <c r="BO767" s="54"/>
      <c r="BP767" s="54"/>
      <c r="BQ767" s="54"/>
      <c r="BR767" s="54"/>
      <c r="BS767" s="54"/>
      <c r="BT767" s="54"/>
      <c r="BU767" s="54"/>
      <c r="BV767" s="54"/>
      <c r="BW767" s="54"/>
      <c r="BX767" s="54"/>
      <c r="BY767" s="54"/>
      <c r="BZ767" s="54"/>
      <c r="CA767" s="54"/>
      <c r="CB767" s="54"/>
      <c r="CC767" s="54"/>
      <c r="CD767" s="54"/>
      <c r="CE767" s="54"/>
      <c r="CF767" s="54"/>
      <c r="CG767" s="54"/>
      <c r="CH767" s="54"/>
      <c r="CI767" s="54"/>
      <c r="CJ767" s="54"/>
      <c r="CK767" s="54"/>
      <c r="CL767" s="54"/>
      <c r="CM767" s="54"/>
      <c r="CN767" s="54"/>
      <c r="CO767" s="54"/>
      <c r="CP767" s="54"/>
      <c r="CQ767" s="54"/>
      <c r="CR767" s="54"/>
      <c r="CS767" s="54"/>
      <c r="CT767" s="54"/>
      <c r="CU767" s="54"/>
      <c r="CV767" s="54"/>
      <c r="CW767" s="54"/>
      <c r="CX767" s="54"/>
      <c r="CY767" s="54"/>
      <c r="CZ767" s="54"/>
      <c r="DA767" s="54"/>
      <c r="DB767" s="54"/>
      <c r="DC767" s="54"/>
      <c r="DD767" s="54"/>
      <c r="DE767" s="54"/>
      <c r="DF767" s="54"/>
      <c r="DG767" s="54"/>
      <c r="DH767" s="54"/>
      <c r="DI767" s="54"/>
      <c r="DJ767" s="54"/>
      <c r="DK767" s="54"/>
      <c r="DL767" s="54"/>
      <c r="DM767" s="54"/>
      <c r="DN767" s="54"/>
      <c r="DO767" s="54"/>
      <c r="DP767" s="54"/>
      <c r="DQ767" s="54"/>
      <c r="DR767" s="54"/>
      <c r="DS767" s="54"/>
      <c r="DT767" s="54"/>
      <c r="DU767" s="54"/>
      <c r="DV767" s="54"/>
      <c r="DW767" s="54"/>
      <c r="DX767" s="54"/>
      <c r="DY767" s="54"/>
      <c r="DZ767" s="54"/>
      <c r="EA767" s="54"/>
      <c r="EB767" s="54"/>
      <c r="EC767" s="54"/>
    </row>
    <row r="768" spans="1:133" ht="46.8" x14ac:dyDescent="0.25">
      <c r="A768" s="59" t="s">
        <v>13</v>
      </c>
      <c r="B768" s="60" t="s">
        <v>14</v>
      </c>
      <c r="C768" s="53" t="s">
        <v>15</v>
      </c>
      <c r="D768" s="53" t="s">
        <v>369</v>
      </c>
      <c r="E768" s="61">
        <f>SUM(F768:Q768)</f>
        <v>2932.2391589631802</v>
      </c>
      <c r="F768" s="62" t="s">
        <v>297</v>
      </c>
      <c r="G768" s="62" t="s">
        <v>297</v>
      </c>
      <c r="H768" s="62" t="s">
        <v>297</v>
      </c>
      <c r="I768" s="62" t="s">
        <v>297</v>
      </c>
      <c r="J768" s="62" t="s">
        <v>297</v>
      </c>
      <c r="K768" s="62" t="s">
        <v>297</v>
      </c>
      <c r="L768" s="62" t="s">
        <v>297</v>
      </c>
      <c r="M768" s="62" t="s">
        <v>297</v>
      </c>
      <c r="N768" s="62">
        <f>$E$769*$E$770*N771*$E$782</f>
        <v>319.4861764393558</v>
      </c>
      <c r="O768" s="62">
        <f t="shared" ref="O768:Q768" si="109">$E$769*$E$770*O771*$E$782</f>
        <v>900.83746135781564</v>
      </c>
      <c r="P768" s="62">
        <f t="shared" si="109"/>
        <v>841.89962795033375</v>
      </c>
      <c r="Q768" s="62">
        <f t="shared" si="109"/>
        <v>870.01589321567508</v>
      </c>
    </row>
    <row r="769" spans="1:17" ht="31.2" x14ac:dyDescent="0.25">
      <c r="A769" s="63" t="s">
        <v>16</v>
      </c>
      <c r="B769" s="60" t="s">
        <v>193</v>
      </c>
      <c r="C769" s="35" t="s">
        <v>17</v>
      </c>
      <c r="D769" s="35" t="s">
        <v>205</v>
      </c>
      <c r="E769" s="168">
        <v>28</v>
      </c>
      <c r="F769" s="169"/>
      <c r="G769" s="169"/>
      <c r="H769" s="169"/>
      <c r="I769" s="169"/>
      <c r="J769" s="169"/>
      <c r="K769" s="169"/>
      <c r="L769" s="169"/>
      <c r="M769" s="169"/>
      <c r="N769" s="169"/>
      <c r="O769" s="169"/>
      <c r="P769" s="169"/>
      <c r="Q769" s="170"/>
    </row>
    <row r="770" spans="1:17" ht="64.8" x14ac:dyDescent="0.25">
      <c r="A770" s="63" t="s">
        <v>18</v>
      </c>
      <c r="B770" s="25" t="s">
        <v>194</v>
      </c>
      <c r="C770" s="35" t="s">
        <v>20</v>
      </c>
      <c r="D770" s="35" t="s">
        <v>394</v>
      </c>
      <c r="E770" s="168">
        <v>0.21</v>
      </c>
      <c r="F770" s="169"/>
      <c r="G770" s="169"/>
      <c r="H770" s="169"/>
      <c r="I770" s="169"/>
      <c r="J770" s="169"/>
      <c r="K770" s="169"/>
      <c r="L770" s="169"/>
      <c r="M770" s="169"/>
      <c r="N770" s="169"/>
      <c r="O770" s="169"/>
      <c r="P770" s="169"/>
      <c r="Q770" s="170"/>
    </row>
    <row r="771" spans="1:17" ht="46.8" x14ac:dyDescent="0.25">
      <c r="A771" s="35" t="s">
        <v>21</v>
      </c>
      <c r="B771" s="25" t="s">
        <v>195</v>
      </c>
      <c r="C771" s="53" t="s">
        <v>22</v>
      </c>
      <c r="D771" s="53" t="s">
        <v>370</v>
      </c>
      <c r="E771" s="64">
        <f t="shared" ref="E771:Q771" si="110">E779*E772</f>
        <v>1046.9104045554316</v>
      </c>
      <c r="F771" s="64" t="s">
        <v>297</v>
      </c>
      <c r="G771" s="64" t="s">
        <v>297</v>
      </c>
      <c r="H771" s="64" t="s">
        <v>297</v>
      </c>
      <c r="I771" s="64" t="s">
        <v>297</v>
      </c>
      <c r="J771" s="64" t="s">
        <v>297</v>
      </c>
      <c r="K771" s="64" t="s">
        <v>297</v>
      </c>
      <c r="L771" s="64" t="s">
        <v>297</v>
      </c>
      <c r="M771" s="64" t="s">
        <v>297</v>
      </c>
      <c r="N771" s="64">
        <f t="shared" si="110"/>
        <v>114.06757228638251</v>
      </c>
      <c r="O771" s="64">
        <f t="shared" si="110"/>
        <v>321.63001037141566</v>
      </c>
      <c r="P771" s="64">
        <f t="shared" si="110"/>
        <v>300.58717325233664</v>
      </c>
      <c r="Q771" s="64">
        <f t="shared" si="110"/>
        <v>310.62564864529685</v>
      </c>
    </row>
    <row r="772" spans="1:17" ht="46.8" x14ac:dyDescent="0.25">
      <c r="A772" s="35" t="s">
        <v>23</v>
      </c>
      <c r="B772" s="25" t="s">
        <v>197</v>
      </c>
      <c r="C772" s="35" t="s">
        <v>191</v>
      </c>
      <c r="D772" s="35" t="s">
        <v>371</v>
      </c>
      <c r="E772" s="20">
        <f>SUM(N772:Q772)</f>
        <v>1091.4533415491367</v>
      </c>
      <c r="F772" s="20" t="s">
        <v>297</v>
      </c>
      <c r="G772" s="20" t="s">
        <v>297</v>
      </c>
      <c r="H772" s="20" t="s">
        <v>297</v>
      </c>
      <c r="I772" s="20" t="s">
        <v>297</v>
      </c>
      <c r="J772" s="20" t="s">
        <v>297</v>
      </c>
      <c r="K772" s="20" t="s">
        <v>297</v>
      </c>
      <c r="L772" s="20" t="s">
        <v>297</v>
      </c>
      <c r="M772" s="20" t="s">
        <v>297</v>
      </c>
      <c r="N772" s="20">
        <f t="shared" ref="N772:Q772" si="111">N774*N777</f>
        <v>118.9208096439144</v>
      </c>
      <c r="O772" s="20">
        <f t="shared" si="111"/>
        <v>335.31441471482492</v>
      </c>
      <c r="P772" s="20">
        <f t="shared" si="111"/>
        <v>313.37626720061996</v>
      </c>
      <c r="Q772" s="20">
        <f t="shared" si="111"/>
        <v>323.84184998977747</v>
      </c>
    </row>
    <row r="773" spans="1:17" ht="62.4" x14ac:dyDescent="0.25">
      <c r="A773" s="17" t="s">
        <v>334</v>
      </c>
      <c r="B773" s="60" t="s">
        <v>192</v>
      </c>
      <c r="C773" s="35" t="s">
        <v>25</v>
      </c>
      <c r="D773" s="35" t="s">
        <v>333</v>
      </c>
      <c r="E773" s="121">
        <f>AVERAGE(N773:Q773)</f>
        <v>20618.875612805474</v>
      </c>
      <c r="F773" s="20" t="s">
        <v>297</v>
      </c>
      <c r="G773" s="20" t="s">
        <v>297</v>
      </c>
      <c r="H773" s="20" t="s">
        <v>297</v>
      </c>
      <c r="I773" s="20" t="s">
        <v>297</v>
      </c>
      <c r="J773" s="20" t="s">
        <v>297</v>
      </c>
      <c r="K773" s="20" t="s">
        <v>297</v>
      </c>
      <c r="L773" s="20" t="s">
        <v>297</v>
      </c>
      <c r="M773" s="20" t="s">
        <v>297</v>
      </c>
      <c r="N773" s="121">
        <v>20975.938272727275</v>
      </c>
      <c r="O773" s="121">
        <v>20975.252999999997</v>
      </c>
      <c r="P773" s="121">
        <v>20259.846533333333</v>
      </c>
      <c r="Q773" s="121">
        <v>20264.464645161293</v>
      </c>
    </row>
    <row r="774" spans="1:17" ht="46.8" x14ac:dyDescent="0.25">
      <c r="A774" s="35" t="s">
        <v>26</v>
      </c>
      <c r="B774" s="60" t="s">
        <v>198</v>
      </c>
      <c r="C774" s="35" t="s">
        <v>27</v>
      </c>
      <c r="D774" s="35" t="s">
        <v>206</v>
      </c>
      <c r="E774" s="65">
        <f>SUM(N774:Q774)</f>
        <v>2116961.9639999997</v>
      </c>
      <c r="F774" s="65" t="s">
        <v>297</v>
      </c>
      <c r="G774" s="65" t="s">
        <v>297</v>
      </c>
      <c r="H774" s="65" t="s">
        <v>297</v>
      </c>
      <c r="I774" s="65" t="s">
        <v>297</v>
      </c>
      <c r="J774" s="65" t="s">
        <v>297</v>
      </c>
      <c r="K774" s="65" t="s">
        <v>297</v>
      </c>
      <c r="L774" s="65" t="s">
        <v>297</v>
      </c>
      <c r="M774" s="65" t="s">
        <v>297</v>
      </c>
      <c r="N774" s="65">
        <f t="shared" ref="N774:Q774" si="112">N773*N767</f>
        <v>230735.32100000003</v>
      </c>
      <c r="O774" s="65">
        <f t="shared" si="112"/>
        <v>650232.84299999988</v>
      </c>
      <c r="P774" s="65">
        <f t="shared" si="112"/>
        <v>607795.39599999995</v>
      </c>
      <c r="Q774" s="65">
        <f t="shared" si="112"/>
        <v>628198.4040000001</v>
      </c>
    </row>
    <row r="775" spans="1:17" ht="62.4" x14ac:dyDescent="0.25">
      <c r="A775" s="35" t="s">
        <v>28</v>
      </c>
      <c r="B775" s="60" t="s">
        <v>199</v>
      </c>
      <c r="C775" s="35" t="s">
        <v>29</v>
      </c>
      <c r="D775" s="35" t="s">
        <v>332</v>
      </c>
      <c r="E775" s="125">
        <f>AVERAGE(N775:Q775)</f>
        <v>515.54667888563051</v>
      </c>
      <c r="F775" s="66" t="s">
        <v>297</v>
      </c>
      <c r="G775" s="66" t="s">
        <v>297</v>
      </c>
      <c r="H775" s="66" t="s">
        <v>297</v>
      </c>
      <c r="I775" s="66" t="s">
        <v>297</v>
      </c>
      <c r="J775" s="66" t="s">
        <v>297</v>
      </c>
      <c r="K775" s="66" t="s">
        <v>297</v>
      </c>
      <c r="L775" s="66" t="s">
        <v>297</v>
      </c>
      <c r="M775" s="66" t="s">
        <v>297</v>
      </c>
      <c r="N775" s="123">
        <v>515.3992424242424</v>
      </c>
      <c r="O775" s="123">
        <v>515.68360215053758</v>
      </c>
      <c r="P775" s="123">
        <v>515.59500000000003</v>
      </c>
      <c r="Q775" s="123">
        <v>515.50887096774193</v>
      </c>
    </row>
    <row r="776" spans="1:17" ht="62.4" x14ac:dyDescent="0.25">
      <c r="A776" s="35" t="s">
        <v>30</v>
      </c>
      <c r="B776" s="60" t="s">
        <v>199</v>
      </c>
      <c r="C776" s="35" t="s">
        <v>31</v>
      </c>
      <c r="D776" s="35" t="s">
        <v>331</v>
      </c>
      <c r="E776" s="125">
        <f>AVERAGE(N776:Q776)</f>
        <v>20.105046228413162</v>
      </c>
      <c r="F776" s="65" t="s">
        <v>297</v>
      </c>
      <c r="G776" s="65" t="s">
        <v>297</v>
      </c>
      <c r="H776" s="65" t="s">
        <v>297</v>
      </c>
      <c r="I776" s="65" t="s">
        <v>297</v>
      </c>
      <c r="J776" s="65" t="s">
        <v>297</v>
      </c>
      <c r="K776" s="65" t="s">
        <v>297</v>
      </c>
      <c r="L776" s="65" t="s">
        <v>297</v>
      </c>
      <c r="M776" s="65" t="s">
        <v>297</v>
      </c>
      <c r="N776" s="123">
        <v>19.768939393939394</v>
      </c>
      <c r="O776" s="123">
        <v>19.798118279569895</v>
      </c>
      <c r="P776" s="123">
        <v>20.171944444444446</v>
      </c>
      <c r="Q776" s="123">
        <v>20.68118279569892</v>
      </c>
    </row>
    <row r="777" spans="1:17" ht="62.4" x14ac:dyDescent="0.25">
      <c r="A777" s="35" t="s">
        <v>32</v>
      </c>
      <c r="B777" s="60" t="s">
        <v>200</v>
      </c>
      <c r="C777" s="35" t="s">
        <v>34</v>
      </c>
      <c r="D777" s="35" t="s">
        <v>338</v>
      </c>
      <c r="E777" s="122">
        <f>E775/1000000</f>
        <v>5.1554667888563052E-4</v>
      </c>
      <c r="F777" s="22" t="s">
        <v>297</v>
      </c>
      <c r="G777" s="22" t="s">
        <v>297</v>
      </c>
      <c r="H777" s="22" t="s">
        <v>297</v>
      </c>
      <c r="I777" s="22" t="s">
        <v>297</v>
      </c>
      <c r="J777" s="22" t="s">
        <v>297</v>
      </c>
      <c r="K777" s="22" t="s">
        <v>297</v>
      </c>
      <c r="L777" s="22" t="s">
        <v>297</v>
      </c>
      <c r="M777" s="22" t="s">
        <v>297</v>
      </c>
      <c r="N777" s="120">
        <f t="shared" ref="N777:Q777" si="113">N775/1000000</f>
        <v>5.153992424242424E-4</v>
      </c>
      <c r="O777" s="120">
        <f t="shared" si="113"/>
        <v>5.1568360215053762E-4</v>
      </c>
      <c r="P777" s="120">
        <f t="shared" si="113"/>
        <v>5.1559499999999999E-4</v>
      </c>
      <c r="Q777" s="120">
        <f t="shared" si="113"/>
        <v>5.1550887096774196E-4</v>
      </c>
    </row>
    <row r="778" spans="1:17" ht="62.4" x14ac:dyDescent="0.25">
      <c r="A778" s="35" t="s">
        <v>30</v>
      </c>
      <c r="B778" s="60" t="s">
        <v>33</v>
      </c>
      <c r="C778" s="35" t="s">
        <v>35</v>
      </c>
      <c r="D778" s="35" t="s">
        <v>339</v>
      </c>
      <c r="E778" s="122">
        <f>E776/1000000</f>
        <v>2.0105046228413162E-5</v>
      </c>
      <c r="F778" s="22" t="s">
        <v>297</v>
      </c>
      <c r="G778" s="22" t="s">
        <v>297</v>
      </c>
      <c r="H778" s="22" t="s">
        <v>297</v>
      </c>
      <c r="I778" s="22" t="s">
        <v>297</v>
      </c>
      <c r="J778" s="22" t="s">
        <v>297</v>
      </c>
      <c r="K778" s="22" t="s">
        <v>297</v>
      </c>
      <c r="L778" s="22" t="s">
        <v>297</v>
      </c>
      <c r="M778" s="22" t="s">
        <v>297</v>
      </c>
      <c r="N778" s="120">
        <f t="shared" ref="N778:Q778" si="114">N776/1000000</f>
        <v>1.9768939393939394E-5</v>
      </c>
      <c r="O778" s="120">
        <f t="shared" si="114"/>
        <v>1.9798118279569894E-5</v>
      </c>
      <c r="P778" s="120">
        <f t="shared" si="114"/>
        <v>2.0171944444444445E-5</v>
      </c>
      <c r="Q778" s="120">
        <f t="shared" si="114"/>
        <v>2.0681182795698921E-5</v>
      </c>
    </row>
    <row r="779" spans="1:17" ht="46.8" x14ac:dyDescent="0.25">
      <c r="A779" s="63" t="s">
        <v>36</v>
      </c>
      <c r="B779" s="25" t="s">
        <v>201</v>
      </c>
      <c r="C779" s="35" t="s">
        <v>38</v>
      </c>
      <c r="D779" s="35" t="s">
        <v>368</v>
      </c>
      <c r="E779" s="68">
        <f>(1-(E780/E781))</f>
        <v>0.9591893347172461</v>
      </c>
      <c r="F779" s="68" t="s">
        <v>297</v>
      </c>
      <c r="G779" s="68" t="s">
        <v>297</v>
      </c>
      <c r="H779" s="68" t="s">
        <v>297</v>
      </c>
      <c r="I779" s="68" t="s">
        <v>297</v>
      </c>
      <c r="J779" s="68" t="s">
        <v>297</v>
      </c>
      <c r="K779" s="68" t="s">
        <v>297</v>
      </c>
      <c r="L779" s="68" t="s">
        <v>297</v>
      </c>
      <c r="M779" s="68" t="s">
        <v>297</v>
      </c>
      <c r="N779" s="68">
        <f>E779</f>
        <v>0.9591893347172461</v>
      </c>
      <c r="O779" s="68">
        <f>E779</f>
        <v>0.9591893347172461</v>
      </c>
      <c r="P779" s="68">
        <f>E779</f>
        <v>0.9591893347172461</v>
      </c>
      <c r="Q779" s="68">
        <f>E779</f>
        <v>0.9591893347172461</v>
      </c>
    </row>
    <row r="780" spans="1:17" ht="31.2" x14ac:dyDescent="0.25">
      <c r="A780" s="35" t="s">
        <v>39</v>
      </c>
      <c r="B780" s="25" t="s">
        <v>196</v>
      </c>
      <c r="C780" s="35" t="s">
        <v>40</v>
      </c>
      <c r="D780" s="35" t="s">
        <v>351</v>
      </c>
      <c r="E780" s="52">
        <f>SUM(F780:Q780)</f>
        <v>43.405708655100007</v>
      </c>
      <c r="F780" s="52" t="s">
        <v>297</v>
      </c>
      <c r="G780" s="52" t="s">
        <v>297</v>
      </c>
      <c r="H780" s="52" t="s">
        <v>297</v>
      </c>
      <c r="I780" s="52" t="s">
        <v>297</v>
      </c>
      <c r="J780" s="52" t="s">
        <v>297</v>
      </c>
      <c r="K780" s="52" t="s">
        <v>297</v>
      </c>
      <c r="L780" s="52" t="s">
        <v>297</v>
      </c>
      <c r="M780" s="52" t="s">
        <v>297</v>
      </c>
      <c r="N780" s="52">
        <v>4.7983391599000003</v>
      </c>
      <c r="O780" s="52">
        <v>13.009004938600002</v>
      </c>
      <c r="P780" s="52">
        <v>12.589359618000001</v>
      </c>
      <c r="Q780" s="52">
        <v>13.009004938600002</v>
      </c>
    </row>
    <row r="781" spans="1:17" ht="31.2" x14ac:dyDescent="0.25">
      <c r="A781" s="63" t="s">
        <v>41</v>
      </c>
      <c r="B781" s="25" t="s">
        <v>24</v>
      </c>
      <c r="C781" s="35" t="s">
        <v>42</v>
      </c>
      <c r="D781" s="35" t="s">
        <v>351</v>
      </c>
      <c r="E781" s="52">
        <f>SUM(F781:Q781)</f>
        <v>1063.5873822287999</v>
      </c>
      <c r="F781" s="52" t="s">
        <v>297</v>
      </c>
      <c r="G781" s="52" t="s">
        <v>297</v>
      </c>
      <c r="H781" s="52" t="s">
        <v>297</v>
      </c>
      <c r="I781" s="52" t="s">
        <v>297</v>
      </c>
      <c r="J781" s="52" t="s">
        <v>297</v>
      </c>
      <c r="K781" s="52" t="s">
        <v>297</v>
      </c>
      <c r="L781" s="52" t="s">
        <v>297</v>
      </c>
      <c r="M781" s="52" t="s">
        <v>297</v>
      </c>
      <c r="N781" s="52">
        <v>113.58700198560001</v>
      </c>
      <c r="O781" s="52">
        <v>320.10882377759998</v>
      </c>
      <c r="P781" s="52">
        <v>309.78273268800001</v>
      </c>
      <c r="Q781" s="52">
        <v>320.10882377759998</v>
      </c>
    </row>
    <row r="782" spans="1:17" ht="31.2" x14ac:dyDescent="0.25">
      <c r="A782" s="53" t="s">
        <v>43</v>
      </c>
      <c r="B782" s="25" t="s">
        <v>201</v>
      </c>
      <c r="C782" s="53" t="s">
        <v>44</v>
      </c>
      <c r="D782" s="35" t="s">
        <v>372</v>
      </c>
      <c r="E782" s="159">
        <f>E783*E784*0.89</f>
        <v>0.47633505876477966</v>
      </c>
      <c r="F782" s="160"/>
      <c r="G782" s="160"/>
      <c r="H782" s="160"/>
      <c r="I782" s="160"/>
      <c r="J782" s="160"/>
      <c r="K782" s="160"/>
      <c r="L782" s="160"/>
      <c r="M782" s="160"/>
      <c r="N782" s="160"/>
      <c r="O782" s="160"/>
      <c r="P782" s="160"/>
      <c r="Q782" s="161"/>
    </row>
    <row r="783" spans="1:17" ht="31.2" x14ac:dyDescent="0.25">
      <c r="A783" s="70" t="s">
        <v>45</v>
      </c>
      <c r="B783" s="25" t="s">
        <v>201</v>
      </c>
      <c r="C783" s="53" t="s">
        <v>46</v>
      </c>
      <c r="D783" s="35" t="s">
        <v>373</v>
      </c>
      <c r="E783" s="162">
        <v>0.7</v>
      </c>
      <c r="F783" s="163"/>
      <c r="G783" s="163"/>
      <c r="H783" s="163"/>
      <c r="I783" s="163"/>
      <c r="J783" s="163"/>
      <c r="K783" s="163"/>
      <c r="L783" s="163"/>
      <c r="M783" s="163"/>
      <c r="N783" s="163"/>
      <c r="O783" s="163"/>
      <c r="P783" s="163"/>
      <c r="Q783" s="164"/>
    </row>
    <row r="784" spans="1:17" ht="36" customHeight="1" x14ac:dyDescent="0.25">
      <c r="A784" s="70" t="s">
        <v>47</v>
      </c>
      <c r="B784" s="25" t="s">
        <v>37</v>
      </c>
      <c r="C784" s="53" t="s">
        <v>48</v>
      </c>
      <c r="D784" s="35" t="s">
        <v>374</v>
      </c>
      <c r="E784" s="159">
        <f>(N785*N790+O785*O790+P785*P790+Q785*Q790)/(N779*N777*N774+O779*O774*O777+P779*P777*P774+Q779*Q777*Q774)</f>
        <v>0.7645827588519738</v>
      </c>
      <c r="F784" s="160"/>
      <c r="G784" s="160"/>
      <c r="H784" s="160"/>
      <c r="I784" s="160"/>
      <c r="J784" s="160"/>
      <c r="K784" s="160"/>
      <c r="L784" s="160"/>
      <c r="M784" s="160"/>
      <c r="N784" s="160"/>
      <c r="O784" s="160"/>
      <c r="P784" s="160"/>
      <c r="Q784" s="161"/>
    </row>
    <row r="785" spans="1:133" s="9" customFormat="1" ht="46.8" x14ac:dyDescent="0.4">
      <c r="A785" s="71" t="s">
        <v>49</v>
      </c>
      <c r="B785" s="25" t="s">
        <v>37</v>
      </c>
      <c r="C785" s="53" t="s">
        <v>50</v>
      </c>
      <c r="D785" s="53" t="s">
        <v>375</v>
      </c>
      <c r="E785" s="72">
        <f>AVERAGE(F785:Q785)</f>
        <v>0.60634569355483003</v>
      </c>
      <c r="F785" s="72" t="s">
        <v>297</v>
      </c>
      <c r="G785" s="72" t="s">
        <v>297</v>
      </c>
      <c r="H785" s="72" t="s">
        <v>297</v>
      </c>
      <c r="I785" s="72" t="s">
        <v>297</v>
      </c>
      <c r="J785" s="72" t="s">
        <v>297</v>
      </c>
      <c r="K785" s="72" t="s">
        <v>297</v>
      </c>
      <c r="L785" s="72" t="s">
        <v>297</v>
      </c>
      <c r="M785" s="72" t="s">
        <v>297</v>
      </c>
      <c r="N785" s="72">
        <f t="shared" ref="N785:Q785" si="115">IF(N789&lt;283,0,IF(N789&gt;303,1,EXP(($E$23*(N789-$E$24))/($E$25*$E$24*N789))))</f>
        <v>0.88152221926734242</v>
      </c>
      <c r="O785" s="72">
        <f t="shared" si="115"/>
        <v>0.65487347206548807</v>
      </c>
      <c r="P785" s="72">
        <f t="shared" si="115"/>
        <v>0.55084569341606926</v>
      </c>
      <c r="Q785" s="72">
        <f t="shared" si="115"/>
        <v>0.33814138947042022</v>
      </c>
      <c r="R785" s="78"/>
      <c r="S785" s="78"/>
      <c r="T785" s="78"/>
      <c r="U785" s="78"/>
      <c r="V785" s="78"/>
      <c r="W785" s="78"/>
      <c r="X785" s="78"/>
      <c r="Y785" s="78"/>
      <c r="Z785" s="78"/>
      <c r="AA785" s="78"/>
      <c r="AB785" s="78"/>
      <c r="AC785" s="78"/>
      <c r="AD785" s="78"/>
      <c r="AE785" s="78"/>
      <c r="AF785" s="78"/>
      <c r="AG785" s="78"/>
      <c r="AH785" s="78"/>
      <c r="AI785" s="78"/>
      <c r="AJ785" s="78"/>
      <c r="AK785" s="78"/>
      <c r="AL785" s="78"/>
      <c r="AM785" s="78"/>
      <c r="AN785" s="78"/>
      <c r="AO785" s="78"/>
      <c r="AP785" s="78"/>
      <c r="AQ785" s="78"/>
      <c r="AR785" s="78"/>
      <c r="AS785" s="78"/>
      <c r="AT785" s="78"/>
      <c r="AU785" s="78"/>
      <c r="AV785" s="78"/>
      <c r="AW785" s="78"/>
      <c r="AX785" s="78"/>
      <c r="AY785" s="78"/>
      <c r="AZ785" s="78"/>
      <c r="BA785" s="78"/>
      <c r="BB785" s="78"/>
      <c r="BC785" s="78"/>
      <c r="BD785" s="78"/>
      <c r="BE785" s="78"/>
      <c r="BF785" s="78"/>
      <c r="BG785" s="78"/>
      <c r="BH785" s="78"/>
      <c r="BI785" s="78"/>
      <c r="BJ785" s="78"/>
      <c r="BK785" s="78"/>
      <c r="BL785" s="78"/>
      <c r="BM785" s="78"/>
      <c r="BN785" s="78"/>
      <c r="BO785" s="78"/>
      <c r="BP785" s="78"/>
      <c r="BQ785" s="78"/>
      <c r="BR785" s="78"/>
      <c r="BS785" s="78"/>
      <c r="BT785" s="78"/>
      <c r="BU785" s="78"/>
      <c r="BV785" s="78"/>
      <c r="BW785" s="78"/>
      <c r="BX785" s="78"/>
      <c r="BY785" s="78"/>
      <c r="BZ785" s="78"/>
      <c r="CA785" s="78"/>
      <c r="CB785" s="78"/>
      <c r="CC785" s="78"/>
      <c r="CD785" s="78"/>
      <c r="CE785" s="78"/>
      <c r="CF785" s="78"/>
      <c r="CG785" s="78"/>
      <c r="CH785" s="78"/>
      <c r="CI785" s="78"/>
      <c r="CJ785" s="78"/>
      <c r="CK785" s="78"/>
      <c r="CL785" s="78"/>
      <c r="CM785" s="78"/>
      <c r="CN785" s="78"/>
      <c r="CO785" s="78"/>
      <c r="CP785" s="78"/>
      <c r="CQ785" s="78"/>
      <c r="CR785" s="78"/>
      <c r="CS785" s="78"/>
      <c r="CT785" s="78"/>
      <c r="CU785" s="78"/>
      <c r="CV785" s="78"/>
      <c r="CW785" s="78"/>
      <c r="CX785" s="78"/>
      <c r="CY785" s="78"/>
      <c r="CZ785" s="78"/>
      <c r="DA785" s="78"/>
      <c r="DB785" s="78"/>
      <c r="DC785" s="78"/>
      <c r="DD785" s="78"/>
      <c r="DE785" s="78"/>
      <c r="DF785" s="78"/>
      <c r="DG785" s="78"/>
      <c r="DH785" s="78"/>
      <c r="DI785" s="78"/>
      <c r="DJ785" s="78"/>
      <c r="DK785" s="78"/>
      <c r="DL785" s="78"/>
      <c r="DM785" s="78"/>
      <c r="DN785" s="78"/>
      <c r="DO785" s="78"/>
      <c r="DP785" s="78"/>
      <c r="DQ785" s="78"/>
      <c r="DR785" s="78"/>
      <c r="DS785" s="78"/>
      <c r="DT785" s="78"/>
      <c r="DU785" s="78"/>
      <c r="DV785" s="78"/>
      <c r="DW785" s="78"/>
      <c r="DX785" s="78"/>
      <c r="DY785" s="78"/>
      <c r="DZ785" s="78"/>
      <c r="EA785" s="78"/>
      <c r="EB785" s="78"/>
      <c r="EC785" s="78"/>
    </row>
    <row r="786" spans="1:133" s="9" customFormat="1" x14ac:dyDescent="0.25">
      <c r="A786" s="73" t="s">
        <v>51</v>
      </c>
      <c r="B786" s="60" t="s">
        <v>202</v>
      </c>
      <c r="C786" s="53" t="s">
        <v>53</v>
      </c>
      <c r="D786" s="53" t="s">
        <v>376</v>
      </c>
      <c r="E786" s="162">
        <v>15175</v>
      </c>
      <c r="F786" s="163"/>
      <c r="G786" s="163"/>
      <c r="H786" s="163"/>
      <c r="I786" s="163"/>
      <c r="J786" s="163"/>
      <c r="K786" s="163"/>
      <c r="L786" s="163"/>
      <c r="M786" s="163"/>
      <c r="N786" s="163"/>
      <c r="O786" s="163"/>
      <c r="P786" s="163"/>
      <c r="Q786" s="164"/>
      <c r="R786" s="78"/>
      <c r="S786" s="78"/>
      <c r="T786" s="78"/>
      <c r="U786" s="78"/>
      <c r="V786" s="78"/>
      <c r="W786" s="78"/>
      <c r="X786" s="78"/>
      <c r="Y786" s="78"/>
      <c r="Z786" s="78"/>
      <c r="AA786" s="78"/>
      <c r="AB786" s="78"/>
      <c r="AC786" s="78"/>
      <c r="AD786" s="78"/>
      <c r="AE786" s="78"/>
      <c r="AF786" s="78"/>
      <c r="AG786" s="78"/>
      <c r="AH786" s="78"/>
      <c r="AI786" s="78"/>
      <c r="AJ786" s="78"/>
      <c r="AK786" s="78"/>
      <c r="AL786" s="78"/>
      <c r="AM786" s="78"/>
      <c r="AN786" s="78"/>
      <c r="AO786" s="78"/>
      <c r="AP786" s="78"/>
      <c r="AQ786" s="78"/>
      <c r="AR786" s="78"/>
      <c r="AS786" s="78"/>
      <c r="AT786" s="78"/>
      <c r="AU786" s="78"/>
      <c r="AV786" s="78"/>
      <c r="AW786" s="78"/>
      <c r="AX786" s="78"/>
      <c r="AY786" s="78"/>
      <c r="AZ786" s="78"/>
      <c r="BA786" s="78"/>
      <c r="BB786" s="78"/>
      <c r="BC786" s="78"/>
      <c r="BD786" s="78"/>
      <c r="BE786" s="78"/>
      <c r="BF786" s="78"/>
      <c r="BG786" s="78"/>
      <c r="BH786" s="78"/>
      <c r="BI786" s="78"/>
      <c r="BJ786" s="78"/>
      <c r="BK786" s="78"/>
      <c r="BL786" s="78"/>
      <c r="BM786" s="78"/>
      <c r="BN786" s="78"/>
      <c r="BO786" s="78"/>
      <c r="BP786" s="78"/>
      <c r="BQ786" s="78"/>
      <c r="BR786" s="78"/>
      <c r="BS786" s="78"/>
      <c r="BT786" s="78"/>
      <c r="BU786" s="78"/>
      <c r="BV786" s="78"/>
      <c r="BW786" s="78"/>
      <c r="BX786" s="78"/>
      <c r="BY786" s="78"/>
      <c r="BZ786" s="78"/>
      <c r="CA786" s="78"/>
      <c r="CB786" s="78"/>
      <c r="CC786" s="78"/>
      <c r="CD786" s="78"/>
      <c r="CE786" s="78"/>
      <c r="CF786" s="78"/>
      <c r="CG786" s="78"/>
      <c r="CH786" s="78"/>
      <c r="CI786" s="78"/>
      <c r="CJ786" s="78"/>
      <c r="CK786" s="78"/>
      <c r="CL786" s="78"/>
      <c r="CM786" s="78"/>
      <c r="CN786" s="78"/>
      <c r="CO786" s="78"/>
      <c r="CP786" s="78"/>
      <c r="CQ786" s="78"/>
      <c r="CR786" s="78"/>
      <c r="CS786" s="78"/>
      <c r="CT786" s="78"/>
      <c r="CU786" s="78"/>
      <c r="CV786" s="78"/>
      <c r="CW786" s="78"/>
      <c r="CX786" s="78"/>
      <c r="CY786" s="78"/>
      <c r="CZ786" s="78"/>
      <c r="DA786" s="78"/>
      <c r="DB786" s="78"/>
      <c r="DC786" s="78"/>
      <c r="DD786" s="78"/>
      <c r="DE786" s="78"/>
      <c r="DF786" s="78"/>
      <c r="DG786" s="78"/>
      <c r="DH786" s="78"/>
      <c r="DI786" s="78"/>
      <c r="DJ786" s="78"/>
      <c r="DK786" s="78"/>
      <c r="DL786" s="78"/>
      <c r="DM786" s="78"/>
      <c r="DN786" s="78"/>
      <c r="DO786" s="78"/>
      <c r="DP786" s="78"/>
      <c r="DQ786" s="78"/>
      <c r="DR786" s="78"/>
      <c r="DS786" s="78"/>
      <c r="DT786" s="78"/>
      <c r="DU786" s="78"/>
      <c r="DV786" s="78"/>
      <c r="DW786" s="78"/>
      <c r="DX786" s="78"/>
      <c r="DY786" s="78"/>
      <c r="DZ786" s="78"/>
      <c r="EA786" s="78"/>
      <c r="EB786" s="78"/>
      <c r="EC786" s="78"/>
    </row>
    <row r="787" spans="1:133" s="9" customFormat="1" ht="18" x14ac:dyDescent="0.25">
      <c r="A787" s="73" t="s">
        <v>54</v>
      </c>
      <c r="B787" s="60" t="s">
        <v>203</v>
      </c>
      <c r="C787" s="53" t="s">
        <v>56</v>
      </c>
      <c r="D787" s="53" t="s">
        <v>376</v>
      </c>
      <c r="E787" s="162">
        <v>303.16000000000003</v>
      </c>
      <c r="F787" s="163"/>
      <c r="G787" s="163"/>
      <c r="H787" s="163"/>
      <c r="I787" s="163"/>
      <c r="J787" s="163"/>
      <c r="K787" s="163"/>
      <c r="L787" s="163"/>
      <c r="M787" s="163"/>
      <c r="N787" s="163"/>
      <c r="O787" s="163"/>
      <c r="P787" s="163"/>
      <c r="Q787" s="164"/>
      <c r="R787" s="78"/>
      <c r="S787" s="78"/>
      <c r="T787" s="78"/>
      <c r="U787" s="78"/>
      <c r="V787" s="78"/>
      <c r="W787" s="78"/>
      <c r="X787" s="78"/>
      <c r="Y787" s="78"/>
      <c r="Z787" s="78"/>
      <c r="AA787" s="78"/>
      <c r="AB787" s="78"/>
      <c r="AC787" s="78"/>
      <c r="AD787" s="78"/>
      <c r="AE787" s="78"/>
      <c r="AF787" s="78"/>
      <c r="AG787" s="78"/>
      <c r="AH787" s="78"/>
      <c r="AI787" s="78"/>
      <c r="AJ787" s="78"/>
      <c r="AK787" s="78"/>
      <c r="AL787" s="78"/>
      <c r="AM787" s="78"/>
      <c r="AN787" s="78"/>
      <c r="AO787" s="78"/>
      <c r="AP787" s="78"/>
      <c r="AQ787" s="78"/>
      <c r="AR787" s="78"/>
      <c r="AS787" s="78"/>
      <c r="AT787" s="78"/>
      <c r="AU787" s="78"/>
      <c r="AV787" s="78"/>
      <c r="AW787" s="78"/>
      <c r="AX787" s="78"/>
      <c r="AY787" s="78"/>
      <c r="AZ787" s="78"/>
      <c r="BA787" s="78"/>
      <c r="BB787" s="78"/>
      <c r="BC787" s="78"/>
      <c r="BD787" s="78"/>
      <c r="BE787" s="78"/>
      <c r="BF787" s="78"/>
      <c r="BG787" s="78"/>
      <c r="BH787" s="78"/>
      <c r="BI787" s="78"/>
      <c r="BJ787" s="78"/>
      <c r="BK787" s="78"/>
      <c r="BL787" s="78"/>
      <c r="BM787" s="78"/>
      <c r="BN787" s="78"/>
      <c r="BO787" s="78"/>
      <c r="BP787" s="78"/>
      <c r="BQ787" s="78"/>
      <c r="BR787" s="78"/>
      <c r="BS787" s="78"/>
      <c r="BT787" s="78"/>
      <c r="BU787" s="78"/>
      <c r="BV787" s="78"/>
      <c r="BW787" s="78"/>
      <c r="BX787" s="78"/>
      <c r="BY787" s="78"/>
      <c r="BZ787" s="78"/>
      <c r="CA787" s="78"/>
      <c r="CB787" s="78"/>
      <c r="CC787" s="78"/>
      <c r="CD787" s="78"/>
      <c r="CE787" s="78"/>
      <c r="CF787" s="78"/>
      <c r="CG787" s="78"/>
      <c r="CH787" s="78"/>
      <c r="CI787" s="78"/>
      <c r="CJ787" s="78"/>
      <c r="CK787" s="78"/>
      <c r="CL787" s="78"/>
      <c r="CM787" s="78"/>
      <c r="CN787" s="78"/>
      <c r="CO787" s="78"/>
      <c r="CP787" s="78"/>
      <c r="CQ787" s="78"/>
      <c r="CR787" s="78"/>
      <c r="CS787" s="78"/>
      <c r="CT787" s="78"/>
      <c r="CU787" s="78"/>
      <c r="CV787" s="78"/>
      <c r="CW787" s="78"/>
      <c r="CX787" s="78"/>
      <c r="CY787" s="78"/>
      <c r="CZ787" s="78"/>
      <c r="DA787" s="78"/>
      <c r="DB787" s="78"/>
      <c r="DC787" s="78"/>
      <c r="DD787" s="78"/>
      <c r="DE787" s="78"/>
      <c r="DF787" s="78"/>
      <c r="DG787" s="78"/>
      <c r="DH787" s="78"/>
      <c r="DI787" s="78"/>
      <c r="DJ787" s="78"/>
      <c r="DK787" s="78"/>
      <c r="DL787" s="78"/>
      <c r="DM787" s="78"/>
      <c r="DN787" s="78"/>
      <c r="DO787" s="78"/>
      <c r="DP787" s="78"/>
      <c r="DQ787" s="78"/>
      <c r="DR787" s="78"/>
      <c r="DS787" s="78"/>
      <c r="DT787" s="78"/>
      <c r="DU787" s="78"/>
      <c r="DV787" s="78"/>
      <c r="DW787" s="78"/>
      <c r="DX787" s="78"/>
      <c r="DY787" s="78"/>
      <c r="DZ787" s="78"/>
      <c r="EA787" s="78"/>
      <c r="EB787" s="78"/>
      <c r="EC787" s="78"/>
    </row>
    <row r="788" spans="1:133" s="9" customFormat="1" x14ac:dyDescent="0.25">
      <c r="A788" s="73" t="s">
        <v>57</v>
      </c>
      <c r="B788" s="60" t="s">
        <v>204</v>
      </c>
      <c r="C788" s="53" t="s">
        <v>59</v>
      </c>
      <c r="D788" s="53" t="s">
        <v>376</v>
      </c>
      <c r="E788" s="162">
        <v>1.9870000000000001</v>
      </c>
      <c r="F788" s="163"/>
      <c r="G788" s="163"/>
      <c r="H788" s="163"/>
      <c r="I788" s="163"/>
      <c r="J788" s="163"/>
      <c r="K788" s="163"/>
      <c r="L788" s="163"/>
      <c r="M788" s="163"/>
      <c r="N788" s="163"/>
      <c r="O788" s="163"/>
      <c r="P788" s="163"/>
      <c r="Q788" s="164"/>
      <c r="R788" s="78"/>
      <c r="S788" s="78"/>
      <c r="T788" s="78"/>
      <c r="U788" s="78"/>
      <c r="V788" s="78"/>
      <c r="W788" s="78"/>
      <c r="X788" s="78"/>
      <c r="Y788" s="78"/>
      <c r="Z788" s="78"/>
      <c r="AA788" s="78"/>
      <c r="AB788" s="78"/>
      <c r="AC788" s="78"/>
      <c r="AD788" s="78"/>
      <c r="AE788" s="78"/>
      <c r="AF788" s="78"/>
      <c r="AG788" s="78"/>
      <c r="AH788" s="78"/>
      <c r="AI788" s="78"/>
      <c r="AJ788" s="78"/>
      <c r="AK788" s="78"/>
      <c r="AL788" s="78"/>
      <c r="AM788" s="78"/>
      <c r="AN788" s="78"/>
      <c r="AO788" s="78"/>
      <c r="AP788" s="78"/>
      <c r="AQ788" s="78"/>
      <c r="AR788" s="78"/>
      <c r="AS788" s="78"/>
      <c r="AT788" s="78"/>
      <c r="AU788" s="78"/>
      <c r="AV788" s="78"/>
      <c r="AW788" s="78"/>
      <c r="AX788" s="78"/>
      <c r="AY788" s="78"/>
      <c r="AZ788" s="78"/>
      <c r="BA788" s="78"/>
      <c r="BB788" s="78"/>
      <c r="BC788" s="78"/>
      <c r="BD788" s="78"/>
      <c r="BE788" s="78"/>
      <c r="BF788" s="78"/>
      <c r="BG788" s="78"/>
      <c r="BH788" s="78"/>
      <c r="BI788" s="78"/>
      <c r="BJ788" s="78"/>
      <c r="BK788" s="78"/>
      <c r="BL788" s="78"/>
      <c r="BM788" s="78"/>
      <c r="BN788" s="78"/>
      <c r="BO788" s="78"/>
      <c r="BP788" s="78"/>
      <c r="BQ788" s="78"/>
      <c r="BR788" s="78"/>
      <c r="BS788" s="78"/>
      <c r="BT788" s="78"/>
      <c r="BU788" s="78"/>
      <c r="BV788" s="78"/>
      <c r="BW788" s="78"/>
      <c r="BX788" s="78"/>
      <c r="BY788" s="78"/>
      <c r="BZ788" s="78"/>
      <c r="CA788" s="78"/>
      <c r="CB788" s="78"/>
      <c r="CC788" s="78"/>
      <c r="CD788" s="78"/>
      <c r="CE788" s="78"/>
      <c r="CF788" s="78"/>
      <c r="CG788" s="78"/>
      <c r="CH788" s="78"/>
      <c r="CI788" s="78"/>
      <c r="CJ788" s="78"/>
      <c r="CK788" s="78"/>
      <c r="CL788" s="78"/>
      <c r="CM788" s="78"/>
      <c r="CN788" s="78"/>
      <c r="CO788" s="78"/>
      <c r="CP788" s="78"/>
      <c r="CQ788" s="78"/>
      <c r="CR788" s="78"/>
      <c r="CS788" s="78"/>
      <c r="CT788" s="78"/>
      <c r="CU788" s="78"/>
      <c r="CV788" s="78"/>
      <c r="CW788" s="78"/>
      <c r="CX788" s="78"/>
      <c r="CY788" s="78"/>
      <c r="CZ788" s="78"/>
      <c r="DA788" s="78"/>
      <c r="DB788" s="78"/>
      <c r="DC788" s="78"/>
      <c r="DD788" s="78"/>
      <c r="DE788" s="78"/>
      <c r="DF788" s="78"/>
      <c r="DG788" s="78"/>
      <c r="DH788" s="78"/>
      <c r="DI788" s="78"/>
      <c r="DJ788" s="78"/>
      <c r="DK788" s="78"/>
      <c r="DL788" s="78"/>
      <c r="DM788" s="78"/>
      <c r="DN788" s="78"/>
      <c r="DO788" s="78"/>
      <c r="DP788" s="78"/>
      <c r="DQ788" s="78"/>
      <c r="DR788" s="78"/>
      <c r="DS788" s="78"/>
      <c r="DT788" s="78"/>
      <c r="DU788" s="78"/>
      <c r="DV788" s="78"/>
      <c r="DW788" s="78"/>
      <c r="DX788" s="78"/>
      <c r="DY788" s="78"/>
      <c r="DZ788" s="78"/>
      <c r="EA788" s="78"/>
      <c r="EB788" s="78"/>
      <c r="EC788" s="78"/>
    </row>
    <row r="789" spans="1:133" s="9" customFormat="1" ht="31.2" x14ac:dyDescent="0.25">
      <c r="A789" s="73" t="s">
        <v>60</v>
      </c>
      <c r="B789" s="60" t="s">
        <v>203</v>
      </c>
      <c r="C789" s="53" t="s">
        <v>61</v>
      </c>
      <c r="D789" s="143" t="s">
        <v>363</v>
      </c>
      <c r="E789" s="98">
        <f>AVERAGE(F789:Q789)</f>
        <v>296.64999999999998</v>
      </c>
      <c r="F789" s="60" t="s">
        <v>297</v>
      </c>
      <c r="G789" s="60" t="s">
        <v>297</v>
      </c>
      <c r="H789" s="60" t="s">
        <v>297</v>
      </c>
      <c r="I789" s="60" t="s">
        <v>297</v>
      </c>
      <c r="J789" s="60" t="s">
        <v>297</v>
      </c>
      <c r="K789" s="60" t="s">
        <v>297</v>
      </c>
      <c r="L789" s="60" t="s">
        <v>297</v>
      </c>
      <c r="M789" s="60" t="s">
        <v>297</v>
      </c>
      <c r="N789" s="60">
        <v>301.64999999999998</v>
      </c>
      <c r="O789" s="60">
        <v>298.14999999999998</v>
      </c>
      <c r="P789" s="60">
        <v>296.14999999999998</v>
      </c>
      <c r="Q789" s="60">
        <v>290.64999999999998</v>
      </c>
      <c r="R789" s="78"/>
      <c r="S789" s="78"/>
      <c r="T789" s="78"/>
      <c r="U789" s="78"/>
      <c r="V789" s="78"/>
      <c r="W789" s="78"/>
      <c r="X789" s="78"/>
      <c r="Y789" s="78"/>
      <c r="Z789" s="78"/>
      <c r="AA789" s="78"/>
      <c r="AB789" s="78"/>
      <c r="AC789" s="78"/>
      <c r="AD789" s="78"/>
      <c r="AE789" s="78"/>
      <c r="AF789" s="78"/>
      <c r="AG789" s="78"/>
      <c r="AH789" s="78"/>
      <c r="AI789" s="78"/>
      <c r="AJ789" s="78"/>
      <c r="AK789" s="78"/>
      <c r="AL789" s="78"/>
      <c r="AM789" s="78"/>
      <c r="AN789" s="78"/>
      <c r="AO789" s="78"/>
      <c r="AP789" s="78"/>
      <c r="AQ789" s="78"/>
      <c r="AR789" s="78"/>
      <c r="AS789" s="78"/>
      <c r="AT789" s="78"/>
      <c r="AU789" s="78"/>
      <c r="AV789" s="78"/>
      <c r="AW789" s="78"/>
      <c r="AX789" s="78"/>
      <c r="AY789" s="78"/>
      <c r="AZ789" s="78"/>
      <c r="BA789" s="78"/>
      <c r="BB789" s="78"/>
      <c r="BC789" s="78"/>
      <c r="BD789" s="78"/>
      <c r="BE789" s="78"/>
      <c r="BF789" s="78"/>
      <c r="BG789" s="78"/>
      <c r="BH789" s="78"/>
      <c r="BI789" s="78"/>
      <c r="BJ789" s="78"/>
      <c r="BK789" s="78"/>
      <c r="BL789" s="78"/>
      <c r="BM789" s="78"/>
      <c r="BN789" s="78"/>
      <c r="BO789" s="78"/>
      <c r="BP789" s="78"/>
      <c r="BQ789" s="78"/>
      <c r="BR789" s="78"/>
      <c r="BS789" s="78"/>
      <c r="BT789" s="78"/>
      <c r="BU789" s="78"/>
      <c r="BV789" s="78"/>
      <c r="BW789" s="78"/>
      <c r="BX789" s="78"/>
      <c r="BY789" s="78"/>
      <c r="BZ789" s="78"/>
      <c r="CA789" s="78"/>
      <c r="CB789" s="78"/>
      <c r="CC789" s="78"/>
      <c r="CD789" s="78"/>
      <c r="CE789" s="78"/>
      <c r="CF789" s="78"/>
      <c r="CG789" s="78"/>
      <c r="CH789" s="78"/>
      <c r="CI789" s="78"/>
      <c r="CJ789" s="78"/>
      <c r="CK789" s="78"/>
      <c r="CL789" s="78"/>
      <c r="CM789" s="78"/>
      <c r="CN789" s="78"/>
      <c r="CO789" s="78"/>
      <c r="CP789" s="78"/>
      <c r="CQ789" s="78"/>
      <c r="CR789" s="78"/>
      <c r="CS789" s="78"/>
      <c r="CT789" s="78"/>
      <c r="CU789" s="78"/>
      <c r="CV789" s="78"/>
      <c r="CW789" s="78"/>
      <c r="CX789" s="78"/>
      <c r="CY789" s="78"/>
      <c r="CZ789" s="78"/>
      <c r="DA789" s="78"/>
      <c r="DB789" s="78"/>
      <c r="DC789" s="78"/>
      <c r="DD789" s="78"/>
      <c r="DE789" s="78"/>
      <c r="DF789" s="78"/>
      <c r="DG789" s="78"/>
      <c r="DH789" s="78"/>
      <c r="DI789" s="78"/>
      <c r="DJ789" s="78"/>
      <c r="DK789" s="78"/>
      <c r="DL789" s="78"/>
      <c r="DM789" s="78"/>
      <c r="DN789" s="78"/>
      <c r="DO789" s="78"/>
      <c r="DP789" s="78"/>
      <c r="DQ789" s="78"/>
      <c r="DR789" s="78"/>
      <c r="DS789" s="78"/>
      <c r="DT789" s="78"/>
      <c r="DU789" s="78"/>
      <c r="DV789" s="78"/>
      <c r="DW789" s="78"/>
      <c r="DX789" s="78"/>
      <c r="DY789" s="78"/>
      <c r="DZ789" s="78"/>
      <c r="EA789" s="78"/>
      <c r="EB789" s="78"/>
      <c r="EC789" s="78"/>
    </row>
    <row r="790" spans="1:133" s="9" customFormat="1" ht="31.2" x14ac:dyDescent="0.4">
      <c r="A790" s="71" t="s">
        <v>62</v>
      </c>
      <c r="B790" s="60" t="s">
        <v>196</v>
      </c>
      <c r="C790" s="53" t="s">
        <v>63</v>
      </c>
      <c r="D790" s="53" t="s">
        <v>377</v>
      </c>
      <c r="E790" s="74">
        <f>SUM(F790:Q790)</f>
        <v>1554.6842568482396</v>
      </c>
      <c r="F790" s="74" t="s">
        <v>297</v>
      </c>
      <c r="G790" s="74" t="s">
        <v>297</v>
      </c>
      <c r="H790" s="74" t="s">
        <v>297</v>
      </c>
      <c r="I790" s="74" t="s">
        <v>297</v>
      </c>
      <c r="J790" s="74" t="s">
        <v>297</v>
      </c>
      <c r="K790" s="74" t="s">
        <v>297</v>
      </c>
      <c r="L790" s="74" t="s">
        <v>297</v>
      </c>
      <c r="M790" s="74" t="s">
        <v>297</v>
      </c>
      <c r="N790" s="74">
        <f>N779*N774*N777+(1-N785)*0</f>
        <v>114.06757228638251</v>
      </c>
      <c r="O790" s="74">
        <f t="shared" ref="O790:Q790" si="116">O779*O774*O777+(1-O785)*N790</f>
        <v>360.99775554453379</v>
      </c>
      <c r="P790" s="74">
        <f t="shared" si="116"/>
        <v>462.730869822297</v>
      </c>
      <c r="Q790" s="74">
        <f t="shared" si="116"/>
        <v>616.88805919502624</v>
      </c>
      <c r="R790" s="78"/>
      <c r="S790" s="78"/>
      <c r="T790" s="78"/>
      <c r="U790" s="78"/>
      <c r="V790" s="78"/>
      <c r="W790" s="78"/>
      <c r="X790" s="78"/>
      <c r="Y790" s="78"/>
      <c r="Z790" s="78"/>
      <c r="AA790" s="78"/>
      <c r="AB790" s="78"/>
      <c r="AC790" s="78"/>
      <c r="AD790" s="78"/>
      <c r="AE790" s="78"/>
      <c r="AF790" s="78"/>
      <c r="AG790" s="78"/>
      <c r="AH790" s="78"/>
      <c r="AI790" s="78"/>
      <c r="AJ790" s="78"/>
      <c r="AK790" s="78"/>
      <c r="AL790" s="78"/>
      <c r="AM790" s="78"/>
      <c r="AN790" s="78"/>
      <c r="AO790" s="78"/>
      <c r="AP790" s="78"/>
      <c r="AQ790" s="78"/>
      <c r="AR790" s="78"/>
      <c r="AS790" s="78"/>
      <c r="AT790" s="78"/>
      <c r="AU790" s="78"/>
      <c r="AV790" s="78"/>
      <c r="AW790" s="78"/>
      <c r="AX790" s="78"/>
      <c r="AY790" s="78"/>
      <c r="AZ790" s="78"/>
      <c r="BA790" s="78"/>
      <c r="BB790" s="78"/>
      <c r="BC790" s="78"/>
      <c r="BD790" s="78"/>
      <c r="BE790" s="78"/>
      <c r="BF790" s="78"/>
      <c r="BG790" s="78"/>
      <c r="BH790" s="78"/>
      <c r="BI790" s="78"/>
      <c r="BJ790" s="78"/>
      <c r="BK790" s="78"/>
      <c r="BL790" s="78"/>
      <c r="BM790" s="78"/>
      <c r="BN790" s="78"/>
      <c r="BO790" s="78"/>
      <c r="BP790" s="78"/>
      <c r="BQ790" s="78"/>
      <c r="BR790" s="78"/>
      <c r="BS790" s="78"/>
      <c r="BT790" s="78"/>
      <c r="BU790" s="78"/>
      <c r="BV790" s="78"/>
      <c r="BW790" s="78"/>
      <c r="BX790" s="78"/>
      <c r="BY790" s="78"/>
      <c r="BZ790" s="78"/>
      <c r="CA790" s="78"/>
      <c r="CB790" s="78"/>
      <c r="CC790" s="78"/>
      <c r="CD790" s="78"/>
      <c r="CE790" s="78"/>
      <c r="CF790" s="78"/>
      <c r="CG790" s="78"/>
      <c r="CH790" s="78"/>
      <c r="CI790" s="78"/>
      <c r="CJ790" s="78"/>
      <c r="CK790" s="78"/>
      <c r="CL790" s="78"/>
      <c r="CM790" s="78"/>
      <c r="CN790" s="78"/>
      <c r="CO790" s="78"/>
      <c r="CP790" s="78"/>
      <c r="CQ790" s="78"/>
      <c r="CR790" s="78"/>
      <c r="CS790" s="78"/>
      <c r="CT790" s="78"/>
      <c r="CU790" s="78"/>
      <c r="CV790" s="78"/>
      <c r="CW790" s="78"/>
      <c r="CX790" s="78"/>
      <c r="CY790" s="78"/>
      <c r="CZ790" s="78"/>
      <c r="DA790" s="78"/>
      <c r="DB790" s="78"/>
      <c r="DC790" s="78"/>
      <c r="DD790" s="78"/>
      <c r="DE790" s="78"/>
      <c r="DF790" s="78"/>
      <c r="DG790" s="78"/>
      <c r="DH790" s="78"/>
      <c r="DI790" s="78"/>
      <c r="DJ790" s="78"/>
      <c r="DK790" s="78"/>
      <c r="DL790" s="78"/>
      <c r="DM790" s="78"/>
      <c r="DN790" s="78"/>
      <c r="DO790" s="78"/>
      <c r="DP790" s="78"/>
      <c r="DQ790" s="78"/>
      <c r="DR790" s="78"/>
      <c r="DS790" s="78"/>
      <c r="DT790" s="78"/>
      <c r="DU790" s="78"/>
      <c r="DV790" s="78"/>
      <c r="DW790" s="78"/>
      <c r="DX790" s="78"/>
      <c r="DY790" s="78"/>
      <c r="DZ790" s="78"/>
      <c r="EA790" s="78"/>
      <c r="EB790" s="78"/>
      <c r="EC790" s="78"/>
    </row>
    <row r="792" spans="1:133" ht="15.6" customHeight="1" x14ac:dyDescent="0.25">
      <c r="A792" s="36" t="s">
        <v>64</v>
      </c>
      <c r="B792" s="36"/>
      <c r="C792" s="36"/>
      <c r="D792" s="36"/>
      <c r="E792" s="36"/>
    </row>
    <row r="793" spans="1:133" x14ac:dyDescent="0.25">
      <c r="A793" s="57" t="s">
        <v>8</v>
      </c>
      <c r="B793" s="58" t="s">
        <v>9</v>
      </c>
      <c r="C793" s="34" t="s">
        <v>10</v>
      </c>
      <c r="D793" s="34" t="s">
        <v>340</v>
      </c>
      <c r="E793" s="16" t="s">
        <v>65</v>
      </c>
    </row>
    <row r="794" spans="1:133" ht="46.8" x14ac:dyDescent="0.25">
      <c r="A794" s="59" t="s">
        <v>66</v>
      </c>
      <c r="B794" s="60" t="s">
        <v>14</v>
      </c>
      <c r="C794" s="53" t="s">
        <v>67</v>
      </c>
      <c r="D794" s="53" t="s">
        <v>68</v>
      </c>
      <c r="E794" s="75">
        <v>0</v>
      </c>
    </row>
    <row r="795" spans="1:133" ht="46.8" x14ac:dyDescent="0.25">
      <c r="A795" s="63" t="s">
        <v>69</v>
      </c>
      <c r="B795" s="25" t="s">
        <v>70</v>
      </c>
      <c r="C795" s="35" t="s">
        <v>71</v>
      </c>
      <c r="D795" s="53" t="str">
        <f>D801</f>
        <v>Historical data on site in the FSR (It was calculated with conservative value)</v>
      </c>
      <c r="E795" s="74">
        <f>E801</f>
        <v>393.76502227531722</v>
      </c>
    </row>
    <row r="797" spans="1:133" ht="15.6" customHeight="1" x14ac:dyDescent="0.25">
      <c r="A797" s="90" t="s">
        <v>72</v>
      </c>
      <c r="B797" s="90"/>
      <c r="C797" s="91"/>
      <c r="D797" s="91"/>
      <c r="E797" s="90"/>
    </row>
    <row r="798" spans="1:133" x14ac:dyDescent="0.25">
      <c r="A798" s="59" t="s">
        <v>8</v>
      </c>
      <c r="B798" s="16" t="s">
        <v>9</v>
      </c>
      <c r="C798" s="38" t="s">
        <v>10</v>
      </c>
      <c r="D798" s="38" t="s">
        <v>340</v>
      </c>
      <c r="E798" s="16" t="s">
        <v>65</v>
      </c>
    </row>
    <row r="799" spans="1:133" ht="33.6" x14ac:dyDescent="0.4">
      <c r="A799" s="76" t="s">
        <v>73</v>
      </c>
      <c r="B799" s="25" t="s">
        <v>74</v>
      </c>
      <c r="C799" s="35" t="s">
        <v>75</v>
      </c>
      <c r="D799" s="35" t="s">
        <v>378</v>
      </c>
      <c r="E799" s="50">
        <f>E800*E803*E804*E805*E806*E807</f>
        <v>1.5993675878944724</v>
      </c>
    </row>
    <row r="800" spans="1:133" ht="46.8" x14ac:dyDescent="0.4">
      <c r="A800" s="77" t="s">
        <v>207</v>
      </c>
      <c r="B800" s="25" t="s">
        <v>76</v>
      </c>
      <c r="C800" s="35" t="s">
        <v>77</v>
      </c>
      <c r="D800" s="35" t="s">
        <v>379</v>
      </c>
      <c r="E800" s="52">
        <f>E801/E802</f>
        <v>78.753004455063447</v>
      </c>
    </row>
    <row r="801" spans="1:5" ht="46.8" x14ac:dyDescent="0.25">
      <c r="A801" s="63" t="s">
        <v>208</v>
      </c>
      <c r="B801" s="25" t="s">
        <v>78</v>
      </c>
      <c r="C801" s="35" t="s">
        <v>79</v>
      </c>
      <c r="D801" s="53" t="s">
        <v>352</v>
      </c>
      <c r="E801" s="52">
        <f>0.000186004769557266*E774</f>
        <v>393.76502227531722</v>
      </c>
    </row>
    <row r="802" spans="1:5" ht="31.2" x14ac:dyDescent="0.25">
      <c r="A802" s="63" t="s">
        <v>209</v>
      </c>
      <c r="B802" s="25" t="s">
        <v>80</v>
      </c>
      <c r="C802" s="35" t="s">
        <v>81</v>
      </c>
      <c r="D802" s="35" t="s">
        <v>353</v>
      </c>
      <c r="E802" s="25">
        <f>5</f>
        <v>5</v>
      </c>
    </row>
    <row r="803" spans="1:5" ht="62.4" x14ac:dyDescent="0.25">
      <c r="A803" s="63" t="s">
        <v>210</v>
      </c>
      <c r="B803" s="25" t="s">
        <v>82</v>
      </c>
      <c r="C803" s="35" t="s">
        <v>83</v>
      </c>
      <c r="D803" s="53" t="s">
        <v>354</v>
      </c>
      <c r="E803" s="25">
        <f>15*2</f>
        <v>30</v>
      </c>
    </row>
    <row r="804" spans="1:5" ht="172.2" x14ac:dyDescent="0.25">
      <c r="A804" s="63" t="s">
        <v>211</v>
      </c>
      <c r="B804" s="25" t="s">
        <v>84</v>
      </c>
      <c r="C804" s="35" t="s">
        <v>85</v>
      </c>
      <c r="D804" s="35" t="s">
        <v>355</v>
      </c>
      <c r="E804" s="25">
        <f>25.1/100</f>
        <v>0.251</v>
      </c>
    </row>
    <row r="805" spans="1:5" ht="156" x14ac:dyDescent="0.25">
      <c r="A805" s="63" t="s">
        <v>212</v>
      </c>
      <c r="B805" s="25" t="s">
        <v>87</v>
      </c>
      <c r="C805" s="35" t="s">
        <v>86</v>
      </c>
      <c r="D805" s="35" t="s">
        <v>356</v>
      </c>
      <c r="E805" s="25">
        <f>0.84/1000</f>
        <v>8.3999999999999993E-4</v>
      </c>
    </row>
    <row r="806" spans="1:5" ht="171.6" x14ac:dyDescent="0.25">
      <c r="A806" s="63" t="s">
        <v>213</v>
      </c>
      <c r="B806" s="25" t="s">
        <v>88</v>
      </c>
      <c r="C806" s="35" t="s">
        <v>89</v>
      </c>
      <c r="D806" s="35" t="s">
        <v>357</v>
      </c>
      <c r="E806" s="25">
        <f>43.33/1000</f>
        <v>4.333E-2</v>
      </c>
    </row>
    <row r="807" spans="1:5" ht="62.4" x14ac:dyDescent="0.25">
      <c r="A807" s="63" t="s">
        <v>214</v>
      </c>
      <c r="B807" s="25" t="s">
        <v>90</v>
      </c>
      <c r="C807" s="35" t="s">
        <v>91</v>
      </c>
      <c r="D807" s="35" t="s">
        <v>358</v>
      </c>
      <c r="E807" s="25">
        <v>74.099999999999994</v>
      </c>
    </row>
    <row r="809" spans="1:5" ht="15.6" customHeight="1" x14ac:dyDescent="0.25">
      <c r="A809" s="36" t="s">
        <v>93</v>
      </c>
      <c r="B809" s="36"/>
      <c r="C809" s="36"/>
      <c r="D809" s="36"/>
      <c r="E809" s="36"/>
    </row>
    <row r="810" spans="1:5" x14ac:dyDescent="0.25">
      <c r="A810" s="57" t="s">
        <v>8</v>
      </c>
      <c r="B810" s="58" t="s">
        <v>9</v>
      </c>
      <c r="C810" s="34" t="s">
        <v>10</v>
      </c>
      <c r="D810" s="34" t="s">
        <v>340</v>
      </c>
      <c r="E810" s="16" t="s">
        <v>65</v>
      </c>
    </row>
    <row r="811" spans="1:5" ht="64.8" x14ac:dyDescent="0.25">
      <c r="A811" s="15" t="s">
        <v>94</v>
      </c>
      <c r="B811" s="25" t="s">
        <v>95</v>
      </c>
      <c r="C811" s="35" t="s">
        <v>96</v>
      </c>
      <c r="D811" s="35" t="s">
        <v>97</v>
      </c>
      <c r="E811" s="16">
        <v>0</v>
      </c>
    </row>
    <row r="813" spans="1:5" ht="15.6" customHeight="1" x14ac:dyDescent="0.25">
      <c r="A813" s="36" t="s">
        <v>98</v>
      </c>
      <c r="B813" s="36"/>
      <c r="C813" s="36"/>
      <c r="D813" s="36"/>
      <c r="E813" s="36"/>
    </row>
    <row r="814" spans="1:5" x14ac:dyDescent="0.25">
      <c r="A814" s="57" t="s">
        <v>8</v>
      </c>
      <c r="B814" s="58" t="s">
        <v>9</v>
      </c>
      <c r="C814" s="34" t="s">
        <v>10</v>
      </c>
      <c r="D814" s="34" t="s">
        <v>340</v>
      </c>
      <c r="E814" s="16" t="s">
        <v>65</v>
      </c>
    </row>
    <row r="815" spans="1:5" ht="49.2" x14ac:dyDescent="0.25">
      <c r="A815" s="15" t="s">
        <v>99</v>
      </c>
      <c r="B815" s="25" t="s">
        <v>95</v>
      </c>
      <c r="C815" s="35" t="s">
        <v>100</v>
      </c>
      <c r="D815" s="35" t="s">
        <v>101</v>
      </c>
      <c r="E815" s="16">
        <v>0</v>
      </c>
    </row>
    <row r="817" spans="1:133" x14ac:dyDescent="0.25">
      <c r="A817" s="57" t="s">
        <v>8</v>
      </c>
      <c r="B817" s="58" t="s">
        <v>9</v>
      </c>
      <c r="C817" s="34" t="s">
        <v>10</v>
      </c>
      <c r="D817" s="34" t="s">
        <v>340</v>
      </c>
      <c r="E817" s="16" t="s">
        <v>65</v>
      </c>
    </row>
    <row r="818" spans="1:133" ht="18" x14ac:dyDescent="0.25">
      <c r="A818" s="59" t="s">
        <v>102</v>
      </c>
      <c r="B818" s="25" t="s">
        <v>103</v>
      </c>
      <c r="C818" s="35" t="s">
        <v>104</v>
      </c>
      <c r="D818" s="53" t="s">
        <v>380</v>
      </c>
      <c r="E818" s="18">
        <f>ROUNDDOWN(E768+E799+E794+E811+E815,0)</f>
        <v>2933</v>
      </c>
    </row>
    <row r="819" spans="1:133" s="167" customFormat="1" ht="43.2" customHeight="1" x14ac:dyDescent="0.25">
      <c r="A819" s="171" t="s">
        <v>238</v>
      </c>
      <c r="B819" s="172"/>
      <c r="C819" s="172"/>
      <c r="D819" s="172"/>
      <c r="E819" s="172"/>
      <c r="F819" s="172"/>
      <c r="G819" s="172"/>
      <c r="H819" s="172"/>
      <c r="I819" s="172"/>
      <c r="J819" s="172"/>
      <c r="K819" s="172"/>
      <c r="L819" s="172"/>
      <c r="M819" s="172"/>
      <c r="N819" s="172"/>
      <c r="O819" s="172"/>
      <c r="P819" s="172"/>
      <c r="Q819" s="172"/>
      <c r="R819" s="172"/>
      <c r="S819" s="172"/>
      <c r="T819" s="172"/>
      <c r="U819" s="172"/>
      <c r="V819" s="172"/>
      <c r="W819" s="172"/>
      <c r="X819" s="172"/>
      <c r="Y819" s="172"/>
      <c r="Z819" s="172"/>
      <c r="AA819" s="172"/>
      <c r="AB819" s="172"/>
      <c r="AC819" s="172"/>
      <c r="AD819" s="172"/>
      <c r="AE819" s="172"/>
      <c r="AF819" s="172"/>
      <c r="AG819" s="172"/>
      <c r="AH819" s="172"/>
      <c r="AI819" s="172"/>
      <c r="AJ819" s="172"/>
      <c r="AK819" s="172"/>
      <c r="AL819" s="172"/>
      <c r="AM819" s="172"/>
      <c r="AN819" s="172"/>
      <c r="AO819" s="172"/>
      <c r="AP819" s="172"/>
      <c r="AQ819" s="172"/>
      <c r="AR819" s="172"/>
      <c r="AS819" s="172"/>
      <c r="AT819" s="172"/>
      <c r="AU819" s="172"/>
      <c r="AV819" s="172"/>
      <c r="AW819" s="172"/>
      <c r="AX819" s="172"/>
      <c r="AY819" s="172"/>
      <c r="AZ819" s="172"/>
      <c r="BA819" s="172"/>
      <c r="BB819" s="172"/>
      <c r="BC819" s="172"/>
      <c r="BD819" s="172"/>
      <c r="BE819" s="172"/>
      <c r="BF819" s="172"/>
      <c r="BG819" s="172"/>
      <c r="BH819" s="172"/>
      <c r="BI819" s="172"/>
      <c r="BJ819" s="172"/>
      <c r="BK819" s="172"/>
      <c r="BL819" s="172"/>
      <c r="BM819" s="172"/>
      <c r="BN819" s="172"/>
      <c r="BO819" s="172"/>
      <c r="BP819" s="172"/>
      <c r="BQ819" s="172"/>
      <c r="BR819" s="172"/>
      <c r="BS819" s="172"/>
      <c r="BT819" s="172"/>
      <c r="BU819" s="172"/>
      <c r="BV819" s="172"/>
      <c r="BW819" s="172"/>
      <c r="BX819" s="172"/>
      <c r="BY819" s="172"/>
      <c r="BZ819" s="172"/>
      <c r="CA819" s="172"/>
      <c r="CB819" s="172"/>
      <c r="CC819" s="172"/>
      <c r="CD819" s="172"/>
      <c r="CE819" s="172"/>
      <c r="CF819" s="172"/>
      <c r="CG819" s="172"/>
      <c r="CH819" s="172"/>
      <c r="CI819" s="172"/>
      <c r="CJ819" s="172"/>
      <c r="CK819" s="172"/>
      <c r="CL819" s="172"/>
      <c r="CM819" s="172"/>
      <c r="CN819" s="172"/>
      <c r="CO819" s="172"/>
      <c r="CP819" s="172"/>
      <c r="CQ819" s="172"/>
      <c r="CR819" s="172"/>
      <c r="CS819" s="172"/>
      <c r="CT819" s="172"/>
      <c r="CU819" s="172"/>
      <c r="CV819" s="172"/>
      <c r="CW819" s="172"/>
      <c r="CX819" s="172"/>
      <c r="CY819" s="172"/>
      <c r="CZ819" s="172"/>
      <c r="DA819" s="172"/>
      <c r="DB819" s="172"/>
      <c r="DC819" s="172"/>
      <c r="DD819" s="172"/>
      <c r="DE819" s="172"/>
      <c r="DF819" s="172"/>
      <c r="DG819" s="172"/>
      <c r="DH819" s="172"/>
      <c r="DI819" s="172"/>
      <c r="DJ819" s="172"/>
      <c r="DK819" s="172"/>
      <c r="DL819" s="172"/>
      <c r="DM819" s="172"/>
      <c r="DN819" s="172"/>
      <c r="DO819" s="172"/>
      <c r="DP819" s="172"/>
      <c r="DQ819" s="172"/>
      <c r="DR819" s="172"/>
      <c r="DS819" s="172"/>
      <c r="DT819" s="172"/>
      <c r="DU819" s="172"/>
      <c r="DV819" s="172"/>
      <c r="DW819" s="172"/>
      <c r="DX819" s="172"/>
      <c r="DY819" s="172"/>
      <c r="DZ819" s="172"/>
      <c r="EA819" s="172"/>
      <c r="EB819" s="172"/>
      <c r="EC819" s="173"/>
    </row>
    <row r="820" spans="1:133" s="56" customFormat="1" ht="31.2" x14ac:dyDescent="0.25">
      <c r="A820" s="92" t="s">
        <v>8</v>
      </c>
      <c r="B820" s="93" t="s">
        <v>9</v>
      </c>
      <c r="C820" s="94" t="s">
        <v>10</v>
      </c>
      <c r="D820" s="93" t="s">
        <v>341</v>
      </c>
      <c r="E820" s="93" t="s">
        <v>11</v>
      </c>
      <c r="F820" s="16" t="s">
        <v>292</v>
      </c>
      <c r="G820" s="16" t="s">
        <v>292</v>
      </c>
      <c r="H820" s="16" t="s">
        <v>292</v>
      </c>
      <c r="I820" s="16" t="s">
        <v>292</v>
      </c>
      <c r="J820" s="16" t="s">
        <v>292</v>
      </c>
      <c r="K820" s="16" t="s">
        <v>292</v>
      </c>
      <c r="L820" s="16" t="s">
        <v>292</v>
      </c>
      <c r="M820" s="16" t="s">
        <v>292</v>
      </c>
      <c r="N820" s="16" t="s">
        <v>306</v>
      </c>
      <c r="O820" s="16" t="s">
        <v>293</v>
      </c>
      <c r="P820" s="16" t="s">
        <v>294</v>
      </c>
      <c r="Q820" s="16" t="s">
        <v>295</v>
      </c>
      <c r="R820" s="54"/>
      <c r="S820" s="54"/>
      <c r="T820" s="54"/>
      <c r="U820" s="54"/>
      <c r="V820" s="54"/>
      <c r="W820" s="54"/>
      <c r="X820" s="54"/>
      <c r="Y820" s="54"/>
      <c r="Z820" s="54"/>
      <c r="AA820" s="54"/>
      <c r="AB820" s="54"/>
      <c r="AC820" s="54"/>
      <c r="AD820" s="54"/>
      <c r="AE820" s="54"/>
      <c r="AF820" s="54"/>
      <c r="AG820" s="54"/>
      <c r="AH820" s="54"/>
      <c r="AI820" s="54"/>
      <c r="AJ820" s="54"/>
      <c r="AK820" s="54"/>
      <c r="AL820" s="54"/>
      <c r="AM820" s="54"/>
      <c r="AN820" s="54"/>
      <c r="AO820" s="54"/>
      <c r="AP820" s="54"/>
      <c r="AQ820" s="54"/>
      <c r="AR820" s="54"/>
      <c r="AS820" s="54"/>
      <c r="AT820" s="54"/>
      <c r="AU820" s="54"/>
      <c r="AV820" s="54"/>
      <c r="AW820" s="54"/>
      <c r="AX820" s="54"/>
      <c r="AY820" s="54"/>
      <c r="AZ820" s="54"/>
      <c r="BA820" s="54"/>
      <c r="BB820" s="54"/>
      <c r="BC820" s="54"/>
      <c r="BD820" s="54"/>
      <c r="BE820" s="54"/>
      <c r="BF820" s="54"/>
      <c r="BG820" s="54"/>
      <c r="BH820" s="54"/>
      <c r="BI820" s="54"/>
      <c r="BJ820" s="54"/>
      <c r="BK820" s="54"/>
      <c r="BL820" s="54"/>
      <c r="BM820" s="54"/>
      <c r="BN820" s="54"/>
      <c r="BO820" s="54"/>
      <c r="BP820" s="54"/>
      <c r="BQ820" s="54"/>
      <c r="BR820" s="54"/>
      <c r="BS820" s="54"/>
      <c r="BT820" s="54"/>
      <c r="BU820" s="54"/>
      <c r="BV820" s="54"/>
      <c r="BW820" s="54"/>
      <c r="BX820" s="54"/>
      <c r="BY820" s="54"/>
      <c r="BZ820" s="54"/>
      <c r="CA820" s="54"/>
      <c r="CB820" s="54"/>
      <c r="CC820" s="54"/>
      <c r="CD820" s="54"/>
      <c r="CE820" s="54"/>
      <c r="CF820" s="54"/>
      <c r="CG820" s="54"/>
      <c r="CH820" s="54"/>
      <c r="CI820" s="54"/>
      <c r="CJ820" s="54"/>
      <c r="CK820" s="54"/>
      <c r="CL820" s="54"/>
      <c r="CM820" s="54"/>
      <c r="CN820" s="54"/>
      <c r="CO820" s="54"/>
      <c r="CP820" s="54"/>
      <c r="CQ820" s="54"/>
      <c r="CR820" s="54"/>
      <c r="CS820" s="54"/>
      <c r="CT820" s="54"/>
      <c r="CU820" s="54"/>
      <c r="CV820" s="54"/>
      <c r="CW820" s="54"/>
      <c r="CX820" s="54"/>
      <c r="CY820" s="54"/>
      <c r="CZ820" s="54"/>
      <c r="DA820" s="54"/>
      <c r="DB820" s="54"/>
      <c r="DC820" s="54"/>
      <c r="DD820" s="54"/>
      <c r="DE820" s="54"/>
      <c r="DF820" s="54"/>
      <c r="DG820" s="54"/>
      <c r="DH820" s="54"/>
      <c r="DI820" s="54"/>
      <c r="DJ820" s="54"/>
      <c r="DK820" s="54"/>
      <c r="DL820" s="54"/>
      <c r="DM820" s="54"/>
      <c r="DN820" s="54"/>
      <c r="DO820" s="54"/>
      <c r="DP820" s="54"/>
      <c r="DQ820" s="54"/>
      <c r="DR820" s="54"/>
      <c r="DS820" s="54"/>
      <c r="DT820" s="54"/>
      <c r="DU820" s="54"/>
      <c r="DV820" s="54"/>
      <c r="DW820" s="54"/>
      <c r="DX820" s="54"/>
      <c r="DY820" s="54"/>
      <c r="DZ820" s="54"/>
      <c r="EA820" s="54"/>
      <c r="EB820" s="54"/>
      <c r="EC820" s="54"/>
    </row>
    <row r="821" spans="1:133" s="56" customFormat="1" x14ac:dyDescent="0.25">
      <c r="A821" s="58" t="s">
        <v>12</v>
      </c>
      <c r="B821" s="58"/>
      <c r="C821" s="34"/>
      <c r="D821" s="34"/>
      <c r="E821" s="58"/>
      <c r="F821" s="16" t="s">
        <v>297</v>
      </c>
      <c r="G821" s="16" t="s">
        <v>297</v>
      </c>
      <c r="H821" s="16" t="s">
        <v>297</v>
      </c>
      <c r="I821" s="16" t="s">
        <v>297</v>
      </c>
      <c r="J821" s="16" t="s">
        <v>297</v>
      </c>
      <c r="K821" s="16" t="s">
        <v>297</v>
      </c>
      <c r="L821" s="16" t="s">
        <v>297</v>
      </c>
      <c r="M821" s="16" t="s">
        <v>297</v>
      </c>
      <c r="N821" s="16">
        <v>22</v>
      </c>
      <c r="O821" s="16">
        <v>31</v>
      </c>
      <c r="P821" s="16">
        <v>30</v>
      </c>
      <c r="Q821" s="16">
        <v>31</v>
      </c>
      <c r="R821" s="54"/>
      <c r="S821" s="54"/>
      <c r="T821" s="54"/>
      <c r="U821" s="54"/>
      <c r="V821" s="54"/>
      <c r="W821" s="54"/>
      <c r="X821" s="54"/>
      <c r="Y821" s="54"/>
      <c r="Z821" s="54"/>
      <c r="AA821" s="54"/>
      <c r="AB821" s="54"/>
      <c r="AC821" s="54"/>
      <c r="AD821" s="54"/>
      <c r="AE821" s="54"/>
      <c r="AF821" s="54"/>
      <c r="AG821" s="54"/>
      <c r="AH821" s="54"/>
      <c r="AI821" s="54"/>
      <c r="AJ821" s="54"/>
      <c r="AK821" s="54"/>
      <c r="AL821" s="54"/>
      <c r="AM821" s="54"/>
      <c r="AN821" s="54"/>
      <c r="AO821" s="54"/>
      <c r="AP821" s="54"/>
      <c r="AQ821" s="54"/>
      <c r="AR821" s="54"/>
      <c r="AS821" s="54"/>
      <c r="AT821" s="54"/>
      <c r="AU821" s="54"/>
      <c r="AV821" s="54"/>
      <c r="AW821" s="54"/>
      <c r="AX821" s="54"/>
      <c r="AY821" s="54"/>
      <c r="AZ821" s="54"/>
      <c r="BA821" s="54"/>
      <c r="BB821" s="54"/>
      <c r="BC821" s="54"/>
      <c r="BD821" s="54"/>
      <c r="BE821" s="54"/>
      <c r="BF821" s="54"/>
      <c r="BG821" s="54"/>
      <c r="BH821" s="54"/>
      <c r="BI821" s="54"/>
      <c r="BJ821" s="54"/>
      <c r="BK821" s="54"/>
      <c r="BL821" s="54"/>
      <c r="BM821" s="54"/>
      <c r="BN821" s="54"/>
      <c r="BO821" s="54"/>
      <c r="BP821" s="54"/>
      <c r="BQ821" s="54"/>
      <c r="BR821" s="54"/>
      <c r="BS821" s="54"/>
      <c r="BT821" s="54"/>
      <c r="BU821" s="54"/>
      <c r="BV821" s="54"/>
      <c r="BW821" s="54"/>
      <c r="BX821" s="54"/>
      <c r="BY821" s="54"/>
      <c r="BZ821" s="54"/>
      <c r="CA821" s="54"/>
      <c r="CB821" s="54"/>
      <c r="CC821" s="54"/>
      <c r="CD821" s="54"/>
      <c r="CE821" s="54"/>
      <c r="CF821" s="54"/>
      <c r="CG821" s="54"/>
      <c r="CH821" s="54"/>
      <c r="CI821" s="54"/>
      <c r="CJ821" s="54"/>
      <c r="CK821" s="54"/>
      <c r="CL821" s="54"/>
      <c r="CM821" s="54"/>
      <c r="CN821" s="54"/>
      <c r="CO821" s="54"/>
      <c r="CP821" s="54"/>
      <c r="CQ821" s="54"/>
      <c r="CR821" s="54"/>
      <c r="CS821" s="54"/>
      <c r="CT821" s="54"/>
      <c r="CU821" s="54"/>
      <c r="CV821" s="54"/>
      <c r="CW821" s="54"/>
      <c r="CX821" s="54"/>
      <c r="CY821" s="54"/>
      <c r="CZ821" s="54"/>
      <c r="DA821" s="54"/>
      <c r="DB821" s="54"/>
      <c r="DC821" s="54"/>
      <c r="DD821" s="54"/>
      <c r="DE821" s="54"/>
      <c r="DF821" s="54"/>
      <c r="DG821" s="54"/>
      <c r="DH821" s="54"/>
      <c r="DI821" s="54"/>
      <c r="DJ821" s="54"/>
      <c r="DK821" s="54"/>
      <c r="DL821" s="54"/>
      <c r="DM821" s="54"/>
      <c r="DN821" s="54"/>
      <c r="DO821" s="54"/>
      <c r="DP821" s="54"/>
      <c r="DQ821" s="54"/>
      <c r="DR821" s="54"/>
      <c r="DS821" s="54"/>
      <c r="DT821" s="54"/>
      <c r="DU821" s="54"/>
      <c r="DV821" s="54"/>
      <c r="DW821" s="54"/>
      <c r="DX821" s="54"/>
      <c r="DY821" s="54"/>
      <c r="DZ821" s="54"/>
      <c r="EA821" s="54"/>
      <c r="EB821" s="54"/>
      <c r="EC821" s="54"/>
    </row>
    <row r="822" spans="1:133" ht="46.8" x14ac:dyDescent="0.25">
      <c r="A822" s="59" t="s">
        <v>13</v>
      </c>
      <c r="B822" s="60" t="s">
        <v>14</v>
      </c>
      <c r="C822" s="53" t="s">
        <v>15</v>
      </c>
      <c r="D822" s="53" t="s">
        <v>369</v>
      </c>
      <c r="E822" s="61">
        <f>SUM(F822:Q822)</f>
        <v>700.2488553383514</v>
      </c>
      <c r="F822" s="62" t="s">
        <v>297</v>
      </c>
      <c r="G822" s="62" t="s">
        <v>297</v>
      </c>
      <c r="H822" s="62" t="s">
        <v>297</v>
      </c>
      <c r="I822" s="62" t="s">
        <v>297</v>
      </c>
      <c r="J822" s="62" t="s">
        <v>297</v>
      </c>
      <c r="K822" s="62" t="s">
        <v>297</v>
      </c>
      <c r="L822" s="62" t="s">
        <v>297</v>
      </c>
      <c r="M822" s="62" t="s">
        <v>297</v>
      </c>
      <c r="N822" s="62">
        <f>$E$823*$E$824*N825*$E$836</f>
        <v>141.86868942873224</v>
      </c>
      <c r="O822" s="62">
        <f t="shared" ref="O822:Q822" si="117">$E$823*$E$824*O825*$E$836</f>
        <v>199.89009085509454</v>
      </c>
      <c r="P822" s="62">
        <f t="shared" si="117"/>
        <v>176.36628044931186</v>
      </c>
      <c r="Q822" s="62">
        <f t="shared" si="117"/>
        <v>182.12379460521277</v>
      </c>
    </row>
    <row r="823" spans="1:133" ht="31.2" x14ac:dyDescent="0.25">
      <c r="A823" s="63" t="s">
        <v>16</v>
      </c>
      <c r="B823" s="60" t="s">
        <v>193</v>
      </c>
      <c r="C823" s="35" t="s">
        <v>17</v>
      </c>
      <c r="D823" s="35" t="s">
        <v>205</v>
      </c>
      <c r="E823" s="168">
        <v>28</v>
      </c>
      <c r="F823" s="169"/>
      <c r="G823" s="169"/>
      <c r="H823" s="169"/>
      <c r="I823" s="169"/>
      <c r="J823" s="169"/>
      <c r="K823" s="169"/>
      <c r="L823" s="169"/>
      <c r="M823" s="169"/>
      <c r="N823" s="169"/>
      <c r="O823" s="169"/>
      <c r="P823" s="169"/>
      <c r="Q823" s="170"/>
    </row>
    <row r="824" spans="1:133" ht="64.8" x14ac:dyDescent="0.25">
      <c r="A824" s="63" t="s">
        <v>18</v>
      </c>
      <c r="B824" s="25" t="s">
        <v>194</v>
      </c>
      <c r="C824" s="35" t="s">
        <v>20</v>
      </c>
      <c r="D824" s="35" t="s">
        <v>394</v>
      </c>
      <c r="E824" s="168">
        <v>0.21</v>
      </c>
      <c r="F824" s="169"/>
      <c r="G824" s="169"/>
      <c r="H824" s="169"/>
      <c r="I824" s="169"/>
      <c r="J824" s="169"/>
      <c r="K824" s="169"/>
      <c r="L824" s="169"/>
      <c r="M824" s="169"/>
      <c r="N824" s="169"/>
      <c r="O824" s="169"/>
      <c r="P824" s="169"/>
      <c r="Q824" s="170"/>
    </row>
    <row r="825" spans="1:133" ht="46.8" x14ac:dyDescent="0.25">
      <c r="A825" s="35" t="s">
        <v>21</v>
      </c>
      <c r="B825" s="25" t="s">
        <v>195</v>
      </c>
      <c r="C825" s="53" t="s">
        <v>22</v>
      </c>
      <c r="D825" s="53" t="s">
        <v>370</v>
      </c>
      <c r="E825" s="64">
        <f t="shared" ref="E825:Q825" si="118">E833*E826</f>
        <v>233.68081620917417</v>
      </c>
      <c r="F825" s="64" t="s">
        <v>297</v>
      </c>
      <c r="G825" s="64" t="s">
        <v>297</v>
      </c>
      <c r="H825" s="64" t="s">
        <v>297</v>
      </c>
      <c r="I825" s="64" t="s">
        <v>297</v>
      </c>
      <c r="J825" s="64" t="s">
        <v>297</v>
      </c>
      <c r="K825" s="64" t="s">
        <v>297</v>
      </c>
      <c r="L825" s="64" t="s">
        <v>297</v>
      </c>
      <c r="M825" s="64" t="s">
        <v>297</v>
      </c>
      <c r="N825" s="64">
        <f t="shared" si="118"/>
        <v>47.343156490007203</v>
      </c>
      <c r="O825" s="64">
        <f t="shared" si="118"/>
        <v>66.705542218379719</v>
      </c>
      <c r="P825" s="64">
        <f t="shared" si="118"/>
        <v>58.855385557549411</v>
      </c>
      <c r="Q825" s="64">
        <f t="shared" si="118"/>
        <v>60.776731943237834</v>
      </c>
    </row>
    <row r="826" spans="1:133" ht="46.8" x14ac:dyDescent="0.25">
      <c r="A826" s="35" t="s">
        <v>23</v>
      </c>
      <c r="B826" s="25" t="s">
        <v>197</v>
      </c>
      <c r="C826" s="35" t="s">
        <v>191</v>
      </c>
      <c r="D826" s="35" t="s">
        <v>371</v>
      </c>
      <c r="E826" s="20">
        <f>SUM(N826:Q826)</f>
        <v>246.1177902859406</v>
      </c>
      <c r="F826" s="20" t="s">
        <v>297</v>
      </c>
      <c r="G826" s="20" t="s">
        <v>297</v>
      </c>
      <c r="H826" s="20" t="s">
        <v>297</v>
      </c>
      <c r="I826" s="20" t="s">
        <v>297</v>
      </c>
      <c r="J826" s="20" t="s">
        <v>297</v>
      </c>
      <c r="K826" s="20" t="s">
        <v>297</v>
      </c>
      <c r="L826" s="20" t="s">
        <v>297</v>
      </c>
      <c r="M826" s="20" t="s">
        <v>297</v>
      </c>
      <c r="N826" s="20">
        <f t="shared" ref="N826:Q826" si="119">N828*N831</f>
        <v>49.862856735539808</v>
      </c>
      <c r="O826" s="20">
        <f t="shared" si="119"/>
        <v>70.255748490357249</v>
      </c>
      <c r="P826" s="20">
        <f t="shared" si="119"/>
        <v>61.987790332283325</v>
      </c>
      <c r="Q826" s="20">
        <f t="shared" si="119"/>
        <v>64.011394727760219</v>
      </c>
    </row>
    <row r="827" spans="1:133" ht="62.4" x14ac:dyDescent="0.25">
      <c r="A827" s="17" t="s">
        <v>334</v>
      </c>
      <c r="B827" s="60" t="s">
        <v>192</v>
      </c>
      <c r="C827" s="35" t="s">
        <v>25</v>
      </c>
      <c r="D827" s="35" t="s">
        <v>333</v>
      </c>
      <c r="E827" s="121">
        <f>AVERAGE(N827:Q827)</f>
        <v>5086.2605243157377</v>
      </c>
      <c r="F827" s="20" t="s">
        <v>297</v>
      </c>
      <c r="G827" s="20" t="s">
        <v>297</v>
      </c>
      <c r="H827" s="20" t="s">
        <v>297</v>
      </c>
      <c r="I827" s="20" t="s">
        <v>297</v>
      </c>
      <c r="J827" s="20" t="s">
        <v>297</v>
      </c>
      <c r="K827" s="20" t="s">
        <v>297</v>
      </c>
      <c r="L827" s="20" t="s">
        <v>297</v>
      </c>
      <c r="M827" s="20" t="s">
        <v>297</v>
      </c>
      <c r="N827" s="121">
        <v>5323.5719090909079</v>
      </c>
      <c r="O827" s="121">
        <v>5322.838677419355</v>
      </c>
      <c r="P827" s="121">
        <v>4849.6538333333338</v>
      </c>
      <c r="Q827" s="121">
        <v>4848.9776774193542</v>
      </c>
    </row>
    <row r="828" spans="1:133" ht="46.8" x14ac:dyDescent="0.25">
      <c r="A828" s="35" t="s">
        <v>26</v>
      </c>
      <c r="B828" s="60" t="s">
        <v>198</v>
      </c>
      <c r="C828" s="35" t="s">
        <v>27</v>
      </c>
      <c r="D828" s="35" t="s">
        <v>206</v>
      </c>
      <c r="E828" s="65">
        <f>SUM(N828:Q828)</f>
        <v>577934.50399999996</v>
      </c>
      <c r="F828" s="65" t="s">
        <v>297</v>
      </c>
      <c r="G828" s="65" t="s">
        <v>297</v>
      </c>
      <c r="H828" s="65" t="s">
        <v>297</v>
      </c>
      <c r="I828" s="65" t="s">
        <v>297</v>
      </c>
      <c r="J828" s="65" t="s">
        <v>297</v>
      </c>
      <c r="K828" s="65" t="s">
        <v>297</v>
      </c>
      <c r="L828" s="65" t="s">
        <v>297</v>
      </c>
      <c r="M828" s="65" t="s">
        <v>297</v>
      </c>
      <c r="N828" s="65">
        <f t="shared" ref="N828:Q828" si="120">N827*N821</f>
        <v>117118.58199999997</v>
      </c>
      <c r="O828" s="65">
        <f t="shared" si="120"/>
        <v>165007.99900000001</v>
      </c>
      <c r="P828" s="65">
        <f t="shared" si="120"/>
        <v>145489.61500000002</v>
      </c>
      <c r="Q828" s="65">
        <f t="shared" si="120"/>
        <v>150318.30799999999</v>
      </c>
    </row>
    <row r="829" spans="1:133" ht="62.4" x14ac:dyDescent="0.25">
      <c r="A829" s="35" t="s">
        <v>28</v>
      </c>
      <c r="B829" s="60" t="s">
        <v>199</v>
      </c>
      <c r="C829" s="35" t="s">
        <v>29</v>
      </c>
      <c r="D829" s="35" t="s">
        <v>332</v>
      </c>
      <c r="E829" s="125">
        <f>AVERAGE(N829:Q829)</f>
        <v>425.85521132019113</v>
      </c>
      <c r="F829" s="66" t="s">
        <v>297</v>
      </c>
      <c r="G829" s="66" t="s">
        <v>297</v>
      </c>
      <c r="H829" s="66" t="s">
        <v>297</v>
      </c>
      <c r="I829" s="66" t="s">
        <v>297</v>
      </c>
      <c r="J829" s="66" t="s">
        <v>297</v>
      </c>
      <c r="K829" s="66" t="s">
        <v>297</v>
      </c>
      <c r="L829" s="66" t="s">
        <v>297</v>
      </c>
      <c r="M829" s="66" t="s">
        <v>297</v>
      </c>
      <c r="N829" s="123">
        <v>425.74675925925931</v>
      </c>
      <c r="O829" s="123">
        <v>425.77177419354825</v>
      </c>
      <c r="P829" s="123">
        <v>426.06333333333322</v>
      </c>
      <c r="Q829" s="123">
        <v>425.83897849462369</v>
      </c>
    </row>
    <row r="830" spans="1:133" ht="62.4" x14ac:dyDescent="0.25">
      <c r="A830" s="35" t="s">
        <v>30</v>
      </c>
      <c r="B830" s="60" t="s">
        <v>199</v>
      </c>
      <c r="C830" s="35" t="s">
        <v>31</v>
      </c>
      <c r="D830" s="35" t="s">
        <v>331</v>
      </c>
      <c r="E830" s="125">
        <f>AVERAGE(N830:Q830)</f>
        <v>19.546494175627242</v>
      </c>
      <c r="F830" s="65" t="s">
        <v>297</v>
      </c>
      <c r="G830" s="65" t="s">
        <v>297</v>
      </c>
      <c r="H830" s="65" t="s">
        <v>297</v>
      </c>
      <c r="I830" s="65" t="s">
        <v>297</v>
      </c>
      <c r="J830" s="65" t="s">
        <v>297</v>
      </c>
      <c r="K830" s="65" t="s">
        <v>297</v>
      </c>
      <c r="L830" s="65" t="s">
        <v>297</v>
      </c>
      <c r="M830" s="65" t="s">
        <v>297</v>
      </c>
      <c r="N830" s="123">
        <v>19.330555555555556</v>
      </c>
      <c r="O830" s="123">
        <v>19.487365591397847</v>
      </c>
      <c r="P830" s="123">
        <v>19.543055555555558</v>
      </c>
      <c r="Q830" s="123">
        <v>19.825000000000003</v>
      </c>
    </row>
    <row r="831" spans="1:133" ht="62.4" x14ac:dyDescent="0.25">
      <c r="A831" s="35" t="s">
        <v>32</v>
      </c>
      <c r="B831" s="60" t="s">
        <v>200</v>
      </c>
      <c r="C831" s="35" t="s">
        <v>34</v>
      </c>
      <c r="D831" s="35" t="s">
        <v>338</v>
      </c>
      <c r="E831" s="67">
        <f>E829/1000000</f>
        <v>4.2585521132019116E-4</v>
      </c>
      <c r="F831" s="22" t="s">
        <v>297</v>
      </c>
      <c r="G831" s="22" t="s">
        <v>297</v>
      </c>
      <c r="H831" s="22" t="s">
        <v>297</v>
      </c>
      <c r="I831" s="22" t="s">
        <v>297</v>
      </c>
      <c r="J831" s="22" t="s">
        <v>297</v>
      </c>
      <c r="K831" s="22" t="s">
        <v>297</v>
      </c>
      <c r="L831" s="22" t="s">
        <v>297</v>
      </c>
      <c r="M831" s="22" t="s">
        <v>297</v>
      </c>
      <c r="N831" s="120">
        <f t="shared" ref="N831:Q831" si="121">N829/1000000</f>
        <v>4.2574675925925932E-4</v>
      </c>
      <c r="O831" s="120">
        <f t="shared" si="121"/>
        <v>4.2577177419354827E-4</v>
      </c>
      <c r="P831" s="120">
        <f t="shared" si="121"/>
        <v>4.2606333333333323E-4</v>
      </c>
      <c r="Q831" s="120">
        <f t="shared" si="121"/>
        <v>4.258389784946237E-4</v>
      </c>
    </row>
    <row r="832" spans="1:133" ht="62.4" x14ac:dyDescent="0.25">
      <c r="A832" s="35" t="s">
        <v>30</v>
      </c>
      <c r="B832" s="60" t="s">
        <v>33</v>
      </c>
      <c r="C832" s="35" t="s">
        <v>35</v>
      </c>
      <c r="D832" s="35" t="s">
        <v>339</v>
      </c>
      <c r="E832" s="122">
        <f>E830/1000000</f>
        <v>1.954649417562724E-5</v>
      </c>
      <c r="F832" s="22" t="s">
        <v>297</v>
      </c>
      <c r="G832" s="22" t="s">
        <v>297</v>
      </c>
      <c r="H832" s="22" t="s">
        <v>297</v>
      </c>
      <c r="I832" s="22" t="s">
        <v>297</v>
      </c>
      <c r="J832" s="22" t="s">
        <v>297</v>
      </c>
      <c r="K832" s="22" t="s">
        <v>297</v>
      </c>
      <c r="L832" s="22" t="s">
        <v>297</v>
      </c>
      <c r="M832" s="22" t="s">
        <v>297</v>
      </c>
      <c r="N832" s="120">
        <f t="shared" ref="N832:Q832" si="122">N830/1000000</f>
        <v>1.9330555555555555E-5</v>
      </c>
      <c r="O832" s="120">
        <f t="shared" si="122"/>
        <v>1.9487365591397848E-5</v>
      </c>
      <c r="P832" s="120">
        <f t="shared" si="122"/>
        <v>1.9543055555555557E-5</v>
      </c>
      <c r="Q832" s="120">
        <f t="shared" si="122"/>
        <v>1.9825000000000004E-5</v>
      </c>
    </row>
    <row r="833" spans="1:133" ht="46.8" x14ac:dyDescent="0.25">
      <c r="A833" s="63" t="s">
        <v>36</v>
      </c>
      <c r="B833" s="25" t="s">
        <v>201</v>
      </c>
      <c r="C833" s="35" t="s">
        <v>38</v>
      </c>
      <c r="D833" s="35" t="s">
        <v>368</v>
      </c>
      <c r="E833" s="68">
        <f>(1-(E834/E835))</f>
        <v>0.94946739095001176</v>
      </c>
      <c r="F833" s="68" t="s">
        <v>297</v>
      </c>
      <c r="G833" s="68" t="s">
        <v>297</v>
      </c>
      <c r="H833" s="68" t="s">
        <v>297</v>
      </c>
      <c r="I833" s="68" t="s">
        <v>297</v>
      </c>
      <c r="J833" s="68" t="s">
        <v>297</v>
      </c>
      <c r="K833" s="68" t="s">
        <v>297</v>
      </c>
      <c r="L833" s="68" t="s">
        <v>297</v>
      </c>
      <c r="M833" s="68" t="s">
        <v>297</v>
      </c>
      <c r="N833" s="68">
        <f>E833</f>
        <v>0.94946739095001176</v>
      </c>
      <c r="O833" s="68">
        <f>E833</f>
        <v>0.94946739095001176</v>
      </c>
      <c r="P833" s="68">
        <f>E833</f>
        <v>0.94946739095001176</v>
      </c>
      <c r="Q833" s="68">
        <f>E833</f>
        <v>0.94946739095001176</v>
      </c>
    </row>
    <row r="834" spans="1:133" ht="31.2" x14ac:dyDescent="0.25">
      <c r="A834" s="35" t="s">
        <v>39</v>
      </c>
      <c r="B834" s="25" t="s">
        <v>196</v>
      </c>
      <c r="C834" s="35" t="s">
        <v>40</v>
      </c>
      <c r="D834" s="35" t="s">
        <v>351</v>
      </c>
      <c r="E834" s="52">
        <f>SUM(F834:Q834)</f>
        <v>11.770630872000002</v>
      </c>
      <c r="F834" s="52" t="s">
        <v>297</v>
      </c>
      <c r="G834" s="52" t="s">
        <v>297</v>
      </c>
      <c r="H834" s="52" t="s">
        <v>297</v>
      </c>
      <c r="I834" s="52" t="s">
        <v>297</v>
      </c>
      <c r="J834" s="52" t="s">
        <v>297</v>
      </c>
      <c r="K834" s="52" t="s">
        <v>297</v>
      </c>
      <c r="L834" s="52" t="s">
        <v>297</v>
      </c>
      <c r="M834" s="52" t="s">
        <v>297</v>
      </c>
      <c r="N834" s="52">
        <v>2.2715252560000003</v>
      </c>
      <c r="O834" s="52">
        <v>3.2007855880000005</v>
      </c>
      <c r="P834" s="52">
        <v>3.0975344400000004</v>
      </c>
      <c r="Q834" s="52">
        <v>3.2007855880000005</v>
      </c>
    </row>
    <row r="835" spans="1:133" ht="31.2" x14ac:dyDescent="0.25">
      <c r="A835" s="63" t="s">
        <v>41</v>
      </c>
      <c r="B835" s="25" t="s">
        <v>24</v>
      </c>
      <c r="C835" s="35" t="s">
        <v>42</v>
      </c>
      <c r="D835" s="35" t="s">
        <v>351</v>
      </c>
      <c r="E835" s="52">
        <f>SUM(F835:Q835)</f>
        <v>232.93139011199997</v>
      </c>
      <c r="F835" s="52" t="s">
        <v>297</v>
      </c>
      <c r="G835" s="52" t="s">
        <v>297</v>
      </c>
      <c r="H835" s="52" t="s">
        <v>297</v>
      </c>
      <c r="I835" s="52" t="s">
        <v>297</v>
      </c>
      <c r="J835" s="52" t="s">
        <v>297</v>
      </c>
      <c r="K835" s="52" t="s">
        <v>297</v>
      </c>
      <c r="L835" s="52" t="s">
        <v>297</v>
      </c>
      <c r="M835" s="52" t="s">
        <v>297</v>
      </c>
      <c r="N835" s="52">
        <v>44.951671775999991</v>
      </c>
      <c r="O835" s="52">
        <v>63.34099204799999</v>
      </c>
      <c r="P835" s="52">
        <v>61.297734239999997</v>
      </c>
      <c r="Q835" s="52">
        <v>63.34099204799999</v>
      </c>
    </row>
    <row r="836" spans="1:133" ht="31.2" x14ac:dyDescent="0.25">
      <c r="A836" s="53" t="s">
        <v>43</v>
      </c>
      <c r="B836" s="25" t="s">
        <v>201</v>
      </c>
      <c r="C836" s="53" t="s">
        <v>44</v>
      </c>
      <c r="D836" s="35" t="s">
        <v>372</v>
      </c>
      <c r="E836" s="159">
        <f>E837*E838*0.89</f>
        <v>0.50962652097839589</v>
      </c>
      <c r="F836" s="160"/>
      <c r="G836" s="160"/>
      <c r="H836" s="160"/>
      <c r="I836" s="160"/>
      <c r="J836" s="160"/>
      <c r="K836" s="160"/>
      <c r="L836" s="160"/>
      <c r="M836" s="160"/>
      <c r="N836" s="160"/>
      <c r="O836" s="160"/>
      <c r="P836" s="160"/>
      <c r="Q836" s="161"/>
    </row>
    <row r="837" spans="1:133" ht="31.2" x14ac:dyDescent="0.25">
      <c r="A837" s="70" t="s">
        <v>45</v>
      </c>
      <c r="B837" s="25" t="s">
        <v>201</v>
      </c>
      <c r="C837" s="53" t="s">
        <v>46</v>
      </c>
      <c r="D837" s="35" t="s">
        <v>373</v>
      </c>
      <c r="E837" s="162">
        <v>0.7</v>
      </c>
      <c r="F837" s="163"/>
      <c r="G837" s="163"/>
      <c r="H837" s="163"/>
      <c r="I837" s="163"/>
      <c r="J837" s="163"/>
      <c r="K837" s="163"/>
      <c r="L837" s="163"/>
      <c r="M837" s="163"/>
      <c r="N837" s="163"/>
      <c r="O837" s="163"/>
      <c r="P837" s="163"/>
      <c r="Q837" s="164"/>
    </row>
    <row r="838" spans="1:133" ht="36" customHeight="1" x14ac:dyDescent="0.25">
      <c r="A838" s="70" t="s">
        <v>47</v>
      </c>
      <c r="B838" s="25" t="s">
        <v>37</v>
      </c>
      <c r="C838" s="53" t="s">
        <v>48</v>
      </c>
      <c r="D838" s="35" t="s">
        <v>374</v>
      </c>
      <c r="E838" s="159">
        <f>(N839*N844+O839*O844+P839*P844+Q839*Q844)/(N833*N831*N828+O833*O828*O831+P833*P831*P828+Q833*Q831*Q828)</f>
        <v>0.81802009787864516</v>
      </c>
      <c r="F838" s="160"/>
      <c r="G838" s="160"/>
      <c r="H838" s="160"/>
      <c r="I838" s="160"/>
      <c r="J838" s="160"/>
      <c r="K838" s="160"/>
      <c r="L838" s="160"/>
      <c r="M838" s="160"/>
      <c r="N838" s="160"/>
      <c r="O838" s="160"/>
      <c r="P838" s="160"/>
      <c r="Q838" s="161"/>
    </row>
    <row r="839" spans="1:133" s="9" customFormat="1" ht="46.8" x14ac:dyDescent="0.4">
      <c r="A839" s="71" t="s">
        <v>49</v>
      </c>
      <c r="B839" s="25" t="s">
        <v>37</v>
      </c>
      <c r="C839" s="53" t="s">
        <v>50</v>
      </c>
      <c r="D839" s="53" t="s">
        <v>375</v>
      </c>
      <c r="E839" s="72">
        <f>AVERAGE(N839:Q839)</f>
        <v>0.60634569355483003</v>
      </c>
      <c r="F839" s="72" t="s">
        <v>297</v>
      </c>
      <c r="G839" s="72" t="s">
        <v>297</v>
      </c>
      <c r="H839" s="72" t="s">
        <v>297</v>
      </c>
      <c r="I839" s="72" t="s">
        <v>297</v>
      </c>
      <c r="J839" s="72" t="s">
        <v>297</v>
      </c>
      <c r="K839" s="72" t="s">
        <v>297</v>
      </c>
      <c r="L839" s="72" t="s">
        <v>297</v>
      </c>
      <c r="M839" s="72" t="s">
        <v>297</v>
      </c>
      <c r="N839" s="72">
        <f t="shared" ref="N839:Q839" si="123">IF(N843&lt;283,0,IF(N843&gt;303,1,EXP(($E$23*(N843-$E$24))/($E$25*$E$24*N843))))</f>
        <v>0.88152221926734242</v>
      </c>
      <c r="O839" s="72">
        <f t="shared" si="123"/>
        <v>0.65487347206548807</v>
      </c>
      <c r="P839" s="72">
        <f t="shared" si="123"/>
        <v>0.55084569341606926</v>
      </c>
      <c r="Q839" s="72">
        <f t="shared" si="123"/>
        <v>0.33814138947042022</v>
      </c>
      <c r="R839" s="78"/>
      <c r="S839" s="78"/>
      <c r="T839" s="78"/>
      <c r="U839" s="78"/>
      <c r="V839" s="78"/>
      <c r="W839" s="78"/>
      <c r="X839" s="78"/>
      <c r="Y839" s="78"/>
      <c r="Z839" s="78"/>
      <c r="AA839" s="78"/>
      <c r="AB839" s="78"/>
      <c r="AC839" s="78"/>
      <c r="AD839" s="78"/>
      <c r="AE839" s="78"/>
      <c r="AF839" s="78"/>
      <c r="AG839" s="78"/>
      <c r="AH839" s="78"/>
      <c r="AI839" s="78"/>
      <c r="AJ839" s="78"/>
      <c r="AK839" s="78"/>
      <c r="AL839" s="78"/>
      <c r="AM839" s="78"/>
      <c r="AN839" s="78"/>
      <c r="AO839" s="78"/>
      <c r="AP839" s="78"/>
      <c r="AQ839" s="78"/>
      <c r="AR839" s="78"/>
      <c r="AS839" s="78"/>
      <c r="AT839" s="78"/>
      <c r="AU839" s="78"/>
      <c r="AV839" s="78"/>
      <c r="AW839" s="78"/>
      <c r="AX839" s="78"/>
      <c r="AY839" s="78"/>
      <c r="AZ839" s="78"/>
      <c r="BA839" s="78"/>
      <c r="BB839" s="78"/>
      <c r="BC839" s="78"/>
      <c r="BD839" s="78"/>
      <c r="BE839" s="78"/>
      <c r="BF839" s="78"/>
      <c r="BG839" s="78"/>
      <c r="BH839" s="78"/>
      <c r="BI839" s="78"/>
      <c r="BJ839" s="78"/>
      <c r="BK839" s="78"/>
      <c r="BL839" s="78"/>
      <c r="BM839" s="78"/>
      <c r="BN839" s="78"/>
      <c r="BO839" s="78"/>
      <c r="BP839" s="78"/>
      <c r="BQ839" s="78"/>
      <c r="BR839" s="78"/>
      <c r="BS839" s="78"/>
      <c r="BT839" s="78"/>
      <c r="BU839" s="78"/>
      <c r="BV839" s="78"/>
      <c r="BW839" s="78"/>
      <c r="BX839" s="78"/>
      <c r="BY839" s="78"/>
      <c r="BZ839" s="78"/>
      <c r="CA839" s="78"/>
      <c r="CB839" s="78"/>
      <c r="CC839" s="78"/>
      <c r="CD839" s="78"/>
      <c r="CE839" s="78"/>
      <c r="CF839" s="78"/>
      <c r="CG839" s="78"/>
      <c r="CH839" s="78"/>
      <c r="CI839" s="78"/>
      <c r="CJ839" s="78"/>
      <c r="CK839" s="78"/>
      <c r="CL839" s="78"/>
      <c r="CM839" s="78"/>
      <c r="CN839" s="78"/>
      <c r="CO839" s="78"/>
      <c r="CP839" s="78"/>
      <c r="CQ839" s="78"/>
      <c r="CR839" s="78"/>
      <c r="CS839" s="78"/>
      <c r="CT839" s="78"/>
      <c r="CU839" s="78"/>
      <c r="CV839" s="78"/>
      <c r="CW839" s="78"/>
      <c r="CX839" s="78"/>
      <c r="CY839" s="78"/>
      <c r="CZ839" s="78"/>
      <c r="DA839" s="78"/>
      <c r="DB839" s="78"/>
      <c r="DC839" s="78"/>
      <c r="DD839" s="78"/>
      <c r="DE839" s="78"/>
      <c r="DF839" s="78"/>
      <c r="DG839" s="78"/>
      <c r="DH839" s="78"/>
      <c r="DI839" s="78"/>
      <c r="DJ839" s="78"/>
      <c r="DK839" s="78"/>
      <c r="DL839" s="78"/>
      <c r="DM839" s="78"/>
      <c r="DN839" s="78"/>
      <c r="DO839" s="78"/>
      <c r="DP839" s="78"/>
      <c r="DQ839" s="78"/>
      <c r="DR839" s="78"/>
      <c r="DS839" s="78"/>
      <c r="DT839" s="78"/>
      <c r="DU839" s="78"/>
      <c r="DV839" s="78"/>
      <c r="DW839" s="78"/>
      <c r="DX839" s="78"/>
      <c r="DY839" s="78"/>
      <c r="DZ839" s="78"/>
      <c r="EA839" s="78"/>
      <c r="EB839" s="78"/>
      <c r="EC839" s="78"/>
    </row>
    <row r="840" spans="1:133" s="9" customFormat="1" x14ac:dyDescent="0.25">
      <c r="A840" s="73" t="s">
        <v>51</v>
      </c>
      <c r="B840" s="60" t="s">
        <v>202</v>
      </c>
      <c r="C840" s="53" t="s">
        <v>53</v>
      </c>
      <c r="D840" s="53" t="s">
        <v>376</v>
      </c>
      <c r="E840" s="162">
        <v>15175</v>
      </c>
      <c r="F840" s="163"/>
      <c r="G840" s="163"/>
      <c r="H840" s="163"/>
      <c r="I840" s="163"/>
      <c r="J840" s="163"/>
      <c r="K840" s="163"/>
      <c r="L840" s="163"/>
      <c r="M840" s="163"/>
      <c r="N840" s="163"/>
      <c r="O840" s="163"/>
      <c r="P840" s="163"/>
      <c r="Q840" s="164"/>
      <c r="R840" s="78"/>
      <c r="S840" s="78"/>
      <c r="T840" s="78"/>
      <c r="U840" s="78"/>
      <c r="V840" s="78"/>
      <c r="W840" s="78"/>
      <c r="X840" s="78"/>
      <c r="Y840" s="78"/>
      <c r="Z840" s="78"/>
      <c r="AA840" s="78"/>
      <c r="AB840" s="78"/>
      <c r="AC840" s="78"/>
      <c r="AD840" s="78"/>
      <c r="AE840" s="78"/>
      <c r="AF840" s="78"/>
      <c r="AG840" s="78"/>
      <c r="AH840" s="78"/>
      <c r="AI840" s="78"/>
      <c r="AJ840" s="78"/>
      <c r="AK840" s="78"/>
      <c r="AL840" s="78"/>
      <c r="AM840" s="78"/>
      <c r="AN840" s="78"/>
      <c r="AO840" s="78"/>
      <c r="AP840" s="78"/>
      <c r="AQ840" s="78"/>
      <c r="AR840" s="78"/>
      <c r="AS840" s="78"/>
      <c r="AT840" s="78"/>
      <c r="AU840" s="78"/>
      <c r="AV840" s="78"/>
      <c r="AW840" s="78"/>
      <c r="AX840" s="78"/>
      <c r="AY840" s="78"/>
      <c r="AZ840" s="78"/>
      <c r="BA840" s="78"/>
      <c r="BB840" s="78"/>
      <c r="BC840" s="78"/>
      <c r="BD840" s="78"/>
      <c r="BE840" s="78"/>
      <c r="BF840" s="78"/>
      <c r="BG840" s="78"/>
      <c r="BH840" s="78"/>
      <c r="BI840" s="78"/>
      <c r="BJ840" s="78"/>
      <c r="BK840" s="78"/>
      <c r="BL840" s="78"/>
      <c r="BM840" s="78"/>
      <c r="BN840" s="78"/>
      <c r="BO840" s="78"/>
      <c r="BP840" s="78"/>
      <c r="BQ840" s="78"/>
      <c r="BR840" s="78"/>
      <c r="BS840" s="78"/>
      <c r="BT840" s="78"/>
      <c r="BU840" s="78"/>
      <c r="BV840" s="78"/>
      <c r="BW840" s="78"/>
      <c r="BX840" s="78"/>
      <c r="BY840" s="78"/>
      <c r="BZ840" s="78"/>
      <c r="CA840" s="78"/>
      <c r="CB840" s="78"/>
      <c r="CC840" s="78"/>
      <c r="CD840" s="78"/>
      <c r="CE840" s="78"/>
      <c r="CF840" s="78"/>
      <c r="CG840" s="78"/>
      <c r="CH840" s="78"/>
      <c r="CI840" s="78"/>
      <c r="CJ840" s="78"/>
      <c r="CK840" s="78"/>
      <c r="CL840" s="78"/>
      <c r="CM840" s="78"/>
      <c r="CN840" s="78"/>
      <c r="CO840" s="78"/>
      <c r="CP840" s="78"/>
      <c r="CQ840" s="78"/>
      <c r="CR840" s="78"/>
      <c r="CS840" s="78"/>
      <c r="CT840" s="78"/>
      <c r="CU840" s="78"/>
      <c r="CV840" s="78"/>
      <c r="CW840" s="78"/>
      <c r="CX840" s="78"/>
      <c r="CY840" s="78"/>
      <c r="CZ840" s="78"/>
      <c r="DA840" s="78"/>
      <c r="DB840" s="78"/>
      <c r="DC840" s="78"/>
      <c r="DD840" s="78"/>
      <c r="DE840" s="78"/>
      <c r="DF840" s="78"/>
      <c r="DG840" s="78"/>
      <c r="DH840" s="78"/>
      <c r="DI840" s="78"/>
      <c r="DJ840" s="78"/>
      <c r="DK840" s="78"/>
      <c r="DL840" s="78"/>
      <c r="DM840" s="78"/>
      <c r="DN840" s="78"/>
      <c r="DO840" s="78"/>
      <c r="DP840" s="78"/>
      <c r="DQ840" s="78"/>
      <c r="DR840" s="78"/>
      <c r="DS840" s="78"/>
      <c r="DT840" s="78"/>
      <c r="DU840" s="78"/>
      <c r="DV840" s="78"/>
      <c r="DW840" s="78"/>
      <c r="DX840" s="78"/>
      <c r="DY840" s="78"/>
      <c r="DZ840" s="78"/>
      <c r="EA840" s="78"/>
      <c r="EB840" s="78"/>
      <c r="EC840" s="78"/>
    </row>
    <row r="841" spans="1:133" s="9" customFormat="1" ht="18" x14ac:dyDescent="0.25">
      <c r="A841" s="73" t="s">
        <v>54</v>
      </c>
      <c r="B841" s="60" t="s">
        <v>203</v>
      </c>
      <c r="C841" s="53" t="s">
        <v>56</v>
      </c>
      <c r="D841" s="53" t="s">
        <v>376</v>
      </c>
      <c r="E841" s="162">
        <v>303.16000000000003</v>
      </c>
      <c r="F841" s="163"/>
      <c r="G841" s="163"/>
      <c r="H841" s="163"/>
      <c r="I841" s="163"/>
      <c r="J841" s="163"/>
      <c r="K841" s="163"/>
      <c r="L841" s="163"/>
      <c r="M841" s="163"/>
      <c r="N841" s="163"/>
      <c r="O841" s="163"/>
      <c r="P841" s="163"/>
      <c r="Q841" s="164"/>
      <c r="R841" s="78"/>
      <c r="S841" s="78"/>
      <c r="T841" s="78"/>
      <c r="U841" s="78"/>
      <c r="V841" s="78"/>
      <c r="W841" s="78"/>
      <c r="X841" s="78"/>
      <c r="Y841" s="78"/>
      <c r="Z841" s="78"/>
      <c r="AA841" s="78"/>
      <c r="AB841" s="78"/>
      <c r="AC841" s="78"/>
      <c r="AD841" s="78"/>
      <c r="AE841" s="78"/>
      <c r="AF841" s="78"/>
      <c r="AG841" s="78"/>
      <c r="AH841" s="78"/>
      <c r="AI841" s="78"/>
      <c r="AJ841" s="78"/>
      <c r="AK841" s="78"/>
      <c r="AL841" s="78"/>
      <c r="AM841" s="78"/>
      <c r="AN841" s="78"/>
      <c r="AO841" s="78"/>
      <c r="AP841" s="78"/>
      <c r="AQ841" s="78"/>
      <c r="AR841" s="78"/>
      <c r="AS841" s="78"/>
      <c r="AT841" s="78"/>
      <c r="AU841" s="78"/>
      <c r="AV841" s="78"/>
      <c r="AW841" s="78"/>
      <c r="AX841" s="78"/>
      <c r="AY841" s="78"/>
      <c r="AZ841" s="78"/>
      <c r="BA841" s="78"/>
      <c r="BB841" s="78"/>
      <c r="BC841" s="78"/>
      <c r="BD841" s="78"/>
      <c r="BE841" s="78"/>
      <c r="BF841" s="78"/>
      <c r="BG841" s="78"/>
      <c r="BH841" s="78"/>
      <c r="BI841" s="78"/>
      <c r="BJ841" s="78"/>
      <c r="BK841" s="78"/>
      <c r="BL841" s="78"/>
      <c r="BM841" s="78"/>
      <c r="BN841" s="78"/>
      <c r="BO841" s="78"/>
      <c r="BP841" s="78"/>
      <c r="BQ841" s="78"/>
      <c r="BR841" s="78"/>
      <c r="BS841" s="78"/>
      <c r="BT841" s="78"/>
      <c r="BU841" s="78"/>
      <c r="BV841" s="78"/>
      <c r="BW841" s="78"/>
      <c r="BX841" s="78"/>
      <c r="BY841" s="78"/>
      <c r="BZ841" s="78"/>
      <c r="CA841" s="78"/>
      <c r="CB841" s="78"/>
      <c r="CC841" s="78"/>
      <c r="CD841" s="78"/>
      <c r="CE841" s="78"/>
      <c r="CF841" s="78"/>
      <c r="CG841" s="78"/>
      <c r="CH841" s="78"/>
      <c r="CI841" s="78"/>
      <c r="CJ841" s="78"/>
      <c r="CK841" s="78"/>
      <c r="CL841" s="78"/>
      <c r="CM841" s="78"/>
      <c r="CN841" s="78"/>
      <c r="CO841" s="78"/>
      <c r="CP841" s="78"/>
      <c r="CQ841" s="78"/>
      <c r="CR841" s="78"/>
      <c r="CS841" s="78"/>
      <c r="CT841" s="78"/>
      <c r="CU841" s="78"/>
      <c r="CV841" s="78"/>
      <c r="CW841" s="78"/>
      <c r="CX841" s="78"/>
      <c r="CY841" s="78"/>
      <c r="CZ841" s="78"/>
      <c r="DA841" s="78"/>
      <c r="DB841" s="78"/>
      <c r="DC841" s="78"/>
      <c r="DD841" s="78"/>
      <c r="DE841" s="78"/>
      <c r="DF841" s="78"/>
      <c r="DG841" s="78"/>
      <c r="DH841" s="78"/>
      <c r="DI841" s="78"/>
      <c r="DJ841" s="78"/>
      <c r="DK841" s="78"/>
      <c r="DL841" s="78"/>
      <c r="DM841" s="78"/>
      <c r="DN841" s="78"/>
      <c r="DO841" s="78"/>
      <c r="DP841" s="78"/>
      <c r="DQ841" s="78"/>
      <c r="DR841" s="78"/>
      <c r="DS841" s="78"/>
      <c r="DT841" s="78"/>
      <c r="DU841" s="78"/>
      <c r="DV841" s="78"/>
      <c r="DW841" s="78"/>
      <c r="DX841" s="78"/>
      <c r="DY841" s="78"/>
      <c r="DZ841" s="78"/>
      <c r="EA841" s="78"/>
      <c r="EB841" s="78"/>
      <c r="EC841" s="78"/>
    </row>
    <row r="842" spans="1:133" s="9" customFormat="1" x14ac:dyDescent="0.25">
      <c r="A842" s="73" t="s">
        <v>57</v>
      </c>
      <c r="B842" s="60" t="s">
        <v>204</v>
      </c>
      <c r="C842" s="53" t="s">
        <v>59</v>
      </c>
      <c r="D842" s="53" t="s">
        <v>376</v>
      </c>
      <c r="E842" s="162">
        <v>1.9870000000000001</v>
      </c>
      <c r="F842" s="163"/>
      <c r="G842" s="163"/>
      <c r="H842" s="163"/>
      <c r="I842" s="163"/>
      <c r="J842" s="163"/>
      <c r="K842" s="163"/>
      <c r="L842" s="163"/>
      <c r="M842" s="163"/>
      <c r="N842" s="163"/>
      <c r="O842" s="163"/>
      <c r="P842" s="163"/>
      <c r="Q842" s="164"/>
      <c r="R842" s="78"/>
      <c r="S842" s="78"/>
      <c r="T842" s="78"/>
      <c r="U842" s="78"/>
      <c r="V842" s="78"/>
      <c r="W842" s="78"/>
      <c r="X842" s="78"/>
      <c r="Y842" s="78"/>
      <c r="Z842" s="78"/>
      <c r="AA842" s="78"/>
      <c r="AB842" s="78"/>
      <c r="AC842" s="78"/>
      <c r="AD842" s="78"/>
      <c r="AE842" s="78"/>
      <c r="AF842" s="78"/>
      <c r="AG842" s="78"/>
      <c r="AH842" s="78"/>
      <c r="AI842" s="78"/>
      <c r="AJ842" s="78"/>
      <c r="AK842" s="78"/>
      <c r="AL842" s="78"/>
      <c r="AM842" s="78"/>
      <c r="AN842" s="78"/>
      <c r="AO842" s="78"/>
      <c r="AP842" s="78"/>
      <c r="AQ842" s="78"/>
      <c r="AR842" s="78"/>
      <c r="AS842" s="78"/>
      <c r="AT842" s="78"/>
      <c r="AU842" s="78"/>
      <c r="AV842" s="78"/>
      <c r="AW842" s="78"/>
      <c r="AX842" s="78"/>
      <c r="AY842" s="78"/>
      <c r="AZ842" s="78"/>
      <c r="BA842" s="78"/>
      <c r="BB842" s="78"/>
      <c r="BC842" s="78"/>
      <c r="BD842" s="78"/>
      <c r="BE842" s="78"/>
      <c r="BF842" s="78"/>
      <c r="BG842" s="78"/>
      <c r="BH842" s="78"/>
      <c r="BI842" s="78"/>
      <c r="BJ842" s="78"/>
      <c r="BK842" s="78"/>
      <c r="BL842" s="78"/>
      <c r="BM842" s="78"/>
      <c r="BN842" s="78"/>
      <c r="BO842" s="78"/>
      <c r="BP842" s="78"/>
      <c r="BQ842" s="78"/>
      <c r="BR842" s="78"/>
      <c r="BS842" s="78"/>
      <c r="BT842" s="78"/>
      <c r="BU842" s="78"/>
      <c r="BV842" s="78"/>
      <c r="BW842" s="78"/>
      <c r="BX842" s="78"/>
      <c r="BY842" s="78"/>
      <c r="BZ842" s="78"/>
      <c r="CA842" s="78"/>
      <c r="CB842" s="78"/>
      <c r="CC842" s="78"/>
      <c r="CD842" s="78"/>
      <c r="CE842" s="78"/>
      <c r="CF842" s="78"/>
      <c r="CG842" s="78"/>
      <c r="CH842" s="78"/>
      <c r="CI842" s="78"/>
      <c r="CJ842" s="78"/>
      <c r="CK842" s="78"/>
      <c r="CL842" s="78"/>
      <c r="CM842" s="78"/>
      <c r="CN842" s="78"/>
      <c r="CO842" s="78"/>
      <c r="CP842" s="78"/>
      <c r="CQ842" s="78"/>
      <c r="CR842" s="78"/>
      <c r="CS842" s="78"/>
      <c r="CT842" s="78"/>
      <c r="CU842" s="78"/>
      <c r="CV842" s="78"/>
      <c r="CW842" s="78"/>
      <c r="CX842" s="78"/>
      <c r="CY842" s="78"/>
      <c r="CZ842" s="78"/>
      <c r="DA842" s="78"/>
      <c r="DB842" s="78"/>
      <c r="DC842" s="78"/>
      <c r="DD842" s="78"/>
      <c r="DE842" s="78"/>
      <c r="DF842" s="78"/>
      <c r="DG842" s="78"/>
      <c r="DH842" s="78"/>
      <c r="DI842" s="78"/>
      <c r="DJ842" s="78"/>
      <c r="DK842" s="78"/>
      <c r="DL842" s="78"/>
      <c r="DM842" s="78"/>
      <c r="DN842" s="78"/>
      <c r="DO842" s="78"/>
      <c r="DP842" s="78"/>
      <c r="DQ842" s="78"/>
      <c r="DR842" s="78"/>
      <c r="DS842" s="78"/>
      <c r="DT842" s="78"/>
      <c r="DU842" s="78"/>
      <c r="DV842" s="78"/>
      <c r="DW842" s="78"/>
      <c r="DX842" s="78"/>
      <c r="DY842" s="78"/>
      <c r="DZ842" s="78"/>
      <c r="EA842" s="78"/>
      <c r="EB842" s="78"/>
      <c r="EC842" s="78"/>
    </row>
    <row r="843" spans="1:133" s="9" customFormat="1" ht="31.2" x14ac:dyDescent="0.25">
      <c r="A843" s="73" t="s">
        <v>60</v>
      </c>
      <c r="B843" s="60" t="s">
        <v>203</v>
      </c>
      <c r="C843" s="53" t="s">
        <v>61</v>
      </c>
      <c r="D843" s="143" t="s">
        <v>363</v>
      </c>
      <c r="E843" s="98">
        <f>AVERAGE(N843:Q843)</f>
        <v>296.64999999999998</v>
      </c>
      <c r="F843" s="60" t="s">
        <v>297</v>
      </c>
      <c r="G843" s="60" t="s">
        <v>297</v>
      </c>
      <c r="H843" s="60" t="s">
        <v>297</v>
      </c>
      <c r="I843" s="60" t="s">
        <v>297</v>
      </c>
      <c r="J843" s="60" t="s">
        <v>297</v>
      </c>
      <c r="K843" s="60" t="s">
        <v>297</v>
      </c>
      <c r="L843" s="60" t="s">
        <v>297</v>
      </c>
      <c r="M843" s="60" t="s">
        <v>297</v>
      </c>
      <c r="N843" s="60">
        <v>301.64999999999998</v>
      </c>
      <c r="O843" s="60">
        <v>298.14999999999998</v>
      </c>
      <c r="P843" s="60">
        <v>296.14999999999998</v>
      </c>
      <c r="Q843" s="60">
        <v>290.64999999999998</v>
      </c>
      <c r="R843" s="78"/>
      <c r="S843" s="78"/>
      <c r="T843" s="78"/>
      <c r="U843" s="78"/>
      <c r="V843" s="78"/>
      <c r="W843" s="78"/>
      <c r="X843" s="78"/>
      <c r="Y843" s="78"/>
      <c r="Z843" s="78"/>
      <c r="AA843" s="78"/>
      <c r="AB843" s="78"/>
      <c r="AC843" s="78"/>
      <c r="AD843" s="78"/>
      <c r="AE843" s="78"/>
      <c r="AF843" s="78"/>
      <c r="AG843" s="78"/>
      <c r="AH843" s="78"/>
      <c r="AI843" s="78"/>
      <c r="AJ843" s="78"/>
      <c r="AK843" s="78"/>
      <c r="AL843" s="78"/>
      <c r="AM843" s="78"/>
      <c r="AN843" s="78"/>
      <c r="AO843" s="78"/>
      <c r="AP843" s="78"/>
      <c r="AQ843" s="78"/>
      <c r="AR843" s="78"/>
      <c r="AS843" s="78"/>
      <c r="AT843" s="78"/>
      <c r="AU843" s="78"/>
      <c r="AV843" s="78"/>
      <c r="AW843" s="78"/>
      <c r="AX843" s="78"/>
      <c r="AY843" s="78"/>
      <c r="AZ843" s="78"/>
      <c r="BA843" s="78"/>
      <c r="BB843" s="78"/>
      <c r="BC843" s="78"/>
      <c r="BD843" s="78"/>
      <c r="BE843" s="78"/>
      <c r="BF843" s="78"/>
      <c r="BG843" s="78"/>
      <c r="BH843" s="78"/>
      <c r="BI843" s="78"/>
      <c r="BJ843" s="78"/>
      <c r="BK843" s="78"/>
      <c r="BL843" s="78"/>
      <c r="BM843" s="78"/>
      <c r="BN843" s="78"/>
      <c r="BO843" s="78"/>
      <c r="BP843" s="78"/>
      <c r="BQ843" s="78"/>
      <c r="BR843" s="78"/>
      <c r="BS843" s="78"/>
      <c r="BT843" s="78"/>
      <c r="BU843" s="78"/>
      <c r="BV843" s="78"/>
      <c r="BW843" s="78"/>
      <c r="BX843" s="78"/>
      <c r="BY843" s="78"/>
      <c r="BZ843" s="78"/>
      <c r="CA843" s="78"/>
      <c r="CB843" s="78"/>
      <c r="CC843" s="78"/>
      <c r="CD843" s="78"/>
      <c r="CE843" s="78"/>
      <c r="CF843" s="78"/>
      <c r="CG843" s="78"/>
      <c r="CH843" s="78"/>
      <c r="CI843" s="78"/>
      <c r="CJ843" s="78"/>
      <c r="CK843" s="78"/>
      <c r="CL843" s="78"/>
      <c r="CM843" s="78"/>
      <c r="CN843" s="78"/>
      <c r="CO843" s="78"/>
      <c r="CP843" s="78"/>
      <c r="CQ843" s="78"/>
      <c r="CR843" s="78"/>
      <c r="CS843" s="78"/>
      <c r="CT843" s="78"/>
      <c r="CU843" s="78"/>
      <c r="CV843" s="78"/>
      <c r="CW843" s="78"/>
      <c r="CX843" s="78"/>
      <c r="CY843" s="78"/>
      <c r="CZ843" s="78"/>
      <c r="DA843" s="78"/>
      <c r="DB843" s="78"/>
      <c r="DC843" s="78"/>
      <c r="DD843" s="78"/>
      <c r="DE843" s="78"/>
      <c r="DF843" s="78"/>
      <c r="DG843" s="78"/>
      <c r="DH843" s="78"/>
      <c r="DI843" s="78"/>
      <c r="DJ843" s="78"/>
      <c r="DK843" s="78"/>
      <c r="DL843" s="78"/>
      <c r="DM843" s="78"/>
      <c r="DN843" s="78"/>
      <c r="DO843" s="78"/>
      <c r="DP843" s="78"/>
      <c r="DQ843" s="78"/>
      <c r="DR843" s="78"/>
      <c r="DS843" s="78"/>
      <c r="DT843" s="78"/>
      <c r="DU843" s="78"/>
      <c r="DV843" s="78"/>
      <c r="DW843" s="78"/>
      <c r="DX843" s="78"/>
      <c r="DY843" s="78"/>
      <c r="DZ843" s="78"/>
      <c r="EA843" s="78"/>
      <c r="EB843" s="78"/>
      <c r="EC843" s="78"/>
    </row>
    <row r="844" spans="1:133" s="9" customFormat="1" ht="31.2" x14ac:dyDescent="0.4">
      <c r="A844" s="71" t="s">
        <v>62</v>
      </c>
      <c r="B844" s="60" t="s">
        <v>196</v>
      </c>
      <c r="C844" s="53" t="s">
        <v>63</v>
      </c>
      <c r="D844" s="53" t="s">
        <v>377</v>
      </c>
      <c r="E844" s="74">
        <f>SUM(N844:Q844)</f>
        <v>350.96143889377527</v>
      </c>
      <c r="F844" s="74" t="s">
        <v>297</v>
      </c>
      <c r="G844" s="74" t="s">
        <v>297</v>
      </c>
      <c r="H844" s="74" t="s">
        <v>297</v>
      </c>
      <c r="I844" s="74" t="s">
        <v>297</v>
      </c>
      <c r="J844" s="74" t="s">
        <v>297</v>
      </c>
      <c r="K844" s="74" t="s">
        <v>297</v>
      </c>
      <c r="L844" s="74" t="s">
        <v>297</v>
      </c>
      <c r="M844" s="74" t="s">
        <v>297</v>
      </c>
      <c r="N844" s="74">
        <f>N833*N828*N831+(1-N839)*0</f>
        <v>47.343156490007203</v>
      </c>
      <c r="O844" s="74">
        <f t="shared" ref="O844:Q844" si="124">O833*O828*O831+(1-O839)*N844</f>
        <v>83.044921439236163</v>
      </c>
      <c r="P844" s="74">
        <f t="shared" si="124"/>
        <v>96.155369661906519</v>
      </c>
      <c r="Q844" s="74">
        <f t="shared" si="124"/>
        <v>124.41799130262538</v>
      </c>
      <c r="R844" s="78"/>
      <c r="S844" s="78"/>
      <c r="T844" s="78"/>
      <c r="U844" s="78"/>
      <c r="V844" s="78"/>
      <c r="W844" s="78"/>
      <c r="X844" s="78"/>
      <c r="Y844" s="78"/>
      <c r="Z844" s="78"/>
      <c r="AA844" s="78"/>
      <c r="AB844" s="78"/>
      <c r="AC844" s="78"/>
      <c r="AD844" s="78"/>
      <c r="AE844" s="78"/>
      <c r="AF844" s="78"/>
      <c r="AG844" s="78"/>
      <c r="AH844" s="78"/>
      <c r="AI844" s="78"/>
      <c r="AJ844" s="78"/>
      <c r="AK844" s="78"/>
      <c r="AL844" s="78"/>
      <c r="AM844" s="78"/>
      <c r="AN844" s="78"/>
      <c r="AO844" s="78"/>
      <c r="AP844" s="78"/>
      <c r="AQ844" s="78"/>
      <c r="AR844" s="78"/>
      <c r="AS844" s="78"/>
      <c r="AT844" s="78"/>
      <c r="AU844" s="78"/>
      <c r="AV844" s="78"/>
      <c r="AW844" s="78"/>
      <c r="AX844" s="78"/>
      <c r="AY844" s="78"/>
      <c r="AZ844" s="78"/>
      <c r="BA844" s="78"/>
      <c r="BB844" s="78"/>
      <c r="BC844" s="78"/>
      <c r="BD844" s="78"/>
      <c r="BE844" s="78"/>
      <c r="BF844" s="78"/>
      <c r="BG844" s="78"/>
      <c r="BH844" s="78"/>
      <c r="BI844" s="78"/>
      <c r="BJ844" s="78"/>
      <c r="BK844" s="78"/>
      <c r="BL844" s="78"/>
      <c r="BM844" s="78"/>
      <c r="BN844" s="78"/>
      <c r="BO844" s="78"/>
      <c r="BP844" s="78"/>
      <c r="BQ844" s="78"/>
      <c r="BR844" s="78"/>
      <c r="BS844" s="78"/>
      <c r="BT844" s="78"/>
      <c r="BU844" s="78"/>
      <c r="BV844" s="78"/>
      <c r="BW844" s="78"/>
      <c r="BX844" s="78"/>
      <c r="BY844" s="78"/>
      <c r="BZ844" s="78"/>
      <c r="CA844" s="78"/>
      <c r="CB844" s="78"/>
      <c r="CC844" s="78"/>
      <c r="CD844" s="78"/>
      <c r="CE844" s="78"/>
      <c r="CF844" s="78"/>
      <c r="CG844" s="78"/>
      <c r="CH844" s="78"/>
      <c r="CI844" s="78"/>
      <c r="CJ844" s="78"/>
      <c r="CK844" s="78"/>
      <c r="CL844" s="78"/>
      <c r="CM844" s="78"/>
      <c r="CN844" s="78"/>
      <c r="CO844" s="78"/>
      <c r="CP844" s="78"/>
      <c r="CQ844" s="78"/>
      <c r="CR844" s="78"/>
      <c r="CS844" s="78"/>
      <c r="CT844" s="78"/>
      <c r="CU844" s="78"/>
      <c r="CV844" s="78"/>
      <c r="CW844" s="78"/>
      <c r="CX844" s="78"/>
      <c r="CY844" s="78"/>
      <c r="CZ844" s="78"/>
      <c r="DA844" s="78"/>
      <c r="DB844" s="78"/>
      <c r="DC844" s="78"/>
      <c r="DD844" s="78"/>
      <c r="DE844" s="78"/>
      <c r="DF844" s="78"/>
      <c r="DG844" s="78"/>
      <c r="DH844" s="78"/>
      <c r="DI844" s="78"/>
      <c r="DJ844" s="78"/>
      <c r="DK844" s="78"/>
      <c r="DL844" s="78"/>
      <c r="DM844" s="78"/>
      <c r="DN844" s="78"/>
      <c r="DO844" s="78"/>
      <c r="DP844" s="78"/>
      <c r="DQ844" s="78"/>
      <c r="DR844" s="78"/>
      <c r="DS844" s="78"/>
      <c r="DT844" s="78"/>
      <c r="DU844" s="78"/>
      <c r="DV844" s="78"/>
      <c r="DW844" s="78"/>
      <c r="DX844" s="78"/>
      <c r="DY844" s="78"/>
      <c r="DZ844" s="78"/>
      <c r="EA844" s="78"/>
      <c r="EB844" s="78"/>
      <c r="EC844" s="78"/>
    </row>
    <row r="846" spans="1:133" ht="15.6" customHeight="1" x14ac:dyDescent="0.25">
      <c r="A846" s="36" t="s">
        <v>64</v>
      </c>
      <c r="B846" s="36"/>
      <c r="C846" s="36"/>
      <c r="D846" s="36"/>
      <c r="E846" s="36"/>
    </row>
    <row r="847" spans="1:133" x14ac:dyDescent="0.25">
      <c r="A847" s="57" t="s">
        <v>8</v>
      </c>
      <c r="B847" s="58" t="s">
        <v>9</v>
      </c>
      <c r="C847" s="34" t="s">
        <v>10</v>
      </c>
      <c r="D847" s="34" t="s">
        <v>340</v>
      </c>
      <c r="E847" s="16" t="s">
        <v>65</v>
      </c>
    </row>
    <row r="848" spans="1:133" ht="46.8" x14ac:dyDescent="0.25">
      <c r="A848" s="59" t="s">
        <v>66</v>
      </c>
      <c r="B848" s="60" t="s">
        <v>14</v>
      </c>
      <c r="C848" s="53" t="s">
        <v>67</v>
      </c>
      <c r="D848" s="53" t="s">
        <v>68</v>
      </c>
      <c r="E848" s="75">
        <v>0</v>
      </c>
    </row>
    <row r="849" spans="1:5" ht="46.8" x14ac:dyDescent="0.25">
      <c r="A849" s="63" t="s">
        <v>69</v>
      </c>
      <c r="B849" s="25" t="s">
        <v>70</v>
      </c>
      <c r="C849" s="35" t="s">
        <v>71</v>
      </c>
      <c r="D849" s="53" t="str">
        <f>D855</f>
        <v>Historical data on site in the FSR (It was calculated with conservative value)</v>
      </c>
      <c r="E849" s="74">
        <f>E855</f>
        <v>107.54075869317695</v>
      </c>
    </row>
    <row r="851" spans="1:5" ht="15.6" customHeight="1" x14ac:dyDescent="0.25">
      <c r="A851" s="90" t="s">
        <v>72</v>
      </c>
      <c r="B851" s="90"/>
      <c r="C851" s="91"/>
      <c r="D851" s="91"/>
      <c r="E851" s="90"/>
    </row>
    <row r="852" spans="1:5" x14ac:dyDescent="0.25">
      <c r="A852" s="59" t="s">
        <v>8</v>
      </c>
      <c r="B852" s="16" t="s">
        <v>9</v>
      </c>
      <c r="C852" s="38" t="s">
        <v>10</v>
      </c>
      <c r="D852" s="38" t="s">
        <v>340</v>
      </c>
      <c r="E852" s="16" t="s">
        <v>65</v>
      </c>
    </row>
    <row r="853" spans="1:5" ht="33.6" x14ac:dyDescent="0.4">
      <c r="A853" s="76" t="s">
        <v>73</v>
      </c>
      <c r="B853" s="25" t="s">
        <v>74</v>
      </c>
      <c r="C853" s="35" t="s">
        <v>75</v>
      </c>
      <c r="D853" s="35" t="s">
        <v>378</v>
      </c>
      <c r="E853" s="50">
        <f>E854*E857*E858*E859*E860*E861</f>
        <v>0.43680163067198219</v>
      </c>
    </row>
    <row r="854" spans="1:5" ht="46.8" x14ac:dyDescent="0.4">
      <c r="A854" s="77" t="s">
        <v>207</v>
      </c>
      <c r="B854" s="25" t="s">
        <v>76</v>
      </c>
      <c r="C854" s="35" t="s">
        <v>77</v>
      </c>
      <c r="D854" s="35" t="s">
        <v>379</v>
      </c>
      <c r="E854" s="52">
        <f>E855/E856</f>
        <v>21.508151738635391</v>
      </c>
    </row>
    <row r="855" spans="1:5" ht="46.8" x14ac:dyDescent="0.25">
      <c r="A855" s="63" t="s">
        <v>208</v>
      </c>
      <c r="B855" s="25" t="s">
        <v>78</v>
      </c>
      <c r="C855" s="35" t="s">
        <v>79</v>
      </c>
      <c r="D855" s="53" t="s">
        <v>352</v>
      </c>
      <c r="E855" s="52">
        <f>0.000186077761318741*E828</f>
        <v>107.54075869317695</v>
      </c>
    </row>
    <row r="856" spans="1:5" ht="31.2" x14ac:dyDescent="0.25">
      <c r="A856" s="63" t="s">
        <v>209</v>
      </c>
      <c r="B856" s="25" t="s">
        <v>80</v>
      </c>
      <c r="C856" s="35" t="s">
        <v>81</v>
      </c>
      <c r="D856" s="35" t="s">
        <v>353</v>
      </c>
      <c r="E856" s="25">
        <f>5</f>
        <v>5</v>
      </c>
    </row>
    <row r="857" spans="1:5" ht="62.4" x14ac:dyDescent="0.25">
      <c r="A857" s="63" t="s">
        <v>210</v>
      </c>
      <c r="B857" s="25" t="s">
        <v>82</v>
      </c>
      <c r="C857" s="35" t="s">
        <v>83</v>
      </c>
      <c r="D857" s="53" t="s">
        <v>354</v>
      </c>
      <c r="E857" s="25">
        <f>15*2</f>
        <v>30</v>
      </c>
    </row>
    <row r="858" spans="1:5" ht="172.2" x14ac:dyDescent="0.25">
      <c r="A858" s="63" t="s">
        <v>211</v>
      </c>
      <c r="B858" s="25" t="s">
        <v>84</v>
      </c>
      <c r="C858" s="35" t="s">
        <v>85</v>
      </c>
      <c r="D858" s="35" t="s">
        <v>355</v>
      </c>
      <c r="E858" s="25">
        <f>25.1/100</f>
        <v>0.251</v>
      </c>
    </row>
    <row r="859" spans="1:5" ht="156" x14ac:dyDescent="0.25">
      <c r="A859" s="63" t="s">
        <v>212</v>
      </c>
      <c r="B859" s="25" t="s">
        <v>87</v>
      </c>
      <c r="C859" s="35" t="s">
        <v>86</v>
      </c>
      <c r="D859" s="35" t="s">
        <v>356</v>
      </c>
      <c r="E859" s="25">
        <f>0.84/1000</f>
        <v>8.3999999999999993E-4</v>
      </c>
    </row>
    <row r="860" spans="1:5" ht="171.6" x14ac:dyDescent="0.25">
      <c r="A860" s="63" t="s">
        <v>213</v>
      </c>
      <c r="B860" s="25" t="s">
        <v>88</v>
      </c>
      <c r="C860" s="35" t="s">
        <v>89</v>
      </c>
      <c r="D860" s="35" t="s">
        <v>357</v>
      </c>
      <c r="E860" s="25">
        <f>43.33/1000</f>
        <v>4.333E-2</v>
      </c>
    </row>
    <row r="861" spans="1:5" ht="62.4" x14ac:dyDescent="0.25">
      <c r="A861" s="63" t="s">
        <v>214</v>
      </c>
      <c r="B861" s="25" t="s">
        <v>90</v>
      </c>
      <c r="C861" s="35" t="s">
        <v>91</v>
      </c>
      <c r="D861" s="35" t="s">
        <v>358</v>
      </c>
      <c r="E861" s="25">
        <v>74.099999999999994</v>
      </c>
    </row>
    <row r="863" spans="1:5" ht="15.6" customHeight="1" x14ac:dyDescent="0.25">
      <c r="A863" s="36" t="s">
        <v>93</v>
      </c>
      <c r="B863" s="36"/>
      <c r="C863" s="36"/>
      <c r="D863" s="36"/>
      <c r="E863" s="36"/>
    </row>
    <row r="864" spans="1:5" x14ac:dyDescent="0.25">
      <c r="A864" s="57" t="s">
        <v>8</v>
      </c>
      <c r="B864" s="58" t="s">
        <v>9</v>
      </c>
      <c r="C864" s="34" t="s">
        <v>10</v>
      </c>
      <c r="D864" s="34" t="s">
        <v>340</v>
      </c>
      <c r="E864" s="16" t="s">
        <v>65</v>
      </c>
    </row>
    <row r="865" spans="1:5" ht="64.8" x14ac:dyDescent="0.25">
      <c r="A865" s="15" t="s">
        <v>94</v>
      </c>
      <c r="B865" s="25" t="s">
        <v>95</v>
      </c>
      <c r="C865" s="35" t="s">
        <v>96</v>
      </c>
      <c r="D865" s="35" t="s">
        <v>97</v>
      </c>
      <c r="E865" s="16">
        <v>0</v>
      </c>
    </row>
    <row r="867" spans="1:5" ht="15.6" customHeight="1" x14ac:dyDescent="0.25">
      <c r="A867" s="36" t="s">
        <v>98</v>
      </c>
      <c r="B867" s="36"/>
      <c r="C867" s="36"/>
      <c r="D867" s="36"/>
      <c r="E867" s="36"/>
    </row>
    <row r="868" spans="1:5" x14ac:dyDescent="0.25">
      <c r="A868" s="57" t="s">
        <v>8</v>
      </c>
      <c r="B868" s="58" t="s">
        <v>9</v>
      </c>
      <c r="C868" s="34" t="s">
        <v>10</v>
      </c>
      <c r="D868" s="34" t="s">
        <v>340</v>
      </c>
      <c r="E868" s="16" t="s">
        <v>65</v>
      </c>
    </row>
    <row r="869" spans="1:5" ht="49.2" x14ac:dyDescent="0.25">
      <c r="A869" s="15" t="s">
        <v>99</v>
      </c>
      <c r="B869" s="25" t="s">
        <v>95</v>
      </c>
      <c r="C869" s="35" t="s">
        <v>100</v>
      </c>
      <c r="D869" s="35" t="s">
        <v>101</v>
      </c>
      <c r="E869" s="16">
        <v>0</v>
      </c>
    </row>
    <row r="871" spans="1:5" x14ac:dyDescent="0.25">
      <c r="A871" s="57" t="s">
        <v>8</v>
      </c>
      <c r="B871" s="58" t="s">
        <v>9</v>
      </c>
      <c r="C871" s="34" t="s">
        <v>10</v>
      </c>
      <c r="D871" s="34" t="s">
        <v>340</v>
      </c>
      <c r="E871" s="16" t="s">
        <v>65</v>
      </c>
    </row>
    <row r="872" spans="1:5" ht="18" x14ac:dyDescent="0.25">
      <c r="A872" s="59" t="s">
        <v>102</v>
      </c>
      <c r="B872" s="25" t="s">
        <v>103</v>
      </c>
      <c r="C872" s="35" t="s">
        <v>104</v>
      </c>
      <c r="D872" s="53" t="s">
        <v>380</v>
      </c>
      <c r="E872" s="18">
        <f>ROUNDDOWN(E822+E853+E848+E865+E869,0)</f>
        <v>700</v>
      </c>
    </row>
    <row r="883" spans="4:5" x14ac:dyDescent="0.25">
      <c r="D883" s="32"/>
      <c r="E883" s="100"/>
    </row>
  </sheetData>
  <mergeCells count="193">
    <mergeCell ref="A601:XFD601"/>
    <mergeCell ref="A602:XFD602"/>
    <mergeCell ref="E660:Q660"/>
    <mergeCell ref="E661:Q661"/>
    <mergeCell ref="E823:Q823"/>
    <mergeCell ref="E824:Q824"/>
    <mergeCell ref="E836:Q836"/>
    <mergeCell ref="E677:Q677"/>
    <mergeCell ref="E678:Q678"/>
    <mergeCell ref="E679:Q679"/>
    <mergeCell ref="E619:Q619"/>
    <mergeCell ref="E620:Q620"/>
    <mergeCell ref="E621:Q621"/>
    <mergeCell ref="E623:Q623"/>
    <mergeCell ref="E624:Q624"/>
    <mergeCell ref="E625:Q625"/>
    <mergeCell ref="E673:Q673"/>
    <mergeCell ref="E674:Q674"/>
    <mergeCell ref="E675:Q675"/>
    <mergeCell ref="A656:XFD656"/>
    <mergeCell ref="A710:XFD710"/>
    <mergeCell ref="A711:XFD711"/>
    <mergeCell ref="E837:Q837"/>
    <mergeCell ref="E838:Q838"/>
    <mergeCell ref="E840:Q840"/>
    <mergeCell ref="E841:Q841"/>
    <mergeCell ref="E842:Q842"/>
    <mergeCell ref="E715:Q715"/>
    <mergeCell ref="E716:Q716"/>
    <mergeCell ref="E782:Q782"/>
    <mergeCell ref="E783:Q783"/>
    <mergeCell ref="E784:Q784"/>
    <mergeCell ref="E786:Q786"/>
    <mergeCell ref="E787:Q787"/>
    <mergeCell ref="E788:Q788"/>
    <mergeCell ref="E728:Q728"/>
    <mergeCell ref="E729:Q729"/>
    <mergeCell ref="E730:Q730"/>
    <mergeCell ref="E732:Q732"/>
    <mergeCell ref="E733:Q733"/>
    <mergeCell ref="E734:Q734"/>
    <mergeCell ref="E769:Q769"/>
    <mergeCell ref="E770:Q770"/>
    <mergeCell ref="A819:XFD819"/>
    <mergeCell ref="A765:XFD765"/>
    <mergeCell ref="A1:XFD1"/>
    <mergeCell ref="A57:XFD57"/>
    <mergeCell ref="A59:E59"/>
    <mergeCell ref="E61:Q61"/>
    <mergeCell ref="E62:Q62"/>
    <mergeCell ref="A2:Q2"/>
    <mergeCell ref="A4:E4"/>
    <mergeCell ref="E6:Q6"/>
    <mergeCell ref="E7:Q7"/>
    <mergeCell ref="E19:Q19"/>
    <mergeCell ref="A29:E29"/>
    <mergeCell ref="A34:E34"/>
    <mergeCell ref="A46:E46"/>
    <mergeCell ref="A50:E50"/>
    <mergeCell ref="E20:Q20"/>
    <mergeCell ref="E21:Q21"/>
    <mergeCell ref="E23:Q23"/>
    <mergeCell ref="E24:Q24"/>
    <mergeCell ref="E25:Q25"/>
    <mergeCell ref="E80:Q80"/>
    <mergeCell ref="A84:E84"/>
    <mergeCell ref="A89:E89"/>
    <mergeCell ref="A101:E101"/>
    <mergeCell ref="A105:E105"/>
    <mergeCell ref="E74:Q74"/>
    <mergeCell ref="E75:Q75"/>
    <mergeCell ref="E76:Q76"/>
    <mergeCell ref="E78:Q78"/>
    <mergeCell ref="E79:Q79"/>
    <mergeCell ref="E129:Q129"/>
    <mergeCell ref="E130:Q130"/>
    <mergeCell ref="E131:Q131"/>
    <mergeCell ref="E133:Q133"/>
    <mergeCell ref="E134:Q134"/>
    <mergeCell ref="A111:XFD111"/>
    <mergeCell ref="A112:XFD112"/>
    <mergeCell ref="A114:E114"/>
    <mergeCell ref="E116:Q116"/>
    <mergeCell ref="E117:Q117"/>
    <mergeCell ref="A166:XFD166"/>
    <mergeCell ref="A168:E168"/>
    <mergeCell ref="E170:Q170"/>
    <mergeCell ref="E171:Q171"/>
    <mergeCell ref="E183:Q183"/>
    <mergeCell ref="E135:Q135"/>
    <mergeCell ref="A139:E139"/>
    <mergeCell ref="A144:E144"/>
    <mergeCell ref="A156:E156"/>
    <mergeCell ref="A160:E160"/>
    <mergeCell ref="A193:E193"/>
    <mergeCell ref="A198:E198"/>
    <mergeCell ref="A210:E210"/>
    <mergeCell ref="A214:E214"/>
    <mergeCell ref="A220:XFD220"/>
    <mergeCell ref="E184:Q184"/>
    <mergeCell ref="E185:Q185"/>
    <mergeCell ref="E187:Q187"/>
    <mergeCell ref="E188:Q188"/>
    <mergeCell ref="E189:Q189"/>
    <mergeCell ref="E293:Q293"/>
    <mergeCell ref="E294:Q294"/>
    <mergeCell ref="E296:Q296"/>
    <mergeCell ref="E297:Q297"/>
    <mergeCell ref="E298:Q298"/>
    <mergeCell ref="A221:XFD221"/>
    <mergeCell ref="A277:E277"/>
    <mergeCell ref="E279:Q279"/>
    <mergeCell ref="E280:Q280"/>
    <mergeCell ref="E292:Q292"/>
    <mergeCell ref="A253:E253"/>
    <mergeCell ref="A265:E265"/>
    <mergeCell ref="A269:E269"/>
    <mergeCell ref="A275:XFD275"/>
    <mergeCell ref="E240:Q240"/>
    <mergeCell ref="E242:Q242"/>
    <mergeCell ref="E243:Q243"/>
    <mergeCell ref="E244:Q244"/>
    <mergeCell ref="A248:E248"/>
    <mergeCell ref="A223:E223"/>
    <mergeCell ref="E225:Q225"/>
    <mergeCell ref="E226:Q226"/>
    <mergeCell ref="E238:Q238"/>
    <mergeCell ref="E239:Q239"/>
    <mergeCell ref="A331:E331"/>
    <mergeCell ref="E333:Q333"/>
    <mergeCell ref="E334:Q334"/>
    <mergeCell ref="E346:Q346"/>
    <mergeCell ref="E347:Q347"/>
    <mergeCell ref="A302:E302"/>
    <mergeCell ref="A307:E307"/>
    <mergeCell ref="A319:E319"/>
    <mergeCell ref="A323:E323"/>
    <mergeCell ref="A329:XFD329"/>
    <mergeCell ref="A361:E361"/>
    <mergeCell ref="A373:E373"/>
    <mergeCell ref="A377:E377"/>
    <mergeCell ref="A438:XFD438"/>
    <mergeCell ref="A440:E440"/>
    <mergeCell ref="E348:Q348"/>
    <mergeCell ref="E350:Q350"/>
    <mergeCell ref="E351:Q351"/>
    <mergeCell ref="E352:Q352"/>
    <mergeCell ref="A356:E356"/>
    <mergeCell ref="A383:XFD383"/>
    <mergeCell ref="A385:E385"/>
    <mergeCell ref="E387:Q387"/>
    <mergeCell ref="E388:Q388"/>
    <mergeCell ref="E400:Q400"/>
    <mergeCell ref="E401:Q401"/>
    <mergeCell ref="E402:Q402"/>
    <mergeCell ref="E404:Q404"/>
    <mergeCell ref="E405:Q405"/>
    <mergeCell ref="E406:Q406"/>
    <mergeCell ref="A410:E410"/>
    <mergeCell ref="A415:E415"/>
    <mergeCell ref="A427:E427"/>
    <mergeCell ref="A431:E431"/>
    <mergeCell ref="E459:Q459"/>
    <mergeCell ref="E460:Q460"/>
    <mergeCell ref="E461:Q461"/>
    <mergeCell ref="A465:E465"/>
    <mergeCell ref="A470:E470"/>
    <mergeCell ref="E442:Q442"/>
    <mergeCell ref="E443:Q443"/>
    <mergeCell ref="E455:Q455"/>
    <mergeCell ref="E456:Q456"/>
    <mergeCell ref="E457:Q457"/>
    <mergeCell ref="A482:E482"/>
    <mergeCell ref="A486:E486"/>
    <mergeCell ref="E510:Q510"/>
    <mergeCell ref="E511:Q511"/>
    <mergeCell ref="E512:Q512"/>
    <mergeCell ref="E570:Q570"/>
    <mergeCell ref="E569:Q569"/>
    <mergeCell ref="E568:Q568"/>
    <mergeCell ref="E564:Q564"/>
    <mergeCell ref="E565:Q565"/>
    <mergeCell ref="E566:Q566"/>
    <mergeCell ref="E516:Q516"/>
    <mergeCell ref="E515:Q515"/>
    <mergeCell ref="E514:Q514"/>
    <mergeCell ref="A492:XFD492"/>
    <mergeCell ref="A493:XFD493"/>
    <mergeCell ref="E497:Q497"/>
    <mergeCell ref="E498:Q498"/>
    <mergeCell ref="E551:Q551"/>
    <mergeCell ref="E552:Q552"/>
    <mergeCell ref="A547:XFD547"/>
  </mergeCells>
  <phoneticPr fontId="24" type="noConversion"/>
  <hyperlinks>
    <hyperlink ref="D26" r:id="rId1" xr:uid="{00000000-0004-0000-0100-000000000000}"/>
    <hyperlink ref="D81" r:id="rId2" xr:uid="{0AAE64DF-A46F-426D-BE17-BF0E151D2C74}"/>
    <hyperlink ref="D136" r:id="rId3" xr:uid="{D8720751-F3E9-4E9E-8416-45188DCAF617}"/>
    <hyperlink ref="D190" r:id="rId4" xr:uid="{5749E414-1837-4956-AF23-1EAD0EFC6E62}"/>
    <hyperlink ref="D245" r:id="rId5" xr:uid="{6A839F1C-793E-4C1F-AE54-913253EABA1F}"/>
    <hyperlink ref="D299" r:id="rId6" xr:uid="{3719726A-440D-47CD-92C1-1CC177A9ADCE}"/>
    <hyperlink ref="D353" r:id="rId7" xr:uid="{FF1BAF55-19F2-449F-ADE5-D703CB265A51}"/>
    <hyperlink ref="D462" r:id="rId8" xr:uid="{7C84C35E-0DF4-4D85-897D-97D573D05548}"/>
    <hyperlink ref="D517" r:id="rId9" xr:uid="{2B0A4C49-DF2D-44CC-9D1E-3B258E387E7E}"/>
    <hyperlink ref="D571" r:id="rId10" xr:uid="{172670D1-530C-42E0-8370-105156877E13}"/>
    <hyperlink ref="D626" r:id="rId11" xr:uid="{1839E496-13FF-4546-BE3E-BE6918F8D759}"/>
    <hyperlink ref="D680" r:id="rId12" xr:uid="{3CDE7500-C236-4F54-AAB0-3E3AC6BB2EBE}"/>
    <hyperlink ref="D735" r:id="rId13" xr:uid="{0397F598-A1B3-404B-8932-9DB8D9908267}"/>
    <hyperlink ref="D789" r:id="rId14" xr:uid="{773ABCC9-9370-402D-8DD7-3BF1415D6B00}"/>
    <hyperlink ref="D407" r:id="rId15" xr:uid="{E2AD93AE-C7E2-41FF-805B-60812B3A89CF}"/>
    <hyperlink ref="D843" r:id="rId16" xr:uid="{15CE2CA1-9F02-4E11-81CF-937CA3810AC2}"/>
  </hyperlinks>
  <pageMargins left="0.7" right="0.7" top="0.75" bottom="0.75" header="0.3" footer="0.3"/>
  <pageSetup paperSize="9" scale="66" orientation="landscape" horizontalDpi="300" verticalDpi="300" r:id="rId17"/>
  <ignoredErrors>
    <ignoredError sqref="E21 N386 N441" evalError="1"/>
    <ignoredError sqref="E11 E65:E66 E121 E174 E229 E446 E501:E502 E664:E665 E719:E720 E773:E774 E827:E828 E175:F175 E230:G230 E284 E447:Q447 E555:E556 E610:E611 E392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FA01E-DB42-4497-A346-C469C3AF8C58}">
  <dimension ref="A1:EC883"/>
  <sheetViews>
    <sheetView tabSelected="1" zoomScale="85" zoomScaleNormal="85" zoomScaleSheetLayoutView="80" workbookViewId="0">
      <selection activeCell="H817" sqref="H817"/>
    </sheetView>
  </sheetViews>
  <sheetFormatPr defaultColWidth="11.44140625" defaultRowHeight="15.6" x14ac:dyDescent="0.25"/>
  <cols>
    <col min="1" max="1" width="16.77734375" style="14" customWidth="1"/>
    <col min="2" max="2" width="12.6640625" style="13" customWidth="1"/>
    <col min="3" max="3" width="43.77734375" style="12" customWidth="1"/>
    <col min="4" max="4" width="33.77734375" style="12" customWidth="1"/>
    <col min="5" max="5" width="15.109375" style="13" customWidth="1"/>
    <col min="6" max="6" width="13.33203125" style="13" customWidth="1"/>
    <col min="7" max="8" width="13.77734375" style="13" customWidth="1"/>
    <col min="9" max="9" width="14.77734375" style="13" customWidth="1"/>
    <col min="10" max="10" width="14.21875" style="13" customWidth="1"/>
    <col min="11" max="11" width="13.77734375" style="13" customWidth="1"/>
    <col min="12" max="12" width="14.44140625" style="13" customWidth="1"/>
    <col min="13" max="13" width="13.5546875" style="13" customWidth="1"/>
    <col min="14" max="14" width="13.77734375" style="13" customWidth="1"/>
    <col min="15" max="15" width="14.109375" style="13" customWidth="1"/>
    <col min="16" max="16" width="14.44140625" style="13" customWidth="1"/>
    <col min="17" max="17" width="14.33203125" style="13" customWidth="1"/>
    <col min="18" max="133" width="11.44140625" style="14"/>
    <col min="134" max="16384" width="11.44140625" style="55"/>
  </cols>
  <sheetData>
    <row r="1" spans="1:133" s="182" customFormat="1" ht="36.6" customHeight="1" x14ac:dyDescent="0.25">
      <c r="A1" s="181" t="s">
        <v>220</v>
      </c>
    </row>
    <row r="2" spans="1:133" ht="39.6" customHeight="1" x14ac:dyDescent="0.25">
      <c r="A2" s="183" t="s">
        <v>236</v>
      </c>
      <c r="B2" s="183"/>
      <c r="C2" s="184"/>
      <c r="D2" s="184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</row>
    <row r="3" spans="1:133" s="56" customFormat="1" ht="31.2" x14ac:dyDescent="0.25">
      <c r="A3" s="57" t="s">
        <v>8</v>
      </c>
      <c r="B3" s="58" t="s">
        <v>9</v>
      </c>
      <c r="C3" s="34" t="s">
        <v>10</v>
      </c>
      <c r="D3" s="58" t="s">
        <v>341</v>
      </c>
      <c r="E3" s="58" t="s">
        <v>11</v>
      </c>
      <c r="F3" s="16" t="s">
        <v>312</v>
      </c>
      <c r="G3" s="16" t="s">
        <v>313</v>
      </c>
      <c r="H3" s="16" t="s">
        <v>314</v>
      </c>
      <c r="I3" s="16" t="s">
        <v>315</v>
      </c>
      <c r="J3" s="16" t="s">
        <v>316</v>
      </c>
      <c r="K3" s="16" t="s">
        <v>317</v>
      </c>
      <c r="L3" s="16" t="s">
        <v>318</v>
      </c>
      <c r="M3" s="16" t="s">
        <v>319</v>
      </c>
      <c r="N3" s="16" t="s">
        <v>320</v>
      </c>
      <c r="O3" s="16" t="s">
        <v>293</v>
      </c>
      <c r="P3" s="16" t="s">
        <v>294</v>
      </c>
      <c r="Q3" s="16" t="s">
        <v>295</v>
      </c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54"/>
      <c r="CN3" s="54"/>
      <c r="CO3" s="54"/>
      <c r="CP3" s="54"/>
      <c r="CQ3" s="54"/>
      <c r="CR3" s="54"/>
      <c r="CS3" s="54"/>
      <c r="CT3" s="54"/>
      <c r="CU3" s="54"/>
      <c r="CV3" s="54"/>
      <c r="CW3" s="54"/>
      <c r="CX3" s="54"/>
      <c r="CY3" s="54"/>
      <c r="CZ3" s="54"/>
      <c r="DA3" s="54"/>
      <c r="DB3" s="54"/>
      <c r="DC3" s="54"/>
      <c r="DD3" s="54"/>
      <c r="DE3" s="54"/>
      <c r="DF3" s="54"/>
      <c r="DG3" s="54"/>
      <c r="DH3" s="54"/>
      <c r="DI3" s="54"/>
      <c r="DJ3" s="54"/>
      <c r="DK3" s="54"/>
      <c r="DL3" s="54"/>
      <c r="DM3" s="54"/>
      <c r="DN3" s="54"/>
      <c r="DO3" s="54"/>
      <c r="DP3" s="54"/>
      <c r="DQ3" s="54"/>
      <c r="DR3" s="54"/>
      <c r="DS3" s="54"/>
      <c r="DT3" s="54"/>
      <c r="DU3" s="54"/>
      <c r="DV3" s="54"/>
      <c r="DW3" s="54"/>
      <c r="DX3" s="54"/>
      <c r="DY3" s="54"/>
      <c r="DZ3" s="54"/>
      <c r="EA3" s="54"/>
      <c r="EB3" s="54"/>
      <c r="EC3" s="54"/>
    </row>
    <row r="4" spans="1:133" s="56" customFormat="1" x14ac:dyDescent="0.25">
      <c r="A4" s="178" t="s">
        <v>12</v>
      </c>
      <c r="B4" s="178"/>
      <c r="C4" s="179"/>
      <c r="D4" s="179"/>
      <c r="E4" s="178"/>
      <c r="F4" s="16">
        <v>31</v>
      </c>
      <c r="G4" s="16">
        <v>28</v>
      </c>
      <c r="H4" s="16">
        <v>31</v>
      </c>
      <c r="I4" s="16">
        <v>30</v>
      </c>
      <c r="J4" s="16">
        <v>31</v>
      </c>
      <c r="K4" s="16">
        <v>30</v>
      </c>
      <c r="L4" s="16">
        <v>31</v>
      </c>
      <c r="M4" s="16">
        <v>31</v>
      </c>
      <c r="N4" s="16">
        <v>26</v>
      </c>
      <c r="O4" s="16">
        <v>31</v>
      </c>
      <c r="P4" s="16">
        <v>30</v>
      </c>
      <c r="Q4" s="16">
        <v>31</v>
      </c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4"/>
      <c r="CO4" s="54"/>
      <c r="CP4" s="54"/>
      <c r="CQ4" s="54"/>
      <c r="CR4" s="54"/>
      <c r="CS4" s="54"/>
      <c r="CT4" s="54"/>
      <c r="CU4" s="54"/>
      <c r="CV4" s="54"/>
      <c r="CW4" s="54"/>
      <c r="CX4" s="54"/>
      <c r="CY4" s="54"/>
      <c r="CZ4" s="54"/>
      <c r="DA4" s="54"/>
      <c r="DB4" s="54"/>
      <c r="DC4" s="54"/>
      <c r="DD4" s="54"/>
      <c r="DE4" s="54"/>
      <c r="DF4" s="54"/>
      <c r="DG4" s="54"/>
      <c r="DH4" s="54"/>
      <c r="DI4" s="54"/>
      <c r="DJ4" s="54"/>
      <c r="DK4" s="54"/>
      <c r="DL4" s="54"/>
      <c r="DM4" s="54"/>
      <c r="DN4" s="54"/>
      <c r="DO4" s="54"/>
      <c r="DP4" s="54"/>
      <c r="DQ4" s="54"/>
      <c r="DR4" s="54"/>
      <c r="DS4" s="54"/>
      <c r="DT4" s="54"/>
      <c r="DU4" s="54"/>
      <c r="DV4" s="54"/>
      <c r="DW4" s="54"/>
      <c r="DX4" s="54"/>
      <c r="DY4" s="54"/>
      <c r="DZ4" s="54"/>
      <c r="EA4" s="54"/>
      <c r="EB4" s="54"/>
      <c r="EC4" s="54"/>
    </row>
    <row r="5" spans="1:133" ht="46.8" x14ac:dyDescent="0.25">
      <c r="A5" s="59" t="s">
        <v>13</v>
      </c>
      <c r="B5" s="60" t="s">
        <v>14</v>
      </c>
      <c r="C5" s="53" t="s">
        <v>15</v>
      </c>
      <c r="D5" s="53" t="s">
        <v>369</v>
      </c>
      <c r="E5" s="61">
        <f>SUM(F5:Q5)</f>
        <v>2052.5261662660232</v>
      </c>
      <c r="F5" s="62">
        <f>$E$6*$E$7*F8*$E$19</f>
        <v>168.04748334188557</v>
      </c>
      <c r="G5" s="62">
        <f t="shared" ref="G5:Q5" si="0">$E$6*$E$7*G8*$E$19</f>
        <v>151.79033530227042</v>
      </c>
      <c r="H5" s="62">
        <f t="shared" si="0"/>
        <v>168.0699686774303</v>
      </c>
      <c r="I5" s="62">
        <f t="shared" si="0"/>
        <v>162.64133621070187</v>
      </c>
      <c r="J5" s="62">
        <f t="shared" si="0"/>
        <v>188.58536444538996</v>
      </c>
      <c r="K5" s="62">
        <f t="shared" si="0"/>
        <v>174.89894032087963</v>
      </c>
      <c r="L5" s="62">
        <f t="shared" si="0"/>
        <v>180.63165057694829</v>
      </c>
      <c r="M5" s="62">
        <f t="shared" si="0"/>
        <v>180.56245488674458</v>
      </c>
      <c r="N5" s="62">
        <f t="shared" si="0"/>
        <v>158.26798916966769</v>
      </c>
      <c r="O5" s="62">
        <f t="shared" si="0"/>
        <v>188.59860886108768</v>
      </c>
      <c r="P5" s="62">
        <f t="shared" si="0"/>
        <v>162.52009066626636</v>
      </c>
      <c r="Q5" s="62">
        <f t="shared" si="0"/>
        <v>167.91194380675111</v>
      </c>
    </row>
    <row r="6" spans="1:133" ht="31.2" x14ac:dyDescent="0.25">
      <c r="A6" s="63" t="s">
        <v>16</v>
      </c>
      <c r="B6" s="60" t="s">
        <v>193</v>
      </c>
      <c r="C6" s="35" t="s">
        <v>17</v>
      </c>
      <c r="D6" s="35" t="s">
        <v>205</v>
      </c>
      <c r="E6" s="176">
        <v>28</v>
      </c>
      <c r="F6" s="176"/>
      <c r="G6" s="176"/>
      <c r="H6" s="176"/>
      <c r="I6" s="176"/>
      <c r="J6" s="176"/>
      <c r="K6" s="176"/>
      <c r="L6" s="176"/>
      <c r="M6" s="176"/>
      <c r="N6" s="176"/>
      <c r="O6" s="176"/>
      <c r="P6" s="176"/>
      <c r="Q6" s="176"/>
    </row>
    <row r="7" spans="1:133" ht="64.8" x14ac:dyDescent="0.25">
      <c r="A7" s="63" t="s">
        <v>18</v>
      </c>
      <c r="B7" s="25" t="s">
        <v>194</v>
      </c>
      <c r="C7" s="35" t="s">
        <v>20</v>
      </c>
      <c r="D7" s="35" t="s">
        <v>394</v>
      </c>
      <c r="E7" s="176">
        <v>0.21</v>
      </c>
      <c r="F7" s="176"/>
      <c r="G7" s="176"/>
      <c r="H7" s="176"/>
      <c r="I7" s="176"/>
      <c r="J7" s="176"/>
      <c r="K7" s="176"/>
      <c r="L7" s="176"/>
      <c r="M7" s="176"/>
      <c r="N7" s="176"/>
      <c r="O7" s="176"/>
      <c r="P7" s="176"/>
      <c r="Q7" s="176"/>
    </row>
    <row r="8" spans="1:133" ht="46.8" x14ac:dyDescent="0.25">
      <c r="A8" s="35" t="s">
        <v>21</v>
      </c>
      <c r="B8" s="25" t="s">
        <v>195</v>
      </c>
      <c r="C8" s="53" t="s">
        <v>22</v>
      </c>
      <c r="D8" s="53" t="s">
        <v>370</v>
      </c>
      <c r="E8" s="64">
        <f t="shared" ref="E8:Q8" si="1">E16*E9</f>
        <v>594.82278864017587</v>
      </c>
      <c r="F8" s="64">
        <f t="shared" si="1"/>
        <v>48.70021844702196</v>
      </c>
      <c r="G8" s="64">
        <f t="shared" si="1"/>
        <v>43.988891355951537</v>
      </c>
      <c r="H8" s="64">
        <f t="shared" si="1"/>
        <v>48.706734704993266</v>
      </c>
      <c r="I8" s="64">
        <f t="shared" si="1"/>
        <v>47.133515149777374</v>
      </c>
      <c r="J8" s="64">
        <f t="shared" si="1"/>
        <v>54.652103451718908</v>
      </c>
      <c r="K8" s="64">
        <f t="shared" si="1"/>
        <v>50.685773035057963</v>
      </c>
      <c r="L8" s="64">
        <f t="shared" si="1"/>
        <v>52.347114438166265</v>
      </c>
      <c r="M8" s="64">
        <f t="shared" si="1"/>
        <v>52.327061503355822</v>
      </c>
      <c r="N8" s="64">
        <f t="shared" si="1"/>
        <v>45.866117673733669</v>
      </c>
      <c r="O8" s="64">
        <f t="shared" si="1"/>
        <v>54.655941687941528</v>
      </c>
      <c r="P8" s="64">
        <f t="shared" si="1"/>
        <v>47.098378149315877</v>
      </c>
      <c r="Q8" s="64">
        <f t="shared" si="1"/>
        <v>48.660939043141653</v>
      </c>
    </row>
    <row r="9" spans="1:133" ht="46.8" x14ac:dyDescent="0.25">
      <c r="A9" s="35" t="s">
        <v>23</v>
      </c>
      <c r="B9" s="25" t="s">
        <v>197</v>
      </c>
      <c r="C9" s="35" t="s">
        <v>191</v>
      </c>
      <c r="D9" s="35" t="s">
        <v>371</v>
      </c>
      <c r="E9" s="20">
        <f>SUM(F9:Q9)</f>
        <v>625.95524581656423</v>
      </c>
      <c r="F9" s="20">
        <f>F11*F14</f>
        <v>51.249141410697845</v>
      </c>
      <c r="G9" s="20">
        <f t="shared" ref="G9:Q9" si="2">G11*G14</f>
        <v>46.291227955238078</v>
      </c>
      <c r="H9" s="20">
        <f t="shared" si="2"/>
        <v>51.255998723393539</v>
      </c>
      <c r="I9" s="20">
        <f t="shared" si="2"/>
        <v>49.600438357826746</v>
      </c>
      <c r="J9" s="20">
        <f t="shared" si="2"/>
        <v>57.512542397240615</v>
      </c>
      <c r="K9" s="20">
        <f t="shared" si="2"/>
        <v>53.338618031251677</v>
      </c>
      <c r="L9" s="20">
        <f t="shared" si="2"/>
        <v>55.086912458143537</v>
      </c>
      <c r="M9" s="20">
        <f t="shared" si="2"/>
        <v>55.065809971859665</v>
      </c>
      <c r="N9" s="20">
        <f t="shared" si="2"/>
        <v>48.266706507240002</v>
      </c>
      <c r="O9" s="20">
        <f t="shared" si="2"/>
        <v>57.516581523084675</v>
      </c>
      <c r="P9" s="20">
        <f t="shared" si="2"/>
        <v>49.563462320288885</v>
      </c>
      <c r="Q9" s="20">
        <f t="shared" si="2"/>
        <v>51.207806160298922</v>
      </c>
    </row>
    <row r="10" spans="1:133" ht="62.4" x14ac:dyDescent="0.25">
      <c r="A10" s="17" t="s">
        <v>335</v>
      </c>
      <c r="B10" s="60" t="s">
        <v>192</v>
      </c>
      <c r="C10" s="35" t="s">
        <v>25</v>
      </c>
      <c r="D10" s="35" t="s">
        <v>333</v>
      </c>
      <c r="E10" s="121">
        <f>AVERAGE(F10:Q10)</f>
        <v>4118.5352081029187</v>
      </c>
      <c r="F10" s="121">
        <v>3878.2896451612901</v>
      </c>
      <c r="G10" s="121">
        <v>3880.3725714285711</v>
      </c>
      <c r="H10" s="121">
        <v>3878.9504516129027</v>
      </c>
      <c r="I10" s="121">
        <v>3878.4064333333336</v>
      </c>
      <c r="J10" s="121">
        <v>4355.1988709677426</v>
      </c>
      <c r="K10" s="121">
        <v>4359.4606000000003</v>
      </c>
      <c r="L10" s="121">
        <v>4358.8487419354824</v>
      </c>
      <c r="M10" s="121">
        <v>4359.8727096774182</v>
      </c>
      <c r="N10" s="121">
        <v>4357.5439999999999</v>
      </c>
      <c r="O10" s="121">
        <v>4358.9266129032258</v>
      </c>
      <c r="P10" s="121">
        <v>3878.6806666666662</v>
      </c>
      <c r="Q10" s="121">
        <v>3877.8711935483871</v>
      </c>
    </row>
    <row r="11" spans="1:133" ht="46.8" x14ac:dyDescent="0.25">
      <c r="A11" s="35" t="s">
        <v>26</v>
      </c>
      <c r="B11" s="60" t="s">
        <v>198</v>
      </c>
      <c r="C11" s="35" t="s">
        <v>27</v>
      </c>
      <c r="D11" s="35" t="s">
        <v>206</v>
      </c>
      <c r="E11" s="65">
        <f>SUM(F11:Q11)</f>
        <v>1486549.7120000001</v>
      </c>
      <c r="F11" s="65">
        <f>F10*F4</f>
        <v>120226.97899999999</v>
      </c>
      <c r="G11" s="65">
        <f t="shared" ref="G11:Q11" si="3">G10*G4</f>
        <v>108650.43199999999</v>
      </c>
      <c r="H11" s="65">
        <f t="shared" si="3"/>
        <v>120247.46399999998</v>
      </c>
      <c r="I11" s="65">
        <f t="shared" si="3"/>
        <v>116352.193</v>
      </c>
      <c r="J11" s="65">
        <f t="shared" si="3"/>
        <v>135011.16500000001</v>
      </c>
      <c r="K11" s="65">
        <f t="shared" si="3"/>
        <v>130783.81800000001</v>
      </c>
      <c r="L11" s="65">
        <f t="shared" si="3"/>
        <v>135124.31099999996</v>
      </c>
      <c r="M11" s="65">
        <f t="shared" si="3"/>
        <v>135156.05399999997</v>
      </c>
      <c r="N11" s="65">
        <f t="shared" si="3"/>
        <v>113296.144</v>
      </c>
      <c r="O11" s="65">
        <f t="shared" si="3"/>
        <v>135126.72500000001</v>
      </c>
      <c r="P11" s="65">
        <f t="shared" si="3"/>
        <v>116360.41999999998</v>
      </c>
      <c r="Q11" s="65">
        <f t="shared" si="3"/>
        <v>120214.007</v>
      </c>
    </row>
    <row r="12" spans="1:133" ht="62.4" x14ac:dyDescent="0.25">
      <c r="A12" s="35" t="s">
        <v>28</v>
      </c>
      <c r="B12" s="60" t="s">
        <v>199</v>
      </c>
      <c r="C12" s="35" t="s">
        <v>29</v>
      </c>
      <c r="D12" s="35" t="s">
        <v>332</v>
      </c>
      <c r="E12" s="125">
        <f>AVERAGE(F12:Q12)</f>
        <v>421.44911117070114</v>
      </c>
      <c r="F12" s="125">
        <v>426.26989247311826</v>
      </c>
      <c r="G12" s="125">
        <v>426.05654761904754</v>
      </c>
      <c r="H12" s="125">
        <v>426.25430107526881</v>
      </c>
      <c r="I12" s="125">
        <v>426.29568965517257</v>
      </c>
      <c r="J12" s="125">
        <v>425.98360215053776</v>
      </c>
      <c r="K12" s="125">
        <v>407.83805555555557</v>
      </c>
      <c r="L12" s="125">
        <v>407.67580645161291</v>
      </c>
      <c r="M12" s="125">
        <v>407.42392473118275</v>
      </c>
      <c r="N12" s="125">
        <v>426.02250000000004</v>
      </c>
      <c r="O12" s="125">
        <v>425.64919354838707</v>
      </c>
      <c r="P12" s="125">
        <v>425.94777777777784</v>
      </c>
      <c r="Q12" s="125">
        <v>425.97204301075266</v>
      </c>
    </row>
    <row r="13" spans="1:133" ht="62.4" x14ac:dyDescent="0.25">
      <c r="A13" s="35" t="s">
        <v>30</v>
      </c>
      <c r="B13" s="60" t="s">
        <v>199</v>
      </c>
      <c r="C13" s="35" t="s">
        <v>31</v>
      </c>
      <c r="D13" s="35" t="s">
        <v>331</v>
      </c>
      <c r="E13" s="126">
        <f>AVERAGE(F13:Q13)</f>
        <v>19.716656400262487</v>
      </c>
      <c r="F13" s="125">
        <v>19.842741935483868</v>
      </c>
      <c r="G13" s="125">
        <v>19.510119047619042</v>
      </c>
      <c r="H13" s="125">
        <v>19.966129032258067</v>
      </c>
      <c r="I13" s="125">
        <v>19.570689655172412</v>
      </c>
      <c r="J13" s="125">
        <v>19.611290322580651</v>
      </c>
      <c r="K13" s="125">
        <v>20.001666666666669</v>
      </c>
      <c r="L13" s="125">
        <v>19.933870967741932</v>
      </c>
      <c r="M13" s="125">
        <v>19.453494623655907</v>
      </c>
      <c r="N13" s="125">
        <v>19.938611111111111</v>
      </c>
      <c r="O13" s="125">
        <v>19.725537634408603</v>
      </c>
      <c r="P13" s="125">
        <v>19.734166666666663</v>
      </c>
      <c r="Q13" s="125">
        <v>19.311559139784944</v>
      </c>
    </row>
    <row r="14" spans="1:133" ht="62.4" x14ac:dyDescent="0.25">
      <c r="A14" s="35" t="s">
        <v>32</v>
      </c>
      <c r="B14" s="60" t="s">
        <v>200</v>
      </c>
      <c r="C14" s="35" t="s">
        <v>34</v>
      </c>
      <c r="D14" s="35" t="s">
        <v>338</v>
      </c>
      <c r="E14" s="122">
        <f>E12/1000000</f>
        <v>4.2144911117070113E-4</v>
      </c>
      <c r="F14" s="120">
        <f>F12/1000000</f>
        <v>4.2626989247311826E-4</v>
      </c>
      <c r="G14" s="120">
        <f t="shared" ref="G14:Q15" si="4">G12/1000000</f>
        <v>4.2605654761904751E-4</v>
      </c>
      <c r="H14" s="120">
        <f t="shared" si="4"/>
        <v>4.2625430107526882E-4</v>
      </c>
      <c r="I14" s="120">
        <f t="shared" si="4"/>
        <v>4.2629568965517258E-4</v>
      </c>
      <c r="J14" s="120">
        <f t="shared" si="4"/>
        <v>4.2598360215053777E-4</v>
      </c>
      <c r="K14" s="120">
        <f t="shared" si="4"/>
        <v>4.0783805555555559E-4</v>
      </c>
      <c r="L14" s="120">
        <f t="shared" si="4"/>
        <v>4.0767580645161293E-4</v>
      </c>
      <c r="M14" s="120">
        <f t="shared" si="4"/>
        <v>4.0742392473118276E-4</v>
      </c>
      <c r="N14" s="120">
        <f t="shared" si="4"/>
        <v>4.2602250000000003E-4</v>
      </c>
      <c r="O14" s="120">
        <f t="shared" si="4"/>
        <v>4.2564919354838706E-4</v>
      </c>
      <c r="P14" s="120">
        <f t="shared" si="4"/>
        <v>4.2594777777777782E-4</v>
      </c>
      <c r="Q14" s="120">
        <f t="shared" si="4"/>
        <v>4.2597204301075267E-4</v>
      </c>
    </row>
    <row r="15" spans="1:133" ht="62.4" x14ac:dyDescent="0.25">
      <c r="A15" s="35" t="s">
        <v>30</v>
      </c>
      <c r="B15" s="60" t="s">
        <v>33</v>
      </c>
      <c r="C15" s="35" t="s">
        <v>35</v>
      </c>
      <c r="D15" s="35" t="s">
        <v>339</v>
      </c>
      <c r="E15" s="122">
        <f>E13/1000000</f>
        <v>1.9716656400262485E-5</v>
      </c>
      <c r="F15" s="120">
        <f>F13/1000000</f>
        <v>1.9842741935483869E-5</v>
      </c>
      <c r="G15" s="120">
        <f t="shared" si="4"/>
        <v>1.9510119047619044E-5</v>
      </c>
      <c r="H15" s="120">
        <f t="shared" si="4"/>
        <v>1.9966129032258068E-5</v>
      </c>
      <c r="I15" s="120">
        <f t="shared" si="4"/>
        <v>1.9570689655172411E-5</v>
      </c>
      <c r="J15" s="120">
        <f t="shared" si="4"/>
        <v>1.9611290322580652E-5</v>
      </c>
      <c r="K15" s="120">
        <f t="shared" si="4"/>
        <v>2.0001666666666669E-5</v>
      </c>
      <c r="L15" s="120">
        <f t="shared" si="4"/>
        <v>1.9933870967741932E-5</v>
      </c>
      <c r="M15" s="120">
        <f t="shared" si="4"/>
        <v>1.9453494623655905E-5</v>
      </c>
      <c r="N15" s="120">
        <f t="shared" si="4"/>
        <v>1.9938611111111111E-5</v>
      </c>
      <c r="O15" s="120">
        <f t="shared" si="4"/>
        <v>1.9725537634408603E-5</v>
      </c>
      <c r="P15" s="120">
        <f t="shared" si="4"/>
        <v>1.9734166666666665E-5</v>
      </c>
      <c r="Q15" s="120">
        <f t="shared" si="4"/>
        <v>1.9311559139784944E-5</v>
      </c>
    </row>
    <row r="16" spans="1:133" ht="46.8" x14ac:dyDescent="0.25">
      <c r="A16" s="63" t="s">
        <v>36</v>
      </c>
      <c r="B16" s="25" t="s">
        <v>201</v>
      </c>
      <c r="C16" s="35" t="s">
        <v>38</v>
      </c>
      <c r="D16" s="35" t="s">
        <v>368</v>
      </c>
      <c r="E16" s="68">
        <f>(1-(E17/E18))</f>
        <v>0.95026408455803291</v>
      </c>
      <c r="F16" s="68">
        <f>E16</f>
        <v>0.95026408455803291</v>
      </c>
      <c r="G16" s="68">
        <f>E16</f>
        <v>0.95026408455803291</v>
      </c>
      <c r="H16" s="68">
        <f>E16</f>
        <v>0.95026408455803291</v>
      </c>
      <c r="I16" s="68">
        <f>E16</f>
        <v>0.95026408455803291</v>
      </c>
      <c r="J16" s="68">
        <f>E16</f>
        <v>0.95026408455803291</v>
      </c>
      <c r="K16" s="68">
        <f>E16</f>
        <v>0.95026408455803291</v>
      </c>
      <c r="L16" s="68">
        <f>E16</f>
        <v>0.95026408455803291</v>
      </c>
      <c r="M16" s="68">
        <f>E16</f>
        <v>0.95026408455803291</v>
      </c>
      <c r="N16" s="68">
        <f>E16</f>
        <v>0.95026408455803291</v>
      </c>
      <c r="O16" s="68">
        <f>E16</f>
        <v>0.95026408455803291</v>
      </c>
      <c r="P16" s="68">
        <f>E16</f>
        <v>0.95026408455803291</v>
      </c>
      <c r="Q16" s="68">
        <f>E16</f>
        <v>0.95026408455803291</v>
      </c>
    </row>
    <row r="17" spans="1:133" ht="31.2" x14ac:dyDescent="0.25">
      <c r="A17" s="35" t="s">
        <v>39</v>
      </c>
      <c r="B17" s="25" t="s">
        <v>196</v>
      </c>
      <c r="C17" s="35" t="s">
        <v>40</v>
      </c>
      <c r="D17" s="35" t="s">
        <v>351</v>
      </c>
      <c r="E17" s="52">
        <f>SUM(F17:Q17)</f>
        <v>29.678647202999993</v>
      </c>
      <c r="F17" s="52">
        <v>2.5206522281999999</v>
      </c>
      <c r="G17" s="52">
        <v>2.2767181415999995</v>
      </c>
      <c r="H17" s="52">
        <v>2.5206522281999999</v>
      </c>
      <c r="I17" s="52">
        <v>2.4393408659999998</v>
      </c>
      <c r="J17" s="52">
        <v>2.5206522281999999</v>
      </c>
      <c r="K17" s="52">
        <v>2.4393408659999998</v>
      </c>
      <c r="L17" s="52">
        <v>2.5206522281999999</v>
      </c>
      <c r="M17" s="52">
        <v>2.5206522281999999</v>
      </c>
      <c r="N17" s="52">
        <v>2.4393408659999998</v>
      </c>
      <c r="O17" s="52">
        <v>2.5206522281999999</v>
      </c>
      <c r="P17" s="52">
        <v>2.4393408659999998</v>
      </c>
      <c r="Q17" s="52">
        <v>2.5206522281999999</v>
      </c>
    </row>
    <row r="18" spans="1:133" ht="31.2" x14ac:dyDescent="0.25">
      <c r="A18" s="63" t="s">
        <v>41</v>
      </c>
      <c r="B18" s="25" t="s">
        <v>24</v>
      </c>
      <c r="C18" s="35" t="s">
        <v>42</v>
      </c>
      <c r="D18" s="35" t="s">
        <v>351</v>
      </c>
      <c r="E18" s="52">
        <f>SUM(F18:Q18)</f>
        <v>596.72465941900009</v>
      </c>
      <c r="F18" s="52">
        <v>50.680724498600007</v>
      </c>
      <c r="G18" s="52">
        <v>45.776138256800003</v>
      </c>
      <c r="H18" s="52">
        <v>50.680724498600007</v>
      </c>
      <c r="I18" s="52">
        <v>49.045862418000006</v>
      </c>
      <c r="J18" s="52">
        <v>50.680724498600007</v>
      </c>
      <c r="K18" s="52">
        <v>49.045862418000006</v>
      </c>
      <c r="L18" s="52">
        <v>50.680724498600007</v>
      </c>
      <c r="M18" s="52">
        <v>50.680724498600007</v>
      </c>
      <c r="N18" s="52">
        <v>49.045862418000006</v>
      </c>
      <c r="O18" s="52">
        <v>50.680724498600007</v>
      </c>
      <c r="P18" s="52">
        <v>49.045862418000006</v>
      </c>
      <c r="Q18" s="52">
        <v>50.680724498600007</v>
      </c>
    </row>
    <row r="19" spans="1:133" ht="31.2" x14ac:dyDescent="0.25">
      <c r="A19" s="53" t="s">
        <v>43</v>
      </c>
      <c r="B19" s="25" t="s">
        <v>201</v>
      </c>
      <c r="C19" s="53" t="s">
        <v>44</v>
      </c>
      <c r="D19" s="35" t="s">
        <v>372</v>
      </c>
      <c r="E19" s="191">
        <f>E20*E21*0.89</f>
        <v>0.5868454984611281</v>
      </c>
      <c r="F19" s="191"/>
      <c r="G19" s="191"/>
      <c r="H19" s="191"/>
      <c r="I19" s="191"/>
      <c r="J19" s="191"/>
      <c r="K19" s="191"/>
      <c r="L19" s="191"/>
      <c r="M19" s="191"/>
      <c r="N19" s="191"/>
      <c r="O19" s="191"/>
      <c r="P19" s="191"/>
      <c r="Q19" s="191"/>
    </row>
    <row r="20" spans="1:133" ht="31.2" x14ac:dyDescent="0.25">
      <c r="A20" s="70" t="s">
        <v>45</v>
      </c>
      <c r="B20" s="25" t="s">
        <v>201</v>
      </c>
      <c r="C20" s="53" t="s">
        <v>46</v>
      </c>
      <c r="D20" s="35" t="s">
        <v>373</v>
      </c>
      <c r="E20" s="162">
        <v>0.7</v>
      </c>
      <c r="F20" s="163"/>
      <c r="G20" s="163"/>
      <c r="H20" s="163"/>
      <c r="I20" s="163"/>
      <c r="J20" s="163"/>
      <c r="K20" s="163"/>
      <c r="L20" s="163"/>
      <c r="M20" s="163"/>
      <c r="N20" s="163"/>
      <c r="O20" s="163"/>
      <c r="P20" s="163"/>
      <c r="Q20" s="164"/>
    </row>
    <row r="21" spans="1:133" ht="36" customHeight="1" x14ac:dyDescent="0.25">
      <c r="A21" s="70" t="s">
        <v>47</v>
      </c>
      <c r="B21" s="25" t="s">
        <v>37</v>
      </c>
      <c r="C21" s="53" t="s">
        <v>48</v>
      </c>
      <c r="D21" s="35" t="s">
        <v>374</v>
      </c>
      <c r="E21" s="159">
        <f>(F22*F27+G22*G27+H22*H27+I22*I27+J22*J27+K22*K27+L22*L27+M22*M27+N22*N27+O22*O27+P22*P27+Q22*Q27)/(F16*F11*F14+G16*G14*G11+H16*H11*H14+I16*I14*I11+J16*J14*J11+K16*K14*K11+L16*L14*L11+M16*M14*M11+N16*N14*N11+O16*O11*O14+P16*P14*P11+Q16*Q14*Q11)</f>
        <v>0.94196709223295039</v>
      </c>
      <c r="F21" s="160"/>
      <c r="G21" s="160"/>
      <c r="H21" s="160"/>
      <c r="I21" s="160"/>
      <c r="J21" s="160"/>
      <c r="K21" s="160"/>
      <c r="L21" s="160"/>
      <c r="M21" s="160"/>
      <c r="N21" s="160"/>
      <c r="O21" s="160"/>
      <c r="P21" s="160"/>
      <c r="Q21" s="161"/>
    </row>
    <row r="22" spans="1:133" s="9" customFormat="1" ht="46.8" x14ac:dyDescent="0.4">
      <c r="A22" s="71" t="s">
        <v>49</v>
      </c>
      <c r="B22" s="25" t="s">
        <v>37</v>
      </c>
      <c r="C22" s="53" t="s">
        <v>50</v>
      </c>
      <c r="D22" s="53" t="s">
        <v>375</v>
      </c>
      <c r="E22" s="72">
        <f>AVERAGE(F22:Q22)</f>
        <v>0.66390260094773224</v>
      </c>
      <c r="F22" s="72">
        <f>IF(F26&lt;283,0,IF(F26&gt;303,1,EXP(($E$23*(F26-$E$24))/($E$25*$E$24*F26))))</f>
        <v>0.26921004737855481</v>
      </c>
      <c r="G22" s="72">
        <f t="shared" ref="G22:Q22" si="5">IF(G26&lt;283,0,IF(G26&gt;303,1,EXP(($E$23*(G26-$E$24))/($E$25*$E$24*G26))))</f>
        <v>0.38698063689870399</v>
      </c>
      <c r="H22" s="72">
        <f t="shared" si="5"/>
        <v>0.52733825786216582</v>
      </c>
      <c r="I22" s="72">
        <f t="shared" si="5"/>
        <v>0.65487347206548807</v>
      </c>
      <c r="J22" s="72">
        <f t="shared" si="5"/>
        <v>0.95843738031531212</v>
      </c>
      <c r="K22" s="72">
        <f t="shared" si="5"/>
        <v>1</v>
      </c>
      <c r="L22" s="72">
        <f t="shared" si="5"/>
        <v>0.95843738031531212</v>
      </c>
      <c r="M22" s="72">
        <f t="shared" si="5"/>
        <v>0.88152221926734242</v>
      </c>
      <c r="N22" s="72">
        <f t="shared" si="5"/>
        <v>0.88152221926734242</v>
      </c>
      <c r="O22" s="72">
        <f t="shared" si="5"/>
        <v>0.62729263560178183</v>
      </c>
      <c r="P22" s="72">
        <f t="shared" si="5"/>
        <v>0.48307557293036196</v>
      </c>
      <c r="Q22" s="72">
        <f t="shared" si="5"/>
        <v>0.33814138947042022</v>
      </c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  <c r="AJ22" s="78"/>
      <c r="AK22" s="78"/>
      <c r="AL22" s="78"/>
      <c r="AM22" s="78"/>
      <c r="AN22" s="78"/>
      <c r="AO22" s="78"/>
      <c r="AP22" s="78"/>
      <c r="AQ22" s="78"/>
      <c r="AR22" s="78"/>
      <c r="AS22" s="78"/>
      <c r="AT22" s="78"/>
      <c r="AU22" s="78"/>
      <c r="AV22" s="78"/>
      <c r="AW22" s="78"/>
      <c r="AX22" s="78"/>
      <c r="AY22" s="78"/>
      <c r="AZ22" s="78"/>
      <c r="BA22" s="78"/>
      <c r="BB22" s="78"/>
      <c r="BC22" s="78"/>
      <c r="BD22" s="78"/>
      <c r="BE22" s="78"/>
      <c r="BF22" s="78"/>
      <c r="BG22" s="78"/>
      <c r="BH22" s="78"/>
      <c r="BI22" s="78"/>
      <c r="BJ22" s="78"/>
      <c r="BK22" s="78"/>
      <c r="BL22" s="78"/>
      <c r="BM22" s="78"/>
      <c r="BN22" s="78"/>
      <c r="BO22" s="78"/>
      <c r="BP22" s="78"/>
      <c r="BQ22" s="78"/>
      <c r="BR22" s="78"/>
      <c r="BS22" s="78"/>
      <c r="BT22" s="78"/>
      <c r="BU22" s="78"/>
      <c r="BV22" s="78"/>
      <c r="BW22" s="78"/>
      <c r="BX22" s="78"/>
      <c r="BY22" s="78"/>
      <c r="BZ22" s="78"/>
      <c r="CA22" s="78"/>
      <c r="CB22" s="78"/>
      <c r="CC22" s="78"/>
      <c r="CD22" s="78"/>
      <c r="CE22" s="78"/>
      <c r="CF22" s="78"/>
      <c r="CG22" s="78"/>
      <c r="CH22" s="78"/>
      <c r="CI22" s="78"/>
      <c r="CJ22" s="78"/>
      <c r="CK22" s="78"/>
      <c r="CL22" s="78"/>
      <c r="CM22" s="78"/>
      <c r="CN22" s="78"/>
      <c r="CO22" s="78"/>
      <c r="CP22" s="78"/>
      <c r="CQ22" s="78"/>
      <c r="CR22" s="78"/>
      <c r="CS22" s="78"/>
      <c r="CT22" s="78"/>
      <c r="CU22" s="78"/>
      <c r="CV22" s="78"/>
      <c r="CW22" s="78"/>
      <c r="CX22" s="78"/>
      <c r="CY22" s="78"/>
      <c r="CZ22" s="78"/>
      <c r="DA22" s="78"/>
      <c r="DB22" s="78"/>
      <c r="DC22" s="78"/>
      <c r="DD22" s="78"/>
      <c r="DE22" s="78"/>
      <c r="DF22" s="78"/>
      <c r="DG22" s="78"/>
      <c r="DH22" s="78"/>
      <c r="DI22" s="78"/>
      <c r="DJ22" s="78"/>
      <c r="DK22" s="78"/>
      <c r="DL22" s="78"/>
      <c r="DM22" s="78"/>
      <c r="DN22" s="78"/>
      <c r="DO22" s="78"/>
      <c r="DP22" s="78"/>
      <c r="DQ22" s="78"/>
      <c r="DR22" s="78"/>
      <c r="DS22" s="78"/>
      <c r="DT22" s="78"/>
      <c r="DU22" s="78"/>
      <c r="DV22" s="78"/>
      <c r="DW22" s="78"/>
      <c r="DX22" s="78"/>
      <c r="DY22" s="78"/>
      <c r="DZ22" s="78"/>
      <c r="EA22" s="78"/>
      <c r="EB22" s="78"/>
      <c r="EC22" s="78"/>
    </row>
    <row r="23" spans="1:133" s="9" customFormat="1" x14ac:dyDescent="0.25">
      <c r="A23" s="73" t="s">
        <v>51</v>
      </c>
      <c r="B23" s="60" t="s">
        <v>202</v>
      </c>
      <c r="C23" s="53" t="s">
        <v>53</v>
      </c>
      <c r="D23" s="53" t="s">
        <v>376</v>
      </c>
      <c r="E23" s="162">
        <v>15175</v>
      </c>
      <c r="F23" s="163"/>
      <c r="G23" s="163"/>
      <c r="H23" s="163"/>
      <c r="I23" s="163"/>
      <c r="J23" s="163"/>
      <c r="K23" s="163"/>
      <c r="L23" s="163"/>
      <c r="M23" s="163"/>
      <c r="N23" s="163"/>
      <c r="O23" s="163"/>
      <c r="P23" s="163"/>
      <c r="Q23" s="164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  <c r="AJ23" s="78"/>
      <c r="AK23" s="78"/>
      <c r="AL23" s="78"/>
      <c r="AM23" s="78"/>
      <c r="AN23" s="78"/>
      <c r="AO23" s="78"/>
      <c r="AP23" s="78"/>
      <c r="AQ23" s="78"/>
      <c r="AR23" s="78"/>
      <c r="AS23" s="78"/>
      <c r="AT23" s="78"/>
      <c r="AU23" s="78"/>
      <c r="AV23" s="78"/>
      <c r="AW23" s="78"/>
      <c r="AX23" s="78"/>
      <c r="AY23" s="78"/>
      <c r="AZ23" s="78"/>
      <c r="BA23" s="78"/>
      <c r="BB23" s="78"/>
      <c r="BC23" s="78"/>
      <c r="BD23" s="78"/>
      <c r="BE23" s="78"/>
      <c r="BF23" s="78"/>
      <c r="BG23" s="78"/>
      <c r="BH23" s="78"/>
      <c r="BI23" s="78"/>
      <c r="BJ23" s="78"/>
      <c r="BK23" s="78"/>
      <c r="BL23" s="78"/>
      <c r="BM23" s="78"/>
      <c r="BN23" s="78"/>
      <c r="BO23" s="78"/>
      <c r="BP23" s="78"/>
      <c r="BQ23" s="78"/>
      <c r="BR23" s="78"/>
      <c r="BS23" s="78"/>
      <c r="BT23" s="78"/>
      <c r="BU23" s="78"/>
      <c r="BV23" s="78"/>
      <c r="BW23" s="78"/>
      <c r="BX23" s="78"/>
      <c r="BY23" s="78"/>
      <c r="BZ23" s="78"/>
      <c r="CA23" s="78"/>
      <c r="CB23" s="78"/>
      <c r="CC23" s="78"/>
      <c r="CD23" s="78"/>
      <c r="CE23" s="78"/>
      <c r="CF23" s="78"/>
      <c r="CG23" s="78"/>
      <c r="CH23" s="78"/>
      <c r="CI23" s="78"/>
      <c r="CJ23" s="78"/>
      <c r="CK23" s="78"/>
      <c r="CL23" s="78"/>
      <c r="CM23" s="78"/>
      <c r="CN23" s="78"/>
      <c r="CO23" s="78"/>
      <c r="CP23" s="78"/>
      <c r="CQ23" s="78"/>
      <c r="CR23" s="78"/>
      <c r="CS23" s="78"/>
      <c r="CT23" s="78"/>
      <c r="CU23" s="78"/>
      <c r="CV23" s="78"/>
      <c r="CW23" s="78"/>
      <c r="CX23" s="78"/>
      <c r="CY23" s="78"/>
      <c r="CZ23" s="78"/>
      <c r="DA23" s="78"/>
      <c r="DB23" s="78"/>
      <c r="DC23" s="78"/>
      <c r="DD23" s="78"/>
      <c r="DE23" s="78"/>
      <c r="DF23" s="78"/>
      <c r="DG23" s="78"/>
      <c r="DH23" s="78"/>
      <c r="DI23" s="78"/>
      <c r="DJ23" s="78"/>
      <c r="DK23" s="78"/>
      <c r="DL23" s="78"/>
      <c r="DM23" s="78"/>
      <c r="DN23" s="78"/>
      <c r="DO23" s="78"/>
      <c r="DP23" s="78"/>
      <c r="DQ23" s="78"/>
      <c r="DR23" s="78"/>
      <c r="DS23" s="78"/>
      <c r="DT23" s="78"/>
      <c r="DU23" s="78"/>
      <c r="DV23" s="78"/>
      <c r="DW23" s="78"/>
      <c r="DX23" s="78"/>
      <c r="DY23" s="78"/>
      <c r="DZ23" s="78"/>
      <c r="EA23" s="78"/>
      <c r="EB23" s="78"/>
      <c r="EC23" s="78"/>
    </row>
    <row r="24" spans="1:133" s="9" customFormat="1" ht="18" x14ac:dyDescent="0.25">
      <c r="A24" s="73" t="s">
        <v>54</v>
      </c>
      <c r="B24" s="60" t="s">
        <v>203</v>
      </c>
      <c r="C24" s="53" t="s">
        <v>56</v>
      </c>
      <c r="D24" s="53" t="s">
        <v>376</v>
      </c>
      <c r="E24" s="162">
        <v>303.16000000000003</v>
      </c>
      <c r="F24" s="163"/>
      <c r="G24" s="163"/>
      <c r="H24" s="163"/>
      <c r="I24" s="163"/>
      <c r="J24" s="163"/>
      <c r="K24" s="163"/>
      <c r="L24" s="163"/>
      <c r="M24" s="163"/>
      <c r="N24" s="163"/>
      <c r="O24" s="163"/>
      <c r="P24" s="163"/>
      <c r="Q24" s="164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  <c r="AJ24" s="78"/>
      <c r="AK24" s="78"/>
      <c r="AL24" s="78"/>
      <c r="AM24" s="78"/>
      <c r="AN24" s="78"/>
      <c r="AO24" s="78"/>
      <c r="AP24" s="78"/>
      <c r="AQ24" s="78"/>
      <c r="AR24" s="78"/>
      <c r="AS24" s="78"/>
      <c r="AT24" s="78"/>
      <c r="AU24" s="78"/>
      <c r="AV24" s="78"/>
      <c r="AW24" s="78"/>
      <c r="AX24" s="78"/>
      <c r="AY24" s="78"/>
      <c r="AZ24" s="78"/>
      <c r="BA24" s="78"/>
      <c r="BB24" s="78"/>
      <c r="BC24" s="78"/>
      <c r="BD24" s="78"/>
      <c r="BE24" s="78"/>
      <c r="BF24" s="78"/>
      <c r="BG24" s="78"/>
      <c r="BH24" s="78"/>
      <c r="BI24" s="78"/>
      <c r="BJ24" s="78"/>
      <c r="BK24" s="78"/>
      <c r="BL24" s="78"/>
      <c r="BM24" s="78"/>
      <c r="BN24" s="78"/>
      <c r="BO24" s="78"/>
      <c r="BP24" s="78"/>
      <c r="BQ24" s="78"/>
      <c r="BR24" s="78"/>
      <c r="BS24" s="78"/>
      <c r="BT24" s="78"/>
      <c r="BU24" s="78"/>
      <c r="BV24" s="78"/>
      <c r="BW24" s="78"/>
      <c r="BX24" s="78"/>
      <c r="BY24" s="78"/>
      <c r="BZ24" s="78"/>
      <c r="CA24" s="78"/>
      <c r="CB24" s="78"/>
      <c r="CC24" s="78"/>
      <c r="CD24" s="78"/>
      <c r="CE24" s="78"/>
      <c r="CF24" s="78"/>
      <c r="CG24" s="78"/>
      <c r="CH24" s="78"/>
      <c r="CI24" s="78"/>
      <c r="CJ24" s="78"/>
      <c r="CK24" s="78"/>
      <c r="CL24" s="78"/>
      <c r="CM24" s="78"/>
      <c r="CN24" s="78"/>
      <c r="CO24" s="78"/>
      <c r="CP24" s="78"/>
      <c r="CQ24" s="78"/>
      <c r="CR24" s="78"/>
      <c r="CS24" s="78"/>
      <c r="CT24" s="78"/>
      <c r="CU24" s="78"/>
      <c r="CV24" s="78"/>
      <c r="CW24" s="78"/>
      <c r="CX24" s="78"/>
      <c r="CY24" s="78"/>
      <c r="CZ24" s="78"/>
      <c r="DA24" s="78"/>
      <c r="DB24" s="78"/>
      <c r="DC24" s="78"/>
      <c r="DD24" s="78"/>
      <c r="DE24" s="78"/>
      <c r="DF24" s="78"/>
      <c r="DG24" s="78"/>
      <c r="DH24" s="78"/>
      <c r="DI24" s="78"/>
      <c r="DJ24" s="78"/>
      <c r="DK24" s="78"/>
      <c r="DL24" s="78"/>
      <c r="DM24" s="78"/>
      <c r="DN24" s="78"/>
      <c r="DO24" s="78"/>
      <c r="DP24" s="78"/>
      <c r="DQ24" s="78"/>
      <c r="DR24" s="78"/>
      <c r="DS24" s="78"/>
      <c r="DT24" s="78"/>
      <c r="DU24" s="78"/>
      <c r="DV24" s="78"/>
      <c r="DW24" s="78"/>
      <c r="DX24" s="78"/>
      <c r="DY24" s="78"/>
      <c r="DZ24" s="78"/>
      <c r="EA24" s="78"/>
      <c r="EB24" s="78"/>
      <c r="EC24" s="78"/>
    </row>
    <row r="25" spans="1:133" s="9" customFormat="1" x14ac:dyDescent="0.25">
      <c r="A25" s="73" t="s">
        <v>57</v>
      </c>
      <c r="B25" s="60" t="s">
        <v>204</v>
      </c>
      <c r="C25" s="53" t="s">
        <v>59</v>
      </c>
      <c r="D25" s="53" t="s">
        <v>376</v>
      </c>
      <c r="E25" s="162">
        <v>1.9870000000000001</v>
      </c>
      <c r="F25" s="163"/>
      <c r="G25" s="163"/>
      <c r="H25" s="163"/>
      <c r="I25" s="163"/>
      <c r="J25" s="163"/>
      <c r="K25" s="163"/>
      <c r="L25" s="163"/>
      <c r="M25" s="163"/>
      <c r="N25" s="163"/>
      <c r="O25" s="163"/>
      <c r="P25" s="163"/>
      <c r="Q25" s="164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  <c r="AJ25" s="78"/>
      <c r="AK25" s="78"/>
      <c r="AL25" s="78"/>
      <c r="AM25" s="78"/>
      <c r="AN25" s="78"/>
      <c r="AO25" s="78"/>
      <c r="AP25" s="78"/>
      <c r="AQ25" s="78"/>
      <c r="AR25" s="78"/>
      <c r="AS25" s="78"/>
      <c r="AT25" s="78"/>
      <c r="AU25" s="78"/>
      <c r="AV25" s="78"/>
      <c r="AW25" s="78"/>
      <c r="AX25" s="78"/>
      <c r="AY25" s="78"/>
      <c r="AZ25" s="78"/>
      <c r="BA25" s="78"/>
      <c r="BB25" s="78"/>
      <c r="BC25" s="78"/>
      <c r="BD25" s="78"/>
      <c r="BE25" s="78"/>
      <c r="BF25" s="78"/>
      <c r="BG25" s="78"/>
      <c r="BH25" s="78"/>
      <c r="BI25" s="78"/>
      <c r="BJ25" s="78"/>
      <c r="BK25" s="78"/>
      <c r="BL25" s="78"/>
      <c r="BM25" s="78"/>
      <c r="BN25" s="78"/>
      <c r="BO25" s="78"/>
      <c r="BP25" s="78"/>
      <c r="BQ25" s="78"/>
      <c r="BR25" s="78"/>
      <c r="BS25" s="78"/>
      <c r="BT25" s="78"/>
      <c r="BU25" s="78"/>
      <c r="BV25" s="78"/>
      <c r="BW25" s="78"/>
      <c r="BX25" s="78"/>
      <c r="BY25" s="78"/>
      <c r="BZ25" s="78"/>
      <c r="CA25" s="78"/>
      <c r="CB25" s="78"/>
      <c r="CC25" s="78"/>
      <c r="CD25" s="78"/>
      <c r="CE25" s="78"/>
      <c r="CF25" s="78"/>
      <c r="CG25" s="78"/>
      <c r="CH25" s="78"/>
      <c r="CI25" s="78"/>
      <c r="CJ25" s="78"/>
      <c r="CK25" s="78"/>
      <c r="CL25" s="78"/>
      <c r="CM25" s="78"/>
      <c r="CN25" s="78"/>
      <c r="CO25" s="78"/>
      <c r="CP25" s="78"/>
      <c r="CQ25" s="78"/>
      <c r="CR25" s="78"/>
      <c r="CS25" s="78"/>
      <c r="CT25" s="78"/>
      <c r="CU25" s="78"/>
      <c r="CV25" s="78"/>
      <c r="CW25" s="78"/>
      <c r="CX25" s="78"/>
      <c r="CY25" s="78"/>
      <c r="CZ25" s="78"/>
      <c r="DA25" s="78"/>
      <c r="DB25" s="78"/>
      <c r="DC25" s="78"/>
      <c r="DD25" s="78"/>
      <c r="DE25" s="78"/>
      <c r="DF25" s="78"/>
      <c r="DG25" s="78"/>
      <c r="DH25" s="78"/>
      <c r="DI25" s="78"/>
      <c r="DJ25" s="78"/>
      <c r="DK25" s="78"/>
      <c r="DL25" s="78"/>
      <c r="DM25" s="78"/>
      <c r="DN25" s="78"/>
      <c r="DO25" s="78"/>
      <c r="DP25" s="78"/>
      <c r="DQ25" s="78"/>
      <c r="DR25" s="78"/>
      <c r="DS25" s="78"/>
      <c r="DT25" s="78"/>
      <c r="DU25" s="78"/>
      <c r="DV25" s="78"/>
      <c r="DW25" s="78"/>
      <c r="DX25" s="78"/>
      <c r="DY25" s="78"/>
      <c r="DZ25" s="78"/>
      <c r="EA25" s="78"/>
      <c r="EB25" s="78"/>
      <c r="EC25" s="78"/>
    </row>
    <row r="26" spans="1:133" s="9" customFormat="1" ht="31.2" x14ac:dyDescent="0.25">
      <c r="A26" s="73" t="s">
        <v>60</v>
      </c>
      <c r="B26" s="60" t="s">
        <v>203</v>
      </c>
      <c r="C26" s="53" t="s">
        <v>61</v>
      </c>
      <c r="D26" s="143" t="s">
        <v>363</v>
      </c>
      <c r="E26" s="98">
        <f>AVERAGE(F26:Q26)</f>
        <v>297.40000000000003</v>
      </c>
      <c r="F26" s="60">
        <v>288.14999999999998</v>
      </c>
      <c r="G26" s="60">
        <v>292.14999999999998</v>
      </c>
      <c r="H26" s="60">
        <v>295.64999999999998</v>
      </c>
      <c r="I26" s="60">
        <v>298.14999999999998</v>
      </c>
      <c r="J26" s="60">
        <v>302.64999999999998</v>
      </c>
      <c r="K26" s="60">
        <v>303.14999999999998</v>
      </c>
      <c r="L26" s="60">
        <v>302.64999999999998</v>
      </c>
      <c r="M26" s="60">
        <v>301.64999999999998</v>
      </c>
      <c r="N26" s="60">
        <v>301.64999999999998</v>
      </c>
      <c r="O26" s="60">
        <v>297.64999999999998</v>
      </c>
      <c r="P26" s="60">
        <v>294.64999999999998</v>
      </c>
      <c r="Q26" s="60">
        <v>290.64999999999998</v>
      </c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  <c r="AJ26" s="78"/>
      <c r="AK26" s="78"/>
      <c r="AL26" s="78"/>
      <c r="AM26" s="78"/>
      <c r="AN26" s="78"/>
      <c r="AO26" s="78"/>
      <c r="AP26" s="78"/>
      <c r="AQ26" s="78"/>
      <c r="AR26" s="78"/>
      <c r="AS26" s="78"/>
      <c r="AT26" s="78"/>
      <c r="AU26" s="78"/>
      <c r="AV26" s="78"/>
      <c r="AW26" s="78"/>
      <c r="AX26" s="78"/>
      <c r="AY26" s="78"/>
      <c r="AZ26" s="78"/>
      <c r="BA26" s="78"/>
      <c r="BB26" s="78"/>
      <c r="BC26" s="78"/>
      <c r="BD26" s="78"/>
      <c r="BE26" s="78"/>
      <c r="BF26" s="78"/>
      <c r="BG26" s="78"/>
      <c r="BH26" s="78"/>
      <c r="BI26" s="78"/>
      <c r="BJ26" s="78"/>
      <c r="BK26" s="78"/>
      <c r="BL26" s="78"/>
      <c r="BM26" s="78"/>
      <c r="BN26" s="78"/>
      <c r="BO26" s="78"/>
      <c r="BP26" s="78"/>
      <c r="BQ26" s="78"/>
      <c r="BR26" s="78"/>
      <c r="BS26" s="78"/>
      <c r="BT26" s="78"/>
      <c r="BU26" s="78"/>
      <c r="BV26" s="78"/>
      <c r="BW26" s="78"/>
      <c r="BX26" s="78"/>
      <c r="BY26" s="78"/>
      <c r="BZ26" s="78"/>
      <c r="CA26" s="78"/>
      <c r="CB26" s="78"/>
      <c r="CC26" s="78"/>
      <c r="CD26" s="78"/>
      <c r="CE26" s="78"/>
      <c r="CF26" s="78"/>
      <c r="CG26" s="78"/>
      <c r="CH26" s="78"/>
      <c r="CI26" s="78"/>
      <c r="CJ26" s="78"/>
      <c r="CK26" s="78"/>
      <c r="CL26" s="78"/>
      <c r="CM26" s="78"/>
      <c r="CN26" s="78"/>
      <c r="CO26" s="78"/>
      <c r="CP26" s="78"/>
      <c r="CQ26" s="78"/>
      <c r="CR26" s="78"/>
      <c r="CS26" s="78"/>
      <c r="CT26" s="78"/>
      <c r="CU26" s="78"/>
      <c r="CV26" s="78"/>
      <c r="CW26" s="78"/>
      <c r="CX26" s="78"/>
      <c r="CY26" s="78"/>
      <c r="CZ26" s="78"/>
      <c r="DA26" s="78"/>
      <c r="DB26" s="78"/>
      <c r="DC26" s="78"/>
      <c r="DD26" s="78"/>
      <c r="DE26" s="78"/>
      <c r="DF26" s="78"/>
      <c r="DG26" s="78"/>
      <c r="DH26" s="78"/>
      <c r="DI26" s="78"/>
      <c r="DJ26" s="78"/>
      <c r="DK26" s="78"/>
      <c r="DL26" s="78"/>
      <c r="DM26" s="78"/>
      <c r="DN26" s="78"/>
      <c r="DO26" s="78"/>
      <c r="DP26" s="78"/>
      <c r="DQ26" s="78"/>
      <c r="DR26" s="78"/>
      <c r="DS26" s="78"/>
      <c r="DT26" s="78"/>
      <c r="DU26" s="78"/>
      <c r="DV26" s="78"/>
      <c r="DW26" s="78"/>
      <c r="DX26" s="78"/>
      <c r="DY26" s="78"/>
      <c r="DZ26" s="78"/>
      <c r="EA26" s="78"/>
      <c r="EB26" s="78"/>
      <c r="EC26" s="78"/>
    </row>
    <row r="27" spans="1:133" s="9" customFormat="1" ht="31.2" x14ac:dyDescent="0.4">
      <c r="A27" s="71" t="s">
        <v>62</v>
      </c>
      <c r="B27" s="60" t="s">
        <v>196</v>
      </c>
      <c r="C27" s="53" t="s">
        <v>63</v>
      </c>
      <c r="D27" s="53" t="s">
        <v>377</v>
      </c>
      <c r="E27" s="74">
        <f>SUM(F27:Q27)</f>
        <v>956.7377896409082</v>
      </c>
      <c r="F27" s="74">
        <f>F16*F11*F14+(1-F22)*'Baseline Emissions 2020'!Q27</f>
        <v>121.78749013468135</v>
      </c>
      <c r="G27" s="74">
        <f t="shared" ref="G27:Q27" si="6">G16*G11*G14+(1-G22)*F27</f>
        <v>118.64698099201927</v>
      </c>
      <c r="H27" s="74">
        <f t="shared" si="6"/>
        <v>104.78662344007559</v>
      </c>
      <c r="I27" s="74">
        <f t="shared" si="6"/>
        <v>83.298158671631796</v>
      </c>
      <c r="J27" s="74">
        <f t="shared" si="6"/>
        <v>58.114193141022724</v>
      </c>
      <c r="K27" s="74">
        <f t="shared" si="6"/>
        <v>50.685773035057963</v>
      </c>
      <c r="L27" s="74">
        <f t="shared" si="6"/>
        <v>54.453747946246786</v>
      </c>
      <c r="M27" s="74">
        <f t="shared" si="6"/>
        <v>58.778620712602653</v>
      </c>
      <c r="N27" s="74">
        <f>N16*N11*N14+(1-N22)*0</f>
        <v>45.866117673733669</v>
      </c>
      <c r="O27" s="74">
        <f t="shared" si="6"/>
        <v>71.750581521297335</v>
      </c>
      <c r="P27" s="74">
        <f t="shared" si="6"/>
        <v>84.188006394125864</v>
      </c>
      <c r="Q27" s="74">
        <f t="shared" si="6"/>
        <v>104.38149597841317</v>
      </c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  <c r="AJ27" s="78"/>
      <c r="AK27" s="78"/>
      <c r="AL27" s="78"/>
      <c r="AM27" s="78"/>
      <c r="AN27" s="78"/>
      <c r="AO27" s="78"/>
      <c r="AP27" s="78"/>
      <c r="AQ27" s="78"/>
      <c r="AR27" s="78"/>
      <c r="AS27" s="78"/>
      <c r="AT27" s="78"/>
      <c r="AU27" s="78"/>
      <c r="AV27" s="78"/>
      <c r="AW27" s="78"/>
      <c r="AX27" s="78"/>
      <c r="AY27" s="78"/>
      <c r="AZ27" s="78"/>
      <c r="BA27" s="78"/>
      <c r="BB27" s="78"/>
      <c r="BC27" s="78"/>
      <c r="BD27" s="78"/>
      <c r="BE27" s="78"/>
      <c r="BF27" s="78"/>
      <c r="BG27" s="78"/>
      <c r="BH27" s="78"/>
      <c r="BI27" s="78"/>
      <c r="BJ27" s="78"/>
      <c r="BK27" s="78"/>
      <c r="BL27" s="78"/>
      <c r="BM27" s="78"/>
      <c r="BN27" s="78"/>
      <c r="BO27" s="78"/>
      <c r="BP27" s="78"/>
      <c r="BQ27" s="78"/>
      <c r="BR27" s="78"/>
      <c r="BS27" s="78"/>
      <c r="BT27" s="78"/>
      <c r="BU27" s="78"/>
      <c r="BV27" s="78"/>
      <c r="BW27" s="78"/>
      <c r="BX27" s="78"/>
      <c r="BY27" s="78"/>
      <c r="BZ27" s="78"/>
      <c r="CA27" s="78"/>
      <c r="CB27" s="78"/>
      <c r="CC27" s="78"/>
      <c r="CD27" s="78"/>
      <c r="CE27" s="78"/>
      <c r="CF27" s="78"/>
      <c r="CG27" s="78"/>
      <c r="CH27" s="78"/>
      <c r="CI27" s="78"/>
      <c r="CJ27" s="78"/>
      <c r="CK27" s="78"/>
      <c r="CL27" s="78"/>
      <c r="CM27" s="78"/>
      <c r="CN27" s="78"/>
      <c r="CO27" s="78"/>
      <c r="CP27" s="78"/>
      <c r="CQ27" s="78"/>
      <c r="CR27" s="78"/>
      <c r="CS27" s="78"/>
      <c r="CT27" s="78"/>
      <c r="CU27" s="78"/>
      <c r="CV27" s="78"/>
      <c r="CW27" s="78"/>
      <c r="CX27" s="78"/>
      <c r="CY27" s="78"/>
      <c r="CZ27" s="78"/>
      <c r="DA27" s="78"/>
      <c r="DB27" s="78"/>
      <c r="DC27" s="78"/>
      <c r="DD27" s="78"/>
      <c r="DE27" s="78"/>
      <c r="DF27" s="78"/>
      <c r="DG27" s="78"/>
      <c r="DH27" s="78"/>
      <c r="DI27" s="78"/>
      <c r="DJ27" s="78"/>
      <c r="DK27" s="78"/>
      <c r="DL27" s="78"/>
      <c r="DM27" s="78"/>
      <c r="DN27" s="78"/>
      <c r="DO27" s="78"/>
      <c r="DP27" s="78"/>
      <c r="DQ27" s="78"/>
      <c r="DR27" s="78"/>
      <c r="DS27" s="78"/>
      <c r="DT27" s="78"/>
      <c r="DU27" s="78"/>
      <c r="DV27" s="78"/>
      <c r="DW27" s="78"/>
      <c r="DX27" s="78"/>
      <c r="DY27" s="78"/>
      <c r="DZ27" s="78"/>
      <c r="EA27" s="78"/>
      <c r="EB27" s="78"/>
      <c r="EC27" s="78"/>
    </row>
    <row r="29" spans="1:133" x14ac:dyDescent="0.25">
      <c r="A29" s="158" t="s">
        <v>64</v>
      </c>
      <c r="B29" s="158"/>
      <c r="C29" s="158"/>
      <c r="D29" s="158"/>
      <c r="E29" s="158"/>
    </row>
    <row r="30" spans="1:133" x14ac:dyDescent="0.25">
      <c r="A30" s="57" t="s">
        <v>8</v>
      </c>
      <c r="B30" s="58" t="s">
        <v>9</v>
      </c>
      <c r="C30" s="34" t="s">
        <v>10</v>
      </c>
      <c r="D30" s="34" t="s">
        <v>340</v>
      </c>
      <c r="E30" s="16" t="s">
        <v>65</v>
      </c>
    </row>
    <row r="31" spans="1:133" ht="46.8" x14ac:dyDescent="0.25">
      <c r="A31" s="59" t="s">
        <v>66</v>
      </c>
      <c r="B31" s="60" t="s">
        <v>14</v>
      </c>
      <c r="C31" s="53" t="s">
        <v>67</v>
      </c>
      <c r="D31" s="53" t="s">
        <v>68</v>
      </c>
      <c r="E31" s="75">
        <v>0</v>
      </c>
    </row>
    <row r="32" spans="1:133" s="13" customFormat="1" ht="46.8" x14ac:dyDescent="0.25">
      <c r="A32" s="63" t="s">
        <v>69</v>
      </c>
      <c r="B32" s="25" t="s">
        <v>70</v>
      </c>
      <c r="C32" s="35" t="s">
        <v>71</v>
      </c>
      <c r="D32" s="53" t="str">
        <f>D38</f>
        <v>Historical data on site in the FSR (It was calculated with conservative value)</v>
      </c>
      <c r="E32" s="74">
        <f>E38</f>
        <v>277.88960079611087</v>
      </c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  <c r="CC32" s="14"/>
      <c r="CD32" s="14"/>
      <c r="CE32" s="14"/>
      <c r="CF32" s="14"/>
      <c r="CG32" s="14"/>
      <c r="CH32" s="14"/>
      <c r="CI32" s="14"/>
      <c r="CJ32" s="14"/>
      <c r="CK32" s="14"/>
      <c r="CL32" s="14"/>
      <c r="CM32" s="14"/>
      <c r="CN32" s="14"/>
      <c r="CO32" s="14"/>
      <c r="CP32" s="14"/>
      <c r="CQ32" s="14"/>
      <c r="CR32" s="14"/>
      <c r="CS32" s="14"/>
      <c r="CT32" s="14"/>
      <c r="CU32" s="14"/>
      <c r="CV32" s="14"/>
      <c r="CW32" s="14"/>
      <c r="CX32" s="14"/>
      <c r="CY32" s="14"/>
      <c r="CZ32" s="14"/>
      <c r="DA32" s="14"/>
      <c r="DB32" s="14"/>
      <c r="DC32" s="14"/>
      <c r="DD32" s="14"/>
      <c r="DE32" s="14"/>
      <c r="DF32" s="14"/>
      <c r="DG32" s="14"/>
      <c r="DH32" s="14"/>
      <c r="DI32" s="14"/>
      <c r="DJ32" s="14"/>
      <c r="DK32" s="14"/>
      <c r="DL32" s="14"/>
      <c r="DM32" s="14"/>
      <c r="DN32" s="14"/>
      <c r="DO32" s="14"/>
      <c r="DP32" s="14"/>
      <c r="DQ32" s="14"/>
      <c r="DR32" s="14"/>
      <c r="DS32" s="14"/>
      <c r="DT32" s="14"/>
      <c r="DU32" s="14"/>
      <c r="DV32" s="14"/>
      <c r="DW32" s="14"/>
      <c r="DX32" s="14"/>
      <c r="DY32" s="14"/>
      <c r="DZ32" s="14"/>
      <c r="EA32" s="14"/>
      <c r="EB32" s="14"/>
      <c r="EC32" s="14"/>
    </row>
    <row r="33" spans="1:133" s="13" customFormat="1" x14ac:dyDescent="0.25">
      <c r="A33" s="14"/>
      <c r="C33" s="12"/>
      <c r="D33" s="12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14"/>
      <c r="BY33" s="14"/>
      <c r="BZ33" s="14"/>
      <c r="CA33" s="14"/>
      <c r="CB33" s="14"/>
      <c r="CC33" s="14"/>
      <c r="CD33" s="14"/>
      <c r="CE33" s="14"/>
      <c r="CF33" s="14"/>
      <c r="CG33" s="14"/>
      <c r="CH33" s="14"/>
      <c r="CI33" s="14"/>
      <c r="CJ33" s="14"/>
      <c r="CK33" s="14"/>
      <c r="CL33" s="14"/>
      <c r="CM33" s="14"/>
      <c r="CN33" s="14"/>
      <c r="CO33" s="14"/>
      <c r="CP33" s="14"/>
      <c r="CQ33" s="14"/>
      <c r="CR33" s="14"/>
      <c r="CS33" s="14"/>
      <c r="CT33" s="14"/>
      <c r="CU33" s="14"/>
      <c r="CV33" s="14"/>
      <c r="CW33" s="14"/>
      <c r="CX33" s="14"/>
      <c r="CY33" s="14"/>
      <c r="CZ33" s="14"/>
      <c r="DA33" s="14"/>
      <c r="DB33" s="14"/>
      <c r="DC33" s="14"/>
      <c r="DD33" s="14"/>
      <c r="DE33" s="14"/>
      <c r="DF33" s="14"/>
      <c r="DG33" s="14"/>
      <c r="DH33" s="14"/>
      <c r="DI33" s="14"/>
      <c r="DJ33" s="14"/>
      <c r="DK33" s="14"/>
      <c r="DL33" s="14"/>
      <c r="DM33" s="14"/>
      <c r="DN33" s="14"/>
      <c r="DO33" s="14"/>
      <c r="DP33" s="14"/>
      <c r="DQ33" s="14"/>
      <c r="DR33" s="14"/>
      <c r="DS33" s="14"/>
      <c r="DT33" s="14"/>
      <c r="DU33" s="14"/>
      <c r="DV33" s="14"/>
      <c r="DW33" s="14"/>
      <c r="DX33" s="14"/>
      <c r="DY33" s="14"/>
      <c r="DZ33" s="14"/>
      <c r="EA33" s="14"/>
      <c r="EB33" s="14"/>
      <c r="EC33" s="14"/>
    </row>
    <row r="34" spans="1:133" s="13" customFormat="1" x14ac:dyDescent="0.25">
      <c r="A34" s="174" t="s">
        <v>72</v>
      </c>
      <c r="B34" s="174"/>
      <c r="C34" s="175"/>
      <c r="D34" s="175"/>
      <c r="E34" s="17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14"/>
      <c r="CB34" s="14"/>
      <c r="CC34" s="14"/>
      <c r="CD34" s="14"/>
      <c r="CE34" s="14"/>
      <c r="CF34" s="14"/>
      <c r="CG34" s="14"/>
      <c r="CH34" s="14"/>
      <c r="CI34" s="14"/>
      <c r="CJ34" s="14"/>
      <c r="CK34" s="14"/>
      <c r="CL34" s="14"/>
      <c r="CM34" s="14"/>
      <c r="CN34" s="14"/>
      <c r="CO34" s="14"/>
      <c r="CP34" s="14"/>
      <c r="CQ34" s="14"/>
      <c r="CR34" s="14"/>
      <c r="CS34" s="14"/>
      <c r="CT34" s="14"/>
      <c r="CU34" s="14"/>
      <c r="CV34" s="14"/>
      <c r="CW34" s="14"/>
      <c r="CX34" s="14"/>
      <c r="CY34" s="14"/>
      <c r="CZ34" s="14"/>
      <c r="DA34" s="14"/>
      <c r="DB34" s="14"/>
      <c r="DC34" s="14"/>
      <c r="DD34" s="14"/>
      <c r="DE34" s="14"/>
      <c r="DF34" s="14"/>
      <c r="DG34" s="14"/>
      <c r="DH34" s="14"/>
      <c r="DI34" s="14"/>
      <c r="DJ34" s="14"/>
      <c r="DK34" s="14"/>
      <c r="DL34" s="14"/>
      <c r="DM34" s="14"/>
      <c r="DN34" s="14"/>
      <c r="DO34" s="14"/>
      <c r="DP34" s="14"/>
      <c r="DQ34" s="14"/>
      <c r="DR34" s="14"/>
      <c r="DS34" s="14"/>
      <c r="DT34" s="14"/>
      <c r="DU34" s="14"/>
      <c r="DV34" s="14"/>
      <c r="DW34" s="14"/>
      <c r="DX34" s="14"/>
      <c r="DY34" s="14"/>
      <c r="DZ34" s="14"/>
      <c r="EA34" s="14"/>
      <c r="EB34" s="14"/>
      <c r="EC34" s="14"/>
    </row>
    <row r="35" spans="1:133" s="13" customFormat="1" x14ac:dyDescent="0.25">
      <c r="A35" s="59" t="s">
        <v>8</v>
      </c>
      <c r="B35" s="16" t="s">
        <v>9</v>
      </c>
      <c r="C35" s="38" t="s">
        <v>10</v>
      </c>
      <c r="D35" s="38" t="s">
        <v>340</v>
      </c>
      <c r="E35" s="16" t="s">
        <v>65</v>
      </c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4"/>
      <c r="DQ35" s="14"/>
      <c r="DR35" s="14"/>
      <c r="DS35" s="14"/>
      <c r="DT35" s="14"/>
      <c r="DU35" s="14"/>
      <c r="DV35" s="14"/>
      <c r="DW35" s="14"/>
      <c r="DX35" s="14"/>
      <c r="DY35" s="14"/>
      <c r="DZ35" s="14"/>
      <c r="EA35" s="14"/>
      <c r="EB35" s="14"/>
      <c r="EC35" s="14"/>
    </row>
    <row r="36" spans="1:133" s="13" customFormat="1" ht="33.6" x14ac:dyDescent="0.4">
      <c r="A36" s="76" t="s">
        <v>73</v>
      </c>
      <c r="B36" s="25" t="s">
        <v>74</v>
      </c>
      <c r="C36" s="35" t="s">
        <v>75</v>
      </c>
      <c r="D36" s="35" t="s">
        <v>378</v>
      </c>
      <c r="E36" s="50">
        <f>E37*E40*E41*E42*E43*E44</f>
        <v>1.1287127992172947</v>
      </c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4"/>
      <c r="BO36" s="14"/>
      <c r="BP36" s="14"/>
      <c r="BQ36" s="14"/>
      <c r="BR36" s="14"/>
      <c r="BS36" s="14"/>
      <c r="BT36" s="14"/>
      <c r="BU36" s="14"/>
      <c r="BV36" s="14"/>
      <c r="BW36" s="14"/>
      <c r="BX36" s="14"/>
      <c r="BY36" s="14"/>
      <c r="BZ36" s="14"/>
      <c r="CA36" s="14"/>
      <c r="CB36" s="14"/>
      <c r="CC36" s="14"/>
      <c r="CD36" s="14"/>
      <c r="CE36" s="14"/>
      <c r="CF36" s="14"/>
      <c r="CG36" s="14"/>
      <c r="CH36" s="14"/>
      <c r="CI36" s="14"/>
      <c r="CJ36" s="14"/>
      <c r="CK36" s="14"/>
      <c r="CL36" s="14"/>
      <c r="CM36" s="14"/>
      <c r="CN36" s="14"/>
      <c r="CO36" s="14"/>
      <c r="CP36" s="14"/>
      <c r="CQ36" s="14"/>
      <c r="CR36" s="14"/>
      <c r="CS36" s="14"/>
      <c r="CT36" s="14"/>
      <c r="CU36" s="14"/>
      <c r="CV36" s="14"/>
      <c r="CW36" s="14"/>
      <c r="CX36" s="14"/>
      <c r="CY36" s="14"/>
      <c r="CZ36" s="14"/>
      <c r="DA36" s="14"/>
      <c r="DB36" s="14"/>
      <c r="DC36" s="14"/>
      <c r="DD36" s="14"/>
      <c r="DE36" s="14"/>
      <c r="DF36" s="14"/>
      <c r="DG36" s="14"/>
      <c r="DH36" s="14"/>
      <c r="DI36" s="14"/>
      <c r="DJ36" s="14"/>
      <c r="DK36" s="14"/>
      <c r="DL36" s="14"/>
      <c r="DM36" s="14"/>
      <c r="DN36" s="14"/>
      <c r="DO36" s="14"/>
      <c r="DP36" s="14"/>
      <c r="DQ36" s="14"/>
      <c r="DR36" s="14"/>
      <c r="DS36" s="14"/>
      <c r="DT36" s="14"/>
      <c r="DU36" s="14"/>
      <c r="DV36" s="14"/>
      <c r="DW36" s="14"/>
      <c r="DX36" s="14"/>
      <c r="DY36" s="14"/>
      <c r="DZ36" s="14"/>
      <c r="EA36" s="14"/>
      <c r="EB36" s="14"/>
      <c r="EC36" s="14"/>
    </row>
    <row r="37" spans="1:133" s="13" customFormat="1" ht="46.8" x14ac:dyDescent="0.4">
      <c r="A37" s="77" t="s">
        <v>207</v>
      </c>
      <c r="B37" s="25" t="s">
        <v>76</v>
      </c>
      <c r="C37" s="35" t="s">
        <v>77</v>
      </c>
      <c r="D37" s="35" t="s">
        <v>379</v>
      </c>
      <c r="E37" s="52">
        <f>E38/E39</f>
        <v>55.577920159222174</v>
      </c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4"/>
      <c r="CA37" s="14"/>
      <c r="CB37" s="14"/>
      <c r="CC37" s="14"/>
      <c r="CD37" s="14"/>
      <c r="CE37" s="14"/>
      <c r="CF37" s="14"/>
      <c r="CG37" s="14"/>
      <c r="CH37" s="14"/>
      <c r="CI37" s="14"/>
      <c r="CJ37" s="14"/>
      <c r="CK37" s="14"/>
      <c r="CL37" s="14"/>
      <c r="CM37" s="14"/>
      <c r="CN37" s="14"/>
      <c r="CO37" s="14"/>
      <c r="CP37" s="14"/>
      <c r="CQ37" s="14"/>
      <c r="CR37" s="14"/>
      <c r="CS37" s="14"/>
      <c r="CT37" s="14"/>
      <c r="CU37" s="14"/>
      <c r="CV37" s="14"/>
      <c r="CW37" s="14"/>
      <c r="CX37" s="14"/>
      <c r="CY37" s="14"/>
      <c r="CZ37" s="14"/>
      <c r="DA37" s="14"/>
      <c r="DB37" s="14"/>
      <c r="DC37" s="14"/>
      <c r="DD37" s="14"/>
      <c r="DE37" s="14"/>
      <c r="DF37" s="14"/>
      <c r="DG37" s="14"/>
      <c r="DH37" s="14"/>
      <c r="DI37" s="14"/>
      <c r="DJ37" s="14"/>
      <c r="DK37" s="14"/>
      <c r="DL37" s="14"/>
      <c r="DM37" s="14"/>
      <c r="DN37" s="14"/>
      <c r="DO37" s="14"/>
      <c r="DP37" s="14"/>
      <c r="DQ37" s="14"/>
      <c r="DR37" s="14"/>
      <c r="DS37" s="14"/>
      <c r="DT37" s="14"/>
      <c r="DU37" s="14"/>
      <c r="DV37" s="14"/>
      <c r="DW37" s="14"/>
      <c r="DX37" s="14"/>
      <c r="DY37" s="14"/>
      <c r="DZ37" s="14"/>
      <c r="EA37" s="14"/>
      <c r="EB37" s="14"/>
      <c r="EC37" s="14"/>
    </row>
    <row r="38" spans="1:133" s="13" customFormat="1" ht="46.8" x14ac:dyDescent="0.25">
      <c r="A38" s="63" t="s">
        <v>208</v>
      </c>
      <c r="B38" s="25" t="s">
        <v>78</v>
      </c>
      <c r="C38" s="35" t="s">
        <v>79</v>
      </c>
      <c r="D38" s="53" t="s">
        <v>352</v>
      </c>
      <c r="E38" s="52">
        <f>0.000186935962216991*E11</f>
        <v>277.88960079611087</v>
      </c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4"/>
      <c r="BR38" s="14"/>
      <c r="BS38" s="14"/>
      <c r="BT38" s="14"/>
      <c r="BU38" s="14"/>
      <c r="BV38" s="14"/>
      <c r="BW38" s="14"/>
      <c r="BX38" s="14"/>
      <c r="BY38" s="14"/>
      <c r="BZ38" s="14"/>
      <c r="CA38" s="14"/>
      <c r="CB38" s="14"/>
      <c r="CC38" s="14"/>
      <c r="CD38" s="14"/>
      <c r="CE38" s="14"/>
      <c r="CF38" s="14"/>
      <c r="CG38" s="14"/>
      <c r="CH38" s="14"/>
      <c r="CI38" s="14"/>
      <c r="CJ38" s="14"/>
      <c r="CK38" s="14"/>
      <c r="CL38" s="14"/>
      <c r="CM38" s="14"/>
      <c r="CN38" s="14"/>
      <c r="CO38" s="14"/>
      <c r="CP38" s="14"/>
      <c r="CQ38" s="14"/>
      <c r="CR38" s="14"/>
      <c r="CS38" s="14"/>
      <c r="CT38" s="14"/>
      <c r="CU38" s="14"/>
      <c r="CV38" s="14"/>
      <c r="CW38" s="14"/>
      <c r="CX38" s="14"/>
      <c r="CY38" s="14"/>
      <c r="CZ38" s="14"/>
      <c r="DA38" s="14"/>
      <c r="DB38" s="14"/>
      <c r="DC38" s="14"/>
      <c r="DD38" s="14"/>
      <c r="DE38" s="14"/>
      <c r="DF38" s="14"/>
      <c r="DG38" s="14"/>
      <c r="DH38" s="14"/>
      <c r="DI38" s="14"/>
      <c r="DJ38" s="14"/>
      <c r="DK38" s="14"/>
      <c r="DL38" s="14"/>
      <c r="DM38" s="14"/>
      <c r="DN38" s="14"/>
      <c r="DO38" s="14"/>
      <c r="DP38" s="14"/>
      <c r="DQ38" s="14"/>
      <c r="DR38" s="14"/>
      <c r="DS38" s="14"/>
      <c r="DT38" s="14"/>
      <c r="DU38" s="14"/>
      <c r="DV38" s="14"/>
      <c r="DW38" s="14"/>
      <c r="DX38" s="14"/>
      <c r="DY38" s="14"/>
      <c r="DZ38" s="14"/>
      <c r="EA38" s="14"/>
      <c r="EB38" s="14"/>
      <c r="EC38" s="14"/>
    </row>
    <row r="39" spans="1:133" s="13" customFormat="1" ht="31.2" x14ac:dyDescent="0.25">
      <c r="A39" s="63" t="s">
        <v>209</v>
      </c>
      <c r="B39" s="25" t="s">
        <v>80</v>
      </c>
      <c r="C39" s="35" t="s">
        <v>81</v>
      </c>
      <c r="D39" s="35" t="s">
        <v>353</v>
      </c>
      <c r="E39" s="25">
        <f>5</f>
        <v>5</v>
      </c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  <c r="BO39" s="14"/>
      <c r="BP39" s="14"/>
      <c r="BQ39" s="14"/>
      <c r="BR39" s="14"/>
      <c r="BS39" s="14"/>
      <c r="BT39" s="14"/>
      <c r="BU39" s="14"/>
      <c r="BV39" s="14"/>
      <c r="BW39" s="14"/>
      <c r="BX39" s="14"/>
      <c r="BY39" s="14"/>
      <c r="BZ39" s="14"/>
      <c r="CA39" s="14"/>
      <c r="CB39" s="14"/>
      <c r="CC39" s="14"/>
      <c r="CD39" s="14"/>
      <c r="CE39" s="14"/>
      <c r="CF39" s="14"/>
      <c r="CG39" s="14"/>
      <c r="CH39" s="14"/>
      <c r="CI39" s="14"/>
      <c r="CJ39" s="14"/>
      <c r="CK39" s="14"/>
      <c r="CL39" s="14"/>
      <c r="CM39" s="14"/>
      <c r="CN39" s="14"/>
      <c r="CO39" s="14"/>
      <c r="CP39" s="14"/>
      <c r="CQ39" s="14"/>
      <c r="CR39" s="14"/>
      <c r="CS39" s="14"/>
      <c r="CT39" s="14"/>
      <c r="CU39" s="14"/>
      <c r="CV39" s="14"/>
      <c r="CW39" s="14"/>
      <c r="CX39" s="14"/>
      <c r="CY39" s="14"/>
      <c r="CZ39" s="14"/>
      <c r="DA39" s="14"/>
      <c r="DB39" s="14"/>
      <c r="DC39" s="14"/>
      <c r="DD39" s="14"/>
      <c r="DE39" s="14"/>
      <c r="DF39" s="14"/>
      <c r="DG39" s="14"/>
      <c r="DH39" s="14"/>
      <c r="DI39" s="14"/>
      <c r="DJ39" s="14"/>
      <c r="DK39" s="14"/>
      <c r="DL39" s="14"/>
      <c r="DM39" s="14"/>
      <c r="DN39" s="14"/>
      <c r="DO39" s="14"/>
      <c r="DP39" s="14"/>
      <c r="DQ39" s="14"/>
      <c r="DR39" s="14"/>
      <c r="DS39" s="14"/>
      <c r="DT39" s="14"/>
      <c r="DU39" s="14"/>
      <c r="DV39" s="14"/>
      <c r="DW39" s="14"/>
      <c r="DX39" s="14"/>
      <c r="DY39" s="14"/>
      <c r="DZ39" s="14"/>
      <c r="EA39" s="14"/>
      <c r="EB39" s="14"/>
      <c r="EC39" s="14"/>
    </row>
    <row r="40" spans="1:133" s="13" customFormat="1" ht="62.4" x14ac:dyDescent="0.25">
      <c r="A40" s="63" t="s">
        <v>210</v>
      </c>
      <c r="B40" s="25" t="s">
        <v>82</v>
      </c>
      <c r="C40" s="35" t="s">
        <v>83</v>
      </c>
      <c r="D40" s="53" t="s">
        <v>354</v>
      </c>
      <c r="E40" s="25">
        <f>15*2</f>
        <v>30</v>
      </c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14"/>
      <c r="CY40" s="14"/>
      <c r="CZ40" s="14"/>
      <c r="DA40" s="14"/>
      <c r="DB40" s="14"/>
      <c r="DC40" s="14"/>
      <c r="DD40" s="14"/>
      <c r="DE40" s="14"/>
      <c r="DF40" s="14"/>
      <c r="DG40" s="14"/>
      <c r="DH40" s="14"/>
      <c r="DI40" s="14"/>
      <c r="DJ40" s="14"/>
      <c r="DK40" s="14"/>
      <c r="DL40" s="14"/>
      <c r="DM40" s="14"/>
      <c r="DN40" s="14"/>
      <c r="DO40" s="14"/>
      <c r="DP40" s="14"/>
      <c r="DQ40" s="14"/>
      <c r="DR40" s="14"/>
      <c r="DS40" s="14"/>
      <c r="DT40" s="14"/>
      <c r="DU40" s="14"/>
      <c r="DV40" s="14"/>
      <c r="DW40" s="14"/>
      <c r="DX40" s="14"/>
      <c r="DY40" s="14"/>
      <c r="DZ40" s="14"/>
      <c r="EA40" s="14"/>
      <c r="EB40" s="14"/>
      <c r="EC40" s="14"/>
    </row>
    <row r="41" spans="1:133" s="13" customFormat="1" ht="172.2" x14ac:dyDescent="0.25">
      <c r="A41" s="63" t="s">
        <v>211</v>
      </c>
      <c r="B41" s="25" t="s">
        <v>84</v>
      </c>
      <c r="C41" s="35" t="s">
        <v>85</v>
      </c>
      <c r="D41" s="35" t="s">
        <v>355</v>
      </c>
      <c r="E41" s="25">
        <f>25.1/100</f>
        <v>0.251</v>
      </c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4"/>
      <c r="BY41" s="14"/>
      <c r="BZ41" s="14"/>
      <c r="CA41" s="14"/>
      <c r="CB41" s="14"/>
      <c r="CC41" s="14"/>
      <c r="CD41" s="14"/>
      <c r="CE41" s="14"/>
      <c r="CF41" s="14"/>
      <c r="CG41" s="14"/>
      <c r="CH41" s="14"/>
      <c r="CI41" s="14"/>
      <c r="CJ41" s="14"/>
      <c r="CK41" s="14"/>
      <c r="CL41" s="14"/>
      <c r="CM41" s="14"/>
      <c r="CN41" s="14"/>
      <c r="CO41" s="14"/>
      <c r="CP41" s="14"/>
      <c r="CQ41" s="14"/>
      <c r="CR41" s="14"/>
      <c r="CS41" s="14"/>
      <c r="CT41" s="14"/>
      <c r="CU41" s="14"/>
      <c r="CV41" s="14"/>
      <c r="CW41" s="14"/>
      <c r="CX41" s="14"/>
      <c r="CY41" s="14"/>
      <c r="CZ41" s="14"/>
      <c r="DA41" s="14"/>
      <c r="DB41" s="14"/>
      <c r="DC41" s="14"/>
      <c r="DD41" s="14"/>
      <c r="DE41" s="14"/>
      <c r="DF41" s="14"/>
      <c r="DG41" s="14"/>
      <c r="DH41" s="14"/>
      <c r="DI41" s="14"/>
      <c r="DJ41" s="14"/>
      <c r="DK41" s="14"/>
      <c r="DL41" s="14"/>
      <c r="DM41" s="14"/>
      <c r="DN41" s="14"/>
      <c r="DO41" s="14"/>
      <c r="DP41" s="14"/>
      <c r="DQ41" s="14"/>
      <c r="DR41" s="14"/>
      <c r="DS41" s="14"/>
      <c r="DT41" s="14"/>
      <c r="DU41" s="14"/>
      <c r="DV41" s="14"/>
      <c r="DW41" s="14"/>
      <c r="DX41" s="14"/>
      <c r="DY41" s="14"/>
      <c r="DZ41" s="14"/>
      <c r="EA41" s="14"/>
      <c r="EB41" s="14"/>
      <c r="EC41" s="14"/>
    </row>
    <row r="42" spans="1:133" s="13" customFormat="1" ht="140.4" x14ac:dyDescent="0.25">
      <c r="A42" s="63" t="s">
        <v>212</v>
      </c>
      <c r="B42" s="25" t="s">
        <v>87</v>
      </c>
      <c r="C42" s="35" t="s">
        <v>86</v>
      </c>
      <c r="D42" s="35" t="s">
        <v>356</v>
      </c>
      <c r="E42" s="25">
        <f>0.84/1000</f>
        <v>8.3999999999999993E-4</v>
      </c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  <c r="BM42" s="14"/>
      <c r="BN42" s="14"/>
      <c r="BO42" s="14"/>
      <c r="BP42" s="14"/>
      <c r="BQ42" s="14"/>
      <c r="BR42" s="14"/>
      <c r="BS42" s="14"/>
      <c r="BT42" s="14"/>
      <c r="BU42" s="14"/>
      <c r="BV42" s="14"/>
      <c r="BW42" s="14"/>
      <c r="BX42" s="14"/>
      <c r="BY42" s="14"/>
      <c r="BZ42" s="14"/>
      <c r="CA42" s="14"/>
      <c r="CB42" s="14"/>
      <c r="CC42" s="14"/>
      <c r="CD42" s="14"/>
      <c r="CE42" s="14"/>
      <c r="CF42" s="14"/>
      <c r="CG42" s="14"/>
      <c r="CH42" s="14"/>
      <c r="CI42" s="14"/>
      <c r="CJ42" s="14"/>
      <c r="CK42" s="14"/>
      <c r="CL42" s="14"/>
      <c r="CM42" s="14"/>
      <c r="CN42" s="14"/>
      <c r="CO42" s="14"/>
      <c r="CP42" s="14"/>
      <c r="CQ42" s="14"/>
      <c r="CR42" s="14"/>
      <c r="CS42" s="14"/>
      <c r="CT42" s="14"/>
      <c r="CU42" s="14"/>
      <c r="CV42" s="14"/>
      <c r="CW42" s="14"/>
      <c r="CX42" s="14"/>
      <c r="CY42" s="14"/>
      <c r="CZ42" s="14"/>
      <c r="DA42" s="14"/>
      <c r="DB42" s="14"/>
      <c r="DC42" s="14"/>
      <c r="DD42" s="14"/>
      <c r="DE42" s="14"/>
      <c r="DF42" s="14"/>
      <c r="DG42" s="14"/>
      <c r="DH42" s="14"/>
      <c r="DI42" s="14"/>
      <c r="DJ42" s="14"/>
      <c r="DK42" s="14"/>
      <c r="DL42" s="14"/>
      <c r="DM42" s="14"/>
      <c r="DN42" s="14"/>
      <c r="DO42" s="14"/>
      <c r="DP42" s="14"/>
      <c r="DQ42" s="14"/>
      <c r="DR42" s="14"/>
      <c r="DS42" s="14"/>
      <c r="DT42" s="14"/>
      <c r="DU42" s="14"/>
      <c r="DV42" s="14"/>
      <c r="DW42" s="14"/>
      <c r="DX42" s="14"/>
      <c r="DY42" s="14"/>
      <c r="DZ42" s="14"/>
      <c r="EA42" s="14"/>
      <c r="EB42" s="14"/>
      <c r="EC42" s="14"/>
    </row>
    <row r="43" spans="1:133" s="13" customFormat="1" ht="140.4" x14ac:dyDescent="0.25">
      <c r="A43" s="63" t="s">
        <v>213</v>
      </c>
      <c r="B43" s="25" t="s">
        <v>88</v>
      </c>
      <c r="C43" s="35" t="s">
        <v>89</v>
      </c>
      <c r="D43" s="35" t="s">
        <v>357</v>
      </c>
      <c r="E43" s="25">
        <f>43.33/1000</f>
        <v>4.333E-2</v>
      </c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  <c r="BM43" s="14"/>
      <c r="BN43" s="14"/>
      <c r="BO43" s="14"/>
      <c r="BP43" s="14"/>
      <c r="BQ43" s="14"/>
      <c r="BR43" s="14"/>
      <c r="BS43" s="14"/>
      <c r="BT43" s="14"/>
      <c r="BU43" s="14"/>
      <c r="BV43" s="14"/>
      <c r="BW43" s="14"/>
      <c r="BX43" s="14"/>
      <c r="BY43" s="14"/>
      <c r="BZ43" s="14"/>
      <c r="CA43" s="14"/>
      <c r="CB43" s="14"/>
      <c r="CC43" s="14"/>
      <c r="CD43" s="14"/>
      <c r="CE43" s="14"/>
      <c r="CF43" s="14"/>
      <c r="CG43" s="14"/>
      <c r="CH43" s="14"/>
      <c r="CI43" s="14"/>
      <c r="CJ43" s="14"/>
      <c r="CK43" s="14"/>
      <c r="CL43" s="14"/>
      <c r="CM43" s="14"/>
      <c r="CN43" s="14"/>
      <c r="CO43" s="14"/>
      <c r="CP43" s="14"/>
      <c r="CQ43" s="14"/>
      <c r="CR43" s="14"/>
      <c r="CS43" s="14"/>
      <c r="CT43" s="14"/>
      <c r="CU43" s="14"/>
      <c r="CV43" s="14"/>
      <c r="CW43" s="14"/>
      <c r="CX43" s="14"/>
      <c r="CY43" s="14"/>
      <c r="CZ43" s="14"/>
      <c r="DA43" s="14"/>
      <c r="DB43" s="14"/>
      <c r="DC43" s="14"/>
      <c r="DD43" s="14"/>
      <c r="DE43" s="14"/>
      <c r="DF43" s="14"/>
      <c r="DG43" s="14"/>
      <c r="DH43" s="14"/>
      <c r="DI43" s="14"/>
      <c r="DJ43" s="14"/>
      <c r="DK43" s="14"/>
      <c r="DL43" s="14"/>
      <c r="DM43" s="14"/>
      <c r="DN43" s="14"/>
      <c r="DO43" s="14"/>
      <c r="DP43" s="14"/>
      <c r="DQ43" s="14"/>
      <c r="DR43" s="14"/>
      <c r="DS43" s="14"/>
      <c r="DT43" s="14"/>
      <c r="DU43" s="14"/>
      <c r="DV43" s="14"/>
      <c r="DW43" s="14"/>
      <c r="DX43" s="14"/>
      <c r="DY43" s="14"/>
      <c r="DZ43" s="14"/>
      <c r="EA43" s="14"/>
      <c r="EB43" s="14"/>
      <c r="EC43" s="14"/>
    </row>
    <row r="44" spans="1:133" s="13" customFormat="1" ht="62.4" x14ac:dyDescent="0.25">
      <c r="A44" s="63" t="s">
        <v>214</v>
      </c>
      <c r="B44" s="25" t="s">
        <v>90</v>
      </c>
      <c r="C44" s="35" t="s">
        <v>91</v>
      </c>
      <c r="D44" s="35" t="s">
        <v>358</v>
      </c>
      <c r="E44" s="25">
        <v>74.099999999999994</v>
      </c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  <c r="BO44" s="14"/>
      <c r="BP44" s="14"/>
      <c r="BQ44" s="14"/>
      <c r="BR44" s="14"/>
      <c r="BS44" s="14"/>
      <c r="BT44" s="14"/>
      <c r="BU44" s="14"/>
      <c r="BV44" s="14"/>
      <c r="BW44" s="14"/>
      <c r="BX44" s="14"/>
      <c r="BY44" s="14"/>
      <c r="BZ44" s="14"/>
      <c r="CA44" s="14"/>
      <c r="CB44" s="14"/>
      <c r="CC44" s="14"/>
      <c r="CD44" s="14"/>
      <c r="CE44" s="14"/>
      <c r="CF44" s="14"/>
      <c r="CG44" s="14"/>
      <c r="CH44" s="14"/>
      <c r="CI44" s="14"/>
      <c r="CJ44" s="14"/>
      <c r="CK44" s="14"/>
      <c r="CL44" s="14"/>
      <c r="CM44" s="14"/>
      <c r="CN44" s="14"/>
      <c r="CO44" s="14"/>
      <c r="CP44" s="14"/>
      <c r="CQ44" s="14"/>
      <c r="CR44" s="14"/>
      <c r="CS44" s="14"/>
      <c r="CT44" s="14"/>
      <c r="CU44" s="14"/>
      <c r="CV44" s="14"/>
      <c r="CW44" s="14"/>
      <c r="CX44" s="14"/>
      <c r="CY44" s="14"/>
      <c r="CZ44" s="14"/>
      <c r="DA44" s="14"/>
      <c r="DB44" s="14"/>
      <c r="DC44" s="14"/>
      <c r="DD44" s="14"/>
      <c r="DE44" s="14"/>
      <c r="DF44" s="14"/>
      <c r="DG44" s="14"/>
      <c r="DH44" s="14"/>
      <c r="DI44" s="14"/>
      <c r="DJ44" s="14"/>
      <c r="DK44" s="14"/>
      <c r="DL44" s="14"/>
      <c r="DM44" s="14"/>
      <c r="DN44" s="14"/>
      <c r="DO44" s="14"/>
      <c r="DP44" s="14"/>
      <c r="DQ44" s="14"/>
      <c r="DR44" s="14"/>
      <c r="DS44" s="14"/>
      <c r="DT44" s="14"/>
      <c r="DU44" s="14"/>
      <c r="DV44" s="14"/>
      <c r="DW44" s="14"/>
      <c r="DX44" s="14"/>
      <c r="DY44" s="14"/>
      <c r="DZ44" s="14"/>
      <c r="EA44" s="14"/>
      <c r="EB44" s="14"/>
      <c r="EC44" s="14"/>
    </row>
    <row r="46" spans="1:133" s="13" customFormat="1" x14ac:dyDescent="0.25">
      <c r="A46" s="158" t="s">
        <v>93</v>
      </c>
      <c r="B46" s="158"/>
      <c r="C46" s="158"/>
      <c r="D46" s="158"/>
      <c r="E46" s="158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  <c r="BQ46" s="14"/>
      <c r="BR46" s="14"/>
      <c r="BS46" s="14"/>
      <c r="BT46" s="14"/>
      <c r="BU46" s="14"/>
      <c r="BV46" s="14"/>
      <c r="BW46" s="14"/>
      <c r="BX46" s="14"/>
      <c r="BY46" s="14"/>
      <c r="BZ46" s="14"/>
      <c r="CA46" s="14"/>
      <c r="CB46" s="14"/>
      <c r="CC46" s="14"/>
      <c r="CD46" s="14"/>
      <c r="CE46" s="14"/>
      <c r="CF46" s="14"/>
      <c r="CG46" s="14"/>
      <c r="CH46" s="14"/>
      <c r="CI46" s="14"/>
      <c r="CJ46" s="14"/>
      <c r="CK46" s="14"/>
      <c r="CL46" s="14"/>
      <c r="CM46" s="14"/>
      <c r="CN46" s="14"/>
      <c r="CO46" s="14"/>
      <c r="CP46" s="14"/>
      <c r="CQ46" s="14"/>
      <c r="CR46" s="14"/>
      <c r="CS46" s="14"/>
      <c r="CT46" s="14"/>
      <c r="CU46" s="14"/>
      <c r="CV46" s="14"/>
      <c r="CW46" s="14"/>
      <c r="CX46" s="14"/>
      <c r="CY46" s="14"/>
      <c r="CZ46" s="14"/>
      <c r="DA46" s="14"/>
      <c r="DB46" s="14"/>
      <c r="DC46" s="14"/>
      <c r="DD46" s="14"/>
      <c r="DE46" s="14"/>
      <c r="DF46" s="14"/>
      <c r="DG46" s="14"/>
      <c r="DH46" s="14"/>
      <c r="DI46" s="14"/>
      <c r="DJ46" s="14"/>
      <c r="DK46" s="14"/>
      <c r="DL46" s="14"/>
      <c r="DM46" s="14"/>
      <c r="DN46" s="14"/>
      <c r="DO46" s="14"/>
      <c r="DP46" s="14"/>
      <c r="DQ46" s="14"/>
      <c r="DR46" s="14"/>
      <c r="DS46" s="14"/>
      <c r="DT46" s="14"/>
      <c r="DU46" s="14"/>
      <c r="DV46" s="14"/>
      <c r="DW46" s="14"/>
      <c r="DX46" s="14"/>
      <c r="DY46" s="14"/>
      <c r="DZ46" s="14"/>
      <c r="EA46" s="14"/>
      <c r="EB46" s="14"/>
      <c r="EC46" s="14"/>
    </row>
    <row r="47" spans="1:133" s="13" customFormat="1" x14ac:dyDescent="0.25">
      <c r="A47" s="57" t="s">
        <v>8</v>
      </c>
      <c r="B47" s="58" t="s">
        <v>9</v>
      </c>
      <c r="C47" s="34" t="s">
        <v>10</v>
      </c>
      <c r="D47" s="34" t="s">
        <v>340</v>
      </c>
      <c r="E47" s="16" t="s">
        <v>65</v>
      </c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  <c r="BT47" s="14"/>
      <c r="BU47" s="14"/>
      <c r="BV47" s="14"/>
      <c r="BW47" s="14"/>
      <c r="BX47" s="14"/>
      <c r="BY47" s="14"/>
      <c r="BZ47" s="14"/>
      <c r="CA47" s="14"/>
      <c r="CB47" s="14"/>
      <c r="CC47" s="14"/>
      <c r="CD47" s="14"/>
      <c r="CE47" s="14"/>
      <c r="CF47" s="14"/>
      <c r="CG47" s="14"/>
      <c r="CH47" s="14"/>
      <c r="CI47" s="14"/>
      <c r="CJ47" s="14"/>
      <c r="CK47" s="14"/>
      <c r="CL47" s="14"/>
      <c r="CM47" s="14"/>
      <c r="CN47" s="14"/>
      <c r="CO47" s="14"/>
      <c r="CP47" s="14"/>
      <c r="CQ47" s="14"/>
      <c r="CR47" s="14"/>
      <c r="CS47" s="14"/>
      <c r="CT47" s="14"/>
      <c r="CU47" s="14"/>
      <c r="CV47" s="14"/>
      <c r="CW47" s="14"/>
      <c r="CX47" s="14"/>
      <c r="CY47" s="14"/>
      <c r="CZ47" s="14"/>
      <c r="DA47" s="14"/>
      <c r="DB47" s="14"/>
      <c r="DC47" s="14"/>
      <c r="DD47" s="14"/>
      <c r="DE47" s="14"/>
      <c r="DF47" s="14"/>
      <c r="DG47" s="14"/>
      <c r="DH47" s="14"/>
      <c r="DI47" s="14"/>
      <c r="DJ47" s="14"/>
      <c r="DK47" s="14"/>
      <c r="DL47" s="14"/>
      <c r="DM47" s="14"/>
      <c r="DN47" s="14"/>
      <c r="DO47" s="14"/>
      <c r="DP47" s="14"/>
      <c r="DQ47" s="14"/>
      <c r="DR47" s="14"/>
      <c r="DS47" s="14"/>
      <c r="DT47" s="14"/>
      <c r="DU47" s="14"/>
      <c r="DV47" s="14"/>
      <c r="DW47" s="14"/>
      <c r="DX47" s="14"/>
      <c r="DY47" s="14"/>
      <c r="DZ47" s="14"/>
      <c r="EA47" s="14"/>
      <c r="EB47" s="14"/>
      <c r="EC47" s="14"/>
    </row>
    <row r="48" spans="1:133" ht="64.8" x14ac:dyDescent="0.25">
      <c r="A48" s="15" t="s">
        <v>94</v>
      </c>
      <c r="B48" s="25" t="s">
        <v>95</v>
      </c>
      <c r="C48" s="35" t="s">
        <v>96</v>
      </c>
      <c r="D48" s="35" t="s">
        <v>97</v>
      </c>
      <c r="E48" s="16">
        <v>0</v>
      </c>
    </row>
    <row r="50" spans="1:133" x14ac:dyDescent="0.25">
      <c r="A50" s="158" t="s">
        <v>98</v>
      </c>
      <c r="B50" s="158"/>
      <c r="C50" s="158"/>
      <c r="D50" s="158"/>
      <c r="E50" s="158"/>
    </row>
    <row r="51" spans="1:133" x14ac:dyDescent="0.25">
      <c r="A51" s="57" t="s">
        <v>8</v>
      </c>
      <c r="B51" s="58" t="s">
        <v>9</v>
      </c>
      <c r="C51" s="34" t="s">
        <v>10</v>
      </c>
      <c r="D51" s="34" t="s">
        <v>340</v>
      </c>
      <c r="E51" s="16" t="s">
        <v>65</v>
      </c>
    </row>
    <row r="52" spans="1:133" ht="49.2" x14ac:dyDescent="0.25">
      <c r="A52" s="15" t="s">
        <v>99</v>
      </c>
      <c r="B52" s="25" t="s">
        <v>95</v>
      </c>
      <c r="C52" s="35" t="s">
        <v>100</v>
      </c>
      <c r="D52" s="35" t="s">
        <v>101</v>
      </c>
      <c r="E52" s="16">
        <v>0</v>
      </c>
    </row>
    <row r="54" spans="1:133" x14ac:dyDescent="0.25">
      <c r="A54" s="57" t="s">
        <v>8</v>
      </c>
      <c r="B54" s="58" t="s">
        <v>9</v>
      </c>
      <c r="C54" s="34" t="s">
        <v>10</v>
      </c>
      <c r="D54" s="34" t="s">
        <v>340</v>
      </c>
      <c r="E54" s="16" t="s">
        <v>65</v>
      </c>
    </row>
    <row r="55" spans="1:133" ht="18" x14ac:dyDescent="0.25">
      <c r="A55" s="59" t="s">
        <v>102</v>
      </c>
      <c r="B55" s="25" t="s">
        <v>103</v>
      </c>
      <c r="C55" s="35" t="s">
        <v>104</v>
      </c>
      <c r="D55" s="53" t="s">
        <v>380</v>
      </c>
      <c r="E55" s="18">
        <f>ROUNDDOWN(E5+E36+E31+E48+E52,0)</f>
        <v>2053</v>
      </c>
    </row>
    <row r="57" spans="1:133" s="183" customFormat="1" ht="36" customHeight="1" x14ac:dyDescent="0.25">
      <c r="A57" s="183" t="s">
        <v>237</v>
      </c>
    </row>
    <row r="58" spans="1:133" s="56" customFormat="1" ht="31.2" x14ac:dyDescent="0.25">
      <c r="A58" s="92" t="s">
        <v>8</v>
      </c>
      <c r="B58" s="93" t="s">
        <v>9</v>
      </c>
      <c r="C58" s="94" t="s">
        <v>10</v>
      </c>
      <c r="D58" s="93" t="s">
        <v>341</v>
      </c>
      <c r="E58" s="93" t="s">
        <v>11</v>
      </c>
      <c r="F58" s="16" t="s">
        <v>312</v>
      </c>
      <c r="G58" s="16" t="s">
        <v>313</v>
      </c>
      <c r="H58" s="16" t="s">
        <v>314</v>
      </c>
      <c r="I58" s="16" t="s">
        <v>315</v>
      </c>
      <c r="J58" s="16" t="s">
        <v>316</v>
      </c>
      <c r="K58" s="16" t="s">
        <v>317</v>
      </c>
      <c r="L58" s="16" t="s">
        <v>318</v>
      </c>
      <c r="M58" s="16" t="s">
        <v>319</v>
      </c>
      <c r="N58" s="16" t="s">
        <v>320</v>
      </c>
      <c r="O58" s="16" t="s">
        <v>293</v>
      </c>
      <c r="P58" s="16" t="s">
        <v>294</v>
      </c>
      <c r="Q58" s="16" t="s">
        <v>295</v>
      </c>
      <c r="R58" s="54"/>
      <c r="S58" s="54"/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F58" s="54"/>
      <c r="AG58" s="54"/>
      <c r="AH58" s="54"/>
      <c r="AI58" s="54"/>
      <c r="AJ58" s="54"/>
      <c r="AK58" s="54"/>
      <c r="AL58" s="54"/>
      <c r="AM58" s="54"/>
      <c r="AN58" s="54"/>
      <c r="AO58" s="54"/>
      <c r="AP58" s="54"/>
      <c r="AQ58" s="54"/>
      <c r="AR58" s="54"/>
      <c r="AS58" s="54"/>
      <c r="AT58" s="54"/>
      <c r="AU58" s="54"/>
      <c r="AV58" s="54"/>
      <c r="AW58" s="54"/>
      <c r="AX58" s="54"/>
      <c r="AY58" s="54"/>
      <c r="AZ58" s="54"/>
      <c r="BA58" s="54"/>
      <c r="BB58" s="54"/>
      <c r="BC58" s="54"/>
      <c r="BD58" s="54"/>
      <c r="BE58" s="54"/>
      <c r="BF58" s="54"/>
      <c r="BG58" s="54"/>
      <c r="BH58" s="54"/>
      <c r="BI58" s="54"/>
      <c r="BJ58" s="54"/>
      <c r="BK58" s="54"/>
      <c r="BL58" s="54"/>
      <c r="BM58" s="54"/>
      <c r="BN58" s="54"/>
      <c r="BO58" s="54"/>
      <c r="BP58" s="54"/>
      <c r="BQ58" s="54"/>
      <c r="BR58" s="54"/>
      <c r="BS58" s="54"/>
      <c r="BT58" s="54"/>
      <c r="BU58" s="54"/>
      <c r="BV58" s="54"/>
      <c r="BW58" s="54"/>
      <c r="BX58" s="54"/>
      <c r="BY58" s="54"/>
      <c r="BZ58" s="54"/>
      <c r="CA58" s="54"/>
      <c r="CB58" s="54"/>
      <c r="CC58" s="54"/>
      <c r="CD58" s="54"/>
      <c r="CE58" s="54"/>
      <c r="CF58" s="54"/>
      <c r="CG58" s="54"/>
      <c r="CH58" s="54"/>
      <c r="CI58" s="54"/>
      <c r="CJ58" s="54"/>
      <c r="CK58" s="54"/>
      <c r="CL58" s="54"/>
      <c r="CM58" s="54"/>
      <c r="CN58" s="54"/>
      <c r="CO58" s="54"/>
      <c r="CP58" s="54"/>
      <c r="CQ58" s="54"/>
      <c r="CR58" s="54"/>
      <c r="CS58" s="54"/>
      <c r="CT58" s="54"/>
      <c r="CU58" s="54"/>
      <c r="CV58" s="54"/>
      <c r="CW58" s="54"/>
      <c r="CX58" s="54"/>
      <c r="CY58" s="54"/>
      <c r="CZ58" s="54"/>
      <c r="DA58" s="54"/>
      <c r="DB58" s="54"/>
      <c r="DC58" s="54"/>
      <c r="DD58" s="54"/>
      <c r="DE58" s="54"/>
      <c r="DF58" s="54"/>
      <c r="DG58" s="54"/>
      <c r="DH58" s="54"/>
      <c r="DI58" s="54"/>
      <c r="DJ58" s="54"/>
      <c r="DK58" s="54"/>
      <c r="DL58" s="54"/>
      <c r="DM58" s="54"/>
      <c r="DN58" s="54"/>
      <c r="DO58" s="54"/>
      <c r="DP58" s="54"/>
      <c r="DQ58" s="54"/>
      <c r="DR58" s="54"/>
      <c r="DS58" s="54"/>
      <c r="DT58" s="54"/>
      <c r="DU58" s="54"/>
      <c r="DV58" s="54"/>
      <c r="DW58" s="54"/>
      <c r="DX58" s="54"/>
      <c r="DY58" s="54"/>
      <c r="DZ58" s="54"/>
      <c r="EA58" s="54"/>
      <c r="EB58" s="54"/>
      <c r="EC58" s="54"/>
    </row>
    <row r="59" spans="1:133" s="56" customFormat="1" x14ac:dyDescent="0.25">
      <c r="A59" s="178" t="s">
        <v>12</v>
      </c>
      <c r="B59" s="178"/>
      <c r="C59" s="179"/>
      <c r="D59" s="179"/>
      <c r="E59" s="178"/>
      <c r="F59" s="16">
        <v>31</v>
      </c>
      <c r="G59" s="16">
        <v>28</v>
      </c>
      <c r="H59" s="16">
        <v>31</v>
      </c>
      <c r="I59" s="16">
        <v>30</v>
      </c>
      <c r="J59" s="16">
        <v>31</v>
      </c>
      <c r="K59" s="16">
        <v>30</v>
      </c>
      <c r="L59" s="16">
        <v>31</v>
      </c>
      <c r="M59" s="16">
        <v>31</v>
      </c>
      <c r="N59" s="16">
        <v>30</v>
      </c>
      <c r="O59" s="16">
        <v>31</v>
      </c>
      <c r="P59" s="16">
        <v>30</v>
      </c>
      <c r="Q59" s="16">
        <v>31</v>
      </c>
      <c r="R59" s="54"/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54"/>
      <c r="AK59" s="54"/>
      <c r="AL59" s="54"/>
      <c r="AM59" s="54"/>
      <c r="AN59" s="54"/>
      <c r="AO59" s="54"/>
      <c r="AP59" s="54"/>
      <c r="AQ59" s="54"/>
      <c r="AR59" s="54"/>
      <c r="AS59" s="54"/>
      <c r="AT59" s="54"/>
      <c r="AU59" s="54"/>
      <c r="AV59" s="54"/>
      <c r="AW59" s="54"/>
      <c r="AX59" s="54"/>
      <c r="AY59" s="54"/>
      <c r="AZ59" s="54"/>
      <c r="BA59" s="54"/>
      <c r="BB59" s="54"/>
      <c r="BC59" s="54"/>
      <c r="BD59" s="54"/>
      <c r="BE59" s="54"/>
      <c r="BF59" s="54"/>
      <c r="BG59" s="54"/>
      <c r="BH59" s="54"/>
      <c r="BI59" s="54"/>
      <c r="BJ59" s="54"/>
      <c r="BK59" s="54"/>
      <c r="BL59" s="54"/>
      <c r="BM59" s="54"/>
      <c r="BN59" s="54"/>
      <c r="BO59" s="54"/>
      <c r="BP59" s="54"/>
      <c r="BQ59" s="54"/>
      <c r="BR59" s="54"/>
      <c r="BS59" s="54"/>
      <c r="BT59" s="54"/>
      <c r="BU59" s="54"/>
      <c r="BV59" s="54"/>
      <c r="BW59" s="54"/>
      <c r="BX59" s="54"/>
      <c r="BY59" s="54"/>
      <c r="BZ59" s="54"/>
      <c r="CA59" s="54"/>
      <c r="CB59" s="54"/>
      <c r="CC59" s="54"/>
      <c r="CD59" s="54"/>
      <c r="CE59" s="54"/>
      <c r="CF59" s="54"/>
      <c r="CG59" s="54"/>
      <c r="CH59" s="54"/>
      <c r="CI59" s="54"/>
      <c r="CJ59" s="54"/>
      <c r="CK59" s="54"/>
      <c r="CL59" s="54"/>
      <c r="CM59" s="54"/>
      <c r="CN59" s="54"/>
      <c r="CO59" s="54"/>
      <c r="CP59" s="54"/>
      <c r="CQ59" s="54"/>
      <c r="CR59" s="54"/>
      <c r="CS59" s="54"/>
      <c r="CT59" s="54"/>
      <c r="CU59" s="54"/>
      <c r="CV59" s="54"/>
      <c r="CW59" s="54"/>
      <c r="CX59" s="54"/>
      <c r="CY59" s="54"/>
      <c r="CZ59" s="54"/>
      <c r="DA59" s="54"/>
      <c r="DB59" s="54"/>
      <c r="DC59" s="54"/>
      <c r="DD59" s="54"/>
      <c r="DE59" s="54"/>
      <c r="DF59" s="54"/>
      <c r="DG59" s="54"/>
      <c r="DH59" s="54"/>
      <c r="DI59" s="54"/>
      <c r="DJ59" s="54"/>
      <c r="DK59" s="54"/>
      <c r="DL59" s="54"/>
      <c r="DM59" s="54"/>
      <c r="DN59" s="54"/>
      <c r="DO59" s="54"/>
      <c r="DP59" s="54"/>
      <c r="DQ59" s="54"/>
      <c r="DR59" s="54"/>
      <c r="DS59" s="54"/>
      <c r="DT59" s="54"/>
      <c r="DU59" s="54"/>
      <c r="DV59" s="54"/>
      <c r="DW59" s="54"/>
      <c r="DX59" s="54"/>
      <c r="DY59" s="54"/>
      <c r="DZ59" s="54"/>
      <c r="EA59" s="54"/>
      <c r="EB59" s="54"/>
      <c r="EC59" s="54"/>
    </row>
    <row r="60" spans="1:133" ht="46.8" x14ac:dyDescent="0.25">
      <c r="A60" s="59" t="s">
        <v>13</v>
      </c>
      <c r="B60" s="60" t="s">
        <v>14</v>
      </c>
      <c r="C60" s="53" t="s">
        <v>15</v>
      </c>
      <c r="D60" s="53" t="s">
        <v>369</v>
      </c>
      <c r="E60" s="61">
        <f>SUM(F60:Q60)</f>
        <v>2916.1100435526182</v>
      </c>
      <c r="F60" s="62">
        <f>$E$61*$E$62*F63*$E$74</f>
        <v>241.521619487169</v>
      </c>
      <c r="G60" s="62">
        <f t="shared" ref="G60:Q60" si="7">$E$61*$E$62*G63*$E$74</f>
        <v>218.559147100773</v>
      </c>
      <c r="H60" s="62">
        <f t="shared" si="7"/>
        <v>241.84976333850207</v>
      </c>
      <c r="I60" s="62">
        <f t="shared" si="7"/>
        <v>234.16308787834299</v>
      </c>
      <c r="J60" s="62">
        <f t="shared" si="7"/>
        <v>275.94115678476692</v>
      </c>
      <c r="K60" s="62">
        <f t="shared" si="7"/>
        <v>234.18685004242764</v>
      </c>
      <c r="L60" s="62">
        <f t="shared" si="7"/>
        <v>241.90339451802208</v>
      </c>
      <c r="M60" s="62">
        <f t="shared" si="7"/>
        <v>241.97427731566864</v>
      </c>
      <c r="N60" s="62">
        <f t="shared" si="7"/>
        <v>234.087153604186</v>
      </c>
      <c r="O60" s="62">
        <f t="shared" si="7"/>
        <v>241.67951520494873</v>
      </c>
      <c r="P60" s="62">
        <f t="shared" si="7"/>
        <v>234.30720746996857</v>
      </c>
      <c r="Q60" s="62">
        <f t="shared" si="7"/>
        <v>275.93687080784292</v>
      </c>
    </row>
    <row r="61" spans="1:133" ht="31.2" x14ac:dyDescent="0.25">
      <c r="A61" s="63" t="s">
        <v>16</v>
      </c>
      <c r="B61" s="60" t="s">
        <v>193</v>
      </c>
      <c r="C61" s="35" t="s">
        <v>17</v>
      </c>
      <c r="D61" s="35" t="s">
        <v>205</v>
      </c>
      <c r="E61" s="176">
        <v>28</v>
      </c>
      <c r="F61" s="176"/>
      <c r="G61" s="176"/>
      <c r="H61" s="176"/>
      <c r="I61" s="176"/>
      <c r="J61" s="176"/>
      <c r="K61" s="176"/>
      <c r="L61" s="176"/>
      <c r="M61" s="176"/>
      <c r="N61" s="176"/>
      <c r="O61" s="176"/>
      <c r="P61" s="176"/>
      <c r="Q61" s="176"/>
    </row>
    <row r="62" spans="1:133" ht="64.8" x14ac:dyDescent="0.25">
      <c r="A62" s="63" t="s">
        <v>18</v>
      </c>
      <c r="B62" s="25" t="s">
        <v>194</v>
      </c>
      <c r="C62" s="35" t="s">
        <v>20</v>
      </c>
      <c r="D62" s="35" t="s">
        <v>394</v>
      </c>
      <c r="E62" s="176">
        <v>0.21</v>
      </c>
      <c r="F62" s="176"/>
      <c r="G62" s="176"/>
      <c r="H62" s="176"/>
      <c r="I62" s="176"/>
      <c r="J62" s="176"/>
      <c r="K62" s="176"/>
      <c r="L62" s="176"/>
      <c r="M62" s="176"/>
      <c r="N62" s="176"/>
      <c r="O62" s="176"/>
      <c r="P62" s="176"/>
      <c r="Q62" s="176"/>
    </row>
    <row r="63" spans="1:133" ht="46.8" x14ac:dyDescent="0.25">
      <c r="A63" s="35" t="s">
        <v>21</v>
      </c>
      <c r="B63" s="25" t="s">
        <v>195</v>
      </c>
      <c r="C63" s="53" t="s">
        <v>22</v>
      </c>
      <c r="D63" s="53" t="s">
        <v>370</v>
      </c>
      <c r="E63" s="64">
        <f t="shared" ref="E63:Q63" si="8">E71*E64</f>
        <v>850.45877573446853</v>
      </c>
      <c r="F63" s="64">
        <f t="shared" si="8"/>
        <v>70.43773306038392</v>
      </c>
      <c r="G63" s="64">
        <f t="shared" si="8"/>
        <v>63.740922630768019</v>
      </c>
      <c r="H63" s="64">
        <f t="shared" si="8"/>
        <v>70.533433433107007</v>
      </c>
      <c r="I63" s="64">
        <f t="shared" si="8"/>
        <v>68.291679691416604</v>
      </c>
      <c r="J63" s="64">
        <f t="shared" si="8"/>
        <v>80.475899355302005</v>
      </c>
      <c r="K63" s="64">
        <f t="shared" si="8"/>
        <v>68.298609725151408</v>
      </c>
      <c r="L63" s="64">
        <f t="shared" si="8"/>
        <v>70.549074512008204</v>
      </c>
      <c r="M63" s="64">
        <f t="shared" si="8"/>
        <v>70.569746879102311</v>
      </c>
      <c r="N63" s="64">
        <f t="shared" si="8"/>
        <v>68.269534104017168</v>
      </c>
      <c r="O63" s="64">
        <f t="shared" si="8"/>
        <v>70.483782008068033</v>
      </c>
      <c r="P63" s="64">
        <f t="shared" si="8"/>
        <v>68.333710948681471</v>
      </c>
      <c r="Q63" s="64">
        <f t="shared" si="8"/>
        <v>80.474649386462289</v>
      </c>
    </row>
    <row r="64" spans="1:133" ht="46.8" x14ac:dyDescent="0.25">
      <c r="A64" s="35" t="s">
        <v>23</v>
      </c>
      <c r="B64" s="25" t="s">
        <v>197</v>
      </c>
      <c r="C64" s="35" t="s">
        <v>191</v>
      </c>
      <c r="D64" s="35" t="s">
        <v>371</v>
      </c>
      <c r="E64" s="20">
        <f>SUM(F64:Q64)</f>
        <v>896.08171406273573</v>
      </c>
      <c r="F64" s="20">
        <f>F66*F69</f>
        <v>74.216371652973606</v>
      </c>
      <c r="G64" s="20">
        <f t="shared" ref="G64:Q64" si="9">G66*G69</f>
        <v>67.160310219142247</v>
      </c>
      <c r="H64" s="20">
        <f t="shared" si="9"/>
        <v>74.317205880890285</v>
      </c>
      <c r="I64" s="20">
        <f t="shared" si="9"/>
        <v>71.955193055958631</v>
      </c>
      <c r="J64" s="20">
        <f t="shared" si="9"/>
        <v>84.793036291219892</v>
      </c>
      <c r="K64" s="20">
        <f t="shared" si="9"/>
        <v>71.962494851983067</v>
      </c>
      <c r="L64" s="20">
        <f t="shared" si="9"/>
        <v>74.333686026890859</v>
      </c>
      <c r="M64" s="20">
        <f t="shared" si="9"/>
        <v>74.355467364996784</v>
      </c>
      <c r="N64" s="20">
        <f t="shared" si="9"/>
        <v>71.93185946651019</v>
      </c>
      <c r="O64" s="20">
        <f t="shared" si="9"/>
        <v>74.264890900641944</v>
      </c>
      <c r="P64" s="20">
        <f t="shared" si="9"/>
        <v>71.999479083839987</v>
      </c>
      <c r="Q64" s="20">
        <f t="shared" si="9"/>
        <v>84.791719267688151</v>
      </c>
    </row>
    <row r="65" spans="1:133" ht="62.4" x14ac:dyDescent="0.25">
      <c r="A65" s="17" t="s">
        <v>335</v>
      </c>
      <c r="B65" s="60" t="s">
        <v>192</v>
      </c>
      <c r="C65" s="35" t="s">
        <v>25</v>
      </c>
      <c r="D65" s="35" t="s">
        <v>333</v>
      </c>
      <c r="E65" s="121">
        <f>AVERAGE(F65:Q65)</f>
        <v>5241.4011091077828</v>
      </c>
      <c r="F65" s="121">
        <v>5121.3244516129034</v>
      </c>
      <c r="G65" s="121">
        <v>5122.4464642857138</v>
      </c>
      <c r="H65" s="121">
        <v>5120.4748064516116</v>
      </c>
      <c r="I65" s="121">
        <v>5124.0573000000004</v>
      </c>
      <c r="J65" s="121">
        <v>5840.3910645161295</v>
      </c>
      <c r="K65" s="121">
        <v>5120.2245666666668</v>
      </c>
      <c r="L65" s="121">
        <v>5120.2785161290331</v>
      </c>
      <c r="M65" s="121">
        <v>5121.2173870967754</v>
      </c>
      <c r="N65" s="121">
        <v>5122.4136428571419</v>
      </c>
      <c r="O65" s="121">
        <v>5118.4014193548383</v>
      </c>
      <c r="P65" s="121">
        <v>5124.5424000000012</v>
      </c>
      <c r="Q65" s="121">
        <v>5841.0412903225797</v>
      </c>
    </row>
    <row r="66" spans="1:133" ht="46.8" x14ac:dyDescent="0.25">
      <c r="A66" s="35" t="s">
        <v>26</v>
      </c>
      <c r="B66" s="60" t="s">
        <v>198</v>
      </c>
      <c r="C66" s="35" t="s">
        <v>27</v>
      </c>
      <c r="D66" s="35" t="s">
        <v>206</v>
      </c>
      <c r="E66" s="65">
        <f>SUM(F66:Q66)</f>
        <v>1913942.6352857144</v>
      </c>
      <c r="F66" s="65">
        <f>F65*F59</f>
        <v>158761.05800000002</v>
      </c>
      <c r="G66" s="65">
        <f t="shared" ref="G66:Q66" si="10">G65*G59</f>
        <v>143428.50099999999</v>
      </c>
      <c r="H66" s="65">
        <f t="shared" si="10"/>
        <v>158734.71899999995</v>
      </c>
      <c r="I66" s="65">
        <f t="shared" si="10"/>
        <v>153721.71900000001</v>
      </c>
      <c r="J66" s="65">
        <f t="shared" si="10"/>
        <v>181052.12300000002</v>
      </c>
      <c r="K66" s="65">
        <f t="shared" si="10"/>
        <v>153606.73699999999</v>
      </c>
      <c r="L66" s="65">
        <f t="shared" si="10"/>
        <v>158728.63400000002</v>
      </c>
      <c r="M66" s="65">
        <f t="shared" si="10"/>
        <v>158757.73900000003</v>
      </c>
      <c r="N66" s="65">
        <f t="shared" si="10"/>
        <v>153672.40928571427</v>
      </c>
      <c r="O66" s="65">
        <f t="shared" si="10"/>
        <v>158670.44399999999</v>
      </c>
      <c r="P66" s="65">
        <f t="shared" si="10"/>
        <v>153736.27200000003</v>
      </c>
      <c r="Q66" s="65">
        <f t="shared" si="10"/>
        <v>181072.27999999997</v>
      </c>
    </row>
    <row r="67" spans="1:133" ht="62.4" x14ac:dyDescent="0.25">
      <c r="A67" s="35" t="s">
        <v>28</v>
      </c>
      <c r="B67" s="60" t="s">
        <v>199</v>
      </c>
      <c r="C67" s="35" t="s">
        <v>29</v>
      </c>
      <c r="D67" s="35" t="s">
        <v>332</v>
      </c>
      <c r="E67" s="125">
        <f>AVERAGE(F67:Q67)</f>
        <v>468.18467604564097</v>
      </c>
      <c r="F67" s="125">
        <v>467.47214076246331</v>
      </c>
      <c r="G67" s="125">
        <v>468.24940476190471</v>
      </c>
      <c r="H67" s="125">
        <v>468.18494623655909</v>
      </c>
      <c r="I67" s="125">
        <v>468.08735632183908</v>
      </c>
      <c r="J67" s="125">
        <v>468.33494623655906</v>
      </c>
      <c r="K67" s="125">
        <v>468.48527777777787</v>
      </c>
      <c r="L67" s="125">
        <v>468.30672043010748</v>
      </c>
      <c r="M67" s="125">
        <v>468.35806451612905</v>
      </c>
      <c r="N67" s="125">
        <v>468.08571428571423</v>
      </c>
      <c r="O67" s="125">
        <v>468.04489247311835</v>
      </c>
      <c r="P67" s="125">
        <v>468.331111111111</v>
      </c>
      <c r="Q67" s="125">
        <v>468.27553763440858</v>
      </c>
    </row>
    <row r="68" spans="1:133" ht="62.4" x14ac:dyDescent="0.25">
      <c r="A68" s="35" t="s">
        <v>30</v>
      </c>
      <c r="B68" s="60" t="s">
        <v>199</v>
      </c>
      <c r="C68" s="35" t="s">
        <v>31</v>
      </c>
      <c r="D68" s="35" t="s">
        <v>331</v>
      </c>
      <c r="E68" s="125">
        <f>AVERAGE(F68:Q68)</f>
        <v>22.05184980833549</v>
      </c>
      <c r="F68" s="125">
        <v>22.056891495601171</v>
      </c>
      <c r="G68" s="125">
        <v>21.288690476190482</v>
      </c>
      <c r="H68" s="125">
        <v>22.187096774193552</v>
      </c>
      <c r="I68" s="125">
        <v>21.946551724137933</v>
      </c>
      <c r="J68" s="125">
        <v>22.330107526881719</v>
      </c>
      <c r="K68" s="125">
        <v>21.859166666666667</v>
      </c>
      <c r="L68" s="125">
        <v>22.46720430107527</v>
      </c>
      <c r="M68" s="125">
        <v>21.69596774193549</v>
      </c>
      <c r="N68" s="125">
        <v>22.490476190476191</v>
      </c>
      <c r="O68" s="125">
        <v>22.493279569892469</v>
      </c>
      <c r="P68" s="125">
        <v>21.851388888888891</v>
      </c>
      <c r="Q68" s="125">
        <v>21.955376344086019</v>
      </c>
    </row>
    <row r="69" spans="1:133" ht="62.4" x14ac:dyDescent="0.25">
      <c r="A69" s="35" t="s">
        <v>32</v>
      </c>
      <c r="B69" s="60" t="s">
        <v>200</v>
      </c>
      <c r="C69" s="35" t="s">
        <v>34</v>
      </c>
      <c r="D69" s="35" t="s">
        <v>338</v>
      </c>
      <c r="E69" s="122">
        <f>E67/1000000</f>
        <v>4.6818467604564098E-4</v>
      </c>
      <c r="F69" s="120">
        <f>F67/1000000</f>
        <v>4.6747214076246329E-4</v>
      </c>
      <c r="G69" s="120">
        <f t="shared" ref="G69:Q70" si="11">G67/1000000</f>
        <v>4.6824940476190472E-4</v>
      </c>
      <c r="H69" s="120">
        <f t="shared" si="11"/>
        <v>4.6818494623655907E-4</v>
      </c>
      <c r="I69" s="120">
        <f t="shared" si="11"/>
        <v>4.6808735632183907E-4</v>
      </c>
      <c r="J69" s="120">
        <f t="shared" si="11"/>
        <v>4.6833494623655904E-4</v>
      </c>
      <c r="K69" s="120">
        <f t="shared" si="11"/>
        <v>4.6848527777777787E-4</v>
      </c>
      <c r="L69" s="120">
        <f t="shared" si="11"/>
        <v>4.6830672043010748E-4</v>
      </c>
      <c r="M69" s="120">
        <f t="shared" si="11"/>
        <v>4.6835806451612903E-4</v>
      </c>
      <c r="N69" s="120">
        <f t="shared" si="11"/>
        <v>4.6808571428571421E-4</v>
      </c>
      <c r="O69" s="120">
        <f t="shared" si="11"/>
        <v>4.6804489247311834E-4</v>
      </c>
      <c r="P69" s="120">
        <f t="shared" si="11"/>
        <v>4.6833111111111098E-4</v>
      </c>
      <c r="Q69" s="120">
        <f t="shared" si="11"/>
        <v>4.682755376344086E-4</v>
      </c>
    </row>
    <row r="70" spans="1:133" ht="62.4" x14ac:dyDescent="0.25">
      <c r="A70" s="35" t="s">
        <v>30</v>
      </c>
      <c r="B70" s="60" t="s">
        <v>33</v>
      </c>
      <c r="C70" s="35" t="s">
        <v>35</v>
      </c>
      <c r="D70" s="35" t="s">
        <v>339</v>
      </c>
      <c r="E70" s="122">
        <f>E68/1000000</f>
        <v>2.205184980833549E-5</v>
      </c>
      <c r="F70" s="120">
        <f>F68/1000000</f>
        <v>2.205689149560117E-5</v>
      </c>
      <c r="G70" s="120">
        <f t="shared" si="11"/>
        <v>2.1288690476190482E-5</v>
      </c>
      <c r="H70" s="120">
        <f t="shared" si="11"/>
        <v>2.2187096774193554E-5</v>
      </c>
      <c r="I70" s="120">
        <f t="shared" si="11"/>
        <v>2.1946551724137933E-5</v>
      </c>
      <c r="J70" s="120">
        <f t="shared" si="11"/>
        <v>2.2330107526881718E-5</v>
      </c>
      <c r="K70" s="120">
        <f t="shared" si="11"/>
        <v>2.1859166666666666E-5</v>
      </c>
      <c r="L70" s="120">
        <f t="shared" si="11"/>
        <v>2.2467204301075271E-5</v>
      </c>
      <c r="M70" s="120">
        <f t="shared" si="11"/>
        <v>2.1695967741935491E-5</v>
      </c>
      <c r="N70" s="120">
        <f t="shared" si="11"/>
        <v>2.249047619047619E-5</v>
      </c>
      <c r="O70" s="120">
        <f t="shared" si="11"/>
        <v>2.2493279569892467E-5</v>
      </c>
      <c r="P70" s="120">
        <f t="shared" si="11"/>
        <v>2.185138888888889E-5</v>
      </c>
      <c r="Q70" s="120">
        <f t="shared" si="11"/>
        <v>2.1955376344086021E-5</v>
      </c>
    </row>
    <row r="71" spans="1:133" ht="46.8" x14ac:dyDescent="0.25">
      <c r="A71" s="63" t="s">
        <v>36</v>
      </c>
      <c r="B71" s="25" t="s">
        <v>201</v>
      </c>
      <c r="C71" s="35" t="s">
        <v>38</v>
      </c>
      <c r="D71" s="35" t="s">
        <v>368</v>
      </c>
      <c r="E71" s="68">
        <f>(1-(E72/E73))</f>
        <v>0.94908618531962019</v>
      </c>
      <c r="F71" s="68">
        <f>E71</f>
        <v>0.94908618531962019</v>
      </c>
      <c r="G71" s="68">
        <f>E71</f>
        <v>0.94908618531962019</v>
      </c>
      <c r="H71" s="68">
        <f>E71</f>
        <v>0.94908618531962019</v>
      </c>
      <c r="I71" s="68">
        <f>E71</f>
        <v>0.94908618531962019</v>
      </c>
      <c r="J71" s="68">
        <f>E71</f>
        <v>0.94908618531962019</v>
      </c>
      <c r="K71" s="68">
        <f>E71</f>
        <v>0.94908618531962019</v>
      </c>
      <c r="L71" s="68">
        <f>E71</f>
        <v>0.94908618531962019</v>
      </c>
      <c r="M71" s="68">
        <f>E71</f>
        <v>0.94908618531962019</v>
      </c>
      <c r="N71" s="68">
        <f>E71</f>
        <v>0.94908618531962019</v>
      </c>
      <c r="O71" s="68">
        <f>E71</f>
        <v>0.94908618531962019</v>
      </c>
      <c r="P71" s="68">
        <f>E71</f>
        <v>0.94908618531962019</v>
      </c>
      <c r="Q71" s="68">
        <f>E71</f>
        <v>0.94908618531962019</v>
      </c>
    </row>
    <row r="72" spans="1:133" ht="31.2" x14ac:dyDescent="0.25">
      <c r="A72" s="35" t="s">
        <v>39</v>
      </c>
      <c r="B72" s="25" t="s">
        <v>196</v>
      </c>
      <c r="C72" s="35" t="s">
        <v>40</v>
      </c>
      <c r="D72" s="35" t="s">
        <v>351</v>
      </c>
      <c r="E72" s="52">
        <f>SUM(F72:Q72)</f>
        <v>44.001030721500001</v>
      </c>
      <c r="F72" s="52">
        <v>3.7370738421</v>
      </c>
      <c r="G72" s="52">
        <v>3.3754215348000001</v>
      </c>
      <c r="H72" s="52">
        <v>3.7370738421</v>
      </c>
      <c r="I72" s="52">
        <v>3.6165230729999998</v>
      </c>
      <c r="J72" s="52">
        <v>3.7370738421</v>
      </c>
      <c r="K72" s="52">
        <v>3.6165230729999998</v>
      </c>
      <c r="L72" s="52">
        <v>3.7370738421</v>
      </c>
      <c r="M72" s="52">
        <v>3.7370738421</v>
      </c>
      <c r="N72" s="52">
        <v>3.6165230729999998</v>
      </c>
      <c r="O72" s="52">
        <v>3.7370738421</v>
      </c>
      <c r="P72" s="52">
        <v>3.6165230729999998</v>
      </c>
      <c r="Q72" s="52">
        <v>3.7370738421</v>
      </c>
    </row>
    <row r="73" spans="1:133" ht="31.2" x14ac:dyDescent="0.25">
      <c r="A73" s="63" t="s">
        <v>41</v>
      </c>
      <c r="B73" s="25" t="s">
        <v>24</v>
      </c>
      <c r="C73" s="35" t="s">
        <v>42</v>
      </c>
      <c r="D73" s="35" t="s">
        <v>351</v>
      </c>
      <c r="E73" s="52">
        <f>SUM(F73:Q73)</f>
        <v>864.22577050499979</v>
      </c>
      <c r="F73" s="52">
        <v>73.399996946999991</v>
      </c>
      <c r="G73" s="52">
        <v>66.296771436</v>
      </c>
      <c r="H73" s="52">
        <v>73.399996946999991</v>
      </c>
      <c r="I73" s="52">
        <v>71.032255109999994</v>
      </c>
      <c r="J73" s="52">
        <v>73.399996946999991</v>
      </c>
      <c r="K73" s="52">
        <v>71.032255109999994</v>
      </c>
      <c r="L73" s="52">
        <v>73.399996946999991</v>
      </c>
      <c r="M73" s="52">
        <v>73.399996946999991</v>
      </c>
      <c r="N73" s="52">
        <v>71.032255109999994</v>
      </c>
      <c r="O73" s="52">
        <v>73.399996946999991</v>
      </c>
      <c r="P73" s="52">
        <v>71.032255109999994</v>
      </c>
      <c r="Q73" s="52">
        <v>73.399996946999991</v>
      </c>
    </row>
    <row r="74" spans="1:133" ht="31.2" x14ac:dyDescent="0.25">
      <c r="A74" s="53" t="s">
        <v>43</v>
      </c>
      <c r="B74" s="25" t="s">
        <v>201</v>
      </c>
      <c r="C74" s="53" t="s">
        <v>44</v>
      </c>
      <c r="D74" s="35" t="s">
        <v>372</v>
      </c>
      <c r="E74" s="191">
        <f>E75*E76*0.89</f>
        <v>0.58314064877341232</v>
      </c>
      <c r="F74" s="191"/>
      <c r="G74" s="191"/>
      <c r="H74" s="191"/>
      <c r="I74" s="191"/>
      <c r="J74" s="191"/>
      <c r="K74" s="191"/>
      <c r="L74" s="191"/>
      <c r="M74" s="191"/>
      <c r="N74" s="191"/>
      <c r="O74" s="191"/>
      <c r="P74" s="191"/>
      <c r="Q74" s="191"/>
    </row>
    <row r="75" spans="1:133" ht="31.2" x14ac:dyDescent="0.25">
      <c r="A75" s="70" t="s">
        <v>45</v>
      </c>
      <c r="B75" s="25" t="s">
        <v>201</v>
      </c>
      <c r="C75" s="53" t="s">
        <v>46</v>
      </c>
      <c r="D75" s="35" t="s">
        <v>373</v>
      </c>
      <c r="E75" s="162">
        <v>0.7</v>
      </c>
      <c r="F75" s="163"/>
      <c r="G75" s="163"/>
      <c r="H75" s="163"/>
      <c r="I75" s="163"/>
      <c r="J75" s="163"/>
      <c r="K75" s="163"/>
      <c r="L75" s="163"/>
      <c r="M75" s="163"/>
      <c r="N75" s="163"/>
      <c r="O75" s="163"/>
      <c r="P75" s="163"/>
      <c r="Q75" s="164"/>
    </row>
    <row r="76" spans="1:133" ht="36" customHeight="1" x14ac:dyDescent="0.25">
      <c r="A76" s="70" t="s">
        <v>47</v>
      </c>
      <c r="B76" s="25" t="s">
        <v>37</v>
      </c>
      <c r="C76" s="53" t="s">
        <v>48</v>
      </c>
      <c r="D76" s="35" t="s">
        <v>374</v>
      </c>
      <c r="E76" s="159">
        <f>(F77*F82+G77*G82+H77*H82+I77*I82+J77*J82+K77*K82+L77*L82+M77*M82+N77*N82+O77*O82+P77*P82+Q77*Q82)/(F71*F66*F69+G71*G69*G66+H71*H66*H69+I71*I69*I66+J71*J69*J66+K71*K69*K66+L71*L69*L66+M71*M69*M66+N71*N69*N66+O71*O66*O69+P71*P69*P66+Q71*Q69*Q66)</f>
        <v>0.9360203030070825</v>
      </c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1"/>
    </row>
    <row r="77" spans="1:133" s="9" customFormat="1" ht="46.8" x14ac:dyDescent="0.4">
      <c r="A77" s="71" t="s">
        <v>49</v>
      </c>
      <c r="B77" s="25" t="s">
        <v>37</v>
      </c>
      <c r="C77" s="53" t="s">
        <v>50</v>
      </c>
      <c r="D77" s="53" t="s">
        <v>375</v>
      </c>
      <c r="E77" s="72">
        <f>AVERAGE(F77:Q77)</f>
        <v>0.66390260094773224</v>
      </c>
      <c r="F77" s="72">
        <f>IF(F81&lt;283,0,IF(F81&gt;303,1,EXP(($E$78*(F81-$E$79))/($E$80*$E$79*F81))))</f>
        <v>0.26921004737855481</v>
      </c>
      <c r="G77" s="72">
        <f>IF(G81&lt;283,0,IF(G81&gt;303,1,EXP(($E$78*(G81-$E$79))/($E$80*$E$79*G81))))</f>
        <v>0.38698063689870399</v>
      </c>
      <c r="H77" s="72">
        <f t="shared" ref="H77:Q77" si="12">IF(H81&lt;283,0,IF(H81&gt;303,1,EXP(($E$78*(H81-$E$79))/($E$80*$E$79*H81))))</f>
        <v>0.52733825786216582</v>
      </c>
      <c r="I77" s="72">
        <f t="shared" si="12"/>
        <v>0.65487347206548807</v>
      </c>
      <c r="J77" s="72">
        <f t="shared" si="12"/>
        <v>0.95843738031531212</v>
      </c>
      <c r="K77" s="72">
        <f t="shared" si="12"/>
        <v>1</v>
      </c>
      <c r="L77" s="72">
        <f t="shared" si="12"/>
        <v>0.95843738031531212</v>
      </c>
      <c r="M77" s="72">
        <f t="shared" si="12"/>
        <v>0.88152221926734242</v>
      </c>
      <c r="N77" s="72">
        <f t="shared" si="12"/>
        <v>0.88152221926734242</v>
      </c>
      <c r="O77" s="72">
        <f t="shared" si="12"/>
        <v>0.62729263560178183</v>
      </c>
      <c r="P77" s="72">
        <f t="shared" si="12"/>
        <v>0.48307557293036196</v>
      </c>
      <c r="Q77" s="72">
        <f t="shared" si="12"/>
        <v>0.33814138947042022</v>
      </c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  <c r="AE77" s="78"/>
      <c r="AF77" s="78"/>
      <c r="AG77" s="78"/>
      <c r="AH77" s="78"/>
      <c r="AI77" s="78"/>
      <c r="AJ77" s="78"/>
      <c r="AK77" s="78"/>
      <c r="AL77" s="78"/>
      <c r="AM77" s="78"/>
      <c r="AN77" s="78"/>
      <c r="AO77" s="78"/>
      <c r="AP77" s="78"/>
      <c r="AQ77" s="78"/>
      <c r="AR77" s="78"/>
      <c r="AS77" s="78"/>
      <c r="AT77" s="78"/>
      <c r="AU77" s="78"/>
      <c r="AV77" s="78"/>
      <c r="AW77" s="78"/>
      <c r="AX77" s="78"/>
      <c r="AY77" s="78"/>
      <c r="AZ77" s="78"/>
      <c r="BA77" s="78"/>
      <c r="BB77" s="78"/>
      <c r="BC77" s="78"/>
      <c r="BD77" s="78"/>
      <c r="BE77" s="78"/>
      <c r="BF77" s="78"/>
      <c r="BG77" s="78"/>
      <c r="BH77" s="78"/>
      <c r="BI77" s="78"/>
      <c r="BJ77" s="78"/>
      <c r="BK77" s="78"/>
      <c r="BL77" s="78"/>
      <c r="BM77" s="78"/>
      <c r="BN77" s="78"/>
      <c r="BO77" s="78"/>
      <c r="BP77" s="78"/>
      <c r="BQ77" s="78"/>
      <c r="BR77" s="78"/>
      <c r="BS77" s="78"/>
      <c r="BT77" s="78"/>
      <c r="BU77" s="78"/>
      <c r="BV77" s="78"/>
      <c r="BW77" s="78"/>
      <c r="BX77" s="78"/>
      <c r="BY77" s="78"/>
      <c r="BZ77" s="78"/>
      <c r="CA77" s="78"/>
      <c r="CB77" s="78"/>
      <c r="CC77" s="78"/>
      <c r="CD77" s="78"/>
      <c r="CE77" s="78"/>
      <c r="CF77" s="78"/>
      <c r="CG77" s="78"/>
      <c r="CH77" s="78"/>
      <c r="CI77" s="78"/>
      <c r="CJ77" s="78"/>
      <c r="CK77" s="78"/>
      <c r="CL77" s="78"/>
      <c r="CM77" s="78"/>
      <c r="CN77" s="78"/>
      <c r="CO77" s="78"/>
      <c r="CP77" s="78"/>
      <c r="CQ77" s="78"/>
      <c r="CR77" s="78"/>
      <c r="CS77" s="78"/>
      <c r="CT77" s="78"/>
      <c r="CU77" s="78"/>
      <c r="CV77" s="78"/>
      <c r="CW77" s="78"/>
      <c r="CX77" s="78"/>
      <c r="CY77" s="78"/>
      <c r="CZ77" s="78"/>
      <c r="DA77" s="78"/>
      <c r="DB77" s="78"/>
      <c r="DC77" s="78"/>
      <c r="DD77" s="78"/>
      <c r="DE77" s="78"/>
      <c r="DF77" s="78"/>
      <c r="DG77" s="78"/>
      <c r="DH77" s="78"/>
      <c r="DI77" s="78"/>
      <c r="DJ77" s="78"/>
      <c r="DK77" s="78"/>
      <c r="DL77" s="78"/>
      <c r="DM77" s="78"/>
      <c r="DN77" s="78"/>
      <c r="DO77" s="78"/>
      <c r="DP77" s="78"/>
      <c r="DQ77" s="78"/>
      <c r="DR77" s="78"/>
      <c r="DS77" s="78"/>
      <c r="DT77" s="78"/>
      <c r="DU77" s="78"/>
      <c r="DV77" s="78"/>
      <c r="DW77" s="78"/>
      <c r="DX77" s="78"/>
      <c r="DY77" s="78"/>
      <c r="DZ77" s="78"/>
      <c r="EA77" s="78"/>
      <c r="EB77" s="78"/>
      <c r="EC77" s="78"/>
    </row>
    <row r="78" spans="1:133" s="9" customFormat="1" x14ac:dyDescent="0.25">
      <c r="A78" s="73" t="s">
        <v>51</v>
      </c>
      <c r="B78" s="60" t="s">
        <v>202</v>
      </c>
      <c r="C78" s="53" t="s">
        <v>53</v>
      </c>
      <c r="D78" s="53" t="s">
        <v>376</v>
      </c>
      <c r="E78" s="162">
        <v>15175</v>
      </c>
      <c r="F78" s="163"/>
      <c r="G78" s="163"/>
      <c r="H78" s="163"/>
      <c r="I78" s="163"/>
      <c r="J78" s="163"/>
      <c r="K78" s="163"/>
      <c r="L78" s="163"/>
      <c r="M78" s="163"/>
      <c r="N78" s="163"/>
      <c r="O78" s="163"/>
      <c r="P78" s="163"/>
      <c r="Q78" s="164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  <c r="AE78" s="78"/>
      <c r="AF78" s="78"/>
      <c r="AG78" s="78"/>
      <c r="AH78" s="78"/>
      <c r="AI78" s="78"/>
      <c r="AJ78" s="78"/>
      <c r="AK78" s="78"/>
      <c r="AL78" s="78"/>
      <c r="AM78" s="78"/>
      <c r="AN78" s="78"/>
      <c r="AO78" s="78"/>
      <c r="AP78" s="78"/>
      <c r="AQ78" s="78"/>
      <c r="AR78" s="78"/>
      <c r="AS78" s="78"/>
      <c r="AT78" s="78"/>
      <c r="AU78" s="78"/>
      <c r="AV78" s="78"/>
      <c r="AW78" s="78"/>
      <c r="AX78" s="78"/>
      <c r="AY78" s="78"/>
      <c r="AZ78" s="78"/>
      <c r="BA78" s="78"/>
      <c r="BB78" s="78"/>
      <c r="BC78" s="78"/>
      <c r="BD78" s="78"/>
      <c r="BE78" s="78"/>
      <c r="BF78" s="78"/>
      <c r="BG78" s="78"/>
      <c r="BH78" s="78"/>
      <c r="BI78" s="78"/>
      <c r="BJ78" s="78"/>
      <c r="BK78" s="78"/>
      <c r="BL78" s="78"/>
      <c r="BM78" s="78"/>
      <c r="BN78" s="78"/>
      <c r="BO78" s="78"/>
      <c r="BP78" s="78"/>
      <c r="BQ78" s="78"/>
      <c r="BR78" s="78"/>
      <c r="BS78" s="78"/>
      <c r="BT78" s="78"/>
      <c r="BU78" s="78"/>
      <c r="BV78" s="78"/>
      <c r="BW78" s="78"/>
      <c r="BX78" s="78"/>
      <c r="BY78" s="78"/>
      <c r="BZ78" s="78"/>
      <c r="CA78" s="78"/>
      <c r="CB78" s="78"/>
      <c r="CC78" s="78"/>
      <c r="CD78" s="78"/>
      <c r="CE78" s="78"/>
      <c r="CF78" s="78"/>
      <c r="CG78" s="78"/>
      <c r="CH78" s="78"/>
      <c r="CI78" s="78"/>
      <c r="CJ78" s="78"/>
      <c r="CK78" s="78"/>
      <c r="CL78" s="78"/>
      <c r="CM78" s="78"/>
      <c r="CN78" s="78"/>
      <c r="CO78" s="78"/>
      <c r="CP78" s="78"/>
      <c r="CQ78" s="78"/>
      <c r="CR78" s="78"/>
      <c r="CS78" s="78"/>
      <c r="CT78" s="78"/>
      <c r="CU78" s="78"/>
      <c r="CV78" s="78"/>
      <c r="CW78" s="78"/>
      <c r="CX78" s="78"/>
      <c r="CY78" s="78"/>
      <c r="CZ78" s="78"/>
      <c r="DA78" s="78"/>
      <c r="DB78" s="78"/>
      <c r="DC78" s="78"/>
      <c r="DD78" s="78"/>
      <c r="DE78" s="78"/>
      <c r="DF78" s="78"/>
      <c r="DG78" s="78"/>
      <c r="DH78" s="78"/>
      <c r="DI78" s="78"/>
      <c r="DJ78" s="78"/>
      <c r="DK78" s="78"/>
      <c r="DL78" s="78"/>
      <c r="DM78" s="78"/>
      <c r="DN78" s="78"/>
      <c r="DO78" s="78"/>
      <c r="DP78" s="78"/>
      <c r="DQ78" s="78"/>
      <c r="DR78" s="78"/>
      <c r="DS78" s="78"/>
      <c r="DT78" s="78"/>
      <c r="DU78" s="78"/>
      <c r="DV78" s="78"/>
      <c r="DW78" s="78"/>
      <c r="DX78" s="78"/>
      <c r="DY78" s="78"/>
      <c r="DZ78" s="78"/>
      <c r="EA78" s="78"/>
      <c r="EB78" s="78"/>
      <c r="EC78" s="78"/>
    </row>
    <row r="79" spans="1:133" s="9" customFormat="1" ht="18" x14ac:dyDescent="0.25">
      <c r="A79" s="73" t="s">
        <v>54</v>
      </c>
      <c r="B79" s="60" t="s">
        <v>203</v>
      </c>
      <c r="C79" s="53" t="s">
        <v>56</v>
      </c>
      <c r="D79" s="53" t="s">
        <v>376</v>
      </c>
      <c r="E79" s="162">
        <v>303.16000000000003</v>
      </c>
      <c r="F79" s="163"/>
      <c r="G79" s="163"/>
      <c r="H79" s="163"/>
      <c r="I79" s="163"/>
      <c r="J79" s="163"/>
      <c r="K79" s="163"/>
      <c r="L79" s="163"/>
      <c r="M79" s="163"/>
      <c r="N79" s="163"/>
      <c r="O79" s="163"/>
      <c r="P79" s="163"/>
      <c r="Q79" s="164"/>
      <c r="R79" s="78"/>
      <c r="S79" s="78"/>
      <c r="T79" s="78"/>
      <c r="U79" s="78"/>
      <c r="V79" s="78"/>
      <c r="W79" s="78"/>
      <c r="X79" s="78"/>
      <c r="Y79" s="78"/>
      <c r="Z79" s="78"/>
      <c r="AA79" s="78"/>
      <c r="AB79" s="78"/>
      <c r="AC79" s="78"/>
      <c r="AD79" s="78"/>
      <c r="AE79" s="78"/>
      <c r="AF79" s="78"/>
      <c r="AG79" s="78"/>
      <c r="AH79" s="78"/>
      <c r="AI79" s="78"/>
      <c r="AJ79" s="78"/>
      <c r="AK79" s="78"/>
      <c r="AL79" s="78"/>
      <c r="AM79" s="78"/>
      <c r="AN79" s="78"/>
      <c r="AO79" s="78"/>
      <c r="AP79" s="78"/>
      <c r="AQ79" s="78"/>
      <c r="AR79" s="78"/>
      <c r="AS79" s="78"/>
      <c r="AT79" s="78"/>
      <c r="AU79" s="78"/>
      <c r="AV79" s="78"/>
      <c r="AW79" s="78"/>
      <c r="AX79" s="78"/>
      <c r="AY79" s="78"/>
      <c r="AZ79" s="78"/>
      <c r="BA79" s="78"/>
      <c r="BB79" s="78"/>
      <c r="BC79" s="78"/>
      <c r="BD79" s="78"/>
      <c r="BE79" s="78"/>
      <c r="BF79" s="78"/>
      <c r="BG79" s="78"/>
      <c r="BH79" s="78"/>
      <c r="BI79" s="78"/>
      <c r="BJ79" s="78"/>
      <c r="BK79" s="78"/>
      <c r="BL79" s="78"/>
      <c r="BM79" s="78"/>
      <c r="BN79" s="78"/>
      <c r="BO79" s="78"/>
      <c r="BP79" s="78"/>
      <c r="BQ79" s="78"/>
      <c r="BR79" s="78"/>
      <c r="BS79" s="78"/>
      <c r="BT79" s="78"/>
      <c r="BU79" s="78"/>
      <c r="BV79" s="78"/>
      <c r="BW79" s="78"/>
      <c r="BX79" s="78"/>
      <c r="BY79" s="78"/>
      <c r="BZ79" s="78"/>
      <c r="CA79" s="78"/>
      <c r="CB79" s="78"/>
      <c r="CC79" s="78"/>
      <c r="CD79" s="78"/>
      <c r="CE79" s="78"/>
      <c r="CF79" s="78"/>
      <c r="CG79" s="78"/>
      <c r="CH79" s="78"/>
      <c r="CI79" s="78"/>
      <c r="CJ79" s="78"/>
      <c r="CK79" s="78"/>
      <c r="CL79" s="78"/>
      <c r="CM79" s="78"/>
      <c r="CN79" s="78"/>
      <c r="CO79" s="78"/>
      <c r="CP79" s="78"/>
      <c r="CQ79" s="78"/>
      <c r="CR79" s="78"/>
      <c r="CS79" s="78"/>
      <c r="CT79" s="78"/>
      <c r="CU79" s="78"/>
      <c r="CV79" s="78"/>
      <c r="CW79" s="78"/>
      <c r="CX79" s="78"/>
      <c r="CY79" s="78"/>
      <c r="CZ79" s="78"/>
      <c r="DA79" s="78"/>
      <c r="DB79" s="78"/>
      <c r="DC79" s="78"/>
      <c r="DD79" s="78"/>
      <c r="DE79" s="78"/>
      <c r="DF79" s="78"/>
      <c r="DG79" s="78"/>
      <c r="DH79" s="78"/>
      <c r="DI79" s="78"/>
      <c r="DJ79" s="78"/>
      <c r="DK79" s="78"/>
      <c r="DL79" s="78"/>
      <c r="DM79" s="78"/>
      <c r="DN79" s="78"/>
      <c r="DO79" s="78"/>
      <c r="DP79" s="78"/>
      <c r="DQ79" s="78"/>
      <c r="DR79" s="78"/>
      <c r="DS79" s="78"/>
      <c r="DT79" s="78"/>
      <c r="DU79" s="78"/>
      <c r="DV79" s="78"/>
      <c r="DW79" s="78"/>
      <c r="DX79" s="78"/>
      <c r="DY79" s="78"/>
      <c r="DZ79" s="78"/>
      <c r="EA79" s="78"/>
      <c r="EB79" s="78"/>
      <c r="EC79" s="78"/>
    </row>
    <row r="80" spans="1:133" s="9" customFormat="1" x14ac:dyDescent="0.25">
      <c r="A80" s="73" t="s">
        <v>57</v>
      </c>
      <c r="B80" s="60" t="s">
        <v>204</v>
      </c>
      <c r="C80" s="53" t="s">
        <v>59</v>
      </c>
      <c r="D80" s="53" t="s">
        <v>376</v>
      </c>
      <c r="E80" s="162">
        <v>1.9870000000000001</v>
      </c>
      <c r="F80" s="163"/>
      <c r="G80" s="163"/>
      <c r="H80" s="163"/>
      <c r="I80" s="163"/>
      <c r="J80" s="163"/>
      <c r="K80" s="163"/>
      <c r="L80" s="163"/>
      <c r="M80" s="163"/>
      <c r="N80" s="163"/>
      <c r="O80" s="163"/>
      <c r="P80" s="163"/>
      <c r="Q80" s="164"/>
      <c r="R80" s="78"/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78"/>
      <c r="AD80" s="78"/>
      <c r="AE80" s="78"/>
      <c r="AF80" s="78"/>
      <c r="AG80" s="78"/>
      <c r="AH80" s="78"/>
      <c r="AI80" s="78"/>
      <c r="AJ80" s="78"/>
      <c r="AK80" s="78"/>
      <c r="AL80" s="78"/>
      <c r="AM80" s="78"/>
      <c r="AN80" s="78"/>
      <c r="AO80" s="78"/>
      <c r="AP80" s="78"/>
      <c r="AQ80" s="78"/>
      <c r="AR80" s="78"/>
      <c r="AS80" s="78"/>
      <c r="AT80" s="78"/>
      <c r="AU80" s="78"/>
      <c r="AV80" s="78"/>
      <c r="AW80" s="78"/>
      <c r="AX80" s="78"/>
      <c r="AY80" s="78"/>
      <c r="AZ80" s="78"/>
      <c r="BA80" s="78"/>
      <c r="BB80" s="78"/>
      <c r="BC80" s="78"/>
      <c r="BD80" s="78"/>
      <c r="BE80" s="78"/>
      <c r="BF80" s="78"/>
      <c r="BG80" s="78"/>
      <c r="BH80" s="78"/>
      <c r="BI80" s="78"/>
      <c r="BJ80" s="78"/>
      <c r="BK80" s="78"/>
      <c r="BL80" s="78"/>
      <c r="BM80" s="78"/>
      <c r="BN80" s="78"/>
      <c r="BO80" s="78"/>
      <c r="BP80" s="78"/>
      <c r="BQ80" s="78"/>
      <c r="BR80" s="78"/>
      <c r="BS80" s="78"/>
      <c r="BT80" s="78"/>
      <c r="BU80" s="78"/>
      <c r="BV80" s="78"/>
      <c r="BW80" s="78"/>
      <c r="BX80" s="78"/>
      <c r="BY80" s="78"/>
      <c r="BZ80" s="78"/>
      <c r="CA80" s="78"/>
      <c r="CB80" s="78"/>
      <c r="CC80" s="78"/>
      <c r="CD80" s="78"/>
      <c r="CE80" s="78"/>
      <c r="CF80" s="78"/>
      <c r="CG80" s="78"/>
      <c r="CH80" s="78"/>
      <c r="CI80" s="78"/>
      <c r="CJ80" s="78"/>
      <c r="CK80" s="78"/>
      <c r="CL80" s="78"/>
      <c r="CM80" s="78"/>
      <c r="CN80" s="78"/>
      <c r="CO80" s="78"/>
      <c r="CP80" s="78"/>
      <c r="CQ80" s="78"/>
      <c r="CR80" s="78"/>
      <c r="CS80" s="78"/>
      <c r="CT80" s="78"/>
      <c r="CU80" s="78"/>
      <c r="CV80" s="78"/>
      <c r="CW80" s="78"/>
      <c r="CX80" s="78"/>
      <c r="CY80" s="78"/>
      <c r="CZ80" s="78"/>
      <c r="DA80" s="78"/>
      <c r="DB80" s="78"/>
      <c r="DC80" s="78"/>
      <c r="DD80" s="78"/>
      <c r="DE80" s="78"/>
      <c r="DF80" s="78"/>
      <c r="DG80" s="78"/>
      <c r="DH80" s="78"/>
      <c r="DI80" s="78"/>
      <c r="DJ80" s="78"/>
      <c r="DK80" s="78"/>
      <c r="DL80" s="78"/>
      <c r="DM80" s="78"/>
      <c r="DN80" s="78"/>
      <c r="DO80" s="78"/>
      <c r="DP80" s="78"/>
      <c r="DQ80" s="78"/>
      <c r="DR80" s="78"/>
      <c r="DS80" s="78"/>
      <c r="DT80" s="78"/>
      <c r="DU80" s="78"/>
      <c r="DV80" s="78"/>
      <c r="DW80" s="78"/>
      <c r="DX80" s="78"/>
      <c r="DY80" s="78"/>
      <c r="DZ80" s="78"/>
      <c r="EA80" s="78"/>
      <c r="EB80" s="78"/>
      <c r="EC80" s="78"/>
    </row>
    <row r="81" spans="1:133" s="9" customFormat="1" ht="31.2" x14ac:dyDescent="0.25">
      <c r="A81" s="73" t="s">
        <v>60</v>
      </c>
      <c r="B81" s="60" t="s">
        <v>203</v>
      </c>
      <c r="C81" s="53" t="s">
        <v>61</v>
      </c>
      <c r="D81" s="143" t="s">
        <v>363</v>
      </c>
      <c r="E81" s="98">
        <f>AVERAGE(F81:Q81)</f>
        <v>297.40000000000003</v>
      </c>
      <c r="F81" s="60">
        <v>288.14999999999998</v>
      </c>
      <c r="G81" s="60">
        <v>292.14999999999998</v>
      </c>
      <c r="H81" s="60">
        <v>295.64999999999998</v>
      </c>
      <c r="I81" s="60">
        <v>298.14999999999998</v>
      </c>
      <c r="J81" s="60">
        <v>302.64999999999998</v>
      </c>
      <c r="K81" s="60">
        <v>303.14999999999998</v>
      </c>
      <c r="L81" s="60">
        <v>302.64999999999998</v>
      </c>
      <c r="M81" s="60">
        <v>301.64999999999998</v>
      </c>
      <c r="N81" s="60">
        <v>301.64999999999998</v>
      </c>
      <c r="O81" s="60">
        <v>297.64999999999998</v>
      </c>
      <c r="P81" s="60">
        <v>294.64999999999998</v>
      </c>
      <c r="Q81" s="60">
        <v>290.64999999999998</v>
      </c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  <c r="AE81" s="78"/>
      <c r="AF81" s="78"/>
      <c r="AG81" s="78"/>
      <c r="AH81" s="78"/>
      <c r="AI81" s="78"/>
      <c r="AJ81" s="78"/>
      <c r="AK81" s="78"/>
      <c r="AL81" s="78"/>
      <c r="AM81" s="78"/>
      <c r="AN81" s="78"/>
      <c r="AO81" s="78"/>
      <c r="AP81" s="78"/>
      <c r="AQ81" s="78"/>
      <c r="AR81" s="78"/>
      <c r="AS81" s="78"/>
      <c r="AT81" s="78"/>
      <c r="AU81" s="78"/>
      <c r="AV81" s="78"/>
      <c r="AW81" s="78"/>
      <c r="AX81" s="78"/>
      <c r="AY81" s="78"/>
      <c r="AZ81" s="78"/>
      <c r="BA81" s="78"/>
      <c r="BB81" s="78"/>
      <c r="BC81" s="78"/>
      <c r="BD81" s="78"/>
      <c r="BE81" s="78"/>
      <c r="BF81" s="78"/>
      <c r="BG81" s="78"/>
      <c r="BH81" s="78"/>
      <c r="BI81" s="78"/>
      <c r="BJ81" s="78"/>
      <c r="BK81" s="78"/>
      <c r="BL81" s="78"/>
      <c r="BM81" s="78"/>
      <c r="BN81" s="78"/>
      <c r="BO81" s="78"/>
      <c r="BP81" s="78"/>
      <c r="BQ81" s="78"/>
      <c r="BR81" s="78"/>
      <c r="BS81" s="78"/>
      <c r="BT81" s="78"/>
      <c r="BU81" s="78"/>
      <c r="BV81" s="78"/>
      <c r="BW81" s="78"/>
      <c r="BX81" s="78"/>
      <c r="BY81" s="78"/>
      <c r="BZ81" s="78"/>
      <c r="CA81" s="78"/>
      <c r="CB81" s="78"/>
      <c r="CC81" s="78"/>
      <c r="CD81" s="78"/>
      <c r="CE81" s="78"/>
      <c r="CF81" s="78"/>
      <c r="CG81" s="78"/>
      <c r="CH81" s="78"/>
      <c r="CI81" s="78"/>
      <c r="CJ81" s="78"/>
      <c r="CK81" s="78"/>
      <c r="CL81" s="78"/>
      <c r="CM81" s="78"/>
      <c r="CN81" s="78"/>
      <c r="CO81" s="78"/>
      <c r="CP81" s="78"/>
      <c r="CQ81" s="78"/>
      <c r="CR81" s="78"/>
      <c r="CS81" s="78"/>
      <c r="CT81" s="78"/>
      <c r="CU81" s="78"/>
      <c r="CV81" s="78"/>
      <c r="CW81" s="78"/>
      <c r="CX81" s="78"/>
      <c r="CY81" s="78"/>
      <c r="CZ81" s="78"/>
      <c r="DA81" s="78"/>
      <c r="DB81" s="78"/>
      <c r="DC81" s="78"/>
      <c r="DD81" s="78"/>
      <c r="DE81" s="78"/>
      <c r="DF81" s="78"/>
      <c r="DG81" s="78"/>
      <c r="DH81" s="78"/>
      <c r="DI81" s="78"/>
      <c r="DJ81" s="78"/>
      <c r="DK81" s="78"/>
      <c r="DL81" s="78"/>
      <c r="DM81" s="78"/>
      <c r="DN81" s="78"/>
      <c r="DO81" s="78"/>
      <c r="DP81" s="78"/>
      <c r="DQ81" s="78"/>
      <c r="DR81" s="78"/>
      <c r="DS81" s="78"/>
      <c r="DT81" s="78"/>
      <c r="DU81" s="78"/>
      <c r="DV81" s="78"/>
      <c r="DW81" s="78"/>
      <c r="DX81" s="78"/>
      <c r="DY81" s="78"/>
      <c r="DZ81" s="78"/>
      <c r="EA81" s="78"/>
      <c r="EB81" s="78"/>
      <c r="EC81" s="78"/>
    </row>
    <row r="82" spans="1:133" s="9" customFormat="1" ht="31.2" x14ac:dyDescent="0.4">
      <c r="A82" s="71" t="s">
        <v>62</v>
      </c>
      <c r="B82" s="60" t="s">
        <v>196</v>
      </c>
      <c r="C82" s="53" t="s">
        <v>63</v>
      </c>
      <c r="D82" s="53" t="s">
        <v>377</v>
      </c>
      <c r="E82" s="74">
        <f>SUM(F82:Q82)</f>
        <v>1372.2458910986779</v>
      </c>
      <c r="F82" s="74">
        <f>F71*F66*F69+(1-F77)*'Baseline Emissions 2020'!Q82</f>
        <v>178.61171817667685</v>
      </c>
      <c r="G82" s="74">
        <f t="shared" ref="G82:Q82" si="13">G71*G66*G69+(1-G77)*F82</f>
        <v>173.23336434986265</v>
      </c>
      <c r="H82" s="74">
        <f t="shared" si="13"/>
        <v>152.41421722311128</v>
      </c>
      <c r="I82" s="74">
        <f t="shared" si="13"/>
        <v>120.89386928948548</v>
      </c>
      <c r="J82" s="74">
        <f t="shared" si="13"/>
        <v>85.500565266791241</v>
      </c>
      <c r="K82" s="74">
        <f t="shared" si="13"/>
        <v>68.298609725151408</v>
      </c>
      <c r="L82" s="74">
        <f t="shared" si="13"/>
        <v>73.387743653007604</v>
      </c>
      <c r="M82" s="74">
        <f t="shared" si="13"/>
        <v>79.264563880087834</v>
      </c>
      <c r="N82" s="74">
        <f>N71*N66*N69+(1-N77)*0</f>
        <v>68.269534104017168</v>
      </c>
      <c r="O82" s="74">
        <f t="shared" si="13"/>
        <v>95.928340132670542</v>
      </c>
      <c r="P82" s="74">
        <f t="shared" si="13"/>
        <v>117.92141321150356</v>
      </c>
      <c r="Q82" s="74">
        <f t="shared" si="13"/>
        <v>158.52195208631247</v>
      </c>
      <c r="R82" s="78"/>
      <c r="S82" s="78"/>
      <c r="T82" s="78"/>
      <c r="U82" s="78"/>
      <c r="V82" s="78"/>
      <c r="W82" s="78"/>
      <c r="X82" s="78"/>
      <c r="Y82" s="78"/>
      <c r="Z82" s="78"/>
      <c r="AA82" s="78"/>
      <c r="AB82" s="78"/>
      <c r="AC82" s="78"/>
      <c r="AD82" s="78"/>
      <c r="AE82" s="78"/>
      <c r="AF82" s="78"/>
      <c r="AG82" s="78"/>
      <c r="AH82" s="78"/>
      <c r="AI82" s="78"/>
      <c r="AJ82" s="78"/>
      <c r="AK82" s="78"/>
      <c r="AL82" s="78"/>
      <c r="AM82" s="78"/>
      <c r="AN82" s="78"/>
      <c r="AO82" s="78"/>
      <c r="AP82" s="78"/>
      <c r="AQ82" s="78"/>
      <c r="AR82" s="78"/>
      <c r="AS82" s="78"/>
      <c r="AT82" s="78"/>
      <c r="AU82" s="78"/>
      <c r="AV82" s="78"/>
      <c r="AW82" s="78"/>
      <c r="AX82" s="78"/>
      <c r="AY82" s="78"/>
      <c r="AZ82" s="78"/>
      <c r="BA82" s="78"/>
      <c r="BB82" s="78"/>
      <c r="BC82" s="78"/>
      <c r="BD82" s="78"/>
      <c r="BE82" s="78"/>
      <c r="BF82" s="78"/>
      <c r="BG82" s="78"/>
      <c r="BH82" s="78"/>
      <c r="BI82" s="78"/>
      <c r="BJ82" s="78"/>
      <c r="BK82" s="78"/>
      <c r="BL82" s="78"/>
      <c r="BM82" s="78"/>
      <c r="BN82" s="78"/>
      <c r="BO82" s="78"/>
      <c r="BP82" s="78"/>
      <c r="BQ82" s="78"/>
      <c r="BR82" s="78"/>
      <c r="BS82" s="78"/>
      <c r="BT82" s="78"/>
      <c r="BU82" s="78"/>
      <c r="BV82" s="78"/>
      <c r="BW82" s="78"/>
      <c r="BX82" s="78"/>
      <c r="BY82" s="78"/>
      <c r="BZ82" s="78"/>
      <c r="CA82" s="78"/>
      <c r="CB82" s="78"/>
      <c r="CC82" s="78"/>
      <c r="CD82" s="78"/>
      <c r="CE82" s="78"/>
      <c r="CF82" s="78"/>
      <c r="CG82" s="78"/>
      <c r="CH82" s="78"/>
      <c r="CI82" s="78"/>
      <c r="CJ82" s="78"/>
      <c r="CK82" s="78"/>
      <c r="CL82" s="78"/>
      <c r="CM82" s="78"/>
      <c r="CN82" s="78"/>
      <c r="CO82" s="78"/>
      <c r="CP82" s="78"/>
      <c r="CQ82" s="78"/>
      <c r="CR82" s="78"/>
      <c r="CS82" s="78"/>
      <c r="CT82" s="78"/>
      <c r="CU82" s="78"/>
      <c r="CV82" s="78"/>
      <c r="CW82" s="78"/>
      <c r="CX82" s="78"/>
      <c r="CY82" s="78"/>
      <c r="CZ82" s="78"/>
      <c r="DA82" s="78"/>
      <c r="DB82" s="78"/>
      <c r="DC82" s="78"/>
      <c r="DD82" s="78"/>
      <c r="DE82" s="78"/>
      <c r="DF82" s="78"/>
      <c r="DG82" s="78"/>
      <c r="DH82" s="78"/>
      <c r="DI82" s="78"/>
      <c r="DJ82" s="78"/>
      <c r="DK82" s="78"/>
      <c r="DL82" s="78"/>
      <c r="DM82" s="78"/>
      <c r="DN82" s="78"/>
      <c r="DO82" s="78"/>
      <c r="DP82" s="78"/>
      <c r="DQ82" s="78"/>
      <c r="DR82" s="78"/>
      <c r="DS82" s="78"/>
      <c r="DT82" s="78"/>
      <c r="DU82" s="78"/>
      <c r="DV82" s="78"/>
      <c r="DW82" s="78"/>
      <c r="DX82" s="78"/>
      <c r="DY82" s="78"/>
      <c r="DZ82" s="78"/>
      <c r="EA82" s="78"/>
      <c r="EB82" s="78"/>
      <c r="EC82" s="78"/>
    </row>
    <row r="84" spans="1:133" x14ac:dyDescent="0.25">
      <c r="A84" s="158" t="s">
        <v>64</v>
      </c>
      <c r="B84" s="158"/>
      <c r="C84" s="158"/>
      <c r="D84" s="158"/>
      <c r="E84" s="158"/>
    </row>
    <row r="85" spans="1:133" x14ac:dyDescent="0.25">
      <c r="A85" s="57" t="s">
        <v>8</v>
      </c>
      <c r="B85" s="58" t="s">
        <v>9</v>
      </c>
      <c r="C85" s="34" t="s">
        <v>10</v>
      </c>
      <c r="D85" s="34" t="s">
        <v>340</v>
      </c>
      <c r="E85" s="16" t="s">
        <v>65</v>
      </c>
    </row>
    <row r="86" spans="1:133" ht="46.8" x14ac:dyDescent="0.25">
      <c r="A86" s="59" t="s">
        <v>66</v>
      </c>
      <c r="B86" s="60" t="s">
        <v>14</v>
      </c>
      <c r="C86" s="53" t="s">
        <v>67</v>
      </c>
      <c r="D86" s="53" t="s">
        <v>68</v>
      </c>
      <c r="E86" s="75">
        <v>0</v>
      </c>
    </row>
    <row r="87" spans="1:133" ht="46.8" x14ac:dyDescent="0.25">
      <c r="A87" s="63" t="s">
        <v>69</v>
      </c>
      <c r="B87" s="25" t="s">
        <v>70</v>
      </c>
      <c r="C87" s="35" t="s">
        <v>71</v>
      </c>
      <c r="D87" s="53" t="str">
        <f>D93</f>
        <v>Historical data on site in the FSR (It was calculated with conservative value)</v>
      </c>
      <c r="E87" s="74">
        <f>E93</f>
        <v>355.21081880038616</v>
      </c>
    </row>
    <row r="89" spans="1:133" x14ac:dyDescent="0.25">
      <c r="A89" s="174" t="s">
        <v>72</v>
      </c>
      <c r="B89" s="174"/>
      <c r="C89" s="175"/>
      <c r="D89" s="175"/>
      <c r="E89" s="174"/>
    </row>
    <row r="90" spans="1:133" x14ac:dyDescent="0.25">
      <c r="A90" s="59" t="s">
        <v>8</v>
      </c>
      <c r="B90" s="16" t="s">
        <v>9</v>
      </c>
      <c r="C90" s="38" t="s">
        <v>10</v>
      </c>
      <c r="D90" s="38" t="s">
        <v>340</v>
      </c>
      <c r="E90" s="16" t="s">
        <v>65</v>
      </c>
    </row>
    <row r="91" spans="1:133" ht="33.6" x14ac:dyDescent="0.4">
      <c r="A91" s="76" t="s">
        <v>73</v>
      </c>
      <c r="B91" s="25" t="s">
        <v>74</v>
      </c>
      <c r="C91" s="35" t="s">
        <v>75</v>
      </c>
      <c r="D91" s="35" t="s">
        <v>378</v>
      </c>
      <c r="E91" s="50">
        <f>E92*E95*E96*E97*E98*E99</f>
        <v>1.4427707854192657</v>
      </c>
    </row>
    <row r="92" spans="1:133" ht="46.8" x14ac:dyDescent="0.4">
      <c r="A92" s="77" t="s">
        <v>207</v>
      </c>
      <c r="B92" s="25" t="s">
        <v>76</v>
      </c>
      <c r="C92" s="35" t="s">
        <v>77</v>
      </c>
      <c r="D92" s="35" t="s">
        <v>379</v>
      </c>
      <c r="E92" s="52">
        <f>E93/E94</f>
        <v>71.04216376007723</v>
      </c>
    </row>
    <row r="93" spans="1:133" ht="46.8" x14ac:dyDescent="0.25">
      <c r="A93" s="63" t="s">
        <v>208</v>
      </c>
      <c r="B93" s="25" t="s">
        <v>78</v>
      </c>
      <c r="C93" s="35" t="s">
        <v>79</v>
      </c>
      <c r="D93" s="53" t="s">
        <v>352</v>
      </c>
      <c r="E93" s="52">
        <f>0.000185591152133648*E66</f>
        <v>355.21081880038616</v>
      </c>
    </row>
    <row r="94" spans="1:133" ht="31.2" x14ac:dyDescent="0.25">
      <c r="A94" s="63" t="s">
        <v>209</v>
      </c>
      <c r="B94" s="25" t="s">
        <v>80</v>
      </c>
      <c r="C94" s="35" t="s">
        <v>81</v>
      </c>
      <c r="D94" s="35" t="s">
        <v>353</v>
      </c>
      <c r="E94" s="25">
        <f>5</f>
        <v>5</v>
      </c>
    </row>
    <row r="95" spans="1:133" ht="62.4" x14ac:dyDescent="0.25">
      <c r="A95" s="63" t="s">
        <v>210</v>
      </c>
      <c r="B95" s="25" t="s">
        <v>82</v>
      </c>
      <c r="C95" s="35" t="s">
        <v>83</v>
      </c>
      <c r="D95" s="53" t="s">
        <v>354</v>
      </c>
      <c r="E95" s="25">
        <f>15*2</f>
        <v>30</v>
      </c>
    </row>
    <row r="96" spans="1:133" s="13" customFormat="1" ht="172.2" x14ac:dyDescent="0.25">
      <c r="A96" s="63" t="s">
        <v>211</v>
      </c>
      <c r="B96" s="25" t="s">
        <v>84</v>
      </c>
      <c r="C96" s="35" t="s">
        <v>85</v>
      </c>
      <c r="D96" s="35" t="s">
        <v>355</v>
      </c>
      <c r="E96" s="25">
        <f>25.1/100</f>
        <v>0.251</v>
      </c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  <c r="BH96" s="14"/>
      <c r="BI96" s="14"/>
      <c r="BJ96" s="14"/>
      <c r="BK96" s="14"/>
      <c r="BL96" s="14"/>
      <c r="BM96" s="14"/>
      <c r="BN96" s="14"/>
      <c r="BO96" s="14"/>
      <c r="BP96" s="14"/>
      <c r="BQ96" s="14"/>
      <c r="BR96" s="14"/>
      <c r="BS96" s="14"/>
      <c r="BT96" s="14"/>
      <c r="BU96" s="14"/>
      <c r="BV96" s="14"/>
      <c r="BW96" s="14"/>
      <c r="BX96" s="14"/>
      <c r="BY96" s="14"/>
      <c r="BZ96" s="14"/>
      <c r="CA96" s="14"/>
      <c r="CB96" s="14"/>
      <c r="CC96" s="14"/>
      <c r="CD96" s="14"/>
      <c r="CE96" s="14"/>
      <c r="CF96" s="14"/>
      <c r="CG96" s="14"/>
      <c r="CH96" s="14"/>
      <c r="CI96" s="14"/>
      <c r="CJ96" s="14"/>
      <c r="CK96" s="14"/>
      <c r="CL96" s="14"/>
      <c r="CM96" s="14"/>
      <c r="CN96" s="14"/>
      <c r="CO96" s="14"/>
      <c r="CP96" s="14"/>
      <c r="CQ96" s="14"/>
      <c r="CR96" s="14"/>
      <c r="CS96" s="14"/>
      <c r="CT96" s="14"/>
      <c r="CU96" s="14"/>
      <c r="CV96" s="14"/>
      <c r="CW96" s="14"/>
      <c r="CX96" s="14"/>
      <c r="CY96" s="14"/>
      <c r="CZ96" s="14"/>
      <c r="DA96" s="14"/>
      <c r="DB96" s="14"/>
      <c r="DC96" s="14"/>
      <c r="DD96" s="14"/>
      <c r="DE96" s="14"/>
      <c r="DF96" s="14"/>
      <c r="DG96" s="14"/>
      <c r="DH96" s="14"/>
      <c r="DI96" s="14"/>
      <c r="DJ96" s="14"/>
      <c r="DK96" s="14"/>
      <c r="DL96" s="14"/>
      <c r="DM96" s="14"/>
      <c r="DN96" s="14"/>
      <c r="DO96" s="14"/>
      <c r="DP96" s="14"/>
      <c r="DQ96" s="14"/>
      <c r="DR96" s="14"/>
      <c r="DS96" s="14"/>
      <c r="DT96" s="14"/>
      <c r="DU96" s="14"/>
      <c r="DV96" s="14"/>
      <c r="DW96" s="14"/>
      <c r="DX96" s="14"/>
      <c r="DY96" s="14"/>
      <c r="DZ96" s="14"/>
      <c r="EA96" s="14"/>
      <c r="EB96" s="14"/>
      <c r="EC96" s="14"/>
    </row>
    <row r="97" spans="1:133" s="13" customFormat="1" ht="140.4" x14ac:dyDescent="0.25">
      <c r="A97" s="63" t="s">
        <v>212</v>
      </c>
      <c r="B97" s="25" t="s">
        <v>87</v>
      </c>
      <c r="C97" s="35" t="s">
        <v>86</v>
      </c>
      <c r="D97" s="35" t="s">
        <v>356</v>
      </c>
      <c r="E97" s="25">
        <f>0.84/1000</f>
        <v>8.3999999999999993E-4</v>
      </c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14"/>
      <c r="AP97" s="14"/>
      <c r="AQ97" s="14"/>
      <c r="AR97" s="14"/>
      <c r="AS97" s="14"/>
      <c r="AT97" s="14"/>
      <c r="AU97" s="14"/>
      <c r="AV97" s="14"/>
      <c r="AW97" s="14"/>
      <c r="AX97" s="14"/>
      <c r="AY97" s="14"/>
      <c r="AZ97" s="14"/>
      <c r="BA97" s="14"/>
      <c r="BB97" s="14"/>
      <c r="BC97" s="14"/>
      <c r="BD97" s="14"/>
      <c r="BE97" s="14"/>
      <c r="BF97" s="14"/>
      <c r="BG97" s="14"/>
      <c r="BH97" s="14"/>
      <c r="BI97" s="14"/>
      <c r="BJ97" s="14"/>
      <c r="BK97" s="14"/>
      <c r="BL97" s="14"/>
      <c r="BM97" s="14"/>
      <c r="BN97" s="14"/>
      <c r="BO97" s="14"/>
      <c r="BP97" s="14"/>
      <c r="BQ97" s="14"/>
      <c r="BR97" s="14"/>
      <c r="BS97" s="14"/>
      <c r="BT97" s="14"/>
      <c r="BU97" s="14"/>
      <c r="BV97" s="14"/>
      <c r="BW97" s="14"/>
      <c r="BX97" s="14"/>
      <c r="BY97" s="14"/>
      <c r="BZ97" s="14"/>
      <c r="CA97" s="14"/>
      <c r="CB97" s="14"/>
      <c r="CC97" s="14"/>
      <c r="CD97" s="14"/>
      <c r="CE97" s="14"/>
      <c r="CF97" s="14"/>
      <c r="CG97" s="14"/>
      <c r="CH97" s="14"/>
      <c r="CI97" s="14"/>
      <c r="CJ97" s="14"/>
      <c r="CK97" s="14"/>
      <c r="CL97" s="14"/>
      <c r="CM97" s="14"/>
      <c r="CN97" s="14"/>
      <c r="CO97" s="14"/>
      <c r="CP97" s="14"/>
      <c r="CQ97" s="14"/>
      <c r="CR97" s="14"/>
      <c r="CS97" s="14"/>
      <c r="CT97" s="14"/>
      <c r="CU97" s="14"/>
      <c r="CV97" s="14"/>
      <c r="CW97" s="14"/>
      <c r="CX97" s="14"/>
      <c r="CY97" s="14"/>
      <c r="CZ97" s="14"/>
      <c r="DA97" s="14"/>
      <c r="DB97" s="14"/>
      <c r="DC97" s="14"/>
      <c r="DD97" s="14"/>
      <c r="DE97" s="14"/>
      <c r="DF97" s="14"/>
      <c r="DG97" s="14"/>
      <c r="DH97" s="14"/>
      <c r="DI97" s="14"/>
      <c r="DJ97" s="14"/>
      <c r="DK97" s="14"/>
      <c r="DL97" s="14"/>
      <c r="DM97" s="14"/>
      <c r="DN97" s="14"/>
      <c r="DO97" s="14"/>
      <c r="DP97" s="14"/>
      <c r="DQ97" s="14"/>
      <c r="DR97" s="14"/>
      <c r="DS97" s="14"/>
      <c r="DT97" s="14"/>
      <c r="DU97" s="14"/>
      <c r="DV97" s="14"/>
      <c r="DW97" s="14"/>
      <c r="DX97" s="14"/>
      <c r="DY97" s="14"/>
      <c r="DZ97" s="14"/>
      <c r="EA97" s="14"/>
      <c r="EB97" s="14"/>
      <c r="EC97" s="14"/>
    </row>
    <row r="98" spans="1:133" s="13" customFormat="1" ht="140.4" x14ac:dyDescent="0.25">
      <c r="A98" s="63" t="s">
        <v>213</v>
      </c>
      <c r="B98" s="25" t="s">
        <v>88</v>
      </c>
      <c r="C98" s="35" t="s">
        <v>89</v>
      </c>
      <c r="D98" s="35" t="s">
        <v>357</v>
      </c>
      <c r="E98" s="25">
        <f>43.33/1000</f>
        <v>4.333E-2</v>
      </c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14"/>
      <c r="AP98" s="14"/>
      <c r="AQ98" s="14"/>
      <c r="AR98" s="14"/>
      <c r="AS98" s="14"/>
      <c r="AT98" s="14"/>
      <c r="AU98" s="14"/>
      <c r="AV98" s="14"/>
      <c r="AW98" s="14"/>
      <c r="AX98" s="14"/>
      <c r="AY98" s="14"/>
      <c r="AZ98" s="14"/>
      <c r="BA98" s="14"/>
      <c r="BB98" s="14"/>
      <c r="BC98" s="14"/>
      <c r="BD98" s="14"/>
      <c r="BE98" s="14"/>
      <c r="BF98" s="14"/>
      <c r="BG98" s="14"/>
      <c r="BH98" s="14"/>
      <c r="BI98" s="14"/>
      <c r="BJ98" s="14"/>
      <c r="BK98" s="14"/>
      <c r="BL98" s="14"/>
      <c r="BM98" s="14"/>
      <c r="BN98" s="14"/>
      <c r="BO98" s="14"/>
      <c r="BP98" s="14"/>
      <c r="BQ98" s="14"/>
      <c r="BR98" s="14"/>
      <c r="BS98" s="14"/>
      <c r="BT98" s="14"/>
      <c r="BU98" s="14"/>
      <c r="BV98" s="14"/>
      <c r="BW98" s="14"/>
      <c r="BX98" s="14"/>
      <c r="BY98" s="14"/>
      <c r="BZ98" s="14"/>
      <c r="CA98" s="14"/>
      <c r="CB98" s="14"/>
      <c r="CC98" s="14"/>
      <c r="CD98" s="14"/>
      <c r="CE98" s="14"/>
      <c r="CF98" s="14"/>
      <c r="CG98" s="14"/>
      <c r="CH98" s="14"/>
      <c r="CI98" s="14"/>
      <c r="CJ98" s="14"/>
      <c r="CK98" s="14"/>
      <c r="CL98" s="14"/>
      <c r="CM98" s="14"/>
      <c r="CN98" s="14"/>
      <c r="CO98" s="14"/>
      <c r="CP98" s="14"/>
      <c r="CQ98" s="14"/>
      <c r="CR98" s="14"/>
      <c r="CS98" s="14"/>
      <c r="CT98" s="14"/>
      <c r="CU98" s="14"/>
      <c r="CV98" s="14"/>
      <c r="CW98" s="14"/>
      <c r="CX98" s="14"/>
      <c r="CY98" s="14"/>
      <c r="CZ98" s="14"/>
      <c r="DA98" s="14"/>
      <c r="DB98" s="14"/>
      <c r="DC98" s="14"/>
      <c r="DD98" s="14"/>
      <c r="DE98" s="14"/>
      <c r="DF98" s="14"/>
      <c r="DG98" s="14"/>
      <c r="DH98" s="14"/>
      <c r="DI98" s="14"/>
      <c r="DJ98" s="14"/>
      <c r="DK98" s="14"/>
      <c r="DL98" s="14"/>
      <c r="DM98" s="14"/>
      <c r="DN98" s="14"/>
      <c r="DO98" s="14"/>
      <c r="DP98" s="14"/>
      <c r="DQ98" s="14"/>
      <c r="DR98" s="14"/>
      <c r="DS98" s="14"/>
      <c r="DT98" s="14"/>
      <c r="DU98" s="14"/>
      <c r="DV98" s="14"/>
      <c r="DW98" s="14"/>
      <c r="DX98" s="14"/>
      <c r="DY98" s="14"/>
      <c r="DZ98" s="14"/>
      <c r="EA98" s="14"/>
      <c r="EB98" s="14"/>
      <c r="EC98" s="14"/>
    </row>
    <row r="99" spans="1:133" s="13" customFormat="1" ht="62.4" x14ac:dyDescent="0.25">
      <c r="A99" s="63" t="s">
        <v>214</v>
      </c>
      <c r="B99" s="25" t="s">
        <v>90</v>
      </c>
      <c r="C99" s="35" t="s">
        <v>91</v>
      </c>
      <c r="D99" s="35" t="s">
        <v>358</v>
      </c>
      <c r="E99" s="25">
        <v>74.099999999999994</v>
      </c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  <c r="AO99" s="14"/>
      <c r="AP99" s="14"/>
      <c r="AQ99" s="14"/>
      <c r="AR99" s="14"/>
      <c r="AS99" s="14"/>
      <c r="AT99" s="14"/>
      <c r="AU99" s="14"/>
      <c r="AV99" s="14"/>
      <c r="AW99" s="14"/>
      <c r="AX99" s="14"/>
      <c r="AY99" s="14"/>
      <c r="AZ99" s="14"/>
      <c r="BA99" s="14"/>
      <c r="BB99" s="14"/>
      <c r="BC99" s="14"/>
      <c r="BD99" s="14"/>
      <c r="BE99" s="14"/>
      <c r="BF99" s="14"/>
      <c r="BG99" s="14"/>
      <c r="BH99" s="14"/>
      <c r="BI99" s="14"/>
      <c r="BJ99" s="14"/>
      <c r="BK99" s="14"/>
      <c r="BL99" s="14"/>
      <c r="BM99" s="14"/>
      <c r="BN99" s="14"/>
      <c r="BO99" s="14"/>
      <c r="BP99" s="14"/>
      <c r="BQ99" s="14"/>
      <c r="BR99" s="14"/>
      <c r="BS99" s="14"/>
      <c r="BT99" s="14"/>
      <c r="BU99" s="14"/>
      <c r="BV99" s="14"/>
      <c r="BW99" s="14"/>
      <c r="BX99" s="14"/>
      <c r="BY99" s="14"/>
      <c r="BZ99" s="14"/>
      <c r="CA99" s="14"/>
      <c r="CB99" s="14"/>
      <c r="CC99" s="14"/>
      <c r="CD99" s="14"/>
      <c r="CE99" s="14"/>
      <c r="CF99" s="14"/>
      <c r="CG99" s="14"/>
      <c r="CH99" s="14"/>
      <c r="CI99" s="14"/>
      <c r="CJ99" s="14"/>
      <c r="CK99" s="14"/>
      <c r="CL99" s="14"/>
      <c r="CM99" s="14"/>
      <c r="CN99" s="14"/>
      <c r="CO99" s="14"/>
      <c r="CP99" s="14"/>
      <c r="CQ99" s="14"/>
      <c r="CR99" s="14"/>
      <c r="CS99" s="14"/>
      <c r="CT99" s="14"/>
      <c r="CU99" s="14"/>
      <c r="CV99" s="14"/>
      <c r="CW99" s="14"/>
      <c r="CX99" s="14"/>
      <c r="CY99" s="14"/>
      <c r="CZ99" s="14"/>
      <c r="DA99" s="14"/>
      <c r="DB99" s="14"/>
      <c r="DC99" s="14"/>
      <c r="DD99" s="14"/>
      <c r="DE99" s="14"/>
      <c r="DF99" s="14"/>
      <c r="DG99" s="14"/>
      <c r="DH99" s="14"/>
      <c r="DI99" s="14"/>
      <c r="DJ99" s="14"/>
      <c r="DK99" s="14"/>
      <c r="DL99" s="14"/>
      <c r="DM99" s="14"/>
      <c r="DN99" s="14"/>
      <c r="DO99" s="14"/>
      <c r="DP99" s="14"/>
      <c r="DQ99" s="14"/>
      <c r="DR99" s="14"/>
      <c r="DS99" s="14"/>
      <c r="DT99" s="14"/>
      <c r="DU99" s="14"/>
      <c r="DV99" s="14"/>
      <c r="DW99" s="14"/>
      <c r="DX99" s="14"/>
      <c r="DY99" s="14"/>
      <c r="DZ99" s="14"/>
      <c r="EA99" s="14"/>
      <c r="EB99" s="14"/>
      <c r="EC99" s="14"/>
    </row>
    <row r="101" spans="1:133" s="13" customFormat="1" x14ac:dyDescent="0.25">
      <c r="A101" s="158" t="s">
        <v>93</v>
      </c>
      <c r="B101" s="158"/>
      <c r="C101" s="158"/>
      <c r="D101" s="158"/>
      <c r="E101" s="158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  <c r="AO101" s="14"/>
      <c r="AP101" s="14"/>
      <c r="AQ101" s="14"/>
      <c r="AR101" s="14"/>
      <c r="AS101" s="14"/>
      <c r="AT101" s="14"/>
      <c r="AU101" s="14"/>
      <c r="AV101" s="14"/>
      <c r="AW101" s="14"/>
      <c r="AX101" s="14"/>
      <c r="AY101" s="14"/>
      <c r="AZ101" s="14"/>
      <c r="BA101" s="14"/>
      <c r="BB101" s="14"/>
      <c r="BC101" s="14"/>
      <c r="BD101" s="14"/>
      <c r="BE101" s="14"/>
      <c r="BF101" s="14"/>
      <c r="BG101" s="14"/>
      <c r="BH101" s="14"/>
      <c r="BI101" s="14"/>
      <c r="BJ101" s="14"/>
      <c r="BK101" s="14"/>
      <c r="BL101" s="14"/>
      <c r="BM101" s="14"/>
      <c r="BN101" s="14"/>
      <c r="BO101" s="14"/>
      <c r="BP101" s="14"/>
      <c r="BQ101" s="14"/>
      <c r="BR101" s="14"/>
      <c r="BS101" s="14"/>
      <c r="BT101" s="14"/>
      <c r="BU101" s="14"/>
      <c r="BV101" s="14"/>
      <c r="BW101" s="14"/>
      <c r="BX101" s="14"/>
      <c r="BY101" s="14"/>
      <c r="BZ101" s="14"/>
      <c r="CA101" s="14"/>
      <c r="CB101" s="14"/>
      <c r="CC101" s="14"/>
      <c r="CD101" s="14"/>
      <c r="CE101" s="14"/>
      <c r="CF101" s="14"/>
      <c r="CG101" s="14"/>
      <c r="CH101" s="14"/>
      <c r="CI101" s="14"/>
      <c r="CJ101" s="14"/>
      <c r="CK101" s="14"/>
      <c r="CL101" s="14"/>
      <c r="CM101" s="14"/>
      <c r="CN101" s="14"/>
      <c r="CO101" s="14"/>
      <c r="CP101" s="14"/>
      <c r="CQ101" s="14"/>
      <c r="CR101" s="14"/>
      <c r="CS101" s="14"/>
      <c r="CT101" s="14"/>
      <c r="CU101" s="14"/>
      <c r="CV101" s="14"/>
      <c r="CW101" s="14"/>
      <c r="CX101" s="14"/>
      <c r="CY101" s="14"/>
      <c r="CZ101" s="14"/>
      <c r="DA101" s="14"/>
      <c r="DB101" s="14"/>
      <c r="DC101" s="14"/>
      <c r="DD101" s="14"/>
      <c r="DE101" s="14"/>
      <c r="DF101" s="14"/>
      <c r="DG101" s="14"/>
      <c r="DH101" s="14"/>
      <c r="DI101" s="14"/>
      <c r="DJ101" s="14"/>
      <c r="DK101" s="14"/>
      <c r="DL101" s="14"/>
      <c r="DM101" s="14"/>
      <c r="DN101" s="14"/>
      <c r="DO101" s="14"/>
      <c r="DP101" s="14"/>
      <c r="DQ101" s="14"/>
      <c r="DR101" s="14"/>
      <c r="DS101" s="14"/>
      <c r="DT101" s="14"/>
      <c r="DU101" s="14"/>
      <c r="DV101" s="14"/>
      <c r="DW101" s="14"/>
      <c r="DX101" s="14"/>
      <c r="DY101" s="14"/>
      <c r="DZ101" s="14"/>
      <c r="EA101" s="14"/>
      <c r="EB101" s="14"/>
      <c r="EC101" s="14"/>
    </row>
    <row r="102" spans="1:133" s="13" customFormat="1" x14ac:dyDescent="0.25">
      <c r="A102" s="57" t="s">
        <v>8</v>
      </c>
      <c r="B102" s="58" t="s">
        <v>9</v>
      </c>
      <c r="C102" s="34" t="s">
        <v>10</v>
      </c>
      <c r="D102" s="34" t="s">
        <v>340</v>
      </c>
      <c r="E102" s="16" t="s">
        <v>65</v>
      </c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  <c r="AM102" s="14"/>
      <c r="AN102" s="14"/>
      <c r="AO102" s="14"/>
      <c r="AP102" s="14"/>
      <c r="AQ102" s="14"/>
      <c r="AR102" s="14"/>
      <c r="AS102" s="14"/>
      <c r="AT102" s="14"/>
      <c r="AU102" s="14"/>
      <c r="AV102" s="14"/>
      <c r="AW102" s="14"/>
      <c r="AX102" s="14"/>
      <c r="AY102" s="14"/>
      <c r="AZ102" s="14"/>
      <c r="BA102" s="14"/>
      <c r="BB102" s="14"/>
      <c r="BC102" s="14"/>
      <c r="BD102" s="14"/>
      <c r="BE102" s="14"/>
      <c r="BF102" s="14"/>
      <c r="BG102" s="14"/>
      <c r="BH102" s="14"/>
      <c r="BI102" s="14"/>
      <c r="BJ102" s="14"/>
      <c r="BK102" s="14"/>
      <c r="BL102" s="14"/>
      <c r="BM102" s="14"/>
      <c r="BN102" s="14"/>
      <c r="BO102" s="14"/>
      <c r="BP102" s="14"/>
      <c r="BQ102" s="14"/>
      <c r="BR102" s="14"/>
      <c r="BS102" s="14"/>
      <c r="BT102" s="14"/>
      <c r="BU102" s="14"/>
      <c r="BV102" s="14"/>
      <c r="BW102" s="14"/>
      <c r="BX102" s="14"/>
      <c r="BY102" s="14"/>
      <c r="BZ102" s="14"/>
      <c r="CA102" s="14"/>
      <c r="CB102" s="14"/>
      <c r="CC102" s="14"/>
      <c r="CD102" s="14"/>
      <c r="CE102" s="14"/>
      <c r="CF102" s="14"/>
      <c r="CG102" s="14"/>
      <c r="CH102" s="14"/>
      <c r="CI102" s="14"/>
      <c r="CJ102" s="14"/>
      <c r="CK102" s="14"/>
      <c r="CL102" s="14"/>
      <c r="CM102" s="14"/>
      <c r="CN102" s="14"/>
      <c r="CO102" s="14"/>
      <c r="CP102" s="14"/>
      <c r="CQ102" s="14"/>
      <c r="CR102" s="14"/>
      <c r="CS102" s="14"/>
      <c r="CT102" s="14"/>
      <c r="CU102" s="14"/>
      <c r="CV102" s="14"/>
      <c r="CW102" s="14"/>
      <c r="CX102" s="14"/>
      <c r="CY102" s="14"/>
      <c r="CZ102" s="14"/>
      <c r="DA102" s="14"/>
      <c r="DB102" s="14"/>
      <c r="DC102" s="14"/>
      <c r="DD102" s="14"/>
      <c r="DE102" s="14"/>
      <c r="DF102" s="14"/>
      <c r="DG102" s="14"/>
      <c r="DH102" s="14"/>
      <c r="DI102" s="14"/>
      <c r="DJ102" s="14"/>
      <c r="DK102" s="14"/>
      <c r="DL102" s="14"/>
      <c r="DM102" s="14"/>
      <c r="DN102" s="14"/>
      <c r="DO102" s="14"/>
      <c r="DP102" s="14"/>
      <c r="DQ102" s="14"/>
      <c r="DR102" s="14"/>
      <c r="DS102" s="14"/>
      <c r="DT102" s="14"/>
      <c r="DU102" s="14"/>
      <c r="DV102" s="14"/>
      <c r="DW102" s="14"/>
      <c r="DX102" s="14"/>
      <c r="DY102" s="14"/>
      <c r="DZ102" s="14"/>
      <c r="EA102" s="14"/>
      <c r="EB102" s="14"/>
      <c r="EC102" s="14"/>
    </row>
    <row r="103" spans="1:133" s="13" customFormat="1" ht="64.8" x14ac:dyDescent="0.25">
      <c r="A103" s="15" t="s">
        <v>94</v>
      </c>
      <c r="B103" s="25" t="s">
        <v>95</v>
      </c>
      <c r="C103" s="35" t="s">
        <v>96</v>
      </c>
      <c r="D103" s="35" t="s">
        <v>97</v>
      </c>
      <c r="E103" s="16">
        <v>0</v>
      </c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  <c r="AM103" s="14"/>
      <c r="AN103" s="14"/>
      <c r="AO103" s="14"/>
      <c r="AP103" s="14"/>
      <c r="AQ103" s="14"/>
      <c r="AR103" s="14"/>
      <c r="AS103" s="14"/>
      <c r="AT103" s="14"/>
      <c r="AU103" s="14"/>
      <c r="AV103" s="14"/>
      <c r="AW103" s="14"/>
      <c r="AX103" s="14"/>
      <c r="AY103" s="14"/>
      <c r="AZ103" s="14"/>
      <c r="BA103" s="14"/>
      <c r="BB103" s="14"/>
      <c r="BC103" s="14"/>
      <c r="BD103" s="14"/>
      <c r="BE103" s="14"/>
      <c r="BF103" s="14"/>
      <c r="BG103" s="14"/>
      <c r="BH103" s="14"/>
      <c r="BI103" s="14"/>
      <c r="BJ103" s="14"/>
      <c r="BK103" s="14"/>
      <c r="BL103" s="14"/>
      <c r="BM103" s="14"/>
      <c r="BN103" s="14"/>
      <c r="BO103" s="14"/>
      <c r="BP103" s="14"/>
      <c r="BQ103" s="14"/>
      <c r="BR103" s="14"/>
      <c r="BS103" s="14"/>
      <c r="BT103" s="14"/>
      <c r="BU103" s="14"/>
      <c r="BV103" s="14"/>
      <c r="BW103" s="14"/>
      <c r="BX103" s="14"/>
      <c r="BY103" s="14"/>
      <c r="BZ103" s="14"/>
      <c r="CA103" s="14"/>
      <c r="CB103" s="14"/>
      <c r="CC103" s="14"/>
      <c r="CD103" s="14"/>
      <c r="CE103" s="14"/>
      <c r="CF103" s="14"/>
      <c r="CG103" s="14"/>
      <c r="CH103" s="14"/>
      <c r="CI103" s="14"/>
      <c r="CJ103" s="14"/>
      <c r="CK103" s="14"/>
      <c r="CL103" s="14"/>
      <c r="CM103" s="14"/>
      <c r="CN103" s="14"/>
      <c r="CO103" s="14"/>
      <c r="CP103" s="14"/>
      <c r="CQ103" s="14"/>
      <c r="CR103" s="14"/>
      <c r="CS103" s="14"/>
      <c r="CT103" s="14"/>
      <c r="CU103" s="14"/>
      <c r="CV103" s="14"/>
      <c r="CW103" s="14"/>
      <c r="CX103" s="14"/>
      <c r="CY103" s="14"/>
      <c r="CZ103" s="14"/>
      <c r="DA103" s="14"/>
      <c r="DB103" s="14"/>
      <c r="DC103" s="14"/>
      <c r="DD103" s="14"/>
      <c r="DE103" s="14"/>
      <c r="DF103" s="14"/>
      <c r="DG103" s="14"/>
      <c r="DH103" s="14"/>
      <c r="DI103" s="14"/>
      <c r="DJ103" s="14"/>
      <c r="DK103" s="14"/>
      <c r="DL103" s="14"/>
      <c r="DM103" s="14"/>
      <c r="DN103" s="14"/>
      <c r="DO103" s="14"/>
      <c r="DP103" s="14"/>
      <c r="DQ103" s="14"/>
      <c r="DR103" s="14"/>
      <c r="DS103" s="14"/>
      <c r="DT103" s="14"/>
      <c r="DU103" s="14"/>
      <c r="DV103" s="14"/>
      <c r="DW103" s="14"/>
      <c r="DX103" s="14"/>
      <c r="DY103" s="14"/>
      <c r="DZ103" s="14"/>
      <c r="EA103" s="14"/>
      <c r="EB103" s="14"/>
      <c r="EC103" s="14"/>
    </row>
    <row r="105" spans="1:133" s="13" customFormat="1" x14ac:dyDescent="0.25">
      <c r="A105" s="158" t="s">
        <v>98</v>
      </c>
      <c r="B105" s="158"/>
      <c r="C105" s="158"/>
      <c r="D105" s="158"/>
      <c r="E105" s="158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  <c r="AM105" s="14"/>
      <c r="AN105" s="14"/>
      <c r="AO105" s="14"/>
      <c r="AP105" s="14"/>
      <c r="AQ105" s="14"/>
      <c r="AR105" s="14"/>
      <c r="AS105" s="14"/>
      <c r="AT105" s="14"/>
      <c r="AU105" s="14"/>
      <c r="AV105" s="14"/>
      <c r="AW105" s="14"/>
      <c r="AX105" s="14"/>
      <c r="AY105" s="14"/>
      <c r="AZ105" s="14"/>
      <c r="BA105" s="14"/>
      <c r="BB105" s="14"/>
      <c r="BC105" s="14"/>
      <c r="BD105" s="14"/>
      <c r="BE105" s="14"/>
      <c r="BF105" s="14"/>
      <c r="BG105" s="14"/>
      <c r="BH105" s="14"/>
      <c r="BI105" s="14"/>
      <c r="BJ105" s="14"/>
      <c r="BK105" s="14"/>
      <c r="BL105" s="14"/>
      <c r="BM105" s="14"/>
      <c r="BN105" s="14"/>
      <c r="BO105" s="14"/>
      <c r="BP105" s="14"/>
      <c r="BQ105" s="14"/>
      <c r="BR105" s="14"/>
      <c r="BS105" s="14"/>
      <c r="BT105" s="14"/>
      <c r="BU105" s="14"/>
      <c r="BV105" s="14"/>
      <c r="BW105" s="14"/>
      <c r="BX105" s="14"/>
      <c r="BY105" s="14"/>
      <c r="BZ105" s="14"/>
      <c r="CA105" s="14"/>
      <c r="CB105" s="14"/>
      <c r="CC105" s="14"/>
      <c r="CD105" s="14"/>
      <c r="CE105" s="14"/>
      <c r="CF105" s="14"/>
      <c r="CG105" s="14"/>
      <c r="CH105" s="14"/>
      <c r="CI105" s="14"/>
      <c r="CJ105" s="14"/>
      <c r="CK105" s="14"/>
      <c r="CL105" s="14"/>
      <c r="CM105" s="14"/>
      <c r="CN105" s="14"/>
      <c r="CO105" s="14"/>
      <c r="CP105" s="14"/>
      <c r="CQ105" s="14"/>
      <c r="CR105" s="14"/>
      <c r="CS105" s="14"/>
      <c r="CT105" s="14"/>
      <c r="CU105" s="14"/>
      <c r="CV105" s="14"/>
      <c r="CW105" s="14"/>
      <c r="CX105" s="14"/>
      <c r="CY105" s="14"/>
      <c r="CZ105" s="14"/>
      <c r="DA105" s="14"/>
      <c r="DB105" s="14"/>
      <c r="DC105" s="14"/>
      <c r="DD105" s="14"/>
      <c r="DE105" s="14"/>
      <c r="DF105" s="14"/>
      <c r="DG105" s="14"/>
      <c r="DH105" s="14"/>
      <c r="DI105" s="14"/>
      <c r="DJ105" s="14"/>
      <c r="DK105" s="14"/>
      <c r="DL105" s="14"/>
      <c r="DM105" s="14"/>
      <c r="DN105" s="14"/>
      <c r="DO105" s="14"/>
      <c r="DP105" s="14"/>
      <c r="DQ105" s="14"/>
      <c r="DR105" s="14"/>
      <c r="DS105" s="14"/>
      <c r="DT105" s="14"/>
      <c r="DU105" s="14"/>
      <c r="DV105" s="14"/>
      <c r="DW105" s="14"/>
      <c r="DX105" s="14"/>
      <c r="DY105" s="14"/>
      <c r="DZ105" s="14"/>
      <c r="EA105" s="14"/>
      <c r="EB105" s="14"/>
      <c r="EC105" s="14"/>
    </row>
    <row r="106" spans="1:133" s="13" customFormat="1" x14ac:dyDescent="0.25">
      <c r="A106" s="57" t="s">
        <v>8</v>
      </c>
      <c r="B106" s="58" t="s">
        <v>9</v>
      </c>
      <c r="C106" s="34" t="s">
        <v>10</v>
      </c>
      <c r="D106" s="34" t="s">
        <v>340</v>
      </c>
      <c r="E106" s="16" t="s">
        <v>65</v>
      </c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  <c r="AI106" s="14"/>
      <c r="AJ106" s="14"/>
      <c r="AK106" s="14"/>
      <c r="AL106" s="14"/>
      <c r="AM106" s="14"/>
      <c r="AN106" s="14"/>
      <c r="AO106" s="14"/>
      <c r="AP106" s="14"/>
      <c r="AQ106" s="14"/>
      <c r="AR106" s="14"/>
      <c r="AS106" s="14"/>
      <c r="AT106" s="14"/>
      <c r="AU106" s="14"/>
      <c r="AV106" s="14"/>
      <c r="AW106" s="14"/>
      <c r="AX106" s="14"/>
      <c r="AY106" s="14"/>
      <c r="AZ106" s="14"/>
      <c r="BA106" s="14"/>
      <c r="BB106" s="14"/>
      <c r="BC106" s="14"/>
      <c r="BD106" s="14"/>
      <c r="BE106" s="14"/>
      <c r="BF106" s="14"/>
      <c r="BG106" s="14"/>
      <c r="BH106" s="14"/>
      <c r="BI106" s="14"/>
      <c r="BJ106" s="14"/>
      <c r="BK106" s="14"/>
      <c r="BL106" s="14"/>
      <c r="BM106" s="14"/>
      <c r="BN106" s="14"/>
      <c r="BO106" s="14"/>
      <c r="BP106" s="14"/>
      <c r="BQ106" s="14"/>
      <c r="BR106" s="14"/>
      <c r="BS106" s="14"/>
      <c r="BT106" s="14"/>
      <c r="BU106" s="14"/>
      <c r="BV106" s="14"/>
      <c r="BW106" s="14"/>
      <c r="BX106" s="14"/>
      <c r="BY106" s="14"/>
      <c r="BZ106" s="14"/>
      <c r="CA106" s="14"/>
      <c r="CB106" s="14"/>
      <c r="CC106" s="14"/>
      <c r="CD106" s="14"/>
      <c r="CE106" s="14"/>
      <c r="CF106" s="14"/>
      <c r="CG106" s="14"/>
      <c r="CH106" s="14"/>
      <c r="CI106" s="14"/>
      <c r="CJ106" s="14"/>
      <c r="CK106" s="14"/>
      <c r="CL106" s="14"/>
      <c r="CM106" s="14"/>
      <c r="CN106" s="14"/>
      <c r="CO106" s="14"/>
      <c r="CP106" s="14"/>
      <c r="CQ106" s="14"/>
      <c r="CR106" s="14"/>
      <c r="CS106" s="14"/>
      <c r="CT106" s="14"/>
      <c r="CU106" s="14"/>
      <c r="CV106" s="14"/>
      <c r="CW106" s="14"/>
      <c r="CX106" s="14"/>
      <c r="CY106" s="14"/>
      <c r="CZ106" s="14"/>
      <c r="DA106" s="14"/>
      <c r="DB106" s="14"/>
      <c r="DC106" s="14"/>
      <c r="DD106" s="14"/>
      <c r="DE106" s="14"/>
      <c r="DF106" s="14"/>
      <c r="DG106" s="14"/>
      <c r="DH106" s="14"/>
      <c r="DI106" s="14"/>
      <c r="DJ106" s="14"/>
      <c r="DK106" s="14"/>
      <c r="DL106" s="14"/>
      <c r="DM106" s="14"/>
      <c r="DN106" s="14"/>
      <c r="DO106" s="14"/>
      <c r="DP106" s="14"/>
      <c r="DQ106" s="14"/>
      <c r="DR106" s="14"/>
      <c r="DS106" s="14"/>
      <c r="DT106" s="14"/>
      <c r="DU106" s="14"/>
      <c r="DV106" s="14"/>
      <c r="DW106" s="14"/>
      <c r="DX106" s="14"/>
      <c r="DY106" s="14"/>
      <c r="DZ106" s="14"/>
      <c r="EA106" s="14"/>
      <c r="EB106" s="14"/>
      <c r="EC106" s="14"/>
    </row>
    <row r="107" spans="1:133" s="13" customFormat="1" ht="49.2" x14ac:dyDescent="0.25">
      <c r="A107" s="15" t="s">
        <v>99</v>
      </c>
      <c r="B107" s="25" t="s">
        <v>95</v>
      </c>
      <c r="C107" s="35" t="s">
        <v>100</v>
      </c>
      <c r="D107" s="35" t="s">
        <v>101</v>
      </c>
      <c r="E107" s="16">
        <v>0</v>
      </c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  <c r="AI107" s="14"/>
      <c r="AJ107" s="14"/>
      <c r="AK107" s="14"/>
      <c r="AL107" s="14"/>
      <c r="AM107" s="14"/>
      <c r="AN107" s="14"/>
      <c r="AO107" s="14"/>
      <c r="AP107" s="14"/>
      <c r="AQ107" s="14"/>
      <c r="AR107" s="14"/>
      <c r="AS107" s="14"/>
      <c r="AT107" s="14"/>
      <c r="AU107" s="14"/>
      <c r="AV107" s="14"/>
      <c r="AW107" s="14"/>
      <c r="AX107" s="14"/>
      <c r="AY107" s="14"/>
      <c r="AZ107" s="14"/>
      <c r="BA107" s="14"/>
      <c r="BB107" s="14"/>
      <c r="BC107" s="14"/>
      <c r="BD107" s="14"/>
      <c r="BE107" s="14"/>
      <c r="BF107" s="14"/>
      <c r="BG107" s="14"/>
      <c r="BH107" s="14"/>
      <c r="BI107" s="14"/>
      <c r="BJ107" s="14"/>
      <c r="BK107" s="14"/>
      <c r="BL107" s="14"/>
      <c r="BM107" s="14"/>
      <c r="BN107" s="14"/>
      <c r="BO107" s="14"/>
      <c r="BP107" s="14"/>
      <c r="BQ107" s="14"/>
      <c r="BR107" s="14"/>
      <c r="BS107" s="14"/>
      <c r="BT107" s="14"/>
      <c r="BU107" s="14"/>
      <c r="BV107" s="14"/>
      <c r="BW107" s="14"/>
      <c r="BX107" s="14"/>
      <c r="BY107" s="14"/>
      <c r="BZ107" s="14"/>
      <c r="CA107" s="14"/>
      <c r="CB107" s="14"/>
      <c r="CC107" s="14"/>
      <c r="CD107" s="14"/>
      <c r="CE107" s="14"/>
      <c r="CF107" s="14"/>
      <c r="CG107" s="14"/>
      <c r="CH107" s="14"/>
      <c r="CI107" s="14"/>
      <c r="CJ107" s="14"/>
      <c r="CK107" s="14"/>
      <c r="CL107" s="14"/>
      <c r="CM107" s="14"/>
      <c r="CN107" s="14"/>
      <c r="CO107" s="14"/>
      <c r="CP107" s="14"/>
      <c r="CQ107" s="14"/>
      <c r="CR107" s="14"/>
      <c r="CS107" s="14"/>
      <c r="CT107" s="14"/>
      <c r="CU107" s="14"/>
      <c r="CV107" s="14"/>
      <c r="CW107" s="14"/>
      <c r="CX107" s="14"/>
      <c r="CY107" s="14"/>
      <c r="CZ107" s="14"/>
      <c r="DA107" s="14"/>
      <c r="DB107" s="14"/>
      <c r="DC107" s="14"/>
      <c r="DD107" s="14"/>
      <c r="DE107" s="14"/>
      <c r="DF107" s="14"/>
      <c r="DG107" s="14"/>
      <c r="DH107" s="14"/>
      <c r="DI107" s="14"/>
      <c r="DJ107" s="14"/>
      <c r="DK107" s="14"/>
      <c r="DL107" s="14"/>
      <c r="DM107" s="14"/>
      <c r="DN107" s="14"/>
      <c r="DO107" s="14"/>
      <c r="DP107" s="14"/>
      <c r="DQ107" s="14"/>
      <c r="DR107" s="14"/>
      <c r="DS107" s="14"/>
      <c r="DT107" s="14"/>
      <c r="DU107" s="14"/>
      <c r="DV107" s="14"/>
      <c r="DW107" s="14"/>
      <c r="DX107" s="14"/>
      <c r="DY107" s="14"/>
      <c r="DZ107" s="14"/>
      <c r="EA107" s="14"/>
      <c r="EB107" s="14"/>
      <c r="EC107" s="14"/>
    </row>
    <row r="109" spans="1:133" s="13" customFormat="1" x14ac:dyDescent="0.25">
      <c r="A109" s="57" t="s">
        <v>8</v>
      </c>
      <c r="B109" s="58" t="s">
        <v>9</v>
      </c>
      <c r="C109" s="34" t="s">
        <v>10</v>
      </c>
      <c r="D109" s="34" t="s">
        <v>340</v>
      </c>
      <c r="E109" s="16" t="s">
        <v>65</v>
      </c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  <c r="AO109" s="14"/>
      <c r="AP109" s="14"/>
      <c r="AQ109" s="14"/>
      <c r="AR109" s="14"/>
      <c r="AS109" s="14"/>
      <c r="AT109" s="14"/>
      <c r="AU109" s="14"/>
      <c r="AV109" s="14"/>
      <c r="AW109" s="14"/>
      <c r="AX109" s="14"/>
      <c r="AY109" s="14"/>
      <c r="AZ109" s="14"/>
      <c r="BA109" s="14"/>
      <c r="BB109" s="14"/>
      <c r="BC109" s="14"/>
      <c r="BD109" s="14"/>
      <c r="BE109" s="14"/>
      <c r="BF109" s="14"/>
      <c r="BG109" s="14"/>
      <c r="BH109" s="14"/>
      <c r="BI109" s="14"/>
      <c r="BJ109" s="14"/>
      <c r="BK109" s="14"/>
      <c r="BL109" s="14"/>
      <c r="BM109" s="14"/>
      <c r="BN109" s="14"/>
      <c r="BO109" s="14"/>
      <c r="BP109" s="14"/>
      <c r="BQ109" s="14"/>
      <c r="BR109" s="14"/>
      <c r="BS109" s="14"/>
      <c r="BT109" s="14"/>
      <c r="BU109" s="14"/>
      <c r="BV109" s="14"/>
      <c r="BW109" s="14"/>
      <c r="BX109" s="14"/>
      <c r="BY109" s="14"/>
      <c r="BZ109" s="14"/>
      <c r="CA109" s="14"/>
      <c r="CB109" s="14"/>
      <c r="CC109" s="14"/>
      <c r="CD109" s="14"/>
      <c r="CE109" s="14"/>
      <c r="CF109" s="14"/>
      <c r="CG109" s="14"/>
      <c r="CH109" s="14"/>
      <c r="CI109" s="14"/>
      <c r="CJ109" s="14"/>
      <c r="CK109" s="14"/>
      <c r="CL109" s="14"/>
      <c r="CM109" s="14"/>
      <c r="CN109" s="14"/>
      <c r="CO109" s="14"/>
      <c r="CP109" s="14"/>
      <c r="CQ109" s="14"/>
      <c r="CR109" s="14"/>
      <c r="CS109" s="14"/>
      <c r="CT109" s="14"/>
      <c r="CU109" s="14"/>
      <c r="CV109" s="14"/>
      <c r="CW109" s="14"/>
      <c r="CX109" s="14"/>
      <c r="CY109" s="14"/>
      <c r="CZ109" s="14"/>
      <c r="DA109" s="14"/>
      <c r="DB109" s="14"/>
      <c r="DC109" s="14"/>
      <c r="DD109" s="14"/>
      <c r="DE109" s="14"/>
      <c r="DF109" s="14"/>
      <c r="DG109" s="14"/>
      <c r="DH109" s="14"/>
      <c r="DI109" s="14"/>
      <c r="DJ109" s="14"/>
      <c r="DK109" s="14"/>
      <c r="DL109" s="14"/>
      <c r="DM109" s="14"/>
      <c r="DN109" s="14"/>
      <c r="DO109" s="14"/>
      <c r="DP109" s="14"/>
      <c r="DQ109" s="14"/>
      <c r="DR109" s="14"/>
      <c r="DS109" s="14"/>
      <c r="DT109" s="14"/>
      <c r="DU109" s="14"/>
      <c r="DV109" s="14"/>
      <c r="DW109" s="14"/>
      <c r="DX109" s="14"/>
      <c r="DY109" s="14"/>
      <c r="DZ109" s="14"/>
      <c r="EA109" s="14"/>
      <c r="EB109" s="14"/>
      <c r="EC109" s="14"/>
    </row>
    <row r="110" spans="1:133" s="13" customFormat="1" ht="18" x14ac:dyDescent="0.25">
      <c r="A110" s="101" t="s">
        <v>102</v>
      </c>
      <c r="B110" s="95" t="s">
        <v>103</v>
      </c>
      <c r="C110" s="96" t="s">
        <v>104</v>
      </c>
      <c r="D110" s="97" t="s">
        <v>380</v>
      </c>
      <c r="E110" s="102">
        <f>ROUNDDOWN(E60+E91+E86+E103+E107,0)</f>
        <v>2917</v>
      </c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  <c r="AI110" s="14"/>
      <c r="AJ110" s="14"/>
      <c r="AK110" s="14"/>
      <c r="AL110" s="14"/>
      <c r="AM110" s="14"/>
      <c r="AN110" s="14"/>
      <c r="AO110" s="14"/>
      <c r="AP110" s="14"/>
      <c r="AQ110" s="14"/>
      <c r="AR110" s="14"/>
      <c r="AS110" s="14"/>
      <c r="AT110" s="14"/>
      <c r="AU110" s="14"/>
      <c r="AV110" s="14"/>
      <c r="AW110" s="14"/>
      <c r="AX110" s="14"/>
      <c r="AY110" s="14"/>
      <c r="AZ110" s="14"/>
      <c r="BA110" s="14"/>
      <c r="BB110" s="14"/>
      <c r="BC110" s="14"/>
      <c r="BD110" s="14"/>
      <c r="BE110" s="14"/>
      <c r="BF110" s="14"/>
      <c r="BG110" s="14"/>
      <c r="BH110" s="14"/>
      <c r="BI110" s="14"/>
      <c r="BJ110" s="14"/>
      <c r="BK110" s="14"/>
      <c r="BL110" s="14"/>
      <c r="BM110" s="14"/>
      <c r="BN110" s="14"/>
      <c r="BO110" s="14"/>
      <c r="BP110" s="14"/>
      <c r="BQ110" s="14"/>
      <c r="BR110" s="14"/>
      <c r="BS110" s="14"/>
      <c r="BT110" s="14"/>
      <c r="BU110" s="14"/>
      <c r="BV110" s="14"/>
      <c r="BW110" s="14"/>
      <c r="BX110" s="14"/>
      <c r="BY110" s="14"/>
      <c r="BZ110" s="14"/>
      <c r="CA110" s="14"/>
      <c r="CB110" s="14"/>
      <c r="CC110" s="14"/>
      <c r="CD110" s="14"/>
      <c r="CE110" s="14"/>
      <c r="CF110" s="14"/>
      <c r="CG110" s="14"/>
      <c r="CH110" s="14"/>
      <c r="CI110" s="14"/>
      <c r="CJ110" s="14"/>
      <c r="CK110" s="14"/>
      <c r="CL110" s="14"/>
      <c r="CM110" s="14"/>
      <c r="CN110" s="14"/>
      <c r="CO110" s="14"/>
      <c r="CP110" s="14"/>
      <c r="CQ110" s="14"/>
      <c r="CR110" s="14"/>
      <c r="CS110" s="14"/>
      <c r="CT110" s="14"/>
      <c r="CU110" s="14"/>
      <c r="CV110" s="14"/>
      <c r="CW110" s="14"/>
      <c r="CX110" s="14"/>
      <c r="CY110" s="14"/>
      <c r="CZ110" s="14"/>
      <c r="DA110" s="14"/>
      <c r="DB110" s="14"/>
      <c r="DC110" s="14"/>
      <c r="DD110" s="14"/>
      <c r="DE110" s="14"/>
      <c r="DF110" s="14"/>
      <c r="DG110" s="14"/>
      <c r="DH110" s="14"/>
      <c r="DI110" s="14"/>
      <c r="DJ110" s="14"/>
      <c r="DK110" s="14"/>
      <c r="DL110" s="14"/>
      <c r="DM110" s="14"/>
      <c r="DN110" s="14"/>
      <c r="DO110" s="14"/>
      <c r="DP110" s="14"/>
      <c r="DQ110" s="14"/>
      <c r="DR110" s="14"/>
      <c r="DS110" s="14"/>
      <c r="DT110" s="14"/>
      <c r="DU110" s="14"/>
      <c r="DV110" s="14"/>
      <c r="DW110" s="14"/>
      <c r="DX110" s="14"/>
      <c r="DY110" s="14"/>
      <c r="DZ110" s="14"/>
      <c r="EA110" s="14"/>
      <c r="EB110" s="14"/>
      <c r="EC110" s="14"/>
    </row>
    <row r="111" spans="1:133" s="166" customFormat="1" ht="38.4" customHeight="1" x14ac:dyDescent="0.25">
      <c r="A111" s="165" t="s">
        <v>221</v>
      </c>
    </row>
    <row r="112" spans="1:133" s="167" customFormat="1" ht="43.2" customHeight="1" x14ac:dyDescent="0.25">
      <c r="A112" s="167" t="s">
        <v>222</v>
      </c>
    </row>
    <row r="113" spans="1:133" s="56" customFormat="1" ht="31.2" x14ac:dyDescent="0.25">
      <c r="A113" s="92" t="s">
        <v>8</v>
      </c>
      <c r="B113" s="93" t="s">
        <v>9</v>
      </c>
      <c r="C113" s="94" t="s">
        <v>10</v>
      </c>
      <c r="D113" s="93" t="s">
        <v>341</v>
      </c>
      <c r="E113" s="93" t="s">
        <v>11</v>
      </c>
      <c r="F113" s="16" t="s">
        <v>312</v>
      </c>
      <c r="G113" s="16" t="s">
        <v>313</v>
      </c>
      <c r="H113" s="16" t="s">
        <v>314</v>
      </c>
      <c r="I113" s="16" t="s">
        <v>315</v>
      </c>
      <c r="J113" s="16" t="s">
        <v>316</v>
      </c>
      <c r="K113" s="16" t="s">
        <v>317</v>
      </c>
      <c r="L113" s="16" t="s">
        <v>318</v>
      </c>
      <c r="M113" s="16" t="s">
        <v>319</v>
      </c>
      <c r="N113" s="16" t="s">
        <v>320</v>
      </c>
      <c r="O113" s="16" t="s">
        <v>293</v>
      </c>
      <c r="P113" s="16" t="s">
        <v>294</v>
      </c>
      <c r="Q113" s="16" t="s">
        <v>295</v>
      </c>
      <c r="R113" s="54"/>
      <c r="S113" s="54"/>
      <c r="T113" s="54"/>
      <c r="U113" s="54"/>
      <c r="V113" s="54"/>
      <c r="W113" s="54"/>
      <c r="X113" s="54"/>
      <c r="Y113" s="54"/>
      <c r="Z113" s="54"/>
      <c r="AA113" s="54"/>
      <c r="AB113" s="54"/>
      <c r="AC113" s="54"/>
      <c r="AD113" s="54"/>
      <c r="AE113" s="54"/>
      <c r="AF113" s="54"/>
      <c r="AG113" s="54"/>
      <c r="AH113" s="54"/>
      <c r="AI113" s="54"/>
      <c r="AJ113" s="54"/>
      <c r="AK113" s="54"/>
      <c r="AL113" s="54"/>
      <c r="AM113" s="54"/>
      <c r="AN113" s="54"/>
      <c r="AO113" s="54"/>
      <c r="AP113" s="54"/>
      <c r="AQ113" s="54"/>
      <c r="AR113" s="54"/>
      <c r="AS113" s="54"/>
      <c r="AT113" s="54"/>
      <c r="AU113" s="54"/>
      <c r="AV113" s="54"/>
      <c r="AW113" s="54"/>
      <c r="AX113" s="54"/>
      <c r="AY113" s="54"/>
      <c r="AZ113" s="54"/>
      <c r="BA113" s="54"/>
      <c r="BB113" s="54"/>
      <c r="BC113" s="54"/>
      <c r="BD113" s="54"/>
      <c r="BE113" s="54"/>
      <c r="BF113" s="54"/>
      <c r="BG113" s="54"/>
      <c r="BH113" s="54"/>
      <c r="BI113" s="54"/>
      <c r="BJ113" s="54"/>
      <c r="BK113" s="54"/>
      <c r="BL113" s="54"/>
      <c r="BM113" s="54"/>
      <c r="BN113" s="54"/>
      <c r="BO113" s="54"/>
      <c r="BP113" s="54"/>
      <c r="BQ113" s="54"/>
      <c r="BR113" s="54"/>
      <c r="BS113" s="54"/>
      <c r="BT113" s="54"/>
      <c r="BU113" s="54"/>
      <c r="BV113" s="54"/>
      <c r="BW113" s="54"/>
      <c r="BX113" s="54"/>
      <c r="BY113" s="54"/>
      <c r="BZ113" s="54"/>
      <c r="CA113" s="54"/>
      <c r="CB113" s="54"/>
      <c r="CC113" s="54"/>
      <c r="CD113" s="54"/>
      <c r="CE113" s="54"/>
      <c r="CF113" s="54"/>
      <c r="CG113" s="54"/>
      <c r="CH113" s="54"/>
      <c r="CI113" s="54"/>
      <c r="CJ113" s="54"/>
      <c r="CK113" s="54"/>
      <c r="CL113" s="54"/>
      <c r="CM113" s="54"/>
      <c r="CN113" s="54"/>
      <c r="CO113" s="54"/>
      <c r="CP113" s="54"/>
      <c r="CQ113" s="54"/>
      <c r="CR113" s="54"/>
      <c r="CS113" s="54"/>
      <c r="CT113" s="54"/>
      <c r="CU113" s="54"/>
      <c r="CV113" s="54"/>
      <c r="CW113" s="54"/>
      <c r="CX113" s="54"/>
      <c r="CY113" s="54"/>
      <c r="CZ113" s="54"/>
      <c r="DA113" s="54"/>
      <c r="DB113" s="54"/>
      <c r="DC113" s="54"/>
      <c r="DD113" s="54"/>
      <c r="DE113" s="54"/>
      <c r="DF113" s="54"/>
      <c r="DG113" s="54"/>
      <c r="DH113" s="54"/>
      <c r="DI113" s="54"/>
      <c r="DJ113" s="54"/>
      <c r="DK113" s="54"/>
      <c r="DL113" s="54"/>
      <c r="DM113" s="54"/>
      <c r="DN113" s="54"/>
      <c r="DO113" s="54"/>
      <c r="DP113" s="54"/>
      <c r="DQ113" s="54"/>
      <c r="DR113" s="54"/>
      <c r="DS113" s="54"/>
      <c r="DT113" s="54"/>
      <c r="DU113" s="54"/>
      <c r="DV113" s="54"/>
      <c r="DW113" s="54"/>
      <c r="DX113" s="54"/>
      <c r="DY113" s="54"/>
      <c r="DZ113" s="54"/>
      <c r="EA113" s="54"/>
      <c r="EB113" s="54"/>
      <c r="EC113" s="54"/>
    </row>
    <row r="114" spans="1:133" s="56" customFormat="1" x14ac:dyDescent="0.25">
      <c r="A114" s="178" t="s">
        <v>12</v>
      </c>
      <c r="B114" s="178"/>
      <c r="C114" s="179"/>
      <c r="D114" s="179"/>
      <c r="E114" s="178"/>
      <c r="F114" s="16">
        <v>31</v>
      </c>
      <c r="G114" s="16">
        <v>28</v>
      </c>
      <c r="H114" s="16">
        <v>31</v>
      </c>
      <c r="I114" s="16">
        <v>30</v>
      </c>
      <c r="J114" s="16">
        <v>31</v>
      </c>
      <c r="K114" s="16">
        <v>30</v>
      </c>
      <c r="L114" s="16">
        <v>31</v>
      </c>
      <c r="M114" s="16">
        <v>31</v>
      </c>
      <c r="N114" s="16">
        <v>30</v>
      </c>
      <c r="O114" s="16">
        <v>31</v>
      </c>
      <c r="P114" s="16">
        <v>30</v>
      </c>
      <c r="Q114" s="16">
        <v>31</v>
      </c>
      <c r="R114" s="54"/>
      <c r="S114" s="54"/>
      <c r="T114" s="54"/>
      <c r="U114" s="54"/>
      <c r="V114" s="54"/>
      <c r="W114" s="54"/>
      <c r="X114" s="54"/>
      <c r="Y114" s="54"/>
      <c r="Z114" s="54"/>
      <c r="AA114" s="54"/>
      <c r="AB114" s="54"/>
      <c r="AC114" s="54"/>
      <c r="AD114" s="54"/>
      <c r="AE114" s="54"/>
      <c r="AF114" s="54"/>
      <c r="AG114" s="54"/>
      <c r="AH114" s="54"/>
      <c r="AI114" s="54"/>
      <c r="AJ114" s="54"/>
      <c r="AK114" s="54"/>
      <c r="AL114" s="54"/>
      <c r="AM114" s="54"/>
      <c r="AN114" s="54"/>
      <c r="AO114" s="54"/>
      <c r="AP114" s="54"/>
      <c r="AQ114" s="54"/>
      <c r="AR114" s="54"/>
      <c r="AS114" s="54"/>
      <c r="AT114" s="54"/>
      <c r="AU114" s="54"/>
      <c r="AV114" s="54"/>
      <c r="AW114" s="54"/>
      <c r="AX114" s="54"/>
      <c r="AY114" s="54"/>
      <c r="AZ114" s="54"/>
      <c r="BA114" s="54"/>
      <c r="BB114" s="54"/>
      <c r="BC114" s="54"/>
      <c r="BD114" s="54"/>
      <c r="BE114" s="54"/>
      <c r="BF114" s="54"/>
      <c r="BG114" s="54"/>
      <c r="BH114" s="54"/>
      <c r="BI114" s="54"/>
      <c r="BJ114" s="54"/>
      <c r="BK114" s="54"/>
      <c r="BL114" s="54"/>
      <c r="BM114" s="54"/>
      <c r="BN114" s="54"/>
      <c r="BO114" s="54"/>
      <c r="BP114" s="54"/>
      <c r="BQ114" s="54"/>
      <c r="BR114" s="54"/>
      <c r="BS114" s="54"/>
      <c r="BT114" s="54"/>
      <c r="BU114" s="54"/>
      <c r="BV114" s="54"/>
      <c r="BW114" s="54"/>
      <c r="BX114" s="54"/>
      <c r="BY114" s="54"/>
      <c r="BZ114" s="54"/>
      <c r="CA114" s="54"/>
      <c r="CB114" s="54"/>
      <c r="CC114" s="54"/>
      <c r="CD114" s="54"/>
      <c r="CE114" s="54"/>
      <c r="CF114" s="54"/>
      <c r="CG114" s="54"/>
      <c r="CH114" s="54"/>
      <c r="CI114" s="54"/>
      <c r="CJ114" s="54"/>
      <c r="CK114" s="54"/>
      <c r="CL114" s="54"/>
      <c r="CM114" s="54"/>
      <c r="CN114" s="54"/>
      <c r="CO114" s="54"/>
      <c r="CP114" s="54"/>
      <c r="CQ114" s="54"/>
      <c r="CR114" s="54"/>
      <c r="CS114" s="54"/>
      <c r="CT114" s="54"/>
      <c r="CU114" s="54"/>
      <c r="CV114" s="54"/>
      <c r="CW114" s="54"/>
      <c r="CX114" s="54"/>
      <c r="CY114" s="54"/>
      <c r="CZ114" s="54"/>
      <c r="DA114" s="54"/>
      <c r="DB114" s="54"/>
      <c r="DC114" s="54"/>
      <c r="DD114" s="54"/>
      <c r="DE114" s="54"/>
      <c r="DF114" s="54"/>
      <c r="DG114" s="54"/>
      <c r="DH114" s="54"/>
      <c r="DI114" s="54"/>
      <c r="DJ114" s="54"/>
      <c r="DK114" s="54"/>
      <c r="DL114" s="54"/>
      <c r="DM114" s="54"/>
      <c r="DN114" s="54"/>
      <c r="DO114" s="54"/>
      <c r="DP114" s="54"/>
      <c r="DQ114" s="54"/>
      <c r="DR114" s="54"/>
      <c r="DS114" s="54"/>
      <c r="DT114" s="54"/>
      <c r="DU114" s="54"/>
      <c r="DV114" s="54"/>
      <c r="DW114" s="54"/>
      <c r="DX114" s="54"/>
      <c r="DY114" s="54"/>
      <c r="DZ114" s="54"/>
      <c r="EA114" s="54"/>
      <c r="EB114" s="54"/>
      <c r="EC114" s="54"/>
    </row>
    <row r="115" spans="1:133" ht="46.8" x14ac:dyDescent="0.25">
      <c r="A115" s="59" t="s">
        <v>13</v>
      </c>
      <c r="B115" s="60" t="s">
        <v>14</v>
      </c>
      <c r="C115" s="53" t="s">
        <v>15</v>
      </c>
      <c r="D115" s="53" t="s">
        <v>369</v>
      </c>
      <c r="E115" s="61">
        <f>SUM(F115:Q115)</f>
        <v>761.24348930363669</v>
      </c>
      <c r="F115" s="62">
        <f>$E$116*$E$117*F118*$E$129</f>
        <v>59.120750753970057</v>
      </c>
      <c r="G115" s="62">
        <f>$E$116*$E$117*G118*$E$129</f>
        <v>53.379184786231782</v>
      </c>
      <c r="H115" s="62">
        <f t="shared" ref="H115:Q115" si="14">$E$116*$E$117*H118*$E$129</f>
        <v>59.10041692860753</v>
      </c>
      <c r="I115" s="62">
        <f t="shared" si="14"/>
        <v>57.204777902968772</v>
      </c>
      <c r="J115" s="62">
        <f t="shared" si="14"/>
        <v>72.677262000540608</v>
      </c>
      <c r="K115" s="62">
        <f t="shared" si="14"/>
        <v>65.310184495725949</v>
      </c>
      <c r="L115" s="62">
        <f t="shared" si="14"/>
        <v>67.540075328919656</v>
      </c>
      <c r="M115" s="62">
        <f t="shared" si="14"/>
        <v>67.516937291303506</v>
      </c>
      <c r="N115" s="62">
        <f t="shared" si="14"/>
        <v>70.340779568411975</v>
      </c>
      <c r="O115" s="62">
        <f t="shared" si="14"/>
        <v>72.701461637735704</v>
      </c>
      <c r="P115" s="62">
        <f t="shared" si="14"/>
        <v>57.229621118916718</v>
      </c>
      <c r="Q115" s="62">
        <f t="shared" si="14"/>
        <v>59.122037490304372</v>
      </c>
    </row>
    <row r="116" spans="1:133" ht="31.2" x14ac:dyDescent="0.25">
      <c r="A116" s="63" t="s">
        <v>16</v>
      </c>
      <c r="B116" s="60" t="s">
        <v>193</v>
      </c>
      <c r="C116" s="35" t="s">
        <v>17</v>
      </c>
      <c r="D116" s="35" t="s">
        <v>205</v>
      </c>
      <c r="E116" s="176">
        <v>28</v>
      </c>
      <c r="F116" s="176"/>
      <c r="G116" s="176"/>
      <c r="H116" s="176"/>
      <c r="I116" s="176"/>
      <c r="J116" s="176"/>
      <c r="K116" s="176"/>
      <c r="L116" s="176"/>
      <c r="M116" s="176"/>
      <c r="N116" s="176"/>
      <c r="O116" s="176"/>
      <c r="P116" s="176"/>
      <c r="Q116" s="176"/>
    </row>
    <row r="117" spans="1:133" ht="64.8" x14ac:dyDescent="0.25">
      <c r="A117" s="63" t="s">
        <v>18</v>
      </c>
      <c r="B117" s="25" t="s">
        <v>194</v>
      </c>
      <c r="C117" s="35" t="s">
        <v>20</v>
      </c>
      <c r="D117" s="35" t="s">
        <v>394</v>
      </c>
      <c r="E117" s="176">
        <v>0.21</v>
      </c>
      <c r="F117" s="176"/>
      <c r="G117" s="176"/>
      <c r="H117" s="176"/>
      <c r="I117" s="176"/>
      <c r="J117" s="176"/>
      <c r="K117" s="176"/>
      <c r="L117" s="176"/>
      <c r="M117" s="176"/>
      <c r="N117" s="176"/>
      <c r="O117" s="176"/>
      <c r="P117" s="176"/>
      <c r="Q117" s="176"/>
    </row>
    <row r="118" spans="1:133" ht="46.8" x14ac:dyDescent="0.25">
      <c r="A118" s="35" t="s">
        <v>21</v>
      </c>
      <c r="B118" s="25" t="s">
        <v>195</v>
      </c>
      <c r="C118" s="53" t="s">
        <v>22</v>
      </c>
      <c r="D118" s="53" t="s">
        <v>370</v>
      </c>
      <c r="E118" s="64">
        <f t="shared" ref="E118:Q118" si="15">E126*E119</f>
        <v>217.78856297693147</v>
      </c>
      <c r="F118" s="64">
        <f t="shared" si="15"/>
        <v>16.914198321226898</v>
      </c>
      <c r="G118" s="64">
        <f t="shared" si="15"/>
        <v>15.271560428198944</v>
      </c>
      <c r="H118" s="64">
        <f t="shared" si="15"/>
        <v>16.908380899248577</v>
      </c>
      <c r="I118" s="64">
        <f t="shared" si="15"/>
        <v>16.366046540902186</v>
      </c>
      <c r="J118" s="64">
        <f t="shared" si="15"/>
        <v>20.792659214300713</v>
      </c>
      <c r="K118" s="64">
        <f t="shared" si="15"/>
        <v>18.684969302126909</v>
      </c>
      <c r="L118" s="64">
        <f t="shared" si="15"/>
        <v>19.322931697839408</v>
      </c>
      <c r="M118" s="64">
        <f t="shared" si="15"/>
        <v>19.316312002520718</v>
      </c>
      <c r="N118" s="64">
        <f t="shared" si="15"/>
        <v>20.12420141011032</v>
      </c>
      <c r="O118" s="64">
        <f t="shared" si="15"/>
        <v>20.799582628797307</v>
      </c>
      <c r="P118" s="64">
        <f t="shared" si="15"/>
        <v>16.373154080575173</v>
      </c>
      <c r="Q118" s="64">
        <f t="shared" si="15"/>
        <v>16.914566451084319</v>
      </c>
    </row>
    <row r="119" spans="1:133" ht="46.8" x14ac:dyDescent="0.25">
      <c r="A119" s="35" t="s">
        <v>23</v>
      </c>
      <c r="B119" s="25" t="s">
        <v>197</v>
      </c>
      <c r="C119" s="35" t="s">
        <v>191</v>
      </c>
      <c r="D119" s="35" t="s">
        <v>371</v>
      </c>
      <c r="E119" s="20">
        <f>SUM(F119:Q119)</f>
        <v>231.14708739192545</v>
      </c>
      <c r="F119" s="20">
        <f>F121*F124</f>
        <v>17.951666626016127</v>
      </c>
      <c r="G119" s="20">
        <f t="shared" ref="G119:Q119" si="16">G121*G124</f>
        <v>16.208274046428567</v>
      </c>
      <c r="H119" s="20">
        <f t="shared" si="16"/>
        <v>17.945492380095967</v>
      </c>
      <c r="I119" s="20">
        <f t="shared" si="16"/>
        <v>17.369892791160638</v>
      </c>
      <c r="J119" s="20">
        <f t="shared" si="16"/>
        <v>22.068021161550011</v>
      </c>
      <c r="K119" s="20">
        <f t="shared" si="16"/>
        <v>19.831051608764444</v>
      </c>
      <c r="L119" s="20">
        <f t="shared" si="16"/>
        <v>20.508144783993018</v>
      </c>
      <c r="M119" s="20">
        <f t="shared" si="16"/>
        <v>20.501119055591939</v>
      </c>
      <c r="N119" s="20">
        <f t="shared" si="16"/>
        <v>21.35856207714723</v>
      </c>
      <c r="O119" s="20">
        <f t="shared" si="16"/>
        <v>22.075369238390319</v>
      </c>
      <c r="P119" s="20">
        <f t="shared" si="16"/>
        <v>17.37743628688639</v>
      </c>
      <c r="Q119" s="20">
        <f t="shared" si="16"/>
        <v>17.952057335900808</v>
      </c>
    </row>
    <row r="120" spans="1:133" ht="62.4" x14ac:dyDescent="0.25">
      <c r="A120" s="17" t="s">
        <v>335</v>
      </c>
      <c r="B120" s="60" t="s">
        <v>192</v>
      </c>
      <c r="C120" s="35" t="s">
        <v>25</v>
      </c>
      <c r="D120" s="35" t="s">
        <v>333</v>
      </c>
      <c r="E120" s="121">
        <f>AVERAGE(F120:Q120)</f>
        <v>2337.9836491679475</v>
      </c>
      <c r="F120" s="121">
        <v>2096.838870967742</v>
      </c>
      <c r="G120" s="121">
        <v>2096.4622857142858</v>
      </c>
      <c r="H120" s="121">
        <v>2096.3686774193548</v>
      </c>
      <c r="I120" s="121">
        <v>2096.4620333333337</v>
      </c>
      <c r="J120" s="121">
        <v>2579.4008709677428</v>
      </c>
      <c r="K120" s="121">
        <v>2579.0730666666659</v>
      </c>
      <c r="L120" s="121">
        <v>2580.6092580645163</v>
      </c>
      <c r="M120" s="121">
        <v>2578.9139032258072</v>
      </c>
      <c r="N120" s="121">
        <v>2579.0121666666673</v>
      </c>
      <c r="O120" s="121">
        <v>2578.6798709677419</v>
      </c>
      <c r="P120" s="121">
        <v>2097.2023666666669</v>
      </c>
      <c r="Q120" s="121">
        <v>2096.7804193548391</v>
      </c>
    </row>
    <row r="121" spans="1:133" ht="46.8" x14ac:dyDescent="0.25">
      <c r="A121" s="35" t="s">
        <v>26</v>
      </c>
      <c r="B121" s="60" t="s">
        <v>198</v>
      </c>
      <c r="C121" s="35" t="s">
        <v>27</v>
      </c>
      <c r="D121" s="35" t="s">
        <v>206</v>
      </c>
      <c r="E121" s="65">
        <f>SUM(F121:Q121)</f>
        <v>854088.78099999996</v>
      </c>
      <c r="F121" s="65">
        <f>F120*F114</f>
        <v>65002.005000000005</v>
      </c>
      <c r="G121" s="65">
        <f t="shared" ref="G121:Q121" si="17">G120*G114</f>
        <v>58700.944000000003</v>
      </c>
      <c r="H121" s="65">
        <f t="shared" si="17"/>
        <v>64987.428999999996</v>
      </c>
      <c r="I121" s="65">
        <f t="shared" si="17"/>
        <v>62893.861000000012</v>
      </c>
      <c r="J121" s="65">
        <f t="shared" si="17"/>
        <v>79961.427000000025</v>
      </c>
      <c r="K121" s="65">
        <f t="shared" si="17"/>
        <v>77372.191999999981</v>
      </c>
      <c r="L121" s="65">
        <f t="shared" si="17"/>
        <v>79998.887000000002</v>
      </c>
      <c r="M121" s="65">
        <f t="shared" si="17"/>
        <v>79946.33100000002</v>
      </c>
      <c r="N121" s="65">
        <f t="shared" si="17"/>
        <v>77370.36500000002</v>
      </c>
      <c r="O121" s="65">
        <f t="shared" si="17"/>
        <v>79939.076000000001</v>
      </c>
      <c r="P121" s="65">
        <f t="shared" si="17"/>
        <v>62916.071000000004</v>
      </c>
      <c r="Q121" s="65">
        <f t="shared" si="17"/>
        <v>65000.193000000014</v>
      </c>
    </row>
    <row r="122" spans="1:133" ht="62.4" x14ac:dyDescent="0.25">
      <c r="A122" s="35" t="s">
        <v>28</v>
      </c>
      <c r="B122" s="60" t="s">
        <v>199</v>
      </c>
      <c r="C122" s="35" t="s">
        <v>29</v>
      </c>
      <c r="D122" s="35" t="s">
        <v>332</v>
      </c>
      <c r="E122" s="125">
        <f>AVERAGE(F122:Q122)</f>
        <v>271.18985458563594</v>
      </c>
      <c r="F122" s="125">
        <v>276.17096774193544</v>
      </c>
      <c r="G122" s="125">
        <v>276.11607142857139</v>
      </c>
      <c r="H122" s="125">
        <v>276.13790322580644</v>
      </c>
      <c r="I122" s="125">
        <v>276.17787356321838</v>
      </c>
      <c r="J122" s="125">
        <v>275.98333333333335</v>
      </c>
      <c r="K122" s="125">
        <v>256.30722222222226</v>
      </c>
      <c r="L122" s="125">
        <v>256.3553763440861</v>
      </c>
      <c r="M122" s="125">
        <v>256.43602150537635</v>
      </c>
      <c r="N122" s="125">
        <v>276.05611111111114</v>
      </c>
      <c r="O122" s="125">
        <v>276.15241935483868</v>
      </c>
      <c r="P122" s="125">
        <v>276.20027777777779</v>
      </c>
      <c r="Q122" s="125">
        <v>276.18467741935478</v>
      </c>
    </row>
    <row r="123" spans="1:133" ht="62.4" x14ac:dyDescent="0.25">
      <c r="A123" s="35" t="s">
        <v>30</v>
      </c>
      <c r="B123" s="60" t="s">
        <v>199</v>
      </c>
      <c r="C123" s="35" t="s">
        <v>31</v>
      </c>
      <c r="D123" s="35" t="s">
        <v>331</v>
      </c>
      <c r="E123" s="125">
        <f>AVERAGE(F123:Q123)</f>
        <v>15.35500681790761</v>
      </c>
      <c r="F123" s="125">
        <v>15.081451612903226</v>
      </c>
      <c r="G123" s="125">
        <v>15.27470238095238</v>
      </c>
      <c r="H123" s="125">
        <v>15.731989247311827</v>
      </c>
      <c r="I123" s="125">
        <v>14.751436781609197</v>
      </c>
      <c r="J123" s="125">
        <v>15.157258064516133</v>
      </c>
      <c r="K123" s="125">
        <v>15.298055555555552</v>
      </c>
      <c r="L123" s="125">
        <v>15.367204301075271</v>
      </c>
      <c r="M123" s="125">
        <v>15.228494623655914</v>
      </c>
      <c r="N123" s="125">
        <v>15.685833333333337</v>
      </c>
      <c r="O123" s="125">
        <v>15.644623655913975</v>
      </c>
      <c r="P123" s="125">
        <v>15.468333333333334</v>
      </c>
      <c r="Q123" s="125">
        <v>15.570698924731182</v>
      </c>
    </row>
    <row r="124" spans="1:133" ht="62.4" x14ac:dyDescent="0.25">
      <c r="A124" s="35" t="s">
        <v>32</v>
      </c>
      <c r="B124" s="60" t="s">
        <v>200</v>
      </c>
      <c r="C124" s="35" t="s">
        <v>34</v>
      </c>
      <c r="D124" s="35" t="s">
        <v>338</v>
      </c>
      <c r="E124" s="122">
        <f>E122/1000000</f>
        <v>2.7118985458563595E-4</v>
      </c>
      <c r="F124" s="120">
        <f>F122/1000000</f>
        <v>2.7617096774193542E-4</v>
      </c>
      <c r="G124" s="120">
        <f t="shared" ref="G124:Q125" si="18">G122/1000000</f>
        <v>2.7611607142857136E-4</v>
      </c>
      <c r="H124" s="120">
        <f t="shared" si="18"/>
        <v>2.7613790322580646E-4</v>
      </c>
      <c r="I124" s="120">
        <f t="shared" si="18"/>
        <v>2.7617787356321841E-4</v>
      </c>
      <c r="J124" s="120">
        <f t="shared" si="18"/>
        <v>2.7598333333333336E-4</v>
      </c>
      <c r="K124" s="120">
        <f t="shared" si="18"/>
        <v>2.5630722222222228E-4</v>
      </c>
      <c r="L124" s="120">
        <f t="shared" si="18"/>
        <v>2.563553763440861E-4</v>
      </c>
      <c r="M124" s="120">
        <f t="shared" si="18"/>
        <v>2.5643602150537633E-4</v>
      </c>
      <c r="N124" s="120">
        <f t="shared" si="18"/>
        <v>2.7605611111111114E-4</v>
      </c>
      <c r="O124" s="120">
        <f t="shared" si="18"/>
        <v>2.7615241935483866E-4</v>
      </c>
      <c r="P124" s="120">
        <f t="shared" si="18"/>
        <v>2.7620027777777777E-4</v>
      </c>
      <c r="Q124" s="120">
        <f t="shared" si="18"/>
        <v>2.7618467741935478E-4</v>
      </c>
    </row>
    <row r="125" spans="1:133" ht="62.4" x14ac:dyDescent="0.25">
      <c r="A125" s="35" t="s">
        <v>30</v>
      </c>
      <c r="B125" s="60" t="s">
        <v>33</v>
      </c>
      <c r="C125" s="35" t="s">
        <v>35</v>
      </c>
      <c r="D125" s="35" t="s">
        <v>339</v>
      </c>
      <c r="E125" s="122">
        <f>E123/1000000</f>
        <v>1.5355006817907609E-5</v>
      </c>
      <c r="F125" s="120">
        <f>F123/1000000</f>
        <v>1.5081451612903226E-5</v>
      </c>
      <c r="G125" s="120">
        <f t="shared" si="18"/>
        <v>1.527470238095238E-5</v>
      </c>
      <c r="H125" s="120">
        <f t="shared" si="18"/>
        <v>1.5731989247311826E-5</v>
      </c>
      <c r="I125" s="120">
        <f t="shared" si="18"/>
        <v>1.4751436781609197E-5</v>
      </c>
      <c r="J125" s="120">
        <f t="shared" si="18"/>
        <v>1.5157258064516133E-5</v>
      </c>
      <c r="K125" s="120">
        <f t="shared" si="18"/>
        <v>1.5298055555555553E-5</v>
      </c>
      <c r="L125" s="120">
        <f t="shared" si="18"/>
        <v>1.5367204301075271E-5</v>
      </c>
      <c r="M125" s="120">
        <f t="shared" si="18"/>
        <v>1.5228494623655914E-5</v>
      </c>
      <c r="N125" s="120">
        <f t="shared" si="18"/>
        <v>1.5685833333333338E-5</v>
      </c>
      <c r="O125" s="120">
        <f t="shared" si="18"/>
        <v>1.5644623655913975E-5</v>
      </c>
      <c r="P125" s="120">
        <f t="shared" si="18"/>
        <v>1.5468333333333332E-5</v>
      </c>
      <c r="Q125" s="120">
        <f t="shared" si="18"/>
        <v>1.5570698924731182E-5</v>
      </c>
    </row>
    <row r="126" spans="1:133" ht="46.8" x14ac:dyDescent="0.25">
      <c r="A126" s="63" t="s">
        <v>36</v>
      </c>
      <c r="B126" s="25" t="s">
        <v>201</v>
      </c>
      <c r="C126" s="35" t="s">
        <v>38</v>
      </c>
      <c r="D126" s="35" t="s">
        <v>368</v>
      </c>
      <c r="E126" s="68">
        <f>(1-(E127/E128))</f>
        <v>0.94220768876769923</v>
      </c>
      <c r="F126" s="68">
        <f>E126</f>
        <v>0.94220768876769923</v>
      </c>
      <c r="G126" s="68">
        <f>E126</f>
        <v>0.94220768876769923</v>
      </c>
      <c r="H126" s="68">
        <f>E126</f>
        <v>0.94220768876769923</v>
      </c>
      <c r="I126" s="68">
        <f>E126</f>
        <v>0.94220768876769923</v>
      </c>
      <c r="J126" s="68">
        <f>E126</f>
        <v>0.94220768876769923</v>
      </c>
      <c r="K126" s="68">
        <f>E126</f>
        <v>0.94220768876769923</v>
      </c>
      <c r="L126" s="68">
        <f>E126</f>
        <v>0.94220768876769923</v>
      </c>
      <c r="M126" s="68">
        <f>E126</f>
        <v>0.94220768876769923</v>
      </c>
      <c r="N126" s="68">
        <f>E126</f>
        <v>0.94220768876769923</v>
      </c>
      <c r="O126" s="68">
        <f>E126</f>
        <v>0.94220768876769923</v>
      </c>
      <c r="P126" s="68">
        <f>E126</f>
        <v>0.94220768876769923</v>
      </c>
      <c r="Q126" s="68">
        <f>E126</f>
        <v>0.94220768876769923</v>
      </c>
    </row>
    <row r="127" spans="1:133" ht="31.2" x14ac:dyDescent="0.25">
      <c r="A127" s="35" t="s">
        <v>39</v>
      </c>
      <c r="B127" s="25" t="s">
        <v>196</v>
      </c>
      <c r="C127" s="35" t="s">
        <v>40</v>
      </c>
      <c r="D127" s="35" t="s">
        <v>351</v>
      </c>
      <c r="E127" s="52">
        <f>SUM(F127:Q127)</f>
        <v>12.081330932</v>
      </c>
      <c r="F127" s="52">
        <v>1.0260856408000001</v>
      </c>
      <c r="G127" s="52">
        <v>0.92678703040000021</v>
      </c>
      <c r="H127" s="52">
        <v>1.0260856408000001</v>
      </c>
      <c r="I127" s="52">
        <v>0.9929861040000002</v>
      </c>
      <c r="J127" s="52">
        <v>1.0260856408000001</v>
      </c>
      <c r="K127" s="52">
        <v>0.9929861040000002</v>
      </c>
      <c r="L127" s="52">
        <v>1.0260856408000001</v>
      </c>
      <c r="M127" s="52">
        <v>1.0260856408000001</v>
      </c>
      <c r="N127" s="52">
        <v>0.9929861040000002</v>
      </c>
      <c r="O127" s="52">
        <v>1.0260856408000001</v>
      </c>
      <c r="P127" s="52">
        <v>0.9929861040000002</v>
      </c>
      <c r="Q127" s="52">
        <v>1.0260856408000001</v>
      </c>
    </row>
    <row r="128" spans="1:133" ht="31.2" x14ac:dyDescent="0.25">
      <c r="A128" s="63" t="s">
        <v>41</v>
      </c>
      <c r="B128" s="25" t="s">
        <v>24</v>
      </c>
      <c r="C128" s="35" t="s">
        <v>42</v>
      </c>
      <c r="D128" s="35" t="s">
        <v>351</v>
      </c>
      <c r="E128" s="52">
        <f>SUM(F128:Q128)</f>
        <v>209.047374545</v>
      </c>
      <c r="F128" s="52">
        <v>17.754708522999998</v>
      </c>
      <c r="G128" s="52">
        <v>16.036510923999998</v>
      </c>
      <c r="H128" s="52">
        <v>17.754708522999998</v>
      </c>
      <c r="I128" s="52">
        <v>17.181975989999998</v>
      </c>
      <c r="J128" s="52">
        <v>17.754708522999998</v>
      </c>
      <c r="K128" s="52">
        <v>17.181975989999998</v>
      </c>
      <c r="L128" s="52">
        <v>17.754708522999998</v>
      </c>
      <c r="M128" s="52">
        <v>17.754708522999998</v>
      </c>
      <c r="N128" s="52">
        <v>17.181975989999998</v>
      </c>
      <c r="O128" s="52">
        <v>17.754708522999998</v>
      </c>
      <c r="P128" s="52">
        <v>17.181975989999998</v>
      </c>
      <c r="Q128" s="52">
        <v>17.754708522999998</v>
      </c>
    </row>
    <row r="129" spans="1:133" ht="31.2" x14ac:dyDescent="0.25">
      <c r="A129" s="53" t="s">
        <v>43</v>
      </c>
      <c r="B129" s="25" t="s">
        <v>201</v>
      </c>
      <c r="C129" s="53" t="s">
        <v>44</v>
      </c>
      <c r="D129" s="35" t="s">
        <v>372</v>
      </c>
      <c r="E129" s="191">
        <f>E130*E131*0.89</f>
        <v>0.59444433942434516</v>
      </c>
      <c r="F129" s="191"/>
      <c r="G129" s="191"/>
      <c r="H129" s="191"/>
      <c r="I129" s="191"/>
      <c r="J129" s="191"/>
      <c r="K129" s="191"/>
      <c r="L129" s="191"/>
      <c r="M129" s="191"/>
      <c r="N129" s="191"/>
      <c r="O129" s="191"/>
      <c r="P129" s="191"/>
      <c r="Q129" s="191"/>
    </row>
    <row r="130" spans="1:133" ht="31.2" x14ac:dyDescent="0.25">
      <c r="A130" s="70" t="s">
        <v>45</v>
      </c>
      <c r="B130" s="25" t="s">
        <v>201</v>
      </c>
      <c r="C130" s="53" t="s">
        <v>46</v>
      </c>
      <c r="D130" s="35" t="s">
        <v>373</v>
      </c>
      <c r="E130" s="162">
        <v>0.7</v>
      </c>
      <c r="F130" s="163"/>
      <c r="G130" s="163"/>
      <c r="H130" s="163"/>
      <c r="I130" s="163"/>
      <c r="J130" s="163"/>
      <c r="K130" s="163"/>
      <c r="L130" s="163"/>
      <c r="M130" s="163"/>
      <c r="N130" s="163"/>
      <c r="O130" s="163"/>
      <c r="P130" s="163"/>
      <c r="Q130" s="164"/>
    </row>
    <row r="131" spans="1:133" ht="36" customHeight="1" x14ac:dyDescent="0.25">
      <c r="A131" s="70" t="s">
        <v>47</v>
      </c>
      <c r="B131" s="25" t="s">
        <v>37</v>
      </c>
      <c r="C131" s="53" t="s">
        <v>48</v>
      </c>
      <c r="D131" s="35" t="s">
        <v>374</v>
      </c>
      <c r="E131" s="159">
        <f>(F132*F137+G132*G137+H132*H137+I132*I137+J132*J137+K132*K137+L132*L137+M132*M137+N132*N137+O132*O137+P132*P137+Q132*Q137)/(F126*F121*F124+G126*G124*G121+H126*H121*H124+I126*I124*I121+J126*J124*J121+K126*K124*K121+L126*L124*L121+M126*M124*M121+N126*N124*N121+O126*O121*O124+P126*P124*P121+Q126*Q124*Q121)</f>
        <v>0.9541642687389168</v>
      </c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1"/>
    </row>
    <row r="132" spans="1:133" s="9" customFormat="1" ht="46.8" x14ac:dyDescent="0.4">
      <c r="A132" s="71" t="s">
        <v>49</v>
      </c>
      <c r="B132" s="25" t="s">
        <v>37</v>
      </c>
      <c r="C132" s="53" t="s">
        <v>50</v>
      </c>
      <c r="D132" s="53" t="s">
        <v>375</v>
      </c>
      <c r="E132" s="72">
        <f>AVERAGE(F132:Q132)</f>
        <v>0.63510511617720555</v>
      </c>
      <c r="F132" s="72">
        <f>IF(F136&lt;283,0,IF(F136&gt;303,1,EXP(($E$133*(F136-$E$134))/($E$135*$E$134*F136))))</f>
        <v>0.25708890533410012</v>
      </c>
      <c r="G132" s="72">
        <f t="shared" ref="G132:Q132" si="19">IF(G136&lt;283,0,IF(G136&gt;303,1,EXP(($E$133*(G136-$E$134))/($E$135*$E$134*G136))))</f>
        <v>0.38698063689870399</v>
      </c>
      <c r="H132" s="72">
        <f t="shared" si="19"/>
        <v>0.50475941545474445</v>
      </c>
      <c r="I132" s="72">
        <f t="shared" si="19"/>
        <v>0.62729263560178183</v>
      </c>
      <c r="J132" s="72">
        <f t="shared" si="19"/>
        <v>0.84523513966163832</v>
      </c>
      <c r="K132" s="72">
        <f t="shared" si="19"/>
        <v>0.88152221926734242</v>
      </c>
      <c r="L132" s="72">
        <f t="shared" si="19"/>
        <v>0.95843738031531212</v>
      </c>
      <c r="M132" s="72">
        <f t="shared" si="19"/>
        <v>0.88152221926734242</v>
      </c>
      <c r="N132" s="72">
        <f t="shared" si="19"/>
        <v>0.91923925774048054</v>
      </c>
      <c r="O132" s="72">
        <f t="shared" si="19"/>
        <v>0.62729263560178183</v>
      </c>
      <c r="P132" s="72">
        <f t="shared" si="19"/>
        <v>0.42307437878932203</v>
      </c>
      <c r="Q132" s="72">
        <f t="shared" si="19"/>
        <v>0.30881657019391506</v>
      </c>
      <c r="R132" s="78"/>
      <c r="S132" s="78"/>
      <c r="T132" s="78"/>
      <c r="U132" s="78"/>
      <c r="V132" s="78"/>
      <c r="W132" s="78"/>
      <c r="X132" s="78"/>
      <c r="Y132" s="78"/>
      <c r="Z132" s="78"/>
      <c r="AA132" s="78"/>
      <c r="AB132" s="78"/>
      <c r="AC132" s="78"/>
      <c r="AD132" s="78"/>
      <c r="AE132" s="78"/>
      <c r="AF132" s="78"/>
      <c r="AG132" s="78"/>
      <c r="AH132" s="78"/>
      <c r="AI132" s="78"/>
      <c r="AJ132" s="78"/>
      <c r="AK132" s="78"/>
      <c r="AL132" s="78"/>
      <c r="AM132" s="78"/>
      <c r="AN132" s="78"/>
      <c r="AO132" s="78"/>
      <c r="AP132" s="78"/>
      <c r="AQ132" s="78"/>
      <c r="AR132" s="78"/>
      <c r="AS132" s="78"/>
      <c r="AT132" s="78"/>
      <c r="AU132" s="78"/>
      <c r="AV132" s="78"/>
      <c r="AW132" s="78"/>
      <c r="AX132" s="78"/>
      <c r="AY132" s="78"/>
      <c r="AZ132" s="78"/>
      <c r="BA132" s="78"/>
      <c r="BB132" s="78"/>
      <c r="BC132" s="78"/>
      <c r="BD132" s="78"/>
      <c r="BE132" s="78"/>
      <c r="BF132" s="78"/>
      <c r="BG132" s="78"/>
      <c r="BH132" s="78"/>
      <c r="BI132" s="78"/>
      <c r="BJ132" s="78"/>
      <c r="BK132" s="78"/>
      <c r="BL132" s="78"/>
      <c r="BM132" s="78"/>
      <c r="BN132" s="78"/>
      <c r="BO132" s="78"/>
      <c r="BP132" s="78"/>
      <c r="BQ132" s="78"/>
      <c r="BR132" s="78"/>
      <c r="BS132" s="78"/>
      <c r="BT132" s="78"/>
      <c r="BU132" s="78"/>
      <c r="BV132" s="78"/>
      <c r="BW132" s="78"/>
      <c r="BX132" s="78"/>
      <c r="BY132" s="78"/>
      <c r="BZ132" s="78"/>
      <c r="CA132" s="78"/>
      <c r="CB132" s="78"/>
      <c r="CC132" s="78"/>
      <c r="CD132" s="78"/>
      <c r="CE132" s="78"/>
      <c r="CF132" s="78"/>
      <c r="CG132" s="78"/>
      <c r="CH132" s="78"/>
      <c r="CI132" s="78"/>
      <c r="CJ132" s="78"/>
      <c r="CK132" s="78"/>
      <c r="CL132" s="78"/>
      <c r="CM132" s="78"/>
      <c r="CN132" s="78"/>
      <c r="CO132" s="78"/>
      <c r="CP132" s="78"/>
      <c r="CQ132" s="78"/>
      <c r="CR132" s="78"/>
      <c r="CS132" s="78"/>
      <c r="CT132" s="78"/>
      <c r="CU132" s="78"/>
      <c r="CV132" s="78"/>
      <c r="CW132" s="78"/>
      <c r="CX132" s="78"/>
      <c r="CY132" s="78"/>
      <c r="CZ132" s="78"/>
      <c r="DA132" s="78"/>
      <c r="DB132" s="78"/>
      <c r="DC132" s="78"/>
      <c r="DD132" s="78"/>
      <c r="DE132" s="78"/>
      <c r="DF132" s="78"/>
      <c r="DG132" s="78"/>
      <c r="DH132" s="78"/>
      <c r="DI132" s="78"/>
      <c r="DJ132" s="78"/>
      <c r="DK132" s="78"/>
      <c r="DL132" s="78"/>
      <c r="DM132" s="78"/>
      <c r="DN132" s="78"/>
      <c r="DO132" s="78"/>
      <c r="DP132" s="78"/>
      <c r="DQ132" s="78"/>
      <c r="DR132" s="78"/>
      <c r="DS132" s="78"/>
      <c r="DT132" s="78"/>
      <c r="DU132" s="78"/>
      <c r="DV132" s="78"/>
      <c r="DW132" s="78"/>
      <c r="DX132" s="78"/>
      <c r="DY132" s="78"/>
      <c r="DZ132" s="78"/>
      <c r="EA132" s="78"/>
      <c r="EB132" s="78"/>
      <c r="EC132" s="78"/>
    </row>
    <row r="133" spans="1:133" s="9" customFormat="1" x14ac:dyDescent="0.25">
      <c r="A133" s="73" t="s">
        <v>51</v>
      </c>
      <c r="B133" s="60" t="s">
        <v>202</v>
      </c>
      <c r="C133" s="53" t="s">
        <v>53</v>
      </c>
      <c r="D133" s="53" t="s">
        <v>376</v>
      </c>
      <c r="E133" s="162">
        <v>15175</v>
      </c>
      <c r="F133" s="163"/>
      <c r="G133" s="163"/>
      <c r="H133" s="163"/>
      <c r="I133" s="163"/>
      <c r="J133" s="163"/>
      <c r="K133" s="163"/>
      <c r="L133" s="163"/>
      <c r="M133" s="163"/>
      <c r="N133" s="163"/>
      <c r="O133" s="163"/>
      <c r="P133" s="163"/>
      <c r="Q133" s="164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78"/>
      <c r="AG133" s="78"/>
      <c r="AH133" s="78"/>
      <c r="AI133" s="78"/>
      <c r="AJ133" s="78"/>
      <c r="AK133" s="78"/>
      <c r="AL133" s="78"/>
      <c r="AM133" s="78"/>
      <c r="AN133" s="78"/>
      <c r="AO133" s="78"/>
      <c r="AP133" s="78"/>
      <c r="AQ133" s="78"/>
      <c r="AR133" s="78"/>
      <c r="AS133" s="78"/>
      <c r="AT133" s="78"/>
      <c r="AU133" s="78"/>
      <c r="AV133" s="78"/>
      <c r="AW133" s="78"/>
      <c r="AX133" s="78"/>
      <c r="AY133" s="78"/>
      <c r="AZ133" s="78"/>
      <c r="BA133" s="78"/>
      <c r="BB133" s="78"/>
      <c r="BC133" s="78"/>
      <c r="BD133" s="78"/>
      <c r="BE133" s="78"/>
      <c r="BF133" s="78"/>
      <c r="BG133" s="78"/>
      <c r="BH133" s="78"/>
      <c r="BI133" s="78"/>
      <c r="BJ133" s="78"/>
      <c r="BK133" s="78"/>
      <c r="BL133" s="78"/>
      <c r="BM133" s="78"/>
      <c r="BN133" s="78"/>
      <c r="BO133" s="78"/>
      <c r="BP133" s="78"/>
      <c r="BQ133" s="78"/>
      <c r="BR133" s="78"/>
      <c r="BS133" s="78"/>
      <c r="BT133" s="78"/>
      <c r="BU133" s="78"/>
      <c r="BV133" s="78"/>
      <c r="BW133" s="78"/>
      <c r="BX133" s="78"/>
      <c r="BY133" s="78"/>
      <c r="BZ133" s="78"/>
      <c r="CA133" s="78"/>
      <c r="CB133" s="78"/>
      <c r="CC133" s="78"/>
      <c r="CD133" s="78"/>
      <c r="CE133" s="78"/>
      <c r="CF133" s="78"/>
      <c r="CG133" s="78"/>
      <c r="CH133" s="78"/>
      <c r="CI133" s="78"/>
      <c r="CJ133" s="78"/>
      <c r="CK133" s="78"/>
      <c r="CL133" s="78"/>
      <c r="CM133" s="78"/>
      <c r="CN133" s="78"/>
      <c r="CO133" s="78"/>
      <c r="CP133" s="78"/>
      <c r="CQ133" s="78"/>
      <c r="CR133" s="78"/>
      <c r="CS133" s="78"/>
      <c r="CT133" s="78"/>
      <c r="CU133" s="78"/>
      <c r="CV133" s="78"/>
      <c r="CW133" s="78"/>
      <c r="CX133" s="78"/>
      <c r="CY133" s="78"/>
      <c r="CZ133" s="78"/>
      <c r="DA133" s="78"/>
      <c r="DB133" s="78"/>
      <c r="DC133" s="78"/>
      <c r="DD133" s="78"/>
      <c r="DE133" s="78"/>
      <c r="DF133" s="78"/>
      <c r="DG133" s="78"/>
      <c r="DH133" s="78"/>
      <c r="DI133" s="78"/>
      <c r="DJ133" s="78"/>
      <c r="DK133" s="78"/>
      <c r="DL133" s="78"/>
      <c r="DM133" s="78"/>
      <c r="DN133" s="78"/>
      <c r="DO133" s="78"/>
      <c r="DP133" s="78"/>
      <c r="DQ133" s="78"/>
      <c r="DR133" s="78"/>
      <c r="DS133" s="78"/>
      <c r="DT133" s="78"/>
      <c r="DU133" s="78"/>
      <c r="DV133" s="78"/>
      <c r="DW133" s="78"/>
      <c r="DX133" s="78"/>
      <c r="DY133" s="78"/>
      <c r="DZ133" s="78"/>
      <c r="EA133" s="78"/>
      <c r="EB133" s="78"/>
      <c r="EC133" s="78"/>
    </row>
    <row r="134" spans="1:133" s="9" customFormat="1" ht="18" x14ac:dyDescent="0.25">
      <c r="A134" s="73" t="s">
        <v>54</v>
      </c>
      <c r="B134" s="60" t="s">
        <v>203</v>
      </c>
      <c r="C134" s="53" t="s">
        <v>56</v>
      </c>
      <c r="D134" s="53" t="s">
        <v>376</v>
      </c>
      <c r="E134" s="162">
        <v>303.16000000000003</v>
      </c>
      <c r="F134" s="163"/>
      <c r="G134" s="163"/>
      <c r="H134" s="163"/>
      <c r="I134" s="163"/>
      <c r="J134" s="163"/>
      <c r="K134" s="163"/>
      <c r="L134" s="163"/>
      <c r="M134" s="163"/>
      <c r="N134" s="163"/>
      <c r="O134" s="163"/>
      <c r="P134" s="163"/>
      <c r="Q134" s="164"/>
      <c r="R134" s="78"/>
      <c r="S134" s="78"/>
      <c r="T134" s="78"/>
      <c r="U134" s="78"/>
      <c r="V134" s="78"/>
      <c r="W134" s="78"/>
      <c r="X134" s="78"/>
      <c r="Y134" s="78"/>
      <c r="Z134" s="78"/>
      <c r="AA134" s="78"/>
      <c r="AB134" s="78"/>
      <c r="AC134" s="78"/>
      <c r="AD134" s="78"/>
      <c r="AE134" s="78"/>
      <c r="AF134" s="78"/>
      <c r="AG134" s="78"/>
      <c r="AH134" s="78"/>
      <c r="AI134" s="78"/>
      <c r="AJ134" s="78"/>
      <c r="AK134" s="78"/>
      <c r="AL134" s="78"/>
      <c r="AM134" s="78"/>
      <c r="AN134" s="78"/>
      <c r="AO134" s="78"/>
      <c r="AP134" s="78"/>
      <c r="AQ134" s="78"/>
      <c r="AR134" s="78"/>
      <c r="AS134" s="78"/>
      <c r="AT134" s="78"/>
      <c r="AU134" s="78"/>
      <c r="AV134" s="78"/>
      <c r="AW134" s="78"/>
      <c r="AX134" s="78"/>
      <c r="AY134" s="78"/>
      <c r="AZ134" s="78"/>
      <c r="BA134" s="78"/>
      <c r="BB134" s="78"/>
      <c r="BC134" s="78"/>
      <c r="BD134" s="78"/>
      <c r="BE134" s="78"/>
      <c r="BF134" s="78"/>
      <c r="BG134" s="78"/>
      <c r="BH134" s="78"/>
      <c r="BI134" s="78"/>
      <c r="BJ134" s="78"/>
      <c r="BK134" s="78"/>
      <c r="BL134" s="78"/>
      <c r="BM134" s="78"/>
      <c r="BN134" s="78"/>
      <c r="BO134" s="78"/>
      <c r="BP134" s="78"/>
      <c r="BQ134" s="78"/>
      <c r="BR134" s="78"/>
      <c r="BS134" s="78"/>
      <c r="BT134" s="78"/>
      <c r="BU134" s="78"/>
      <c r="BV134" s="78"/>
      <c r="BW134" s="78"/>
      <c r="BX134" s="78"/>
      <c r="BY134" s="78"/>
      <c r="BZ134" s="78"/>
      <c r="CA134" s="78"/>
      <c r="CB134" s="78"/>
      <c r="CC134" s="78"/>
      <c r="CD134" s="78"/>
      <c r="CE134" s="78"/>
      <c r="CF134" s="78"/>
      <c r="CG134" s="78"/>
      <c r="CH134" s="78"/>
      <c r="CI134" s="78"/>
      <c r="CJ134" s="78"/>
      <c r="CK134" s="78"/>
      <c r="CL134" s="78"/>
      <c r="CM134" s="78"/>
      <c r="CN134" s="78"/>
      <c r="CO134" s="78"/>
      <c r="CP134" s="78"/>
      <c r="CQ134" s="78"/>
      <c r="CR134" s="78"/>
      <c r="CS134" s="78"/>
      <c r="CT134" s="78"/>
      <c r="CU134" s="78"/>
      <c r="CV134" s="78"/>
      <c r="CW134" s="78"/>
      <c r="CX134" s="78"/>
      <c r="CY134" s="78"/>
      <c r="CZ134" s="78"/>
      <c r="DA134" s="78"/>
      <c r="DB134" s="78"/>
      <c r="DC134" s="78"/>
      <c r="DD134" s="78"/>
      <c r="DE134" s="78"/>
      <c r="DF134" s="78"/>
      <c r="DG134" s="78"/>
      <c r="DH134" s="78"/>
      <c r="DI134" s="78"/>
      <c r="DJ134" s="78"/>
      <c r="DK134" s="78"/>
      <c r="DL134" s="78"/>
      <c r="DM134" s="78"/>
      <c r="DN134" s="78"/>
      <c r="DO134" s="78"/>
      <c r="DP134" s="78"/>
      <c r="DQ134" s="78"/>
      <c r="DR134" s="78"/>
      <c r="DS134" s="78"/>
      <c r="DT134" s="78"/>
      <c r="DU134" s="78"/>
      <c r="DV134" s="78"/>
      <c r="DW134" s="78"/>
      <c r="DX134" s="78"/>
      <c r="DY134" s="78"/>
      <c r="DZ134" s="78"/>
      <c r="EA134" s="78"/>
      <c r="EB134" s="78"/>
      <c r="EC134" s="78"/>
    </row>
    <row r="135" spans="1:133" s="9" customFormat="1" x14ac:dyDescent="0.25">
      <c r="A135" s="73" t="s">
        <v>57</v>
      </c>
      <c r="B135" s="60" t="s">
        <v>204</v>
      </c>
      <c r="C135" s="53" t="s">
        <v>59</v>
      </c>
      <c r="D135" s="53" t="s">
        <v>376</v>
      </c>
      <c r="E135" s="162">
        <v>1.9870000000000001</v>
      </c>
      <c r="F135" s="163"/>
      <c r="G135" s="163"/>
      <c r="H135" s="163"/>
      <c r="I135" s="163"/>
      <c r="J135" s="163"/>
      <c r="K135" s="163"/>
      <c r="L135" s="163"/>
      <c r="M135" s="163"/>
      <c r="N135" s="163"/>
      <c r="O135" s="163"/>
      <c r="P135" s="163"/>
      <c r="Q135" s="164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78"/>
      <c r="AG135" s="78"/>
      <c r="AH135" s="78"/>
      <c r="AI135" s="78"/>
      <c r="AJ135" s="78"/>
      <c r="AK135" s="78"/>
      <c r="AL135" s="78"/>
      <c r="AM135" s="78"/>
      <c r="AN135" s="78"/>
      <c r="AO135" s="78"/>
      <c r="AP135" s="78"/>
      <c r="AQ135" s="78"/>
      <c r="AR135" s="78"/>
      <c r="AS135" s="78"/>
      <c r="AT135" s="78"/>
      <c r="AU135" s="78"/>
      <c r="AV135" s="78"/>
      <c r="AW135" s="78"/>
      <c r="AX135" s="78"/>
      <c r="AY135" s="78"/>
      <c r="AZ135" s="78"/>
      <c r="BA135" s="78"/>
      <c r="BB135" s="78"/>
      <c r="BC135" s="78"/>
      <c r="BD135" s="78"/>
      <c r="BE135" s="78"/>
      <c r="BF135" s="78"/>
      <c r="BG135" s="78"/>
      <c r="BH135" s="78"/>
      <c r="BI135" s="78"/>
      <c r="BJ135" s="78"/>
      <c r="BK135" s="78"/>
      <c r="BL135" s="78"/>
      <c r="BM135" s="78"/>
      <c r="BN135" s="78"/>
      <c r="BO135" s="78"/>
      <c r="BP135" s="78"/>
      <c r="BQ135" s="78"/>
      <c r="BR135" s="78"/>
      <c r="BS135" s="78"/>
      <c r="BT135" s="78"/>
      <c r="BU135" s="78"/>
      <c r="BV135" s="78"/>
      <c r="BW135" s="78"/>
      <c r="BX135" s="78"/>
      <c r="BY135" s="78"/>
      <c r="BZ135" s="78"/>
      <c r="CA135" s="78"/>
      <c r="CB135" s="78"/>
      <c r="CC135" s="78"/>
      <c r="CD135" s="78"/>
      <c r="CE135" s="78"/>
      <c r="CF135" s="78"/>
      <c r="CG135" s="78"/>
      <c r="CH135" s="78"/>
      <c r="CI135" s="78"/>
      <c r="CJ135" s="78"/>
      <c r="CK135" s="78"/>
      <c r="CL135" s="78"/>
      <c r="CM135" s="78"/>
      <c r="CN135" s="78"/>
      <c r="CO135" s="78"/>
      <c r="CP135" s="78"/>
      <c r="CQ135" s="78"/>
      <c r="CR135" s="78"/>
      <c r="CS135" s="78"/>
      <c r="CT135" s="78"/>
      <c r="CU135" s="78"/>
      <c r="CV135" s="78"/>
      <c r="CW135" s="78"/>
      <c r="CX135" s="78"/>
      <c r="CY135" s="78"/>
      <c r="CZ135" s="78"/>
      <c r="DA135" s="78"/>
      <c r="DB135" s="78"/>
      <c r="DC135" s="78"/>
      <c r="DD135" s="78"/>
      <c r="DE135" s="78"/>
      <c r="DF135" s="78"/>
      <c r="DG135" s="78"/>
      <c r="DH135" s="78"/>
      <c r="DI135" s="78"/>
      <c r="DJ135" s="78"/>
      <c r="DK135" s="78"/>
      <c r="DL135" s="78"/>
      <c r="DM135" s="78"/>
      <c r="DN135" s="78"/>
      <c r="DO135" s="78"/>
      <c r="DP135" s="78"/>
      <c r="DQ135" s="78"/>
      <c r="DR135" s="78"/>
      <c r="DS135" s="78"/>
      <c r="DT135" s="78"/>
      <c r="DU135" s="78"/>
      <c r="DV135" s="78"/>
      <c r="DW135" s="78"/>
      <c r="DX135" s="78"/>
      <c r="DY135" s="78"/>
      <c r="DZ135" s="78"/>
      <c r="EA135" s="78"/>
      <c r="EB135" s="78"/>
      <c r="EC135" s="78"/>
    </row>
    <row r="136" spans="1:133" s="9" customFormat="1" ht="31.2" x14ac:dyDescent="0.25">
      <c r="A136" s="73" t="s">
        <v>60</v>
      </c>
      <c r="B136" s="60" t="s">
        <v>203</v>
      </c>
      <c r="C136" s="53" t="s">
        <v>61</v>
      </c>
      <c r="D136" s="143" t="s">
        <v>363</v>
      </c>
      <c r="E136" s="98">
        <f>AVERAGE(F136:Q136)</f>
        <v>296.85833333333341</v>
      </c>
      <c r="F136" s="60">
        <v>287.64999999999998</v>
      </c>
      <c r="G136" s="60">
        <v>292.14999999999998</v>
      </c>
      <c r="H136" s="60">
        <v>295.14999999999998</v>
      </c>
      <c r="I136" s="60">
        <v>297.64999999999998</v>
      </c>
      <c r="J136" s="60">
        <v>301.14999999999998</v>
      </c>
      <c r="K136" s="60">
        <v>301.64999999999998</v>
      </c>
      <c r="L136" s="60">
        <v>302.64999999999998</v>
      </c>
      <c r="M136" s="60">
        <v>301.64999999999998</v>
      </c>
      <c r="N136" s="60">
        <v>302.14999999999998</v>
      </c>
      <c r="O136" s="60">
        <v>297.64999999999998</v>
      </c>
      <c r="P136" s="60">
        <v>293.14999999999998</v>
      </c>
      <c r="Q136" s="60">
        <v>289.64999999999998</v>
      </c>
      <c r="R136" s="78"/>
      <c r="S136" s="78"/>
      <c r="T136" s="78"/>
      <c r="U136" s="78"/>
      <c r="V136" s="78"/>
      <c r="W136" s="78"/>
      <c r="X136" s="78"/>
      <c r="Y136" s="78"/>
      <c r="Z136" s="78"/>
      <c r="AA136" s="78"/>
      <c r="AB136" s="78"/>
      <c r="AC136" s="78"/>
      <c r="AD136" s="78"/>
      <c r="AE136" s="78"/>
      <c r="AF136" s="78"/>
      <c r="AG136" s="78"/>
      <c r="AH136" s="78"/>
      <c r="AI136" s="78"/>
      <c r="AJ136" s="78"/>
      <c r="AK136" s="78"/>
      <c r="AL136" s="78"/>
      <c r="AM136" s="78"/>
      <c r="AN136" s="78"/>
      <c r="AO136" s="78"/>
      <c r="AP136" s="78"/>
      <c r="AQ136" s="78"/>
      <c r="AR136" s="78"/>
      <c r="AS136" s="78"/>
      <c r="AT136" s="78"/>
      <c r="AU136" s="78"/>
      <c r="AV136" s="78"/>
      <c r="AW136" s="78"/>
      <c r="AX136" s="78"/>
      <c r="AY136" s="78"/>
      <c r="AZ136" s="78"/>
      <c r="BA136" s="78"/>
      <c r="BB136" s="78"/>
      <c r="BC136" s="78"/>
      <c r="BD136" s="78"/>
      <c r="BE136" s="78"/>
      <c r="BF136" s="78"/>
      <c r="BG136" s="78"/>
      <c r="BH136" s="78"/>
      <c r="BI136" s="78"/>
      <c r="BJ136" s="78"/>
      <c r="BK136" s="78"/>
      <c r="BL136" s="78"/>
      <c r="BM136" s="78"/>
      <c r="BN136" s="78"/>
      <c r="BO136" s="78"/>
      <c r="BP136" s="78"/>
      <c r="BQ136" s="78"/>
      <c r="BR136" s="78"/>
      <c r="BS136" s="78"/>
      <c r="BT136" s="78"/>
      <c r="BU136" s="78"/>
      <c r="BV136" s="78"/>
      <c r="BW136" s="78"/>
      <c r="BX136" s="78"/>
      <c r="BY136" s="78"/>
      <c r="BZ136" s="78"/>
      <c r="CA136" s="78"/>
      <c r="CB136" s="78"/>
      <c r="CC136" s="78"/>
      <c r="CD136" s="78"/>
      <c r="CE136" s="78"/>
      <c r="CF136" s="78"/>
      <c r="CG136" s="78"/>
      <c r="CH136" s="78"/>
      <c r="CI136" s="78"/>
      <c r="CJ136" s="78"/>
      <c r="CK136" s="78"/>
      <c r="CL136" s="78"/>
      <c r="CM136" s="78"/>
      <c r="CN136" s="78"/>
      <c r="CO136" s="78"/>
      <c r="CP136" s="78"/>
      <c r="CQ136" s="78"/>
      <c r="CR136" s="78"/>
      <c r="CS136" s="78"/>
      <c r="CT136" s="78"/>
      <c r="CU136" s="78"/>
      <c r="CV136" s="78"/>
      <c r="CW136" s="78"/>
      <c r="CX136" s="78"/>
      <c r="CY136" s="78"/>
      <c r="CZ136" s="78"/>
      <c r="DA136" s="78"/>
      <c r="DB136" s="78"/>
      <c r="DC136" s="78"/>
      <c r="DD136" s="78"/>
      <c r="DE136" s="78"/>
      <c r="DF136" s="78"/>
      <c r="DG136" s="78"/>
      <c r="DH136" s="78"/>
      <c r="DI136" s="78"/>
      <c r="DJ136" s="78"/>
      <c r="DK136" s="78"/>
      <c r="DL136" s="78"/>
      <c r="DM136" s="78"/>
      <c r="DN136" s="78"/>
      <c r="DO136" s="78"/>
      <c r="DP136" s="78"/>
      <c r="DQ136" s="78"/>
      <c r="DR136" s="78"/>
      <c r="DS136" s="78"/>
      <c r="DT136" s="78"/>
      <c r="DU136" s="78"/>
      <c r="DV136" s="78"/>
      <c r="DW136" s="78"/>
      <c r="DX136" s="78"/>
      <c r="DY136" s="78"/>
      <c r="DZ136" s="78"/>
      <c r="EA136" s="78"/>
      <c r="EB136" s="78"/>
      <c r="EC136" s="78"/>
    </row>
    <row r="137" spans="1:133" s="9" customFormat="1" ht="31.2" x14ac:dyDescent="0.4">
      <c r="A137" s="71" t="s">
        <v>62</v>
      </c>
      <c r="B137" s="60" t="s">
        <v>196</v>
      </c>
      <c r="C137" s="53" t="s">
        <v>63</v>
      </c>
      <c r="D137" s="53" t="s">
        <v>377</v>
      </c>
      <c r="E137" s="74">
        <f>SUM(F137:Q137)</f>
        <v>365.53600290305576</v>
      </c>
      <c r="F137" s="74">
        <f>F126*F121*F124+(1-F132)*'Baseline Emissions 2020'!Q137</f>
        <v>44.58725634194176</v>
      </c>
      <c r="G137" s="74">
        <f t="shared" ref="G137:Q137" si="20">G126*G121*G124+(1-G132)*F137</f>
        <v>42.604411913370306</v>
      </c>
      <c r="H137" s="74">
        <f t="shared" si="20"/>
        <v>38.007814759432939</v>
      </c>
      <c r="I137" s="74">
        <f t="shared" si="20"/>
        <v>30.531839006426132</v>
      </c>
      <c r="J137" s="74">
        <f t="shared" si="20"/>
        <v>25.517915014003599</v>
      </c>
      <c r="K137" s="74">
        <f t="shared" si="20"/>
        <v>21.70827524191062</v>
      </c>
      <c r="L137" s="74">
        <f t="shared" si="20"/>
        <v>20.225184485729464</v>
      </c>
      <c r="M137" s="74">
        <f t="shared" si="20"/>
        <v>21.712546975298523</v>
      </c>
      <c r="N137" s="74">
        <f>N126*N121*N124+(1-N132)*0</f>
        <v>20.12420141011032</v>
      </c>
      <c r="O137" s="74">
        <f t="shared" si="20"/>
        <v>28.300020696978432</v>
      </c>
      <c r="P137" s="74">
        <f t="shared" si="20"/>
        <v>32.700161101454498</v>
      </c>
      <c r="Q137" s="74">
        <f t="shared" si="20"/>
        <v>39.516375956399159</v>
      </c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78"/>
      <c r="AG137" s="78"/>
      <c r="AH137" s="78"/>
      <c r="AI137" s="78"/>
      <c r="AJ137" s="78"/>
      <c r="AK137" s="78"/>
      <c r="AL137" s="78"/>
      <c r="AM137" s="78"/>
      <c r="AN137" s="78"/>
      <c r="AO137" s="78"/>
      <c r="AP137" s="78"/>
      <c r="AQ137" s="78"/>
      <c r="AR137" s="78"/>
      <c r="AS137" s="78"/>
      <c r="AT137" s="78"/>
      <c r="AU137" s="78"/>
      <c r="AV137" s="78"/>
      <c r="AW137" s="78"/>
      <c r="AX137" s="78"/>
      <c r="AY137" s="78"/>
      <c r="AZ137" s="78"/>
      <c r="BA137" s="78"/>
      <c r="BB137" s="78"/>
      <c r="BC137" s="78"/>
      <c r="BD137" s="78"/>
      <c r="BE137" s="78"/>
      <c r="BF137" s="78"/>
      <c r="BG137" s="78"/>
      <c r="BH137" s="78"/>
      <c r="BI137" s="78"/>
      <c r="BJ137" s="78"/>
      <c r="BK137" s="78"/>
      <c r="BL137" s="78"/>
      <c r="BM137" s="78"/>
      <c r="BN137" s="78"/>
      <c r="BO137" s="78"/>
      <c r="BP137" s="78"/>
      <c r="BQ137" s="78"/>
      <c r="BR137" s="78"/>
      <c r="BS137" s="78"/>
      <c r="BT137" s="78"/>
      <c r="BU137" s="78"/>
      <c r="BV137" s="78"/>
      <c r="BW137" s="78"/>
      <c r="BX137" s="78"/>
      <c r="BY137" s="78"/>
      <c r="BZ137" s="78"/>
      <c r="CA137" s="78"/>
      <c r="CB137" s="78"/>
      <c r="CC137" s="78"/>
      <c r="CD137" s="78"/>
      <c r="CE137" s="78"/>
      <c r="CF137" s="78"/>
      <c r="CG137" s="78"/>
      <c r="CH137" s="78"/>
      <c r="CI137" s="78"/>
      <c r="CJ137" s="78"/>
      <c r="CK137" s="78"/>
      <c r="CL137" s="78"/>
      <c r="CM137" s="78"/>
      <c r="CN137" s="78"/>
      <c r="CO137" s="78"/>
      <c r="CP137" s="78"/>
      <c r="CQ137" s="78"/>
      <c r="CR137" s="78"/>
      <c r="CS137" s="78"/>
      <c r="CT137" s="78"/>
      <c r="CU137" s="78"/>
      <c r="CV137" s="78"/>
      <c r="CW137" s="78"/>
      <c r="CX137" s="78"/>
      <c r="CY137" s="78"/>
      <c r="CZ137" s="78"/>
      <c r="DA137" s="78"/>
      <c r="DB137" s="78"/>
      <c r="DC137" s="78"/>
      <c r="DD137" s="78"/>
      <c r="DE137" s="78"/>
      <c r="DF137" s="78"/>
      <c r="DG137" s="78"/>
      <c r="DH137" s="78"/>
      <c r="DI137" s="78"/>
      <c r="DJ137" s="78"/>
      <c r="DK137" s="78"/>
      <c r="DL137" s="78"/>
      <c r="DM137" s="78"/>
      <c r="DN137" s="78"/>
      <c r="DO137" s="78"/>
      <c r="DP137" s="78"/>
      <c r="DQ137" s="78"/>
      <c r="DR137" s="78"/>
      <c r="DS137" s="78"/>
      <c r="DT137" s="78"/>
      <c r="DU137" s="78"/>
      <c r="DV137" s="78"/>
      <c r="DW137" s="78"/>
      <c r="DX137" s="78"/>
      <c r="DY137" s="78"/>
      <c r="DZ137" s="78"/>
      <c r="EA137" s="78"/>
      <c r="EB137" s="78"/>
      <c r="EC137" s="78"/>
    </row>
    <row r="139" spans="1:133" x14ac:dyDescent="0.25">
      <c r="A139" s="158" t="s">
        <v>64</v>
      </c>
      <c r="B139" s="158"/>
      <c r="C139" s="158"/>
      <c r="D139" s="158"/>
      <c r="E139" s="158"/>
    </row>
    <row r="140" spans="1:133" x14ac:dyDescent="0.25">
      <c r="A140" s="57" t="s">
        <v>8</v>
      </c>
      <c r="B140" s="58" t="s">
        <v>9</v>
      </c>
      <c r="C140" s="34" t="s">
        <v>10</v>
      </c>
      <c r="D140" s="34" t="s">
        <v>340</v>
      </c>
      <c r="E140" s="16" t="s">
        <v>65</v>
      </c>
    </row>
    <row r="141" spans="1:133" ht="46.8" x14ac:dyDescent="0.25">
      <c r="A141" s="59" t="s">
        <v>66</v>
      </c>
      <c r="B141" s="60" t="s">
        <v>14</v>
      </c>
      <c r="C141" s="53" t="s">
        <v>67</v>
      </c>
      <c r="D141" s="53" t="s">
        <v>68</v>
      </c>
      <c r="E141" s="75">
        <v>0</v>
      </c>
    </row>
    <row r="142" spans="1:133" ht="46.8" x14ac:dyDescent="0.25">
      <c r="A142" s="63" t="s">
        <v>69</v>
      </c>
      <c r="B142" s="25" t="s">
        <v>70</v>
      </c>
      <c r="C142" s="35" t="s">
        <v>71</v>
      </c>
      <c r="D142" s="53" t="str">
        <f>D148</f>
        <v>Historical data on site in the FSR (It was calculated with conservative value)</v>
      </c>
      <c r="E142" s="74">
        <f>E148</f>
        <v>159.39848088271455</v>
      </c>
    </row>
    <row r="144" spans="1:133" s="13" customFormat="1" x14ac:dyDescent="0.25">
      <c r="A144" s="174" t="s">
        <v>72</v>
      </c>
      <c r="B144" s="174"/>
      <c r="C144" s="175"/>
      <c r="D144" s="175"/>
      <c r="E144" s="17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  <c r="AI144" s="14"/>
      <c r="AJ144" s="14"/>
      <c r="AK144" s="14"/>
      <c r="AL144" s="14"/>
      <c r="AM144" s="14"/>
      <c r="AN144" s="14"/>
      <c r="AO144" s="14"/>
      <c r="AP144" s="14"/>
      <c r="AQ144" s="14"/>
      <c r="AR144" s="14"/>
      <c r="AS144" s="14"/>
      <c r="AT144" s="14"/>
      <c r="AU144" s="14"/>
      <c r="AV144" s="14"/>
      <c r="AW144" s="14"/>
      <c r="AX144" s="14"/>
      <c r="AY144" s="14"/>
      <c r="AZ144" s="14"/>
      <c r="BA144" s="14"/>
      <c r="BB144" s="14"/>
      <c r="BC144" s="14"/>
      <c r="BD144" s="14"/>
      <c r="BE144" s="14"/>
      <c r="BF144" s="14"/>
      <c r="BG144" s="14"/>
      <c r="BH144" s="14"/>
      <c r="BI144" s="14"/>
      <c r="BJ144" s="14"/>
      <c r="BK144" s="14"/>
      <c r="BL144" s="14"/>
      <c r="BM144" s="14"/>
      <c r="BN144" s="14"/>
      <c r="BO144" s="14"/>
      <c r="BP144" s="14"/>
      <c r="BQ144" s="14"/>
      <c r="BR144" s="14"/>
      <c r="BS144" s="14"/>
      <c r="BT144" s="14"/>
      <c r="BU144" s="14"/>
      <c r="BV144" s="14"/>
      <c r="BW144" s="14"/>
      <c r="BX144" s="14"/>
      <c r="BY144" s="14"/>
      <c r="BZ144" s="14"/>
      <c r="CA144" s="14"/>
      <c r="CB144" s="14"/>
      <c r="CC144" s="14"/>
      <c r="CD144" s="14"/>
      <c r="CE144" s="14"/>
      <c r="CF144" s="14"/>
      <c r="CG144" s="14"/>
      <c r="CH144" s="14"/>
      <c r="CI144" s="14"/>
      <c r="CJ144" s="14"/>
      <c r="CK144" s="14"/>
      <c r="CL144" s="14"/>
      <c r="CM144" s="14"/>
      <c r="CN144" s="14"/>
      <c r="CO144" s="14"/>
      <c r="CP144" s="14"/>
      <c r="CQ144" s="14"/>
      <c r="CR144" s="14"/>
      <c r="CS144" s="14"/>
      <c r="CT144" s="14"/>
      <c r="CU144" s="14"/>
      <c r="CV144" s="14"/>
      <c r="CW144" s="14"/>
      <c r="CX144" s="14"/>
      <c r="CY144" s="14"/>
      <c r="CZ144" s="14"/>
      <c r="DA144" s="14"/>
      <c r="DB144" s="14"/>
      <c r="DC144" s="14"/>
      <c r="DD144" s="14"/>
      <c r="DE144" s="14"/>
      <c r="DF144" s="14"/>
      <c r="DG144" s="14"/>
      <c r="DH144" s="14"/>
      <c r="DI144" s="14"/>
      <c r="DJ144" s="14"/>
      <c r="DK144" s="14"/>
      <c r="DL144" s="14"/>
      <c r="DM144" s="14"/>
      <c r="DN144" s="14"/>
      <c r="DO144" s="14"/>
      <c r="DP144" s="14"/>
      <c r="DQ144" s="14"/>
      <c r="DR144" s="14"/>
      <c r="DS144" s="14"/>
      <c r="DT144" s="14"/>
      <c r="DU144" s="14"/>
      <c r="DV144" s="14"/>
      <c r="DW144" s="14"/>
      <c r="DX144" s="14"/>
      <c r="DY144" s="14"/>
      <c r="DZ144" s="14"/>
      <c r="EA144" s="14"/>
      <c r="EB144" s="14"/>
      <c r="EC144" s="14"/>
    </row>
    <row r="145" spans="1:133" s="13" customFormat="1" x14ac:dyDescent="0.25">
      <c r="A145" s="59" t="s">
        <v>8</v>
      </c>
      <c r="B145" s="16" t="s">
        <v>9</v>
      </c>
      <c r="C145" s="38" t="s">
        <v>10</v>
      </c>
      <c r="D145" s="38" t="s">
        <v>340</v>
      </c>
      <c r="E145" s="16" t="s">
        <v>65</v>
      </c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  <c r="AI145" s="14"/>
      <c r="AJ145" s="14"/>
      <c r="AK145" s="14"/>
      <c r="AL145" s="14"/>
      <c r="AM145" s="14"/>
      <c r="AN145" s="14"/>
      <c r="AO145" s="14"/>
      <c r="AP145" s="14"/>
      <c r="AQ145" s="14"/>
      <c r="AR145" s="14"/>
      <c r="AS145" s="14"/>
      <c r="AT145" s="14"/>
      <c r="AU145" s="14"/>
      <c r="AV145" s="14"/>
      <c r="AW145" s="14"/>
      <c r="AX145" s="14"/>
      <c r="AY145" s="14"/>
      <c r="AZ145" s="14"/>
      <c r="BA145" s="14"/>
      <c r="BB145" s="14"/>
      <c r="BC145" s="14"/>
      <c r="BD145" s="14"/>
      <c r="BE145" s="14"/>
      <c r="BF145" s="14"/>
      <c r="BG145" s="14"/>
      <c r="BH145" s="14"/>
      <c r="BI145" s="14"/>
      <c r="BJ145" s="14"/>
      <c r="BK145" s="14"/>
      <c r="BL145" s="14"/>
      <c r="BM145" s="14"/>
      <c r="BN145" s="14"/>
      <c r="BO145" s="14"/>
      <c r="BP145" s="14"/>
      <c r="BQ145" s="14"/>
      <c r="BR145" s="14"/>
      <c r="BS145" s="14"/>
      <c r="BT145" s="14"/>
      <c r="BU145" s="14"/>
      <c r="BV145" s="14"/>
      <c r="BW145" s="14"/>
      <c r="BX145" s="14"/>
      <c r="BY145" s="14"/>
      <c r="BZ145" s="14"/>
      <c r="CA145" s="14"/>
      <c r="CB145" s="14"/>
      <c r="CC145" s="14"/>
      <c r="CD145" s="14"/>
      <c r="CE145" s="14"/>
      <c r="CF145" s="14"/>
      <c r="CG145" s="14"/>
      <c r="CH145" s="14"/>
      <c r="CI145" s="14"/>
      <c r="CJ145" s="14"/>
      <c r="CK145" s="14"/>
      <c r="CL145" s="14"/>
      <c r="CM145" s="14"/>
      <c r="CN145" s="14"/>
      <c r="CO145" s="14"/>
      <c r="CP145" s="14"/>
      <c r="CQ145" s="14"/>
      <c r="CR145" s="14"/>
      <c r="CS145" s="14"/>
      <c r="CT145" s="14"/>
      <c r="CU145" s="14"/>
      <c r="CV145" s="14"/>
      <c r="CW145" s="14"/>
      <c r="CX145" s="14"/>
      <c r="CY145" s="14"/>
      <c r="CZ145" s="14"/>
      <c r="DA145" s="14"/>
      <c r="DB145" s="14"/>
      <c r="DC145" s="14"/>
      <c r="DD145" s="14"/>
      <c r="DE145" s="14"/>
      <c r="DF145" s="14"/>
      <c r="DG145" s="14"/>
      <c r="DH145" s="14"/>
      <c r="DI145" s="14"/>
      <c r="DJ145" s="14"/>
      <c r="DK145" s="14"/>
      <c r="DL145" s="14"/>
      <c r="DM145" s="14"/>
      <c r="DN145" s="14"/>
      <c r="DO145" s="14"/>
      <c r="DP145" s="14"/>
      <c r="DQ145" s="14"/>
      <c r="DR145" s="14"/>
      <c r="DS145" s="14"/>
      <c r="DT145" s="14"/>
      <c r="DU145" s="14"/>
      <c r="DV145" s="14"/>
      <c r="DW145" s="14"/>
      <c r="DX145" s="14"/>
      <c r="DY145" s="14"/>
      <c r="DZ145" s="14"/>
      <c r="EA145" s="14"/>
      <c r="EB145" s="14"/>
      <c r="EC145" s="14"/>
    </row>
    <row r="146" spans="1:133" s="13" customFormat="1" ht="33.6" x14ac:dyDescent="0.4">
      <c r="A146" s="76" t="s">
        <v>73</v>
      </c>
      <c r="B146" s="25" t="s">
        <v>74</v>
      </c>
      <c r="C146" s="35" t="s">
        <v>75</v>
      </c>
      <c r="D146" s="35" t="s">
        <v>378</v>
      </c>
      <c r="E146" s="50">
        <f>E147*E150*E151*E152*E153*E154</f>
        <v>0.64743374718839486</v>
      </c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  <c r="AK146" s="14"/>
      <c r="AL146" s="14"/>
      <c r="AM146" s="14"/>
      <c r="AN146" s="14"/>
      <c r="AO146" s="14"/>
      <c r="AP146" s="14"/>
      <c r="AQ146" s="14"/>
      <c r="AR146" s="14"/>
      <c r="AS146" s="14"/>
      <c r="AT146" s="14"/>
      <c r="AU146" s="14"/>
      <c r="AV146" s="14"/>
      <c r="AW146" s="14"/>
      <c r="AX146" s="14"/>
      <c r="AY146" s="14"/>
      <c r="AZ146" s="14"/>
      <c r="BA146" s="14"/>
      <c r="BB146" s="14"/>
      <c r="BC146" s="14"/>
      <c r="BD146" s="14"/>
      <c r="BE146" s="14"/>
      <c r="BF146" s="14"/>
      <c r="BG146" s="14"/>
      <c r="BH146" s="14"/>
      <c r="BI146" s="14"/>
      <c r="BJ146" s="14"/>
      <c r="BK146" s="14"/>
      <c r="BL146" s="14"/>
      <c r="BM146" s="14"/>
      <c r="BN146" s="14"/>
      <c r="BO146" s="14"/>
      <c r="BP146" s="14"/>
      <c r="BQ146" s="14"/>
      <c r="BR146" s="14"/>
      <c r="BS146" s="14"/>
      <c r="BT146" s="14"/>
      <c r="BU146" s="14"/>
      <c r="BV146" s="14"/>
      <c r="BW146" s="14"/>
      <c r="BX146" s="14"/>
      <c r="BY146" s="14"/>
      <c r="BZ146" s="14"/>
      <c r="CA146" s="14"/>
      <c r="CB146" s="14"/>
      <c r="CC146" s="14"/>
      <c r="CD146" s="14"/>
      <c r="CE146" s="14"/>
      <c r="CF146" s="14"/>
      <c r="CG146" s="14"/>
      <c r="CH146" s="14"/>
      <c r="CI146" s="14"/>
      <c r="CJ146" s="14"/>
      <c r="CK146" s="14"/>
      <c r="CL146" s="14"/>
      <c r="CM146" s="14"/>
      <c r="CN146" s="14"/>
      <c r="CO146" s="14"/>
      <c r="CP146" s="14"/>
      <c r="CQ146" s="14"/>
      <c r="CR146" s="14"/>
      <c r="CS146" s="14"/>
      <c r="CT146" s="14"/>
      <c r="CU146" s="14"/>
      <c r="CV146" s="14"/>
      <c r="CW146" s="14"/>
      <c r="CX146" s="14"/>
      <c r="CY146" s="14"/>
      <c r="CZ146" s="14"/>
      <c r="DA146" s="14"/>
      <c r="DB146" s="14"/>
      <c r="DC146" s="14"/>
      <c r="DD146" s="14"/>
      <c r="DE146" s="14"/>
      <c r="DF146" s="14"/>
      <c r="DG146" s="14"/>
      <c r="DH146" s="14"/>
      <c r="DI146" s="14"/>
      <c r="DJ146" s="14"/>
      <c r="DK146" s="14"/>
      <c r="DL146" s="14"/>
      <c r="DM146" s="14"/>
      <c r="DN146" s="14"/>
      <c r="DO146" s="14"/>
      <c r="DP146" s="14"/>
      <c r="DQ146" s="14"/>
      <c r="DR146" s="14"/>
      <c r="DS146" s="14"/>
      <c r="DT146" s="14"/>
      <c r="DU146" s="14"/>
      <c r="DV146" s="14"/>
      <c r="DW146" s="14"/>
      <c r="DX146" s="14"/>
      <c r="DY146" s="14"/>
      <c r="DZ146" s="14"/>
      <c r="EA146" s="14"/>
      <c r="EB146" s="14"/>
      <c r="EC146" s="14"/>
    </row>
    <row r="147" spans="1:133" s="13" customFormat="1" ht="46.8" x14ac:dyDescent="0.4">
      <c r="A147" s="77" t="s">
        <v>207</v>
      </c>
      <c r="B147" s="25" t="s">
        <v>76</v>
      </c>
      <c r="C147" s="35" t="s">
        <v>77</v>
      </c>
      <c r="D147" s="35" t="s">
        <v>379</v>
      </c>
      <c r="E147" s="52">
        <f>E148/E149</f>
        <v>31.879696176542911</v>
      </c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  <c r="AI147" s="14"/>
      <c r="AJ147" s="14"/>
      <c r="AK147" s="14"/>
      <c r="AL147" s="14"/>
      <c r="AM147" s="14"/>
      <c r="AN147" s="14"/>
      <c r="AO147" s="14"/>
      <c r="AP147" s="14"/>
      <c r="AQ147" s="14"/>
      <c r="AR147" s="14"/>
      <c r="AS147" s="14"/>
      <c r="AT147" s="14"/>
      <c r="AU147" s="14"/>
      <c r="AV147" s="14"/>
      <c r="AW147" s="14"/>
      <c r="AX147" s="14"/>
      <c r="AY147" s="14"/>
      <c r="AZ147" s="14"/>
      <c r="BA147" s="14"/>
      <c r="BB147" s="14"/>
      <c r="BC147" s="14"/>
      <c r="BD147" s="14"/>
      <c r="BE147" s="14"/>
      <c r="BF147" s="14"/>
      <c r="BG147" s="14"/>
      <c r="BH147" s="14"/>
      <c r="BI147" s="14"/>
      <c r="BJ147" s="14"/>
      <c r="BK147" s="14"/>
      <c r="BL147" s="14"/>
      <c r="BM147" s="14"/>
      <c r="BN147" s="14"/>
      <c r="BO147" s="14"/>
      <c r="BP147" s="14"/>
      <c r="BQ147" s="14"/>
      <c r="BR147" s="14"/>
      <c r="BS147" s="14"/>
      <c r="BT147" s="14"/>
      <c r="BU147" s="14"/>
      <c r="BV147" s="14"/>
      <c r="BW147" s="14"/>
      <c r="BX147" s="14"/>
      <c r="BY147" s="14"/>
      <c r="BZ147" s="14"/>
      <c r="CA147" s="14"/>
      <c r="CB147" s="14"/>
      <c r="CC147" s="14"/>
      <c r="CD147" s="14"/>
      <c r="CE147" s="14"/>
      <c r="CF147" s="14"/>
      <c r="CG147" s="14"/>
      <c r="CH147" s="14"/>
      <c r="CI147" s="14"/>
      <c r="CJ147" s="14"/>
      <c r="CK147" s="14"/>
      <c r="CL147" s="14"/>
      <c r="CM147" s="14"/>
      <c r="CN147" s="14"/>
      <c r="CO147" s="14"/>
      <c r="CP147" s="14"/>
      <c r="CQ147" s="14"/>
      <c r="CR147" s="14"/>
      <c r="CS147" s="14"/>
      <c r="CT147" s="14"/>
      <c r="CU147" s="14"/>
      <c r="CV147" s="14"/>
      <c r="CW147" s="14"/>
      <c r="CX147" s="14"/>
      <c r="CY147" s="14"/>
      <c r="CZ147" s="14"/>
      <c r="DA147" s="14"/>
      <c r="DB147" s="14"/>
      <c r="DC147" s="14"/>
      <c r="DD147" s="14"/>
      <c r="DE147" s="14"/>
      <c r="DF147" s="14"/>
      <c r="DG147" s="14"/>
      <c r="DH147" s="14"/>
      <c r="DI147" s="14"/>
      <c r="DJ147" s="14"/>
      <c r="DK147" s="14"/>
      <c r="DL147" s="14"/>
      <c r="DM147" s="14"/>
      <c r="DN147" s="14"/>
      <c r="DO147" s="14"/>
      <c r="DP147" s="14"/>
      <c r="DQ147" s="14"/>
      <c r="DR147" s="14"/>
      <c r="DS147" s="14"/>
      <c r="DT147" s="14"/>
      <c r="DU147" s="14"/>
      <c r="DV147" s="14"/>
      <c r="DW147" s="14"/>
      <c r="DX147" s="14"/>
      <c r="DY147" s="14"/>
      <c r="DZ147" s="14"/>
      <c r="EA147" s="14"/>
      <c r="EB147" s="14"/>
      <c r="EC147" s="14"/>
    </row>
    <row r="148" spans="1:133" s="13" customFormat="1" ht="46.8" x14ac:dyDescent="0.25">
      <c r="A148" s="63" t="s">
        <v>208</v>
      </c>
      <c r="B148" s="25" t="s">
        <v>78</v>
      </c>
      <c r="C148" s="35" t="s">
        <v>79</v>
      </c>
      <c r="D148" s="53" t="s">
        <v>352</v>
      </c>
      <c r="E148" s="52">
        <f>0.000186629873180262*E121</f>
        <v>159.39848088271455</v>
      </c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  <c r="AI148" s="14"/>
      <c r="AJ148" s="14"/>
      <c r="AK148" s="14"/>
      <c r="AL148" s="14"/>
      <c r="AM148" s="14"/>
      <c r="AN148" s="14"/>
      <c r="AO148" s="14"/>
      <c r="AP148" s="14"/>
      <c r="AQ148" s="14"/>
      <c r="AR148" s="14"/>
      <c r="AS148" s="14"/>
      <c r="AT148" s="14"/>
      <c r="AU148" s="14"/>
      <c r="AV148" s="14"/>
      <c r="AW148" s="14"/>
      <c r="AX148" s="14"/>
      <c r="AY148" s="14"/>
      <c r="AZ148" s="14"/>
      <c r="BA148" s="14"/>
      <c r="BB148" s="14"/>
      <c r="BC148" s="14"/>
      <c r="BD148" s="14"/>
      <c r="BE148" s="14"/>
      <c r="BF148" s="14"/>
      <c r="BG148" s="14"/>
      <c r="BH148" s="14"/>
      <c r="BI148" s="14"/>
      <c r="BJ148" s="14"/>
      <c r="BK148" s="14"/>
      <c r="BL148" s="14"/>
      <c r="BM148" s="14"/>
      <c r="BN148" s="14"/>
      <c r="BO148" s="14"/>
      <c r="BP148" s="14"/>
      <c r="BQ148" s="14"/>
      <c r="BR148" s="14"/>
      <c r="BS148" s="14"/>
      <c r="BT148" s="14"/>
      <c r="BU148" s="14"/>
      <c r="BV148" s="14"/>
      <c r="BW148" s="14"/>
      <c r="BX148" s="14"/>
      <c r="BY148" s="14"/>
      <c r="BZ148" s="14"/>
      <c r="CA148" s="14"/>
      <c r="CB148" s="14"/>
      <c r="CC148" s="14"/>
      <c r="CD148" s="14"/>
      <c r="CE148" s="14"/>
      <c r="CF148" s="14"/>
      <c r="CG148" s="14"/>
      <c r="CH148" s="14"/>
      <c r="CI148" s="14"/>
      <c r="CJ148" s="14"/>
      <c r="CK148" s="14"/>
      <c r="CL148" s="14"/>
      <c r="CM148" s="14"/>
      <c r="CN148" s="14"/>
      <c r="CO148" s="14"/>
      <c r="CP148" s="14"/>
      <c r="CQ148" s="14"/>
      <c r="CR148" s="14"/>
      <c r="CS148" s="14"/>
      <c r="CT148" s="14"/>
      <c r="CU148" s="14"/>
      <c r="CV148" s="14"/>
      <c r="CW148" s="14"/>
      <c r="CX148" s="14"/>
      <c r="CY148" s="14"/>
      <c r="CZ148" s="14"/>
      <c r="DA148" s="14"/>
      <c r="DB148" s="14"/>
      <c r="DC148" s="14"/>
      <c r="DD148" s="14"/>
      <c r="DE148" s="14"/>
      <c r="DF148" s="14"/>
      <c r="DG148" s="14"/>
      <c r="DH148" s="14"/>
      <c r="DI148" s="14"/>
      <c r="DJ148" s="14"/>
      <c r="DK148" s="14"/>
      <c r="DL148" s="14"/>
      <c r="DM148" s="14"/>
      <c r="DN148" s="14"/>
      <c r="DO148" s="14"/>
      <c r="DP148" s="14"/>
      <c r="DQ148" s="14"/>
      <c r="DR148" s="14"/>
      <c r="DS148" s="14"/>
      <c r="DT148" s="14"/>
      <c r="DU148" s="14"/>
      <c r="DV148" s="14"/>
      <c r="DW148" s="14"/>
      <c r="DX148" s="14"/>
      <c r="DY148" s="14"/>
      <c r="DZ148" s="14"/>
      <c r="EA148" s="14"/>
      <c r="EB148" s="14"/>
      <c r="EC148" s="14"/>
    </row>
    <row r="149" spans="1:133" s="13" customFormat="1" ht="31.2" x14ac:dyDescent="0.25">
      <c r="A149" s="63" t="s">
        <v>209</v>
      </c>
      <c r="B149" s="25" t="s">
        <v>80</v>
      </c>
      <c r="C149" s="35" t="s">
        <v>81</v>
      </c>
      <c r="D149" s="35" t="s">
        <v>353</v>
      </c>
      <c r="E149" s="25">
        <f>5</f>
        <v>5</v>
      </c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  <c r="AI149" s="14"/>
      <c r="AJ149" s="14"/>
      <c r="AK149" s="14"/>
      <c r="AL149" s="14"/>
      <c r="AM149" s="14"/>
      <c r="AN149" s="14"/>
      <c r="AO149" s="14"/>
      <c r="AP149" s="14"/>
      <c r="AQ149" s="14"/>
      <c r="AR149" s="14"/>
      <c r="AS149" s="14"/>
      <c r="AT149" s="14"/>
      <c r="AU149" s="14"/>
      <c r="AV149" s="14"/>
      <c r="AW149" s="14"/>
      <c r="AX149" s="14"/>
      <c r="AY149" s="14"/>
      <c r="AZ149" s="14"/>
      <c r="BA149" s="14"/>
      <c r="BB149" s="14"/>
      <c r="BC149" s="14"/>
      <c r="BD149" s="14"/>
      <c r="BE149" s="14"/>
      <c r="BF149" s="14"/>
      <c r="BG149" s="14"/>
      <c r="BH149" s="14"/>
      <c r="BI149" s="14"/>
      <c r="BJ149" s="14"/>
      <c r="BK149" s="14"/>
      <c r="BL149" s="14"/>
      <c r="BM149" s="14"/>
      <c r="BN149" s="14"/>
      <c r="BO149" s="14"/>
      <c r="BP149" s="14"/>
      <c r="BQ149" s="14"/>
      <c r="BR149" s="14"/>
      <c r="BS149" s="14"/>
      <c r="BT149" s="14"/>
      <c r="BU149" s="14"/>
      <c r="BV149" s="14"/>
      <c r="BW149" s="14"/>
      <c r="BX149" s="14"/>
      <c r="BY149" s="14"/>
      <c r="BZ149" s="14"/>
      <c r="CA149" s="14"/>
      <c r="CB149" s="14"/>
      <c r="CC149" s="14"/>
      <c r="CD149" s="14"/>
      <c r="CE149" s="14"/>
      <c r="CF149" s="14"/>
      <c r="CG149" s="14"/>
      <c r="CH149" s="14"/>
      <c r="CI149" s="14"/>
      <c r="CJ149" s="14"/>
      <c r="CK149" s="14"/>
      <c r="CL149" s="14"/>
      <c r="CM149" s="14"/>
      <c r="CN149" s="14"/>
      <c r="CO149" s="14"/>
      <c r="CP149" s="14"/>
      <c r="CQ149" s="14"/>
      <c r="CR149" s="14"/>
      <c r="CS149" s="14"/>
      <c r="CT149" s="14"/>
      <c r="CU149" s="14"/>
      <c r="CV149" s="14"/>
      <c r="CW149" s="14"/>
      <c r="CX149" s="14"/>
      <c r="CY149" s="14"/>
      <c r="CZ149" s="14"/>
      <c r="DA149" s="14"/>
      <c r="DB149" s="14"/>
      <c r="DC149" s="14"/>
      <c r="DD149" s="14"/>
      <c r="DE149" s="14"/>
      <c r="DF149" s="14"/>
      <c r="DG149" s="14"/>
      <c r="DH149" s="14"/>
      <c r="DI149" s="14"/>
      <c r="DJ149" s="14"/>
      <c r="DK149" s="14"/>
      <c r="DL149" s="14"/>
      <c r="DM149" s="14"/>
      <c r="DN149" s="14"/>
      <c r="DO149" s="14"/>
      <c r="DP149" s="14"/>
      <c r="DQ149" s="14"/>
      <c r="DR149" s="14"/>
      <c r="DS149" s="14"/>
      <c r="DT149" s="14"/>
      <c r="DU149" s="14"/>
      <c r="DV149" s="14"/>
      <c r="DW149" s="14"/>
      <c r="DX149" s="14"/>
      <c r="DY149" s="14"/>
      <c r="DZ149" s="14"/>
      <c r="EA149" s="14"/>
      <c r="EB149" s="14"/>
      <c r="EC149" s="14"/>
    </row>
    <row r="150" spans="1:133" s="13" customFormat="1" ht="62.4" x14ac:dyDescent="0.25">
      <c r="A150" s="63" t="s">
        <v>210</v>
      </c>
      <c r="B150" s="25" t="s">
        <v>82</v>
      </c>
      <c r="C150" s="35" t="s">
        <v>83</v>
      </c>
      <c r="D150" s="53" t="s">
        <v>354</v>
      </c>
      <c r="E150" s="25">
        <f>15*2</f>
        <v>30</v>
      </c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  <c r="AI150" s="14"/>
      <c r="AJ150" s="14"/>
      <c r="AK150" s="14"/>
      <c r="AL150" s="14"/>
      <c r="AM150" s="14"/>
      <c r="AN150" s="14"/>
      <c r="AO150" s="14"/>
      <c r="AP150" s="14"/>
      <c r="AQ150" s="14"/>
      <c r="AR150" s="14"/>
      <c r="AS150" s="14"/>
      <c r="AT150" s="14"/>
      <c r="AU150" s="14"/>
      <c r="AV150" s="14"/>
      <c r="AW150" s="14"/>
      <c r="AX150" s="14"/>
      <c r="AY150" s="14"/>
      <c r="AZ150" s="14"/>
      <c r="BA150" s="14"/>
      <c r="BB150" s="14"/>
      <c r="BC150" s="14"/>
      <c r="BD150" s="14"/>
      <c r="BE150" s="14"/>
      <c r="BF150" s="14"/>
      <c r="BG150" s="14"/>
      <c r="BH150" s="14"/>
      <c r="BI150" s="14"/>
      <c r="BJ150" s="14"/>
      <c r="BK150" s="14"/>
      <c r="BL150" s="14"/>
      <c r="BM150" s="14"/>
      <c r="BN150" s="14"/>
      <c r="BO150" s="14"/>
      <c r="BP150" s="14"/>
      <c r="BQ150" s="14"/>
      <c r="BR150" s="14"/>
      <c r="BS150" s="14"/>
      <c r="BT150" s="14"/>
      <c r="BU150" s="14"/>
      <c r="BV150" s="14"/>
      <c r="BW150" s="14"/>
      <c r="BX150" s="14"/>
      <c r="BY150" s="14"/>
      <c r="BZ150" s="14"/>
      <c r="CA150" s="14"/>
      <c r="CB150" s="14"/>
      <c r="CC150" s="14"/>
      <c r="CD150" s="14"/>
      <c r="CE150" s="14"/>
      <c r="CF150" s="14"/>
      <c r="CG150" s="14"/>
      <c r="CH150" s="14"/>
      <c r="CI150" s="14"/>
      <c r="CJ150" s="14"/>
      <c r="CK150" s="14"/>
      <c r="CL150" s="14"/>
      <c r="CM150" s="14"/>
      <c r="CN150" s="14"/>
      <c r="CO150" s="14"/>
      <c r="CP150" s="14"/>
      <c r="CQ150" s="14"/>
      <c r="CR150" s="14"/>
      <c r="CS150" s="14"/>
      <c r="CT150" s="14"/>
      <c r="CU150" s="14"/>
      <c r="CV150" s="14"/>
      <c r="CW150" s="14"/>
      <c r="CX150" s="14"/>
      <c r="CY150" s="14"/>
      <c r="CZ150" s="14"/>
      <c r="DA150" s="14"/>
      <c r="DB150" s="14"/>
      <c r="DC150" s="14"/>
      <c r="DD150" s="14"/>
      <c r="DE150" s="14"/>
      <c r="DF150" s="14"/>
      <c r="DG150" s="14"/>
      <c r="DH150" s="14"/>
      <c r="DI150" s="14"/>
      <c r="DJ150" s="14"/>
      <c r="DK150" s="14"/>
      <c r="DL150" s="14"/>
      <c r="DM150" s="14"/>
      <c r="DN150" s="14"/>
      <c r="DO150" s="14"/>
      <c r="DP150" s="14"/>
      <c r="DQ150" s="14"/>
      <c r="DR150" s="14"/>
      <c r="DS150" s="14"/>
      <c r="DT150" s="14"/>
      <c r="DU150" s="14"/>
      <c r="DV150" s="14"/>
      <c r="DW150" s="14"/>
      <c r="DX150" s="14"/>
      <c r="DY150" s="14"/>
      <c r="DZ150" s="14"/>
      <c r="EA150" s="14"/>
      <c r="EB150" s="14"/>
      <c r="EC150" s="14"/>
    </row>
    <row r="151" spans="1:133" s="13" customFormat="1" ht="172.2" x14ac:dyDescent="0.25">
      <c r="A151" s="63" t="s">
        <v>211</v>
      </c>
      <c r="B151" s="25" t="s">
        <v>84</v>
      </c>
      <c r="C151" s="35" t="s">
        <v>85</v>
      </c>
      <c r="D151" s="35" t="s">
        <v>355</v>
      </c>
      <c r="E151" s="25">
        <f>25.1/100</f>
        <v>0.251</v>
      </c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  <c r="AM151" s="14"/>
      <c r="AN151" s="14"/>
      <c r="AO151" s="14"/>
      <c r="AP151" s="14"/>
      <c r="AQ151" s="14"/>
      <c r="AR151" s="14"/>
      <c r="AS151" s="14"/>
      <c r="AT151" s="14"/>
      <c r="AU151" s="14"/>
      <c r="AV151" s="14"/>
      <c r="AW151" s="14"/>
      <c r="AX151" s="14"/>
      <c r="AY151" s="14"/>
      <c r="AZ151" s="14"/>
      <c r="BA151" s="14"/>
      <c r="BB151" s="14"/>
      <c r="BC151" s="14"/>
      <c r="BD151" s="14"/>
      <c r="BE151" s="14"/>
      <c r="BF151" s="14"/>
      <c r="BG151" s="14"/>
      <c r="BH151" s="14"/>
      <c r="BI151" s="14"/>
      <c r="BJ151" s="14"/>
      <c r="BK151" s="14"/>
      <c r="BL151" s="14"/>
      <c r="BM151" s="14"/>
      <c r="BN151" s="14"/>
      <c r="BO151" s="14"/>
      <c r="BP151" s="14"/>
      <c r="BQ151" s="14"/>
      <c r="BR151" s="14"/>
      <c r="BS151" s="14"/>
      <c r="BT151" s="14"/>
      <c r="BU151" s="14"/>
      <c r="BV151" s="14"/>
      <c r="BW151" s="14"/>
      <c r="BX151" s="14"/>
      <c r="BY151" s="14"/>
      <c r="BZ151" s="14"/>
      <c r="CA151" s="14"/>
      <c r="CB151" s="14"/>
      <c r="CC151" s="14"/>
      <c r="CD151" s="14"/>
      <c r="CE151" s="14"/>
      <c r="CF151" s="14"/>
      <c r="CG151" s="14"/>
      <c r="CH151" s="14"/>
      <c r="CI151" s="14"/>
      <c r="CJ151" s="14"/>
      <c r="CK151" s="14"/>
      <c r="CL151" s="14"/>
      <c r="CM151" s="14"/>
      <c r="CN151" s="14"/>
      <c r="CO151" s="14"/>
      <c r="CP151" s="14"/>
      <c r="CQ151" s="14"/>
      <c r="CR151" s="14"/>
      <c r="CS151" s="14"/>
      <c r="CT151" s="14"/>
      <c r="CU151" s="14"/>
      <c r="CV151" s="14"/>
      <c r="CW151" s="14"/>
      <c r="CX151" s="14"/>
      <c r="CY151" s="14"/>
      <c r="CZ151" s="14"/>
      <c r="DA151" s="14"/>
      <c r="DB151" s="14"/>
      <c r="DC151" s="14"/>
      <c r="DD151" s="14"/>
      <c r="DE151" s="14"/>
      <c r="DF151" s="14"/>
      <c r="DG151" s="14"/>
      <c r="DH151" s="14"/>
      <c r="DI151" s="14"/>
      <c r="DJ151" s="14"/>
      <c r="DK151" s="14"/>
      <c r="DL151" s="14"/>
      <c r="DM151" s="14"/>
      <c r="DN151" s="14"/>
      <c r="DO151" s="14"/>
      <c r="DP151" s="14"/>
      <c r="DQ151" s="14"/>
      <c r="DR151" s="14"/>
      <c r="DS151" s="14"/>
      <c r="DT151" s="14"/>
      <c r="DU151" s="14"/>
      <c r="DV151" s="14"/>
      <c r="DW151" s="14"/>
      <c r="DX151" s="14"/>
      <c r="DY151" s="14"/>
      <c r="DZ151" s="14"/>
      <c r="EA151" s="14"/>
      <c r="EB151" s="14"/>
      <c r="EC151" s="14"/>
    </row>
    <row r="152" spans="1:133" s="13" customFormat="1" ht="140.4" x14ac:dyDescent="0.25">
      <c r="A152" s="63" t="s">
        <v>212</v>
      </c>
      <c r="B152" s="25" t="s">
        <v>87</v>
      </c>
      <c r="C152" s="35" t="s">
        <v>86</v>
      </c>
      <c r="D152" s="35" t="s">
        <v>356</v>
      </c>
      <c r="E152" s="25">
        <f>0.84/1000</f>
        <v>8.3999999999999993E-4</v>
      </c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  <c r="AM152" s="14"/>
      <c r="AN152" s="14"/>
      <c r="AO152" s="14"/>
      <c r="AP152" s="14"/>
      <c r="AQ152" s="14"/>
      <c r="AR152" s="14"/>
      <c r="AS152" s="14"/>
      <c r="AT152" s="14"/>
      <c r="AU152" s="14"/>
      <c r="AV152" s="14"/>
      <c r="AW152" s="14"/>
      <c r="AX152" s="14"/>
      <c r="AY152" s="14"/>
      <c r="AZ152" s="14"/>
      <c r="BA152" s="14"/>
      <c r="BB152" s="14"/>
      <c r="BC152" s="14"/>
      <c r="BD152" s="14"/>
      <c r="BE152" s="14"/>
      <c r="BF152" s="14"/>
      <c r="BG152" s="14"/>
      <c r="BH152" s="14"/>
      <c r="BI152" s="14"/>
      <c r="BJ152" s="14"/>
      <c r="BK152" s="14"/>
      <c r="BL152" s="14"/>
      <c r="BM152" s="14"/>
      <c r="BN152" s="14"/>
      <c r="BO152" s="14"/>
      <c r="BP152" s="14"/>
      <c r="BQ152" s="14"/>
      <c r="BR152" s="14"/>
      <c r="BS152" s="14"/>
      <c r="BT152" s="14"/>
      <c r="BU152" s="14"/>
      <c r="BV152" s="14"/>
      <c r="BW152" s="14"/>
      <c r="BX152" s="14"/>
      <c r="BY152" s="14"/>
      <c r="BZ152" s="14"/>
      <c r="CA152" s="14"/>
      <c r="CB152" s="14"/>
      <c r="CC152" s="14"/>
      <c r="CD152" s="14"/>
      <c r="CE152" s="14"/>
      <c r="CF152" s="14"/>
      <c r="CG152" s="14"/>
      <c r="CH152" s="14"/>
      <c r="CI152" s="14"/>
      <c r="CJ152" s="14"/>
      <c r="CK152" s="14"/>
      <c r="CL152" s="14"/>
      <c r="CM152" s="14"/>
      <c r="CN152" s="14"/>
      <c r="CO152" s="14"/>
      <c r="CP152" s="14"/>
      <c r="CQ152" s="14"/>
      <c r="CR152" s="14"/>
      <c r="CS152" s="14"/>
      <c r="CT152" s="14"/>
      <c r="CU152" s="14"/>
      <c r="CV152" s="14"/>
      <c r="CW152" s="14"/>
      <c r="CX152" s="14"/>
      <c r="CY152" s="14"/>
      <c r="CZ152" s="14"/>
      <c r="DA152" s="14"/>
      <c r="DB152" s="14"/>
      <c r="DC152" s="14"/>
      <c r="DD152" s="14"/>
      <c r="DE152" s="14"/>
      <c r="DF152" s="14"/>
      <c r="DG152" s="14"/>
      <c r="DH152" s="14"/>
      <c r="DI152" s="14"/>
      <c r="DJ152" s="14"/>
      <c r="DK152" s="14"/>
      <c r="DL152" s="14"/>
      <c r="DM152" s="14"/>
      <c r="DN152" s="14"/>
      <c r="DO152" s="14"/>
      <c r="DP152" s="14"/>
      <c r="DQ152" s="14"/>
      <c r="DR152" s="14"/>
      <c r="DS152" s="14"/>
      <c r="DT152" s="14"/>
      <c r="DU152" s="14"/>
      <c r="DV152" s="14"/>
      <c r="DW152" s="14"/>
      <c r="DX152" s="14"/>
      <c r="DY152" s="14"/>
      <c r="DZ152" s="14"/>
      <c r="EA152" s="14"/>
      <c r="EB152" s="14"/>
      <c r="EC152" s="14"/>
    </row>
    <row r="153" spans="1:133" s="13" customFormat="1" ht="140.4" x14ac:dyDescent="0.25">
      <c r="A153" s="63" t="s">
        <v>213</v>
      </c>
      <c r="B153" s="25" t="s">
        <v>88</v>
      </c>
      <c r="C153" s="35" t="s">
        <v>89</v>
      </c>
      <c r="D153" s="35" t="s">
        <v>357</v>
      </c>
      <c r="E153" s="25">
        <f>43.33/1000</f>
        <v>4.333E-2</v>
      </c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  <c r="AJ153" s="14"/>
      <c r="AK153" s="14"/>
      <c r="AL153" s="14"/>
      <c r="AM153" s="14"/>
      <c r="AN153" s="14"/>
      <c r="AO153" s="14"/>
      <c r="AP153" s="14"/>
      <c r="AQ153" s="14"/>
      <c r="AR153" s="14"/>
      <c r="AS153" s="14"/>
      <c r="AT153" s="14"/>
      <c r="AU153" s="14"/>
      <c r="AV153" s="14"/>
      <c r="AW153" s="14"/>
      <c r="AX153" s="14"/>
      <c r="AY153" s="14"/>
      <c r="AZ153" s="14"/>
      <c r="BA153" s="14"/>
      <c r="BB153" s="14"/>
      <c r="BC153" s="14"/>
      <c r="BD153" s="14"/>
      <c r="BE153" s="14"/>
      <c r="BF153" s="14"/>
      <c r="BG153" s="14"/>
      <c r="BH153" s="14"/>
      <c r="BI153" s="14"/>
      <c r="BJ153" s="14"/>
      <c r="BK153" s="14"/>
      <c r="BL153" s="14"/>
      <c r="BM153" s="14"/>
      <c r="BN153" s="14"/>
      <c r="BO153" s="14"/>
      <c r="BP153" s="14"/>
      <c r="BQ153" s="14"/>
      <c r="BR153" s="14"/>
      <c r="BS153" s="14"/>
      <c r="BT153" s="14"/>
      <c r="BU153" s="14"/>
      <c r="BV153" s="14"/>
      <c r="BW153" s="14"/>
      <c r="BX153" s="14"/>
      <c r="BY153" s="14"/>
      <c r="BZ153" s="14"/>
      <c r="CA153" s="14"/>
      <c r="CB153" s="14"/>
      <c r="CC153" s="14"/>
      <c r="CD153" s="14"/>
      <c r="CE153" s="14"/>
      <c r="CF153" s="14"/>
      <c r="CG153" s="14"/>
      <c r="CH153" s="14"/>
      <c r="CI153" s="14"/>
      <c r="CJ153" s="14"/>
      <c r="CK153" s="14"/>
      <c r="CL153" s="14"/>
      <c r="CM153" s="14"/>
      <c r="CN153" s="14"/>
      <c r="CO153" s="14"/>
      <c r="CP153" s="14"/>
      <c r="CQ153" s="14"/>
      <c r="CR153" s="14"/>
      <c r="CS153" s="14"/>
      <c r="CT153" s="14"/>
      <c r="CU153" s="14"/>
      <c r="CV153" s="14"/>
      <c r="CW153" s="14"/>
      <c r="CX153" s="14"/>
      <c r="CY153" s="14"/>
      <c r="CZ153" s="14"/>
      <c r="DA153" s="14"/>
      <c r="DB153" s="14"/>
      <c r="DC153" s="14"/>
      <c r="DD153" s="14"/>
      <c r="DE153" s="14"/>
      <c r="DF153" s="14"/>
      <c r="DG153" s="14"/>
      <c r="DH153" s="14"/>
      <c r="DI153" s="14"/>
      <c r="DJ153" s="14"/>
      <c r="DK153" s="14"/>
      <c r="DL153" s="14"/>
      <c r="DM153" s="14"/>
      <c r="DN153" s="14"/>
      <c r="DO153" s="14"/>
      <c r="DP153" s="14"/>
      <c r="DQ153" s="14"/>
      <c r="DR153" s="14"/>
      <c r="DS153" s="14"/>
      <c r="DT153" s="14"/>
      <c r="DU153" s="14"/>
      <c r="DV153" s="14"/>
      <c r="DW153" s="14"/>
      <c r="DX153" s="14"/>
      <c r="DY153" s="14"/>
      <c r="DZ153" s="14"/>
      <c r="EA153" s="14"/>
      <c r="EB153" s="14"/>
      <c r="EC153" s="14"/>
    </row>
    <row r="154" spans="1:133" s="13" customFormat="1" ht="62.4" x14ac:dyDescent="0.25">
      <c r="A154" s="63" t="s">
        <v>214</v>
      </c>
      <c r="B154" s="25" t="s">
        <v>90</v>
      </c>
      <c r="C154" s="35" t="s">
        <v>91</v>
      </c>
      <c r="D154" s="35" t="s">
        <v>358</v>
      </c>
      <c r="E154" s="25">
        <v>74.099999999999994</v>
      </c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  <c r="AI154" s="14"/>
      <c r="AJ154" s="14"/>
      <c r="AK154" s="14"/>
      <c r="AL154" s="14"/>
      <c r="AM154" s="14"/>
      <c r="AN154" s="14"/>
      <c r="AO154" s="14"/>
      <c r="AP154" s="14"/>
      <c r="AQ154" s="14"/>
      <c r="AR154" s="14"/>
      <c r="AS154" s="14"/>
      <c r="AT154" s="14"/>
      <c r="AU154" s="14"/>
      <c r="AV154" s="14"/>
      <c r="AW154" s="14"/>
      <c r="AX154" s="14"/>
      <c r="AY154" s="14"/>
      <c r="AZ154" s="14"/>
      <c r="BA154" s="14"/>
      <c r="BB154" s="14"/>
      <c r="BC154" s="14"/>
      <c r="BD154" s="14"/>
      <c r="BE154" s="14"/>
      <c r="BF154" s="14"/>
      <c r="BG154" s="14"/>
      <c r="BH154" s="14"/>
      <c r="BI154" s="14"/>
      <c r="BJ154" s="14"/>
      <c r="BK154" s="14"/>
      <c r="BL154" s="14"/>
      <c r="BM154" s="14"/>
      <c r="BN154" s="14"/>
      <c r="BO154" s="14"/>
      <c r="BP154" s="14"/>
      <c r="BQ154" s="14"/>
      <c r="BR154" s="14"/>
      <c r="BS154" s="14"/>
      <c r="BT154" s="14"/>
      <c r="BU154" s="14"/>
      <c r="BV154" s="14"/>
      <c r="BW154" s="14"/>
      <c r="BX154" s="14"/>
      <c r="BY154" s="14"/>
      <c r="BZ154" s="14"/>
      <c r="CA154" s="14"/>
      <c r="CB154" s="14"/>
      <c r="CC154" s="14"/>
      <c r="CD154" s="14"/>
      <c r="CE154" s="14"/>
      <c r="CF154" s="14"/>
      <c r="CG154" s="14"/>
      <c r="CH154" s="14"/>
      <c r="CI154" s="14"/>
      <c r="CJ154" s="14"/>
      <c r="CK154" s="14"/>
      <c r="CL154" s="14"/>
      <c r="CM154" s="14"/>
      <c r="CN154" s="14"/>
      <c r="CO154" s="14"/>
      <c r="CP154" s="14"/>
      <c r="CQ154" s="14"/>
      <c r="CR154" s="14"/>
      <c r="CS154" s="14"/>
      <c r="CT154" s="14"/>
      <c r="CU154" s="14"/>
      <c r="CV154" s="14"/>
      <c r="CW154" s="14"/>
      <c r="CX154" s="14"/>
      <c r="CY154" s="14"/>
      <c r="CZ154" s="14"/>
      <c r="DA154" s="14"/>
      <c r="DB154" s="14"/>
      <c r="DC154" s="14"/>
      <c r="DD154" s="14"/>
      <c r="DE154" s="14"/>
      <c r="DF154" s="14"/>
      <c r="DG154" s="14"/>
      <c r="DH154" s="14"/>
      <c r="DI154" s="14"/>
      <c r="DJ154" s="14"/>
      <c r="DK154" s="14"/>
      <c r="DL154" s="14"/>
      <c r="DM154" s="14"/>
      <c r="DN154" s="14"/>
      <c r="DO154" s="14"/>
      <c r="DP154" s="14"/>
      <c r="DQ154" s="14"/>
      <c r="DR154" s="14"/>
      <c r="DS154" s="14"/>
      <c r="DT154" s="14"/>
      <c r="DU154" s="14"/>
      <c r="DV154" s="14"/>
      <c r="DW154" s="14"/>
      <c r="DX154" s="14"/>
      <c r="DY154" s="14"/>
      <c r="DZ154" s="14"/>
      <c r="EA154" s="14"/>
      <c r="EB154" s="14"/>
      <c r="EC154" s="14"/>
    </row>
    <row r="156" spans="1:133" s="13" customFormat="1" x14ac:dyDescent="0.25">
      <c r="A156" s="158" t="s">
        <v>93</v>
      </c>
      <c r="B156" s="158"/>
      <c r="C156" s="158"/>
      <c r="D156" s="158"/>
      <c r="E156" s="158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  <c r="AI156" s="14"/>
      <c r="AJ156" s="14"/>
      <c r="AK156" s="14"/>
      <c r="AL156" s="14"/>
      <c r="AM156" s="14"/>
      <c r="AN156" s="14"/>
      <c r="AO156" s="14"/>
      <c r="AP156" s="14"/>
      <c r="AQ156" s="14"/>
      <c r="AR156" s="14"/>
      <c r="AS156" s="14"/>
      <c r="AT156" s="14"/>
      <c r="AU156" s="14"/>
      <c r="AV156" s="14"/>
      <c r="AW156" s="14"/>
      <c r="AX156" s="14"/>
      <c r="AY156" s="14"/>
      <c r="AZ156" s="14"/>
      <c r="BA156" s="14"/>
      <c r="BB156" s="14"/>
      <c r="BC156" s="14"/>
      <c r="BD156" s="14"/>
      <c r="BE156" s="14"/>
      <c r="BF156" s="14"/>
      <c r="BG156" s="14"/>
      <c r="BH156" s="14"/>
      <c r="BI156" s="14"/>
      <c r="BJ156" s="14"/>
      <c r="BK156" s="14"/>
      <c r="BL156" s="14"/>
      <c r="BM156" s="14"/>
      <c r="BN156" s="14"/>
      <c r="BO156" s="14"/>
      <c r="BP156" s="14"/>
      <c r="BQ156" s="14"/>
      <c r="BR156" s="14"/>
      <c r="BS156" s="14"/>
      <c r="BT156" s="14"/>
      <c r="BU156" s="14"/>
      <c r="BV156" s="14"/>
      <c r="BW156" s="14"/>
      <c r="BX156" s="14"/>
      <c r="BY156" s="14"/>
      <c r="BZ156" s="14"/>
      <c r="CA156" s="14"/>
      <c r="CB156" s="14"/>
      <c r="CC156" s="14"/>
      <c r="CD156" s="14"/>
      <c r="CE156" s="14"/>
      <c r="CF156" s="14"/>
      <c r="CG156" s="14"/>
      <c r="CH156" s="14"/>
      <c r="CI156" s="14"/>
      <c r="CJ156" s="14"/>
      <c r="CK156" s="14"/>
      <c r="CL156" s="14"/>
      <c r="CM156" s="14"/>
      <c r="CN156" s="14"/>
      <c r="CO156" s="14"/>
      <c r="CP156" s="14"/>
      <c r="CQ156" s="14"/>
      <c r="CR156" s="14"/>
      <c r="CS156" s="14"/>
      <c r="CT156" s="14"/>
      <c r="CU156" s="14"/>
      <c r="CV156" s="14"/>
      <c r="CW156" s="14"/>
      <c r="CX156" s="14"/>
      <c r="CY156" s="14"/>
      <c r="CZ156" s="14"/>
      <c r="DA156" s="14"/>
      <c r="DB156" s="14"/>
      <c r="DC156" s="14"/>
      <c r="DD156" s="14"/>
      <c r="DE156" s="14"/>
      <c r="DF156" s="14"/>
      <c r="DG156" s="14"/>
      <c r="DH156" s="14"/>
      <c r="DI156" s="14"/>
      <c r="DJ156" s="14"/>
      <c r="DK156" s="14"/>
      <c r="DL156" s="14"/>
      <c r="DM156" s="14"/>
      <c r="DN156" s="14"/>
      <c r="DO156" s="14"/>
      <c r="DP156" s="14"/>
      <c r="DQ156" s="14"/>
      <c r="DR156" s="14"/>
      <c r="DS156" s="14"/>
      <c r="DT156" s="14"/>
      <c r="DU156" s="14"/>
      <c r="DV156" s="14"/>
      <c r="DW156" s="14"/>
      <c r="DX156" s="14"/>
      <c r="DY156" s="14"/>
      <c r="DZ156" s="14"/>
      <c r="EA156" s="14"/>
      <c r="EB156" s="14"/>
      <c r="EC156" s="14"/>
    </row>
    <row r="157" spans="1:133" s="13" customFormat="1" x14ac:dyDescent="0.25">
      <c r="A157" s="57" t="s">
        <v>8</v>
      </c>
      <c r="B157" s="58" t="s">
        <v>9</v>
      </c>
      <c r="C157" s="34" t="s">
        <v>10</v>
      </c>
      <c r="D157" s="34" t="s">
        <v>340</v>
      </c>
      <c r="E157" s="16" t="s">
        <v>65</v>
      </c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  <c r="AI157" s="14"/>
      <c r="AJ157" s="14"/>
      <c r="AK157" s="14"/>
      <c r="AL157" s="14"/>
      <c r="AM157" s="14"/>
      <c r="AN157" s="14"/>
      <c r="AO157" s="14"/>
      <c r="AP157" s="14"/>
      <c r="AQ157" s="14"/>
      <c r="AR157" s="14"/>
      <c r="AS157" s="14"/>
      <c r="AT157" s="14"/>
      <c r="AU157" s="14"/>
      <c r="AV157" s="14"/>
      <c r="AW157" s="14"/>
      <c r="AX157" s="14"/>
      <c r="AY157" s="14"/>
      <c r="AZ157" s="14"/>
      <c r="BA157" s="14"/>
      <c r="BB157" s="14"/>
      <c r="BC157" s="14"/>
      <c r="BD157" s="14"/>
      <c r="BE157" s="14"/>
      <c r="BF157" s="14"/>
      <c r="BG157" s="14"/>
      <c r="BH157" s="14"/>
      <c r="BI157" s="14"/>
      <c r="BJ157" s="14"/>
      <c r="BK157" s="14"/>
      <c r="BL157" s="14"/>
      <c r="BM157" s="14"/>
      <c r="BN157" s="14"/>
      <c r="BO157" s="14"/>
      <c r="BP157" s="14"/>
      <c r="BQ157" s="14"/>
      <c r="BR157" s="14"/>
      <c r="BS157" s="14"/>
      <c r="BT157" s="14"/>
      <c r="BU157" s="14"/>
      <c r="BV157" s="14"/>
      <c r="BW157" s="14"/>
      <c r="BX157" s="14"/>
      <c r="BY157" s="14"/>
      <c r="BZ157" s="14"/>
      <c r="CA157" s="14"/>
      <c r="CB157" s="14"/>
      <c r="CC157" s="14"/>
      <c r="CD157" s="14"/>
      <c r="CE157" s="14"/>
      <c r="CF157" s="14"/>
      <c r="CG157" s="14"/>
      <c r="CH157" s="14"/>
      <c r="CI157" s="14"/>
      <c r="CJ157" s="14"/>
      <c r="CK157" s="14"/>
      <c r="CL157" s="14"/>
      <c r="CM157" s="14"/>
      <c r="CN157" s="14"/>
      <c r="CO157" s="14"/>
      <c r="CP157" s="14"/>
      <c r="CQ157" s="14"/>
      <c r="CR157" s="14"/>
      <c r="CS157" s="14"/>
      <c r="CT157" s="14"/>
      <c r="CU157" s="14"/>
      <c r="CV157" s="14"/>
      <c r="CW157" s="14"/>
      <c r="CX157" s="14"/>
      <c r="CY157" s="14"/>
      <c r="CZ157" s="14"/>
      <c r="DA157" s="14"/>
      <c r="DB157" s="14"/>
      <c r="DC157" s="14"/>
      <c r="DD157" s="14"/>
      <c r="DE157" s="14"/>
      <c r="DF157" s="14"/>
      <c r="DG157" s="14"/>
      <c r="DH157" s="14"/>
      <c r="DI157" s="14"/>
      <c r="DJ157" s="14"/>
      <c r="DK157" s="14"/>
      <c r="DL157" s="14"/>
      <c r="DM157" s="14"/>
      <c r="DN157" s="14"/>
      <c r="DO157" s="14"/>
      <c r="DP157" s="14"/>
      <c r="DQ157" s="14"/>
      <c r="DR157" s="14"/>
      <c r="DS157" s="14"/>
      <c r="DT157" s="14"/>
      <c r="DU157" s="14"/>
      <c r="DV157" s="14"/>
      <c r="DW157" s="14"/>
      <c r="DX157" s="14"/>
      <c r="DY157" s="14"/>
      <c r="DZ157" s="14"/>
      <c r="EA157" s="14"/>
      <c r="EB157" s="14"/>
      <c r="EC157" s="14"/>
    </row>
    <row r="158" spans="1:133" s="13" customFormat="1" ht="64.8" x14ac:dyDescent="0.25">
      <c r="A158" s="15" t="s">
        <v>94</v>
      </c>
      <c r="B158" s="25" t="s">
        <v>95</v>
      </c>
      <c r="C158" s="35" t="s">
        <v>96</v>
      </c>
      <c r="D158" s="35" t="s">
        <v>97</v>
      </c>
      <c r="E158" s="16">
        <v>0</v>
      </c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  <c r="AI158" s="14"/>
      <c r="AJ158" s="14"/>
      <c r="AK158" s="14"/>
      <c r="AL158" s="14"/>
      <c r="AM158" s="14"/>
      <c r="AN158" s="14"/>
      <c r="AO158" s="14"/>
      <c r="AP158" s="14"/>
      <c r="AQ158" s="14"/>
      <c r="AR158" s="14"/>
      <c r="AS158" s="14"/>
      <c r="AT158" s="14"/>
      <c r="AU158" s="14"/>
      <c r="AV158" s="14"/>
      <c r="AW158" s="14"/>
      <c r="AX158" s="14"/>
      <c r="AY158" s="14"/>
      <c r="AZ158" s="14"/>
      <c r="BA158" s="14"/>
      <c r="BB158" s="14"/>
      <c r="BC158" s="14"/>
      <c r="BD158" s="14"/>
      <c r="BE158" s="14"/>
      <c r="BF158" s="14"/>
      <c r="BG158" s="14"/>
      <c r="BH158" s="14"/>
      <c r="BI158" s="14"/>
      <c r="BJ158" s="14"/>
      <c r="BK158" s="14"/>
      <c r="BL158" s="14"/>
      <c r="BM158" s="14"/>
      <c r="BN158" s="14"/>
      <c r="BO158" s="14"/>
      <c r="BP158" s="14"/>
      <c r="BQ158" s="14"/>
      <c r="BR158" s="14"/>
      <c r="BS158" s="14"/>
      <c r="BT158" s="14"/>
      <c r="BU158" s="14"/>
      <c r="BV158" s="14"/>
      <c r="BW158" s="14"/>
      <c r="BX158" s="14"/>
      <c r="BY158" s="14"/>
      <c r="BZ158" s="14"/>
      <c r="CA158" s="14"/>
      <c r="CB158" s="14"/>
      <c r="CC158" s="14"/>
      <c r="CD158" s="14"/>
      <c r="CE158" s="14"/>
      <c r="CF158" s="14"/>
      <c r="CG158" s="14"/>
      <c r="CH158" s="14"/>
      <c r="CI158" s="14"/>
      <c r="CJ158" s="14"/>
      <c r="CK158" s="14"/>
      <c r="CL158" s="14"/>
      <c r="CM158" s="14"/>
      <c r="CN158" s="14"/>
      <c r="CO158" s="14"/>
      <c r="CP158" s="14"/>
      <c r="CQ158" s="14"/>
      <c r="CR158" s="14"/>
      <c r="CS158" s="14"/>
      <c r="CT158" s="14"/>
      <c r="CU158" s="14"/>
      <c r="CV158" s="14"/>
      <c r="CW158" s="14"/>
      <c r="CX158" s="14"/>
      <c r="CY158" s="14"/>
      <c r="CZ158" s="14"/>
      <c r="DA158" s="14"/>
      <c r="DB158" s="14"/>
      <c r="DC158" s="14"/>
      <c r="DD158" s="14"/>
      <c r="DE158" s="14"/>
      <c r="DF158" s="14"/>
      <c r="DG158" s="14"/>
      <c r="DH158" s="14"/>
      <c r="DI158" s="14"/>
      <c r="DJ158" s="14"/>
      <c r="DK158" s="14"/>
      <c r="DL158" s="14"/>
      <c r="DM158" s="14"/>
      <c r="DN158" s="14"/>
      <c r="DO158" s="14"/>
      <c r="DP158" s="14"/>
      <c r="DQ158" s="14"/>
      <c r="DR158" s="14"/>
      <c r="DS158" s="14"/>
      <c r="DT158" s="14"/>
      <c r="DU158" s="14"/>
      <c r="DV158" s="14"/>
      <c r="DW158" s="14"/>
      <c r="DX158" s="14"/>
      <c r="DY158" s="14"/>
      <c r="DZ158" s="14"/>
      <c r="EA158" s="14"/>
      <c r="EB158" s="14"/>
      <c r="EC158" s="14"/>
    </row>
    <row r="160" spans="1:133" x14ac:dyDescent="0.25">
      <c r="A160" s="158" t="s">
        <v>98</v>
      </c>
      <c r="B160" s="158"/>
      <c r="C160" s="158"/>
      <c r="D160" s="158"/>
      <c r="E160" s="158"/>
    </row>
    <row r="161" spans="1:133" x14ac:dyDescent="0.25">
      <c r="A161" s="57" t="s">
        <v>8</v>
      </c>
      <c r="B161" s="58" t="s">
        <v>9</v>
      </c>
      <c r="C161" s="34" t="s">
        <v>10</v>
      </c>
      <c r="D161" s="34" t="s">
        <v>340</v>
      </c>
      <c r="E161" s="16" t="s">
        <v>65</v>
      </c>
    </row>
    <row r="162" spans="1:133" ht="49.2" x14ac:dyDescent="0.25">
      <c r="A162" s="15" t="s">
        <v>99</v>
      </c>
      <c r="B162" s="25" t="s">
        <v>95</v>
      </c>
      <c r="C162" s="35" t="s">
        <v>100</v>
      </c>
      <c r="D162" s="35" t="s">
        <v>101</v>
      </c>
      <c r="E162" s="16">
        <v>0</v>
      </c>
    </row>
    <row r="164" spans="1:133" x14ac:dyDescent="0.25">
      <c r="A164" s="57" t="s">
        <v>8</v>
      </c>
      <c r="B164" s="58" t="s">
        <v>9</v>
      </c>
      <c r="C164" s="34" t="s">
        <v>10</v>
      </c>
      <c r="D164" s="34" t="s">
        <v>340</v>
      </c>
      <c r="E164" s="16" t="s">
        <v>65</v>
      </c>
    </row>
    <row r="165" spans="1:133" ht="18" x14ac:dyDescent="0.25">
      <c r="A165" s="59" t="s">
        <v>102</v>
      </c>
      <c r="B165" s="25" t="s">
        <v>103</v>
      </c>
      <c r="C165" s="35" t="s">
        <v>104</v>
      </c>
      <c r="D165" s="53" t="s">
        <v>380</v>
      </c>
      <c r="E165" s="18">
        <f>ROUNDDOWN(E115+E146+E141+E158+E162,0)</f>
        <v>761</v>
      </c>
    </row>
    <row r="166" spans="1:133" s="167" customFormat="1" ht="43.2" customHeight="1" x14ac:dyDescent="0.25">
      <c r="A166" s="167" t="s">
        <v>223</v>
      </c>
    </row>
    <row r="167" spans="1:133" s="56" customFormat="1" ht="31.2" x14ac:dyDescent="0.25">
      <c r="A167" s="92" t="s">
        <v>8</v>
      </c>
      <c r="B167" s="93" t="s">
        <v>9</v>
      </c>
      <c r="C167" s="94" t="s">
        <v>10</v>
      </c>
      <c r="D167" s="93" t="s">
        <v>341</v>
      </c>
      <c r="E167" s="93" t="s">
        <v>11</v>
      </c>
      <c r="F167" s="16" t="s">
        <v>312</v>
      </c>
      <c r="G167" s="16" t="s">
        <v>313</v>
      </c>
      <c r="H167" s="16" t="s">
        <v>314</v>
      </c>
      <c r="I167" s="16" t="s">
        <v>315</v>
      </c>
      <c r="J167" s="16" t="s">
        <v>316</v>
      </c>
      <c r="K167" s="16" t="s">
        <v>317</v>
      </c>
      <c r="L167" s="16" t="s">
        <v>318</v>
      </c>
      <c r="M167" s="16" t="s">
        <v>319</v>
      </c>
      <c r="N167" s="16" t="s">
        <v>320</v>
      </c>
      <c r="O167" s="16" t="s">
        <v>293</v>
      </c>
      <c r="P167" s="16" t="s">
        <v>294</v>
      </c>
      <c r="Q167" s="16" t="s">
        <v>295</v>
      </c>
      <c r="R167" s="54"/>
      <c r="S167" s="54"/>
      <c r="T167" s="54"/>
      <c r="U167" s="54"/>
      <c r="V167" s="54"/>
      <c r="W167" s="54"/>
      <c r="X167" s="54"/>
      <c r="Y167" s="54"/>
      <c r="Z167" s="54"/>
      <c r="AA167" s="54"/>
      <c r="AB167" s="54"/>
      <c r="AC167" s="54"/>
      <c r="AD167" s="54"/>
      <c r="AE167" s="54"/>
      <c r="AF167" s="54"/>
      <c r="AG167" s="54"/>
      <c r="AH167" s="54"/>
      <c r="AI167" s="54"/>
      <c r="AJ167" s="54"/>
      <c r="AK167" s="54"/>
      <c r="AL167" s="54"/>
      <c r="AM167" s="54"/>
      <c r="AN167" s="54"/>
      <c r="AO167" s="54"/>
      <c r="AP167" s="54"/>
      <c r="AQ167" s="54"/>
      <c r="AR167" s="54"/>
      <c r="AS167" s="54"/>
      <c r="AT167" s="54"/>
      <c r="AU167" s="54"/>
      <c r="AV167" s="54"/>
      <c r="AW167" s="54"/>
      <c r="AX167" s="54"/>
      <c r="AY167" s="54"/>
      <c r="AZ167" s="54"/>
      <c r="BA167" s="54"/>
      <c r="BB167" s="54"/>
      <c r="BC167" s="54"/>
      <c r="BD167" s="54"/>
      <c r="BE167" s="54"/>
      <c r="BF167" s="54"/>
      <c r="BG167" s="54"/>
      <c r="BH167" s="54"/>
      <c r="BI167" s="54"/>
      <c r="BJ167" s="54"/>
      <c r="BK167" s="54"/>
      <c r="BL167" s="54"/>
      <c r="BM167" s="54"/>
      <c r="BN167" s="54"/>
      <c r="BO167" s="54"/>
      <c r="BP167" s="54"/>
      <c r="BQ167" s="54"/>
      <c r="BR167" s="54"/>
      <c r="BS167" s="54"/>
      <c r="BT167" s="54"/>
      <c r="BU167" s="54"/>
      <c r="BV167" s="54"/>
      <c r="BW167" s="54"/>
      <c r="BX167" s="54"/>
      <c r="BY167" s="54"/>
      <c r="BZ167" s="54"/>
      <c r="CA167" s="54"/>
      <c r="CB167" s="54"/>
      <c r="CC167" s="54"/>
      <c r="CD167" s="54"/>
      <c r="CE167" s="54"/>
      <c r="CF167" s="54"/>
      <c r="CG167" s="54"/>
      <c r="CH167" s="54"/>
      <c r="CI167" s="54"/>
      <c r="CJ167" s="54"/>
      <c r="CK167" s="54"/>
      <c r="CL167" s="54"/>
      <c r="CM167" s="54"/>
      <c r="CN167" s="54"/>
      <c r="CO167" s="54"/>
      <c r="CP167" s="54"/>
      <c r="CQ167" s="54"/>
      <c r="CR167" s="54"/>
      <c r="CS167" s="54"/>
      <c r="CT167" s="54"/>
      <c r="CU167" s="54"/>
      <c r="CV167" s="54"/>
      <c r="CW167" s="54"/>
      <c r="CX167" s="54"/>
      <c r="CY167" s="54"/>
      <c r="CZ167" s="54"/>
      <c r="DA167" s="54"/>
      <c r="DB167" s="54"/>
      <c r="DC167" s="54"/>
      <c r="DD167" s="54"/>
      <c r="DE167" s="54"/>
      <c r="DF167" s="54"/>
      <c r="DG167" s="54"/>
      <c r="DH167" s="54"/>
      <c r="DI167" s="54"/>
      <c r="DJ167" s="54"/>
      <c r="DK167" s="54"/>
      <c r="DL167" s="54"/>
      <c r="DM167" s="54"/>
      <c r="DN167" s="54"/>
      <c r="DO167" s="54"/>
      <c r="DP167" s="54"/>
      <c r="DQ167" s="54"/>
      <c r="DR167" s="54"/>
      <c r="DS167" s="54"/>
      <c r="DT167" s="54"/>
      <c r="DU167" s="54"/>
      <c r="DV167" s="54"/>
      <c r="DW167" s="54"/>
      <c r="DX167" s="54"/>
      <c r="DY167" s="54"/>
      <c r="DZ167" s="54"/>
      <c r="EA167" s="54"/>
      <c r="EB167" s="54"/>
      <c r="EC167" s="54"/>
    </row>
    <row r="168" spans="1:133" s="56" customFormat="1" x14ac:dyDescent="0.25">
      <c r="A168" s="178" t="s">
        <v>12</v>
      </c>
      <c r="B168" s="178"/>
      <c r="C168" s="179"/>
      <c r="D168" s="179"/>
      <c r="E168" s="178"/>
      <c r="F168" s="16">
        <v>31</v>
      </c>
      <c r="G168" s="16">
        <v>28</v>
      </c>
      <c r="H168" s="16">
        <v>31</v>
      </c>
      <c r="I168" s="16">
        <v>30</v>
      </c>
      <c r="J168" s="16">
        <v>31</v>
      </c>
      <c r="K168" s="16">
        <v>30</v>
      </c>
      <c r="L168" s="16">
        <v>31</v>
      </c>
      <c r="M168" s="16">
        <v>31</v>
      </c>
      <c r="N168" s="16">
        <v>30</v>
      </c>
      <c r="O168" s="16">
        <v>31</v>
      </c>
      <c r="P168" s="16">
        <v>30</v>
      </c>
      <c r="Q168" s="16">
        <v>31</v>
      </c>
      <c r="R168" s="54"/>
      <c r="S168" s="54"/>
      <c r="T168" s="54"/>
      <c r="U168" s="54"/>
      <c r="V168" s="54"/>
      <c r="W168" s="54"/>
      <c r="X168" s="54"/>
      <c r="Y168" s="54"/>
      <c r="Z168" s="54"/>
      <c r="AA168" s="54"/>
      <c r="AB168" s="54"/>
      <c r="AC168" s="54"/>
      <c r="AD168" s="54"/>
      <c r="AE168" s="54"/>
      <c r="AF168" s="54"/>
      <c r="AG168" s="54"/>
      <c r="AH168" s="54"/>
      <c r="AI168" s="54"/>
      <c r="AJ168" s="54"/>
      <c r="AK168" s="54"/>
      <c r="AL168" s="54"/>
      <c r="AM168" s="54"/>
      <c r="AN168" s="54"/>
      <c r="AO168" s="54"/>
      <c r="AP168" s="54"/>
      <c r="AQ168" s="54"/>
      <c r="AR168" s="54"/>
      <c r="AS168" s="54"/>
      <c r="AT168" s="54"/>
      <c r="AU168" s="54"/>
      <c r="AV168" s="54"/>
      <c r="AW168" s="54"/>
      <c r="AX168" s="54"/>
      <c r="AY168" s="54"/>
      <c r="AZ168" s="54"/>
      <c r="BA168" s="54"/>
      <c r="BB168" s="54"/>
      <c r="BC168" s="54"/>
      <c r="BD168" s="54"/>
      <c r="BE168" s="54"/>
      <c r="BF168" s="54"/>
      <c r="BG168" s="54"/>
      <c r="BH168" s="54"/>
      <c r="BI168" s="54"/>
      <c r="BJ168" s="54"/>
      <c r="BK168" s="54"/>
      <c r="BL168" s="54"/>
      <c r="BM168" s="54"/>
      <c r="BN168" s="54"/>
      <c r="BO168" s="54"/>
      <c r="BP168" s="54"/>
      <c r="BQ168" s="54"/>
      <c r="BR168" s="54"/>
      <c r="BS168" s="54"/>
      <c r="BT168" s="54"/>
      <c r="BU168" s="54"/>
      <c r="BV168" s="54"/>
      <c r="BW168" s="54"/>
      <c r="BX168" s="54"/>
      <c r="BY168" s="54"/>
      <c r="BZ168" s="54"/>
      <c r="CA168" s="54"/>
      <c r="CB168" s="54"/>
      <c r="CC168" s="54"/>
      <c r="CD168" s="54"/>
      <c r="CE168" s="54"/>
      <c r="CF168" s="54"/>
      <c r="CG168" s="54"/>
      <c r="CH168" s="54"/>
      <c r="CI168" s="54"/>
      <c r="CJ168" s="54"/>
      <c r="CK168" s="54"/>
      <c r="CL168" s="54"/>
      <c r="CM168" s="54"/>
      <c r="CN168" s="54"/>
      <c r="CO168" s="54"/>
      <c r="CP168" s="54"/>
      <c r="CQ168" s="54"/>
      <c r="CR168" s="54"/>
      <c r="CS168" s="54"/>
      <c r="CT168" s="54"/>
      <c r="CU168" s="54"/>
      <c r="CV168" s="54"/>
      <c r="CW168" s="54"/>
      <c r="CX168" s="54"/>
      <c r="CY168" s="54"/>
      <c r="CZ168" s="54"/>
      <c r="DA168" s="54"/>
      <c r="DB168" s="54"/>
      <c r="DC168" s="54"/>
      <c r="DD168" s="54"/>
      <c r="DE168" s="54"/>
      <c r="DF168" s="54"/>
      <c r="DG168" s="54"/>
      <c r="DH168" s="54"/>
      <c r="DI168" s="54"/>
      <c r="DJ168" s="54"/>
      <c r="DK168" s="54"/>
      <c r="DL168" s="54"/>
      <c r="DM168" s="54"/>
      <c r="DN168" s="54"/>
      <c r="DO168" s="54"/>
      <c r="DP168" s="54"/>
      <c r="DQ168" s="54"/>
      <c r="DR168" s="54"/>
      <c r="DS168" s="54"/>
      <c r="DT168" s="54"/>
      <c r="DU168" s="54"/>
      <c r="DV168" s="54"/>
      <c r="DW168" s="54"/>
      <c r="DX168" s="54"/>
      <c r="DY168" s="54"/>
      <c r="DZ168" s="54"/>
      <c r="EA168" s="54"/>
      <c r="EB168" s="54"/>
      <c r="EC168" s="54"/>
    </row>
    <row r="169" spans="1:133" ht="46.8" x14ac:dyDescent="0.25">
      <c r="A169" s="59" t="s">
        <v>13</v>
      </c>
      <c r="B169" s="60" t="s">
        <v>14</v>
      </c>
      <c r="C169" s="53" t="s">
        <v>15</v>
      </c>
      <c r="D169" s="53" t="s">
        <v>369</v>
      </c>
      <c r="E169" s="61">
        <f>SUM(F169:Q169)</f>
        <v>2581.2625912372041</v>
      </c>
      <c r="F169" s="62">
        <f>$E$170*$E$171*F172*$E$183</f>
        <v>211.27747744849449</v>
      </c>
      <c r="G169" s="62">
        <f t="shared" ref="G169:Q169" si="21">$E$170*$E$171*G172*$E$183</f>
        <v>190.72967086000241</v>
      </c>
      <c r="H169" s="62">
        <f t="shared" si="21"/>
        <v>211.21691189264507</v>
      </c>
      <c r="I169" s="62">
        <f t="shared" si="21"/>
        <v>204.34266955141305</v>
      </c>
      <c r="J169" s="62">
        <f t="shared" si="21"/>
        <v>232.16563819888799</v>
      </c>
      <c r="K169" s="62">
        <f t="shared" si="21"/>
        <v>214.89597427142283</v>
      </c>
      <c r="L169" s="62">
        <f t="shared" si="21"/>
        <v>221.85530528593617</v>
      </c>
      <c r="M169" s="62">
        <f t="shared" si="21"/>
        <v>222.15990948216213</v>
      </c>
      <c r="N169" s="62">
        <f t="shared" si="21"/>
        <v>224.75217282920804</v>
      </c>
      <c r="O169" s="62">
        <f t="shared" si="21"/>
        <v>232.09388818862857</v>
      </c>
      <c r="P169" s="62">
        <f t="shared" si="21"/>
        <v>204.52620300213411</v>
      </c>
      <c r="Q169" s="62">
        <f t="shared" si="21"/>
        <v>211.24677022626943</v>
      </c>
    </row>
    <row r="170" spans="1:133" ht="31.2" x14ac:dyDescent="0.25">
      <c r="A170" s="63" t="s">
        <v>16</v>
      </c>
      <c r="B170" s="60" t="s">
        <v>193</v>
      </c>
      <c r="C170" s="35" t="s">
        <v>17</v>
      </c>
      <c r="D170" s="35" t="s">
        <v>205</v>
      </c>
      <c r="E170" s="176">
        <v>28</v>
      </c>
      <c r="F170" s="176"/>
      <c r="G170" s="176"/>
      <c r="H170" s="176"/>
      <c r="I170" s="176"/>
      <c r="J170" s="176"/>
      <c r="K170" s="176"/>
      <c r="L170" s="176"/>
      <c r="M170" s="176"/>
      <c r="N170" s="176"/>
      <c r="O170" s="176"/>
      <c r="P170" s="176"/>
      <c r="Q170" s="176"/>
    </row>
    <row r="171" spans="1:133" ht="64.8" x14ac:dyDescent="0.25">
      <c r="A171" s="63" t="s">
        <v>18</v>
      </c>
      <c r="B171" s="25" t="s">
        <v>194</v>
      </c>
      <c r="C171" s="35" t="s">
        <v>20</v>
      </c>
      <c r="D171" s="35" t="s">
        <v>394</v>
      </c>
      <c r="E171" s="176">
        <v>0.21</v>
      </c>
      <c r="F171" s="176"/>
      <c r="G171" s="176"/>
      <c r="H171" s="176"/>
      <c r="I171" s="176"/>
      <c r="J171" s="176"/>
      <c r="K171" s="176"/>
      <c r="L171" s="176"/>
      <c r="M171" s="176"/>
      <c r="N171" s="176"/>
      <c r="O171" s="176"/>
      <c r="P171" s="176"/>
      <c r="Q171" s="176"/>
    </row>
    <row r="172" spans="1:133" ht="46.8" x14ac:dyDescent="0.25">
      <c r="A172" s="35" t="s">
        <v>21</v>
      </c>
      <c r="B172" s="25" t="s">
        <v>195</v>
      </c>
      <c r="C172" s="53" t="s">
        <v>22</v>
      </c>
      <c r="D172" s="53" t="s">
        <v>370</v>
      </c>
      <c r="E172" s="64">
        <f t="shared" ref="E172:Q172" si="22">E180*E173</f>
        <v>743.96117964170048</v>
      </c>
      <c r="F172" s="64">
        <f t="shared" si="22"/>
        <v>60.89354949314437</v>
      </c>
      <c r="G172" s="64">
        <f t="shared" si="22"/>
        <v>54.971342864295693</v>
      </c>
      <c r="H172" s="64">
        <f t="shared" si="22"/>
        <v>60.876093530884518</v>
      </c>
      <c r="I172" s="64">
        <f t="shared" si="22"/>
        <v>58.894826898544473</v>
      </c>
      <c r="J172" s="64">
        <f t="shared" si="22"/>
        <v>66.913851637204758</v>
      </c>
      <c r="K172" s="64">
        <f t="shared" si="22"/>
        <v>61.936458174366614</v>
      </c>
      <c r="L172" s="64">
        <f t="shared" si="22"/>
        <v>63.942248723786399</v>
      </c>
      <c r="M172" s="64">
        <f t="shared" si="22"/>
        <v>64.030040526882061</v>
      </c>
      <c r="N172" s="64">
        <f t="shared" si="22"/>
        <v>64.777172300362679</v>
      </c>
      <c r="O172" s="64">
        <f t="shared" si="22"/>
        <v>66.893172136229879</v>
      </c>
      <c r="P172" s="64">
        <f t="shared" si="22"/>
        <v>58.947724175623399</v>
      </c>
      <c r="Q172" s="64">
        <f t="shared" si="22"/>
        <v>60.884699180375868</v>
      </c>
    </row>
    <row r="173" spans="1:133" ht="46.8" x14ac:dyDescent="0.25">
      <c r="A173" s="35" t="s">
        <v>23</v>
      </c>
      <c r="B173" s="25" t="s">
        <v>197</v>
      </c>
      <c r="C173" s="35" t="s">
        <v>191</v>
      </c>
      <c r="D173" s="35" t="s">
        <v>371</v>
      </c>
      <c r="E173" s="20">
        <f>SUM(F173:Q173)</f>
        <v>782.77537672647657</v>
      </c>
      <c r="F173" s="20">
        <f>F175*F178</f>
        <v>64.07050858173119</v>
      </c>
      <c r="G173" s="20">
        <f t="shared" ref="G173:Q173" si="23">G175*G178</f>
        <v>57.8393265633607</v>
      </c>
      <c r="H173" s="20">
        <f t="shared" si="23"/>
        <v>64.052141901038709</v>
      </c>
      <c r="I173" s="20">
        <f t="shared" si="23"/>
        <v>61.967507948400886</v>
      </c>
      <c r="J173" s="20">
        <f t="shared" si="23"/>
        <v>70.404903988079809</v>
      </c>
      <c r="K173" s="20">
        <f t="shared" si="23"/>
        <v>65.167828251325005</v>
      </c>
      <c r="L173" s="20">
        <f t="shared" si="23"/>
        <v>67.278265591231161</v>
      </c>
      <c r="M173" s="20">
        <f t="shared" si="23"/>
        <v>67.370637698301053</v>
      </c>
      <c r="N173" s="20">
        <f t="shared" si="23"/>
        <v>68.156749086172496</v>
      </c>
      <c r="O173" s="20">
        <f t="shared" si="23"/>
        <v>70.383145589108068</v>
      </c>
      <c r="P173" s="20">
        <f t="shared" si="23"/>
        <v>62.023165000309433</v>
      </c>
      <c r="Q173" s="20">
        <f t="shared" si="23"/>
        <v>64.061196527418289</v>
      </c>
    </row>
    <row r="174" spans="1:133" ht="62.4" x14ac:dyDescent="0.25">
      <c r="A174" s="17" t="s">
        <v>335</v>
      </c>
      <c r="B174" s="60" t="s">
        <v>192</v>
      </c>
      <c r="C174" s="35" t="s">
        <v>25</v>
      </c>
      <c r="D174" s="35" t="s">
        <v>333</v>
      </c>
      <c r="E174" s="121">
        <f>AVERAGE(F174:Q174)</f>
        <v>5090.7338343253969</v>
      </c>
      <c r="F174" s="121">
        <v>4850.8558709677409</v>
      </c>
      <c r="G174" s="121">
        <v>4850.7596785714286</v>
      </c>
      <c r="H174" s="121">
        <v>4849.2389032258061</v>
      </c>
      <c r="I174" s="121">
        <v>4848.3005000000012</v>
      </c>
      <c r="J174" s="121">
        <v>5330.3296451612887</v>
      </c>
      <c r="K174" s="121">
        <v>5330.723500000001</v>
      </c>
      <c r="L174" s="121">
        <v>5331.1532580645153</v>
      </c>
      <c r="M174" s="121">
        <v>5332.8525806451598</v>
      </c>
      <c r="N174" s="121">
        <v>5330.6492999999991</v>
      </c>
      <c r="O174" s="121">
        <v>5331.5650645161286</v>
      </c>
      <c r="P174" s="121">
        <v>4851.3270333333321</v>
      </c>
      <c r="Q174" s="121">
        <v>4851.0506774193545</v>
      </c>
    </row>
    <row r="175" spans="1:133" ht="46.8" x14ac:dyDescent="0.25">
      <c r="A175" s="35" t="s">
        <v>26</v>
      </c>
      <c r="B175" s="60" t="s">
        <v>198</v>
      </c>
      <c r="C175" s="35" t="s">
        <v>27</v>
      </c>
      <c r="D175" s="35" t="s">
        <v>206</v>
      </c>
      <c r="E175" s="65">
        <f>SUM(F175:Q175)</f>
        <v>1858839.7069999997</v>
      </c>
      <c r="F175" s="65">
        <f>F174*F168</f>
        <v>150376.53199999998</v>
      </c>
      <c r="G175" s="65">
        <f t="shared" ref="G175:Q175" si="24">G174*G168</f>
        <v>135821.27100000001</v>
      </c>
      <c r="H175" s="65">
        <f t="shared" si="24"/>
        <v>150326.40599999999</v>
      </c>
      <c r="I175" s="65">
        <f t="shared" si="24"/>
        <v>145449.01500000004</v>
      </c>
      <c r="J175" s="65">
        <f t="shared" si="24"/>
        <v>165240.21899999995</v>
      </c>
      <c r="K175" s="65">
        <f t="shared" si="24"/>
        <v>159921.70500000002</v>
      </c>
      <c r="L175" s="65">
        <f t="shared" si="24"/>
        <v>165265.75099999996</v>
      </c>
      <c r="M175" s="65">
        <f t="shared" si="24"/>
        <v>165318.42999999996</v>
      </c>
      <c r="N175" s="65">
        <f t="shared" si="24"/>
        <v>159919.47899999996</v>
      </c>
      <c r="O175" s="65">
        <f t="shared" si="24"/>
        <v>165278.51699999999</v>
      </c>
      <c r="P175" s="65">
        <f t="shared" si="24"/>
        <v>145539.81099999996</v>
      </c>
      <c r="Q175" s="65">
        <f t="shared" si="24"/>
        <v>150382.571</v>
      </c>
    </row>
    <row r="176" spans="1:133" ht="62.4" x14ac:dyDescent="0.25">
      <c r="A176" s="35" t="s">
        <v>28</v>
      </c>
      <c r="B176" s="60" t="s">
        <v>199</v>
      </c>
      <c r="C176" s="35" t="s">
        <v>29</v>
      </c>
      <c r="D176" s="35" t="s">
        <v>332</v>
      </c>
      <c r="E176" s="125">
        <f>AVERAGE(F176:Q176)</f>
        <v>421.36830377741882</v>
      </c>
      <c r="F176" s="125">
        <v>426.06720430107538</v>
      </c>
      <c r="G176" s="125">
        <v>425.84880952380939</v>
      </c>
      <c r="H176" s="125">
        <v>426.08709677419358</v>
      </c>
      <c r="I176" s="125">
        <v>426.04281609195408</v>
      </c>
      <c r="J176" s="125">
        <v>426.07607526881714</v>
      </c>
      <c r="K176" s="125">
        <v>407.49833333333333</v>
      </c>
      <c r="L176" s="125">
        <v>407.09139784946234</v>
      </c>
      <c r="M176" s="125">
        <v>407.52043010752681</v>
      </c>
      <c r="N176" s="125">
        <v>426.19416666666672</v>
      </c>
      <c r="O176" s="125">
        <v>425.84569892473127</v>
      </c>
      <c r="P176" s="125">
        <v>426.15944444444449</v>
      </c>
      <c r="Q176" s="125">
        <v>425.98817204301082</v>
      </c>
    </row>
    <row r="177" spans="1:133" ht="62.4" x14ac:dyDescent="0.25">
      <c r="A177" s="35" t="s">
        <v>30</v>
      </c>
      <c r="B177" s="60" t="s">
        <v>199</v>
      </c>
      <c r="C177" s="35" t="s">
        <v>31</v>
      </c>
      <c r="D177" s="35" t="s">
        <v>331</v>
      </c>
      <c r="E177" s="126">
        <f>AVERAGE(F177:Q177)</f>
        <v>19.9919682896487</v>
      </c>
      <c r="F177" s="125">
        <v>19.629032258064516</v>
      </c>
      <c r="G177" s="125">
        <v>19.830654761904761</v>
      </c>
      <c r="H177" s="125">
        <v>19.966935483870966</v>
      </c>
      <c r="I177" s="125">
        <v>20.099425287356322</v>
      </c>
      <c r="J177" s="125">
        <v>19.981451612903228</v>
      </c>
      <c r="K177" s="125">
        <v>19.648333333333333</v>
      </c>
      <c r="L177" s="125">
        <v>20.374731182795699</v>
      </c>
      <c r="M177" s="125">
        <v>20.375537634408605</v>
      </c>
      <c r="N177" s="125">
        <v>20.080277777777777</v>
      </c>
      <c r="O177" s="125">
        <v>19.758333333333336</v>
      </c>
      <c r="P177" s="125">
        <v>20.059444444444452</v>
      </c>
      <c r="Q177" s="125">
        <v>20.099462365591396</v>
      </c>
    </row>
    <row r="178" spans="1:133" ht="62.4" x14ac:dyDescent="0.25">
      <c r="A178" s="35" t="s">
        <v>32</v>
      </c>
      <c r="B178" s="60" t="s">
        <v>200</v>
      </c>
      <c r="C178" s="35" t="s">
        <v>34</v>
      </c>
      <c r="D178" s="35" t="s">
        <v>338</v>
      </c>
      <c r="E178" s="122">
        <f>E176/1000000</f>
        <v>4.2136830377741884E-4</v>
      </c>
      <c r="F178" s="120">
        <f>F176/1000000</f>
        <v>4.2606720430107538E-4</v>
      </c>
      <c r="G178" s="120">
        <f t="shared" ref="G178:Q179" si="25">G176/1000000</f>
        <v>4.2584880952380942E-4</v>
      </c>
      <c r="H178" s="120">
        <f t="shared" si="25"/>
        <v>4.260870967741936E-4</v>
      </c>
      <c r="I178" s="120">
        <f t="shared" si="25"/>
        <v>4.2604281609195406E-4</v>
      </c>
      <c r="J178" s="120">
        <f t="shared" si="25"/>
        <v>4.2607607526881712E-4</v>
      </c>
      <c r="K178" s="120">
        <f t="shared" si="25"/>
        <v>4.0749833333333333E-4</v>
      </c>
      <c r="L178" s="120">
        <f t="shared" si="25"/>
        <v>4.0709139784946235E-4</v>
      </c>
      <c r="M178" s="120">
        <f t="shared" si="25"/>
        <v>4.0752043010752683E-4</v>
      </c>
      <c r="N178" s="120">
        <f t="shared" si="25"/>
        <v>4.2619416666666671E-4</v>
      </c>
      <c r="O178" s="120">
        <f t="shared" si="25"/>
        <v>4.2584569892473124E-4</v>
      </c>
      <c r="P178" s="120">
        <f t="shared" si="25"/>
        <v>4.2615944444444447E-4</v>
      </c>
      <c r="Q178" s="120">
        <f t="shared" si="25"/>
        <v>4.2598817204301083E-4</v>
      </c>
    </row>
    <row r="179" spans="1:133" ht="62.4" x14ac:dyDescent="0.25">
      <c r="A179" s="35" t="s">
        <v>30</v>
      </c>
      <c r="B179" s="60" t="s">
        <v>33</v>
      </c>
      <c r="C179" s="35" t="s">
        <v>35</v>
      </c>
      <c r="D179" s="35" t="s">
        <v>339</v>
      </c>
      <c r="E179" s="122">
        <f>E177/1000000</f>
        <v>1.99919682896487E-5</v>
      </c>
      <c r="F179" s="120">
        <f>F177/1000000</f>
        <v>1.9629032258064517E-5</v>
      </c>
      <c r="G179" s="120">
        <f t="shared" si="25"/>
        <v>1.9830654761904761E-5</v>
      </c>
      <c r="H179" s="120">
        <f t="shared" si="25"/>
        <v>1.9966935483870965E-5</v>
      </c>
      <c r="I179" s="120">
        <f t="shared" si="25"/>
        <v>2.0099425287356321E-5</v>
      </c>
      <c r="J179" s="120">
        <f t="shared" si="25"/>
        <v>1.998145161290323E-5</v>
      </c>
      <c r="K179" s="120">
        <f t="shared" si="25"/>
        <v>1.9648333333333333E-5</v>
      </c>
      <c r="L179" s="120">
        <f t="shared" si="25"/>
        <v>2.0374731182795698E-5</v>
      </c>
      <c r="M179" s="120">
        <f t="shared" si="25"/>
        <v>2.0375537634408605E-5</v>
      </c>
      <c r="N179" s="120">
        <f t="shared" si="25"/>
        <v>2.0080277777777777E-5</v>
      </c>
      <c r="O179" s="120">
        <f t="shared" si="25"/>
        <v>1.9758333333333337E-5</v>
      </c>
      <c r="P179" s="120">
        <f t="shared" si="25"/>
        <v>2.0059444444444452E-5</v>
      </c>
      <c r="Q179" s="120">
        <f t="shared" si="25"/>
        <v>2.0099462365591396E-5</v>
      </c>
    </row>
    <row r="180" spans="1:133" ht="46.8" x14ac:dyDescent="0.25">
      <c r="A180" s="63" t="s">
        <v>36</v>
      </c>
      <c r="B180" s="25" t="s">
        <v>201</v>
      </c>
      <c r="C180" s="35" t="s">
        <v>38</v>
      </c>
      <c r="D180" s="35" t="s">
        <v>368</v>
      </c>
      <c r="E180" s="68">
        <f>(1-(E181/E182))</f>
        <v>0.95041464226034433</v>
      </c>
      <c r="F180" s="68">
        <f>E180</f>
        <v>0.95041464226034433</v>
      </c>
      <c r="G180" s="68">
        <f>E180</f>
        <v>0.95041464226034433</v>
      </c>
      <c r="H180" s="68">
        <f>E180</f>
        <v>0.95041464226034433</v>
      </c>
      <c r="I180" s="68">
        <f>E180</f>
        <v>0.95041464226034433</v>
      </c>
      <c r="J180" s="68">
        <f>E180</f>
        <v>0.95041464226034433</v>
      </c>
      <c r="K180" s="68">
        <f>E180</f>
        <v>0.95041464226034433</v>
      </c>
      <c r="L180" s="68">
        <f>E180</f>
        <v>0.95041464226034433</v>
      </c>
      <c r="M180" s="68">
        <f>E180</f>
        <v>0.95041464226034433</v>
      </c>
      <c r="N180" s="68">
        <f>E180</f>
        <v>0.95041464226034433</v>
      </c>
      <c r="O180" s="68">
        <f>E180</f>
        <v>0.95041464226034433</v>
      </c>
      <c r="P180" s="68">
        <f>E180</f>
        <v>0.95041464226034433</v>
      </c>
      <c r="Q180" s="68">
        <f>E180</f>
        <v>0.95041464226034433</v>
      </c>
    </row>
    <row r="181" spans="1:133" ht="31.2" x14ac:dyDescent="0.25">
      <c r="A181" s="35" t="s">
        <v>39</v>
      </c>
      <c r="B181" s="25" t="s">
        <v>196</v>
      </c>
      <c r="C181" s="35" t="s">
        <v>40</v>
      </c>
      <c r="D181" s="35" t="s">
        <v>351</v>
      </c>
      <c r="E181" s="52">
        <f>SUM(F181:Q181)</f>
        <v>36.991459943999999</v>
      </c>
      <c r="F181" s="52">
        <v>3.1417404336000003</v>
      </c>
      <c r="G181" s="52">
        <v>2.8377010368000004</v>
      </c>
      <c r="H181" s="52">
        <v>3.1417404336000003</v>
      </c>
      <c r="I181" s="52">
        <v>3.0403939680000005</v>
      </c>
      <c r="J181" s="52">
        <v>3.1417404336000003</v>
      </c>
      <c r="K181" s="52">
        <v>3.0403939680000005</v>
      </c>
      <c r="L181" s="52">
        <v>3.1417404336000003</v>
      </c>
      <c r="M181" s="52">
        <v>3.1417404336000003</v>
      </c>
      <c r="N181" s="52">
        <v>3.0403939680000005</v>
      </c>
      <c r="O181" s="52">
        <v>3.1417404336000003</v>
      </c>
      <c r="P181" s="52">
        <v>3.0403939680000005</v>
      </c>
      <c r="Q181" s="52">
        <v>3.1417404336000003</v>
      </c>
    </row>
    <row r="182" spans="1:133" ht="31.2" x14ac:dyDescent="0.25">
      <c r="A182" s="63" t="s">
        <v>41</v>
      </c>
      <c r="B182" s="25" t="s">
        <v>24</v>
      </c>
      <c r="C182" s="35" t="s">
        <v>42</v>
      </c>
      <c r="D182" s="35" t="s">
        <v>351</v>
      </c>
      <c r="E182" s="52">
        <f>SUM(F182:Q182)</f>
        <v>746.01579236800012</v>
      </c>
      <c r="F182" s="52">
        <v>63.360245379199995</v>
      </c>
      <c r="G182" s="52">
        <v>57.228608729599998</v>
      </c>
      <c r="H182" s="52">
        <v>63.360245379199995</v>
      </c>
      <c r="I182" s="52">
        <v>61.316366496000008</v>
      </c>
      <c r="J182" s="52">
        <v>63.360245379199995</v>
      </c>
      <c r="K182" s="52">
        <v>61.316366496000008</v>
      </c>
      <c r="L182" s="52">
        <v>63.360245379199995</v>
      </c>
      <c r="M182" s="52">
        <v>63.360245379199995</v>
      </c>
      <c r="N182" s="52">
        <v>61.316366496000008</v>
      </c>
      <c r="O182" s="52">
        <v>63.360245379199995</v>
      </c>
      <c r="P182" s="52">
        <v>61.316366496000008</v>
      </c>
      <c r="Q182" s="52">
        <v>63.360245379199995</v>
      </c>
    </row>
    <row r="183" spans="1:133" ht="31.2" x14ac:dyDescent="0.25">
      <c r="A183" s="53" t="s">
        <v>43</v>
      </c>
      <c r="B183" s="25" t="s">
        <v>201</v>
      </c>
      <c r="C183" s="53" t="s">
        <v>44</v>
      </c>
      <c r="D183" s="35" t="s">
        <v>372</v>
      </c>
      <c r="E183" s="191">
        <f>E184*E185*0.89</f>
        <v>0.59007142928665834</v>
      </c>
      <c r="F183" s="191"/>
      <c r="G183" s="191"/>
      <c r="H183" s="191"/>
      <c r="I183" s="191"/>
      <c r="J183" s="191"/>
      <c r="K183" s="191"/>
      <c r="L183" s="191"/>
      <c r="M183" s="191"/>
      <c r="N183" s="191"/>
      <c r="O183" s="191"/>
      <c r="P183" s="191"/>
      <c r="Q183" s="191"/>
    </row>
    <row r="184" spans="1:133" ht="31.2" x14ac:dyDescent="0.25">
      <c r="A184" s="70" t="s">
        <v>45</v>
      </c>
      <c r="B184" s="25" t="s">
        <v>201</v>
      </c>
      <c r="C184" s="53" t="s">
        <v>46</v>
      </c>
      <c r="D184" s="35" t="s">
        <v>373</v>
      </c>
      <c r="E184" s="162">
        <v>0.7</v>
      </c>
      <c r="F184" s="163"/>
      <c r="G184" s="163"/>
      <c r="H184" s="163"/>
      <c r="I184" s="163"/>
      <c r="J184" s="163"/>
      <c r="K184" s="163"/>
      <c r="L184" s="163"/>
      <c r="M184" s="163"/>
      <c r="N184" s="163"/>
      <c r="O184" s="163"/>
      <c r="P184" s="163"/>
      <c r="Q184" s="164"/>
    </row>
    <row r="185" spans="1:133" ht="36" customHeight="1" x14ac:dyDescent="0.25">
      <c r="A185" s="70" t="s">
        <v>47</v>
      </c>
      <c r="B185" s="25" t="s">
        <v>37</v>
      </c>
      <c r="C185" s="53" t="s">
        <v>48</v>
      </c>
      <c r="D185" s="35" t="s">
        <v>374</v>
      </c>
      <c r="E185" s="159">
        <f>(F186*F191+G186*G191+H186*H191+I186*I191+J186*J191+K186*K191+L186*L191+M186*M191+N186*N191+O186*O191+P186*P191+Q186*Q191)/(F180*F175*F178+G180*G178*G175+H180*H175*H178+I180*I178*I175+J180*J178*J175+K180*K178*K175+L180*L178*L175+M180*M178*M175+N180*N178*N175+O180*O175*O178+P180*P178*P175+Q180*Q178*Q175)</f>
        <v>0.94714515134295074</v>
      </c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1"/>
    </row>
    <row r="186" spans="1:133" s="9" customFormat="1" ht="46.8" x14ac:dyDescent="0.4">
      <c r="A186" s="71" t="s">
        <v>49</v>
      </c>
      <c r="B186" s="25" t="s">
        <v>37</v>
      </c>
      <c r="C186" s="53" t="s">
        <v>50</v>
      </c>
      <c r="D186" s="53" t="s">
        <v>375</v>
      </c>
      <c r="E186" s="72">
        <f>AVERAGE(F186:Q186)</f>
        <v>0.63510511617720555</v>
      </c>
      <c r="F186" s="72">
        <f>IF(F190&lt;283,0,IF(F190&gt;303,1,EXP(($E$187*(F190-$E$188))/($E$189*$E$188*F190))))</f>
        <v>0.25708890533410012</v>
      </c>
      <c r="G186" s="72">
        <f t="shared" ref="G186:Q186" si="26">IF(G190&lt;283,0,IF(G190&gt;303,1,EXP(($E$187*(G190-$E$188))/($E$189*$E$188*G190))))</f>
        <v>0.38698063689870399</v>
      </c>
      <c r="H186" s="72">
        <f t="shared" si="26"/>
        <v>0.50475941545474445</v>
      </c>
      <c r="I186" s="72">
        <f t="shared" si="26"/>
        <v>0.62729263560178183</v>
      </c>
      <c r="J186" s="72">
        <f t="shared" si="26"/>
        <v>0.84523513966163832</v>
      </c>
      <c r="K186" s="72">
        <f t="shared" si="26"/>
        <v>0.88152221926734242</v>
      </c>
      <c r="L186" s="72">
        <f t="shared" si="26"/>
        <v>0.95843738031531212</v>
      </c>
      <c r="M186" s="72">
        <f t="shared" si="26"/>
        <v>0.88152221926734242</v>
      </c>
      <c r="N186" s="72">
        <f t="shared" si="26"/>
        <v>0.91923925774048054</v>
      </c>
      <c r="O186" s="72">
        <f t="shared" si="26"/>
        <v>0.62729263560178183</v>
      </c>
      <c r="P186" s="72">
        <f t="shared" si="26"/>
        <v>0.42307437878932203</v>
      </c>
      <c r="Q186" s="72">
        <f t="shared" si="26"/>
        <v>0.30881657019391506</v>
      </c>
      <c r="R186" s="78"/>
      <c r="S186" s="78"/>
      <c r="T186" s="78"/>
      <c r="U186" s="78"/>
      <c r="V186" s="78"/>
      <c r="W186" s="78"/>
      <c r="X186" s="78"/>
      <c r="Y186" s="78"/>
      <c r="Z186" s="78"/>
      <c r="AA186" s="78"/>
      <c r="AB186" s="78"/>
      <c r="AC186" s="78"/>
      <c r="AD186" s="78"/>
      <c r="AE186" s="78"/>
      <c r="AF186" s="78"/>
      <c r="AG186" s="78"/>
      <c r="AH186" s="78"/>
      <c r="AI186" s="78"/>
      <c r="AJ186" s="78"/>
      <c r="AK186" s="78"/>
      <c r="AL186" s="78"/>
      <c r="AM186" s="78"/>
      <c r="AN186" s="78"/>
      <c r="AO186" s="78"/>
      <c r="AP186" s="78"/>
      <c r="AQ186" s="78"/>
      <c r="AR186" s="78"/>
      <c r="AS186" s="78"/>
      <c r="AT186" s="78"/>
      <c r="AU186" s="78"/>
      <c r="AV186" s="78"/>
      <c r="AW186" s="78"/>
      <c r="AX186" s="78"/>
      <c r="AY186" s="78"/>
      <c r="AZ186" s="78"/>
      <c r="BA186" s="78"/>
      <c r="BB186" s="78"/>
      <c r="BC186" s="78"/>
      <c r="BD186" s="78"/>
      <c r="BE186" s="78"/>
      <c r="BF186" s="78"/>
      <c r="BG186" s="78"/>
      <c r="BH186" s="78"/>
      <c r="BI186" s="78"/>
      <c r="BJ186" s="78"/>
      <c r="BK186" s="78"/>
      <c r="BL186" s="78"/>
      <c r="BM186" s="78"/>
      <c r="BN186" s="78"/>
      <c r="BO186" s="78"/>
      <c r="BP186" s="78"/>
      <c r="BQ186" s="78"/>
      <c r="BR186" s="78"/>
      <c r="BS186" s="78"/>
      <c r="BT186" s="78"/>
      <c r="BU186" s="78"/>
      <c r="BV186" s="78"/>
      <c r="BW186" s="78"/>
      <c r="BX186" s="78"/>
      <c r="BY186" s="78"/>
      <c r="BZ186" s="78"/>
      <c r="CA186" s="78"/>
      <c r="CB186" s="78"/>
      <c r="CC186" s="78"/>
      <c r="CD186" s="78"/>
      <c r="CE186" s="78"/>
      <c r="CF186" s="78"/>
      <c r="CG186" s="78"/>
      <c r="CH186" s="78"/>
      <c r="CI186" s="78"/>
      <c r="CJ186" s="78"/>
      <c r="CK186" s="78"/>
      <c r="CL186" s="78"/>
      <c r="CM186" s="78"/>
      <c r="CN186" s="78"/>
      <c r="CO186" s="78"/>
      <c r="CP186" s="78"/>
      <c r="CQ186" s="78"/>
      <c r="CR186" s="78"/>
      <c r="CS186" s="78"/>
      <c r="CT186" s="78"/>
      <c r="CU186" s="78"/>
      <c r="CV186" s="78"/>
      <c r="CW186" s="78"/>
      <c r="CX186" s="78"/>
      <c r="CY186" s="78"/>
      <c r="CZ186" s="78"/>
      <c r="DA186" s="78"/>
      <c r="DB186" s="78"/>
      <c r="DC186" s="78"/>
      <c r="DD186" s="78"/>
      <c r="DE186" s="78"/>
      <c r="DF186" s="78"/>
      <c r="DG186" s="78"/>
      <c r="DH186" s="78"/>
      <c r="DI186" s="78"/>
      <c r="DJ186" s="78"/>
      <c r="DK186" s="78"/>
      <c r="DL186" s="78"/>
      <c r="DM186" s="78"/>
      <c r="DN186" s="78"/>
      <c r="DO186" s="78"/>
      <c r="DP186" s="78"/>
      <c r="DQ186" s="78"/>
      <c r="DR186" s="78"/>
      <c r="DS186" s="78"/>
      <c r="DT186" s="78"/>
      <c r="DU186" s="78"/>
      <c r="DV186" s="78"/>
      <c r="DW186" s="78"/>
      <c r="DX186" s="78"/>
      <c r="DY186" s="78"/>
      <c r="DZ186" s="78"/>
      <c r="EA186" s="78"/>
      <c r="EB186" s="78"/>
      <c r="EC186" s="78"/>
    </row>
    <row r="187" spans="1:133" s="9" customFormat="1" x14ac:dyDescent="0.25">
      <c r="A187" s="73" t="s">
        <v>51</v>
      </c>
      <c r="B187" s="60" t="s">
        <v>202</v>
      </c>
      <c r="C187" s="53" t="s">
        <v>53</v>
      </c>
      <c r="D187" s="53" t="s">
        <v>376</v>
      </c>
      <c r="E187" s="162">
        <v>15175</v>
      </c>
      <c r="F187" s="163"/>
      <c r="G187" s="163"/>
      <c r="H187" s="163"/>
      <c r="I187" s="163"/>
      <c r="J187" s="163"/>
      <c r="K187" s="163"/>
      <c r="L187" s="163"/>
      <c r="M187" s="163"/>
      <c r="N187" s="163"/>
      <c r="O187" s="163"/>
      <c r="P187" s="163"/>
      <c r="Q187" s="164"/>
      <c r="R187" s="78"/>
      <c r="S187" s="78"/>
      <c r="T187" s="78"/>
      <c r="U187" s="78"/>
      <c r="V187" s="78"/>
      <c r="W187" s="78"/>
      <c r="X187" s="78"/>
      <c r="Y187" s="78"/>
      <c r="Z187" s="78"/>
      <c r="AA187" s="78"/>
      <c r="AB187" s="78"/>
      <c r="AC187" s="78"/>
      <c r="AD187" s="78"/>
      <c r="AE187" s="78"/>
      <c r="AF187" s="78"/>
      <c r="AG187" s="78"/>
      <c r="AH187" s="78"/>
      <c r="AI187" s="78"/>
      <c r="AJ187" s="78"/>
      <c r="AK187" s="78"/>
      <c r="AL187" s="78"/>
      <c r="AM187" s="78"/>
      <c r="AN187" s="78"/>
      <c r="AO187" s="78"/>
      <c r="AP187" s="78"/>
      <c r="AQ187" s="78"/>
      <c r="AR187" s="78"/>
      <c r="AS187" s="78"/>
      <c r="AT187" s="78"/>
      <c r="AU187" s="78"/>
      <c r="AV187" s="78"/>
      <c r="AW187" s="78"/>
      <c r="AX187" s="78"/>
      <c r="AY187" s="78"/>
      <c r="AZ187" s="78"/>
      <c r="BA187" s="78"/>
      <c r="BB187" s="78"/>
      <c r="BC187" s="78"/>
      <c r="BD187" s="78"/>
      <c r="BE187" s="78"/>
      <c r="BF187" s="78"/>
      <c r="BG187" s="78"/>
      <c r="BH187" s="78"/>
      <c r="BI187" s="78"/>
      <c r="BJ187" s="78"/>
      <c r="BK187" s="78"/>
      <c r="BL187" s="78"/>
      <c r="BM187" s="78"/>
      <c r="BN187" s="78"/>
      <c r="BO187" s="78"/>
      <c r="BP187" s="78"/>
      <c r="BQ187" s="78"/>
      <c r="BR187" s="78"/>
      <c r="BS187" s="78"/>
      <c r="BT187" s="78"/>
      <c r="BU187" s="78"/>
      <c r="BV187" s="78"/>
      <c r="BW187" s="78"/>
      <c r="BX187" s="78"/>
      <c r="BY187" s="78"/>
      <c r="BZ187" s="78"/>
      <c r="CA187" s="78"/>
      <c r="CB187" s="78"/>
      <c r="CC187" s="78"/>
      <c r="CD187" s="78"/>
      <c r="CE187" s="78"/>
      <c r="CF187" s="78"/>
      <c r="CG187" s="78"/>
      <c r="CH187" s="78"/>
      <c r="CI187" s="78"/>
      <c r="CJ187" s="78"/>
      <c r="CK187" s="78"/>
      <c r="CL187" s="78"/>
      <c r="CM187" s="78"/>
      <c r="CN187" s="78"/>
      <c r="CO187" s="78"/>
      <c r="CP187" s="78"/>
      <c r="CQ187" s="78"/>
      <c r="CR187" s="78"/>
      <c r="CS187" s="78"/>
      <c r="CT187" s="78"/>
      <c r="CU187" s="78"/>
      <c r="CV187" s="78"/>
      <c r="CW187" s="78"/>
      <c r="CX187" s="78"/>
      <c r="CY187" s="78"/>
      <c r="CZ187" s="78"/>
      <c r="DA187" s="78"/>
      <c r="DB187" s="78"/>
      <c r="DC187" s="78"/>
      <c r="DD187" s="78"/>
      <c r="DE187" s="78"/>
      <c r="DF187" s="78"/>
      <c r="DG187" s="78"/>
      <c r="DH187" s="78"/>
      <c r="DI187" s="78"/>
      <c r="DJ187" s="78"/>
      <c r="DK187" s="78"/>
      <c r="DL187" s="78"/>
      <c r="DM187" s="78"/>
      <c r="DN187" s="78"/>
      <c r="DO187" s="78"/>
      <c r="DP187" s="78"/>
      <c r="DQ187" s="78"/>
      <c r="DR187" s="78"/>
      <c r="DS187" s="78"/>
      <c r="DT187" s="78"/>
      <c r="DU187" s="78"/>
      <c r="DV187" s="78"/>
      <c r="DW187" s="78"/>
      <c r="DX187" s="78"/>
      <c r="DY187" s="78"/>
      <c r="DZ187" s="78"/>
      <c r="EA187" s="78"/>
      <c r="EB187" s="78"/>
      <c r="EC187" s="78"/>
    </row>
    <row r="188" spans="1:133" s="9" customFormat="1" ht="18" x14ac:dyDescent="0.25">
      <c r="A188" s="73" t="s">
        <v>54</v>
      </c>
      <c r="B188" s="60" t="s">
        <v>203</v>
      </c>
      <c r="C188" s="53" t="s">
        <v>56</v>
      </c>
      <c r="D188" s="53" t="s">
        <v>376</v>
      </c>
      <c r="E188" s="162">
        <v>303.16000000000003</v>
      </c>
      <c r="F188" s="163"/>
      <c r="G188" s="163"/>
      <c r="H188" s="163"/>
      <c r="I188" s="163"/>
      <c r="J188" s="163"/>
      <c r="K188" s="163"/>
      <c r="L188" s="163"/>
      <c r="M188" s="163"/>
      <c r="N188" s="163"/>
      <c r="O188" s="163"/>
      <c r="P188" s="163"/>
      <c r="Q188" s="164"/>
      <c r="R188" s="78"/>
      <c r="S188" s="78"/>
      <c r="T188" s="78"/>
      <c r="U188" s="78"/>
      <c r="V188" s="78"/>
      <c r="W188" s="78"/>
      <c r="X188" s="78"/>
      <c r="Y188" s="78"/>
      <c r="Z188" s="78"/>
      <c r="AA188" s="78"/>
      <c r="AB188" s="78"/>
      <c r="AC188" s="78"/>
      <c r="AD188" s="78"/>
      <c r="AE188" s="78"/>
      <c r="AF188" s="78"/>
      <c r="AG188" s="78"/>
      <c r="AH188" s="78"/>
      <c r="AI188" s="78"/>
      <c r="AJ188" s="78"/>
      <c r="AK188" s="78"/>
      <c r="AL188" s="78"/>
      <c r="AM188" s="78"/>
      <c r="AN188" s="78"/>
      <c r="AO188" s="78"/>
      <c r="AP188" s="78"/>
      <c r="AQ188" s="78"/>
      <c r="AR188" s="78"/>
      <c r="AS188" s="78"/>
      <c r="AT188" s="78"/>
      <c r="AU188" s="78"/>
      <c r="AV188" s="78"/>
      <c r="AW188" s="78"/>
      <c r="AX188" s="78"/>
      <c r="AY188" s="78"/>
      <c r="AZ188" s="78"/>
      <c r="BA188" s="78"/>
      <c r="BB188" s="78"/>
      <c r="BC188" s="78"/>
      <c r="BD188" s="78"/>
      <c r="BE188" s="78"/>
      <c r="BF188" s="78"/>
      <c r="BG188" s="78"/>
      <c r="BH188" s="78"/>
      <c r="BI188" s="78"/>
      <c r="BJ188" s="78"/>
      <c r="BK188" s="78"/>
      <c r="BL188" s="78"/>
      <c r="BM188" s="78"/>
      <c r="BN188" s="78"/>
      <c r="BO188" s="78"/>
      <c r="BP188" s="78"/>
      <c r="BQ188" s="78"/>
      <c r="BR188" s="78"/>
      <c r="BS188" s="78"/>
      <c r="BT188" s="78"/>
      <c r="BU188" s="78"/>
      <c r="BV188" s="78"/>
      <c r="BW188" s="78"/>
      <c r="BX188" s="78"/>
      <c r="BY188" s="78"/>
      <c r="BZ188" s="78"/>
      <c r="CA188" s="78"/>
      <c r="CB188" s="78"/>
      <c r="CC188" s="78"/>
      <c r="CD188" s="78"/>
      <c r="CE188" s="78"/>
      <c r="CF188" s="78"/>
      <c r="CG188" s="78"/>
      <c r="CH188" s="78"/>
      <c r="CI188" s="78"/>
      <c r="CJ188" s="78"/>
      <c r="CK188" s="78"/>
      <c r="CL188" s="78"/>
      <c r="CM188" s="78"/>
      <c r="CN188" s="78"/>
      <c r="CO188" s="78"/>
      <c r="CP188" s="78"/>
      <c r="CQ188" s="78"/>
      <c r="CR188" s="78"/>
      <c r="CS188" s="78"/>
      <c r="CT188" s="78"/>
      <c r="CU188" s="78"/>
      <c r="CV188" s="78"/>
      <c r="CW188" s="78"/>
      <c r="CX188" s="78"/>
      <c r="CY188" s="78"/>
      <c r="CZ188" s="78"/>
      <c r="DA188" s="78"/>
      <c r="DB188" s="78"/>
      <c r="DC188" s="78"/>
      <c r="DD188" s="78"/>
      <c r="DE188" s="78"/>
      <c r="DF188" s="78"/>
      <c r="DG188" s="78"/>
      <c r="DH188" s="78"/>
      <c r="DI188" s="78"/>
      <c r="DJ188" s="78"/>
      <c r="DK188" s="78"/>
      <c r="DL188" s="78"/>
      <c r="DM188" s="78"/>
      <c r="DN188" s="78"/>
      <c r="DO188" s="78"/>
      <c r="DP188" s="78"/>
      <c r="DQ188" s="78"/>
      <c r="DR188" s="78"/>
      <c r="DS188" s="78"/>
      <c r="DT188" s="78"/>
      <c r="DU188" s="78"/>
      <c r="DV188" s="78"/>
      <c r="DW188" s="78"/>
      <c r="DX188" s="78"/>
      <c r="DY188" s="78"/>
      <c r="DZ188" s="78"/>
      <c r="EA188" s="78"/>
      <c r="EB188" s="78"/>
      <c r="EC188" s="78"/>
    </row>
    <row r="189" spans="1:133" s="9" customFormat="1" x14ac:dyDescent="0.25">
      <c r="A189" s="73" t="s">
        <v>57</v>
      </c>
      <c r="B189" s="60" t="s">
        <v>204</v>
      </c>
      <c r="C189" s="53" t="s">
        <v>59</v>
      </c>
      <c r="D189" s="53" t="s">
        <v>376</v>
      </c>
      <c r="E189" s="162">
        <v>1.9870000000000001</v>
      </c>
      <c r="F189" s="163"/>
      <c r="G189" s="163"/>
      <c r="H189" s="163"/>
      <c r="I189" s="163"/>
      <c r="J189" s="163"/>
      <c r="K189" s="163"/>
      <c r="L189" s="163"/>
      <c r="M189" s="163"/>
      <c r="N189" s="163"/>
      <c r="O189" s="163"/>
      <c r="P189" s="163"/>
      <c r="Q189" s="164"/>
      <c r="R189" s="78"/>
      <c r="S189" s="78"/>
      <c r="T189" s="78"/>
      <c r="U189" s="78"/>
      <c r="V189" s="78"/>
      <c r="W189" s="78"/>
      <c r="X189" s="78"/>
      <c r="Y189" s="78"/>
      <c r="Z189" s="78"/>
      <c r="AA189" s="78"/>
      <c r="AB189" s="78"/>
      <c r="AC189" s="78"/>
      <c r="AD189" s="78"/>
      <c r="AE189" s="78"/>
      <c r="AF189" s="78"/>
      <c r="AG189" s="78"/>
      <c r="AH189" s="78"/>
      <c r="AI189" s="78"/>
      <c r="AJ189" s="78"/>
      <c r="AK189" s="78"/>
      <c r="AL189" s="78"/>
      <c r="AM189" s="78"/>
      <c r="AN189" s="78"/>
      <c r="AO189" s="78"/>
      <c r="AP189" s="78"/>
      <c r="AQ189" s="78"/>
      <c r="AR189" s="78"/>
      <c r="AS189" s="78"/>
      <c r="AT189" s="78"/>
      <c r="AU189" s="78"/>
      <c r="AV189" s="78"/>
      <c r="AW189" s="78"/>
      <c r="AX189" s="78"/>
      <c r="AY189" s="78"/>
      <c r="AZ189" s="78"/>
      <c r="BA189" s="78"/>
      <c r="BB189" s="78"/>
      <c r="BC189" s="78"/>
      <c r="BD189" s="78"/>
      <c r="BE189" s="78"/>
      <c r="BF189" s="78"/>
      <c r="BG189" s="78"/>
      <c r="BH189" s="78"/>
      <c r="BI189" s="78"/>
      <c r="BJ189" s="78"/>
      <c r="BK189" s="78"/>
      <c r="BL189" s="78"/>
      <c r="BM189" s="78"/>
      <c r="BN189" s="78"/>
      <c r="BO189" s="78"/>
      <c r="BP189" s="78"/>
      <c r="BQ189" s="78"/>
      <c r="BR189" s="78"/>
      <c r="BS189" s="78"/>
      <c r="BT189" s="78"/>
      <c r="BU189" s="78"/>
      <c r="BV189" s="78"/>
      <c r="BW189" s="78"/>
      <c r="BX189" s="78"/>
      <c r="BY189" s="78"/>
      <c r="BZ189" s="78"/>
      <c r="CA189" s="78"/>
      <c r="CB189" s="78"/>
      <c r="CC189" s="78"/>
      <c r="CD189" s="78"/>
      <c r="CE189" s="78"/>
      <c r="CF189" s="78"/>
      <c r="CG189" s="78"/>
      <c r="CH189" s="78"/>
      <c r="CI189" s="78"/>
      <c r="CJ189" s="78"/>
      <c r="CK189" s="78"/>
      <c r="CL189" s="78"/>
      <c r="CM189" s="78"/>
      <c r="CN189" s="78"/>
      <c r="CO189" s="78"/>
      <c r="CP189" s="78"/>
      <c r="CQ189" s="78"/>
      <c r="CR189" s="78"/>
      <c r="CS189" s="78"/>
      <c r="CT189" s="78"/>
      <c r="CU189" s="78"/>
      <c r="CV189" s="78"/>
      <c r="CW189" s="78"/>
      <c r="CX189" s="78"/>
      <c r="CY189" s="78"/>
      <c r="CZ189" s="78"/>
      <c r="DA189" s="78"/>
      <c r="DB189" s="78"/>
      <c r="DC189" s="78"/>
      <c r="DD189" s="78"/>
      <c r="DE189" s="78"/>
      <c r="DF189" s="78"/>
      <c r="DG189" s="78"/>
      <c r="DH189" s="78"/>
      <c r="DI189" s="78"/>
      <c r="DJ189" s="78"/>
      <c r="DK189" s="78"/>
      <c r="DL189" s="78"/>
      <c r="DM189" s="78"/>
      <c r="DN189" s="78"/>
      <c r="DO189" s="78"/>
      <c r="DP189" s="78"/>
      <c r="DQ189" s="78"/>
      <c r="DR189" s="78"/>
      <c r="DS189" s="78"/>
      <c r="DT189" s="78"/>
      <c r="DU189" s="78"/>
      <c r="DV189" s="78"/>
      <c r="DW189" s="78"/>
      <c r="DX189" s="78"/>
      <c r="DY189" s="78"/>
      <c r="DZ189" s="78"/>
      <c r="EA189" s="78"/>
      <c r="EB189" s="78"/>
      <c r="EC189" s="78"/>
    </row>
    <row r="190" spans="1:133" s="9" customFormat="1" ht="31.2" x14ac:dyDescent="0.25">
      <c r="A190" s="73" t="s">
        <v>60</v>
      </c>
      <c r="B190" s="60" t="s">
        <v>203</v>
      </c>
      <c r="C190" s="53" t="s">
        <v>61</v>
      </c>
      <c r="D190" s="143" t="s">
        <v>363</v>
      </c>
      <c r="E190" s="98">
        <f>AVERAGE(F190:Q190)</f>
        <v>296.85833333333341</v>
      </c>
      <c r="F190" s="60">
        <v>287.64999999999998</v>
      </c>
      <c r="G190" s="60">
        <v>292.14999999999998</v>
      </c>
      <c r="H190" s="60">
        <v>295.14999999999998</v>
      </c>
      <c r="I190" s="60">
        <v>297.64999999999998</v>
      </c>
      <c r="J190" s="60">
        <v>301.14999999999998</v>
      </c>
      <c r="K190" s="60">
        <v>301.64999999999998</v>
      </c>
      <c r="L190" s="60">
        <v>302.64999999999998</v>
      </c>
      <c r="M190" s="60">
        <v>301.64999999999998</v>
      </c>
      <c r="N190" s="60">
        <v>302.14999999999998</v>
      </c>
      <c r="O190" s="60">
        <v>297.64999999999998</v>
      </c>
      <c r="P190" s="60">
        <v>293.14999999999998</v>
      </c>
      <c r="Q190" s="60">
        <v>289.64999999999998</v>
      </c>
      <c r="R190" s="78"/>
      <c r="S190" s="78"/>
      <c r="T190" s="78"/>
      <c r="U190" s="78"/>
      <c r="V190" s="78"/>
      <c r="W190" s="78"/>
      <c r="X190" s="78"/>
      <c r="Y190" s="78"/>
      <c r="Z190" s="78"/>
      <c r="AA190" s="78"/>
      <c r="AB190" s="78"/>
      <c r="AC190" s="78"/>
      <c r="AD190" s="78"/>
      <c r="AE190" s="78"/>
      <c r="AF190" s="78"/>
      <c r="AG190" s="78"/>
      <c r="AH190" s="78"/>
      <c r="AI190" s="78"/>
      <c r="AJ190" s="78"/>
      <c r="AK190" s="78"/>
      <c r="AL190" s="78"/>
      <c r="AM190" s="78"/>
      <c r="AN190" s="78"/>
      <c r="AO190" s="78"/>
      <c r="AP190" s="78"/>
      <c r="AQ190" s="78"/>
      <c r="AR190" s="78"/>
      <c r="AS190" s="78"/>
      <c r="AT190" s="78"/>
      <c r="AU190" s="78"/>
      <c r="AV190" s="78"/>
      <c r="AW190" s="78"/>
      <c r="AX190" s="78"/>
      <c r="AY190" s="78"/>
      <c r="AZ190" s="78"/>
      <c r="BA190" s="78"/>
      <c r="BB190" s="78"/>
      <c r="BC190" s="78"/>
      <c r="BD190" s="78"/>
      <c r="BE190" s="78"/>
      <c r="BF190" s="78"/>
      <c r="BG190" s="78"/>
      <c r="BH190" s="78"/>
      <c r="BI190" s="78"/>
      <c r="BJ190" s="78"/>
      <c r="BK190" s="78"/>
      <c r="BL190" s="78"/>
      <c r="BM190" s="78"/>
      <c r="BN190" s="78"/>
      <c r="BO190" s="78"/>
      <c r="BP190" s="78"/>
      <c r="BQ190" s="78"/>
      <c r="BR190" s="78"/>
      <c r="BS190" s="78"/>
      <c r="BT190" s="78"/>
      <c r="BU190" s="78"/>
      <c r="BV190" s="78"/>
      <c r="BW190" s="78"/>
      <c r="BX190" s="78"/>
      <c r="BY190" s="78"/>
      <c r="BZ190" s="78"/>
      <c r="CA190" s="78"/>
      <c r="CB190" s="78"/>
      <c r="CC190" s="78"/>
      <c r="CD190" s="78"/>
      <c r="CE190" s="78"/>
      <c r="CF190" s="78"/>
      <c r="CG190" s="78"/>
      <c r="CH190" s="78"/>
      <c r="CI190" s="78"/>
      <c r="CJ190" s="78"/>
      <c r="CK190" s="78"/>
      <c r="CL190" s="78"/>
      <c r="CM190" s="78"/>
      <c r="CN190" s="78"/>
      <c r="CO190" s="78"/>
      <c r="CP190" s="78"/>
      <c r="CQ190" s="78"/>
      <c r="CR190" s="78"/>
      <c r="CS190" s="78"/>
      <c r="CT190" s="78"/>
      <c r="CU190" s="78"/>
      <c r="CV190" s="78"/>
      <c r="CW190" s="78"/>
      <c r="CX190" s="78"/>
      <c r="CY190" s="78"/>
      <c r="CZ190" s="78"/>
      <c r="DA190" s="78"/>
      <c r="DB190" s="78"/>
      <c r="DC190" s="78"/>
      <c r="DD190" s="78"/>
      <c r="DE190" s="78"/>
      <c r="DF190" s="78"/>
      <c r="DG190" s="78"/>
      <c r="DH190" s="78"/>
      <c r="DI190" s="78"/>
      <c r="DJ190" s="78"/>
      <c r="DK190" s="78"/>
      <c r="DL190" s="78"/>
      <c r="DM190" s="78"/>
      <c r="DN190" s="78"/>
      <c r="DO190" s="78"/>
      <c r="DP190" s="78"/>
      <c r="DQ190" s="78"/>
      <c r="DR190" s="78"/>
      <c r="DS190" s="78"/>
      <c r="DT190" s="78"/>
      <c r="DU190" s="78"/>
      <c r="DV190" s="78"/>
      <c r="DW190" s="78"/>
      <c r="DX190" s="78"/>
      <c r="DY190" s="78"/>
      <c r="DZ190" s="78"/>
      <c r="EA190" s="78"/>
      <c r="EB190" s="78"/>
      <c r="EC190" s="78"/>
    </row>
    <row r="191" spans="1:133" s="9" customFormat="1" ht="31.2" x14ac:dyDescent="0.4">
      <c r="A191" s="71" t="s">
        <v>62</v>
      </c>
      <c r="B191" s="60" t="s">
        <v>196</v>
      </c>
      <c r="C191" s="53" t="s">
        <v>63</v>
      </c>
      <c r="D191" s="53" t="s">
        <v>377</v>
      </c>
      <c r="E191" s="74">
        <f>SUM(F191:Q191)</f>
        <v>1254.1960341863128</v>
      </c>
      <c r="F191" s="74">
        <f>F180*F175*F178+(1-F186)*'Baseline Emissions 2020'!Q191</f>
        <v>157.43346730554424</v>
      </c>
      <c r="G191" s="74">
        <f t="shared" ref="G191:Q191" si="27">G180*G175*G178+(1-G186)*F191</f>
        <v>151.48110672276914</v>
      </c>
      <c r="H191" s="74">
        <f t="shared" si="27"/>
        <v>135.89568537183095</v>
      </c>
      <c r="I191" s="74">
        <f t="shared" si="27"/>
        <v>109.54414962656908</v>
      </c>
      <c r="J191" s="74">
        <f t="shared" si="27"/>
        <v>83.86743665504531</v>
      </c>
      <c r="K191" s="74">
        <f t="shared" si="27"/>
        <v>71.872885944993115</v>
      </c>
      <c r="L191" s="74">
        <f t="shared" si="27"/>
        <v>66.929474147959098</v>
      </c>
      <c r="M191" s="74">
        <f t="shared" si="27"/>
        <v>71.959696089536038</v>
      </c>
      <c r="N191" s="74">
        <f>N180*N175*N178+(1-N186)*0</f>
        <v>64.777172300362679</v>
      </c>
      <c r="O191" s="74">
        <f t="shared" si="27"/>
        <v>91.036101297467312</v>
      </c>
      <c r="P191" s="74">
        <f t="shared" si="27"/>
        <v>111.46878346926292</v>
      </c>
      <c r="Q191" s="74">
        <f t="shared" si="27"/>
        <v>137.93007525497285</v>
      </c>
      <c r="R191" s="78"/>
      <c r="S191" s="78"/>
      <c r="T191" s="78"/>
      <c r="U191" s="78"/>
      <c r="V191" s="78"/>
      <c r="W191" s="78"/>
      <c r="X191" s="78"/>
      <c r="Y191" s="78"/>
      <c r="Z191" s="78"/>
      <c r="AA191" s="78"/>
      <c r="AB191" s="78"/>
      <c r="AC191" s="78"/>
      <c r="AD191" s="78"/>
      <c r="AE191" s="78"/>
      <c r="AF191" s="78"/>
      <c r="AG191" s="78"/>
      <c r="AH191" s="78"/>
      <c r="AI191" s="78"/>
      <c r="AJ191" s="78"/>
      <c r="AK191" s="78"/>
      <c r="AL191" s="78"/>
      <c r="AM191" s="78"/>
      <c r="AN191" s="78"/>
      <c r="AO191" s="78"/>
      <c r="AP191" s="78"/>
      <c r="AQ191" s="78"/>
      <c r="AR191" s="78"/>
      <c r="AS191" s="78"/>
      <c r="AT191" s="78"/>
      <c r="AU191" s="78"/>
      <c r="AV191" s="78"/>
      <c r="AW191" s="78"/>
      <c r="AX191" s="78"/>
      <c r="AY191" s="78"/>
      <c r="AZ191" s="78"/>
      <c r="BA191" s="78"/>
      <c r="BB191" s="78"/>
      <c r="BC191" s="78"/>
      <c r="BD191" s="78"/>
      <c r="BE191" s="78"/>
      <c r="BF191" s="78"/>
      <c r="BG191" s="78"/>
      <c r="BH191" s="78"/>
      <c r="BI191" s="78"/>
      <c r="BJ191" s="78"/>
      <c r="BK191" s="78"/>
      <c r="BL191" s="78"/>
      <c r="BM191" s="78"/>
      <c r="BN191" s="78"/>
      <c r="BO191" s="78"/>
      <c r="BP191" s="78"/>
      <c r="BQ191" s="78"/>
      <c r="BR191" s="78"/>
      <c r="BS191" s="78"/>
      <c r="BT191" s="78"/>
      <c r="BU191" s="78"/>
      <c r="BV191" s="78"/>
      <c r="BW191" s="78"/>
      <c r="BX191" s="78"/>
      <c r="BY191" s="78"/>
      <c r="BZ191" s="78"/>
      <c r="CA191" s="78"/>
      <c r="CB191" s="78"/>
      <c r="CC191" s="78"/>
      <c r="CD191" s="78"/>
      <c r="CE191" s="78"/>
      <c r="CF191" s="78"/>
      <c r="CG191" s="78"/>
      <c r="CH191" s="78"/>
      <c r="CI191" s="78"/>
      <c r="CJ191" s="78"/>
      <c r="CK191" s="78"/>
      <c r="CL191" s="78"/>
      <c r="CM191" s="78"/>
      <c r="CN191" s="78"/>
      <c r="CO191" s="78"/>
      <c r="CP191" s="78"/>
      <c r="CQ191" s="78"/>
      <c r="CR191" s="78"/>
      <c r="CS191" s="78"/>
      <c r="CT191" s="78"/>
      <c r="CU191" s="78"/>
      <c r="CV191" s="78"/>
      <c r="CW191" s="78"/>
      <c r="CX191" s="78"/>
      <c r="CY191" s="78"/>
      <c r="CZ191" s="78"/>
      <c r="DA191" s="78"/>
      <c r="DB191" s="78"/>
      <c r="DC191" s="78"/>
      <c r="DD191" s="78"/>
      <c r="DE191" s="78"/>
      <c r="DF191" s="78"/>
      <c r="DG191" s="78"/>
      <c r="DH191" s="78"/>
      <c r="DI191" s="78"/>
      <c r="DJ191" s="78"/>
      <c r="DK191" s="78"/>
      <c r="DL191" s="78"/>
      <c r="DM191" s="78"/>
      <c r="DN191" s="78"/>
      <c r="DO191" s="78"/>
      <c r="DP191" s="78"/>
      <c r="DQ191" s="78"/>
      <c r="DR191" s="78"/>
      <c r="DS191" s="78"/>
      <c r="DT191" s="78"/>
      <c r="DU191" s="78"/>
      <c r="DV191" s="78"/>
      <c r="DW191" s="78"/>
      <c r="DX191" s="78"/>
      <c r="DY191" s="78"/>
      <c r="DZ191" s="78"/>
      <c r="EA191" s="78"/>
      <c r="EB191" s="78"/>
      <c r="EC191" s="78"/>
    </row>
    <row r="193" spans="1:133" s="13" customFormat="1" x14ac:dyDescent="0.25">
      <c r="A193" s="158" t="s">
        <v>64</v>
      </c>
      <c r="B193" s="158"/>
      <c r="C193" s="158"/>
      <c r="D193" s="158"/>
      <c r="E193" s="158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4"/>
      <c r="AI193" s="14"/>
      <c r="AJ193" s="14"/>
      <c r="AK193" s="14"/>
      <c r="AL193" s="14"/>
      <c r="AM193" s="14"/>
      <c r="AN193" s="14"/>
      <c r="AO193" s="14"/>
      <c r="AP193" s="14"/>
      <c r="AQ193" s="14"/>
      <c r="AR193" s="14"/>
      <c r="AS193" s="14"/>
      <c r="AT193" s="14"/>
      <c r="AU193" s="14"/>
      <c r="AV193" s="14"/>
      <c r="AW193" s="14"/>
      <c r="AX193" s="14"/>
      <c r="AY193" s="14"/>
      <c r="AZ193" s="14"/>
      <c r="BA193" s="14"/>
      <c r="BB193" s="14"/>
      <c r="BC193" s="14"/>
      <c r="BD193" s="14"/>
      <c r="BE193" s="14"/>
      <c r="BF193" s="14"/>
      <c r="BG193" s="14"/>
      <c r="BH193" s="14"/>
      <c r="BI193" s="14"/>
      <c r="BJ193" s="14"/>
      <c r="BK193" s="14"/>
      <c r="BL193" s="14"/>
      <c r="BM193" s="14"/>
      <c r="BN193" s="14"/>
      <c r="BO193" s="14"/>
      <c r="BP193" s="14"/>
      <c r="BQ193" s="14"/>
      <c r="BR193" s="14"/>
      <c r="BS193" s="14"/>
      <c r="BT193" s="14"/>
      <c r="BU193" s="14"/>
      <c r="BV193" s="14"/>
      <c r="BW193" s="14"/>
      <c r="BX193" s="14"/>
      <c r="BY193" s="14"/>
      <c r="BZ193" s="14"/>
      <c r="CA193" s="14"/>
      <c r="CB193" s="14"/>
      <c r="CC193" s="14"/>
      <c r="CD193" s="14"/>
      <c r="CE193" s="14"/>
      <c r="CF193" s="14"/>
      <c r="CG193" s="14"/>
      <c r="CH193" s="14"/>
      <c r="CI193" s="14"/>
      <c r="CJ193" s="14"/>
      <c r="CK193" s="14"/>
      <c r="CL193" s="14"/>
      <c r="CM193" s="14"/>
      <c r="CN193" s="14"/>
      <c r="CO193" s="14"/>
      <c r="CP193" s="14"/>
      <c r="CQ193" s="14"/>
      <c r="CR193" s="14"/>
      <c r="CS193" s="14"/>
      <c r="CT193" s="14"/>
      <c r="CU193" s="14"/>
      <c r="CV193" s="14"/>
      <c r="CW193" s="14"/>
      <c r="CX193" s="14"/>
      <c r="CY193" s="14"/>
      <c r="CZ193" s="14"/>
      <c r="DA193" s="14"/>
      <c r="DB193" s="14"/>
      <c r="DC193" s="14"/>
      <c r="DD193" s="14"/>
      <c r="DE193" s="14"/>
      <c r="DF193" s="14"/>
      <c r="DG193" s="14"/>
      <c r="DH193" s="14"/>
      <c r="DI193" s="14"/>
      <c r="DJ193" s="14"/>
      <c r="DK193" s="14"/>
      <c r="DL193" s="14"/>
      <c r="DM193" s="14"/>
      <c r="DN193" s="14"/>
      <c r="DO193" s="14"/>
      <c r="DP193" s="14"/>
      <c r="DQ193" s="14"/>
      <c r="DR193" s="14"/>
      <c r="DS193" s="14"/>
      <c r="DT193" s="14"/>
      <c r="DU193" s="14"/>
      <c r="DV193" s="14"/>
      <c r="DW193" s="14"/>
      <c r="DX193" s="14"/>
      <c r="DY193" s="14"/>
      <c r="DZ193" s="14"/>
      <c r="EA193" s="14"/>
      <c r="EB193" s="14"/>
      <c r="EC193" s="14"/>
    </row>
    <row r="194" spans="1:133" s="13" customFormat="1" x14ac:dyDescent="0.25">
      <c r="A194" s="57" t="s">
        <v>8</v>
      </c>
      <c r="B194" s="58" t="s">
        <v>9</v>
      </c>
      <c r="C194" s="34" t="s">
        <v>10</v>
      </c>
      <c r="D194" s="34" t="s">
        <v>340</v>
      </c>
      <c r="E194" s="16" t="s">
        <v>65</v>
      </c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4"/>
      <c r="AI194" s="14"/>
      <c r="AJ194" s="14"/>
      <c r="AK194" s="14"/>
      <c r="AL194" s="14"/>
      <c r="AM194" s="14"/>
      <c r="AN194" s="14"/>
      <c r="AO194" s="14"/>
      <c r="AP194" s="14"/>
      <c r="AQ194" s="14"/>
      <c r="AR194" s="14"/>
      <c r="AS194" s="14"/>
      <c r="AT194" s="14"/>
      <c r="AU194" s="14"/>
      <c r="AV194" s="14"/>
      <c r="AW194" s="14"/>
      <c r="AX194" s="14"/>
      <c r="AY194" s="14"/>
      <c r="AZ194" s="14"/>
      <c r="BA194" s="14"/>
      <c r="BB194" s="14"/>
      <c r="BC194" s="14"/>
      <c r="BD194" s="14"/>
      <c r="BE194" s="14"/>
      <c r="BF194" s="14"/>
      <c r="BG194" s="14"/>
      <c r="BH194" s="14"/>
      <c r="BI194" s="14"/>
      <c r="BJ194" s="14"/>
      <c r="BK194" s="14"/>
      <c r="BL194" s="14"/>
      <c r="BM194" s="14"/>
      <c r="BN194" s="14"/>
      <c r="BO194" s="14"/>
      <c r="BP194" s="14"/>
      <c r="BQ194" s="14"/>
      <c r="BR194" s="14"/>
      <c r="BS194" s="14"/>
      <c r="BT194" s="14"/>
      <c r="BU194" s="14"/>
      <c r="BV194" s="14"/>
      <c r="BW194" s="14"/>
      <c r="BX194" s="14"/>
      <c r="BY194" s="14"/>
      <c r="BZ194" s="14"/>
      <c r="CA194" s="14"/>
      <c r="CB194" s="14"/>
      <c r="CC194" s="14"/>
      <c r="CD194" s="14"/>
      <c r="CE194" s="14"/>
      <c r="CF194" s="14"/>
      <c r="CG194" s="14"/>
      <c r="CH194" s="14"/>
      <c r="CI194" s="14"/>
      <c r="CJ194" s="14"/>
      <c r="CK194" s="14"/>
      <c r="CL194" s="14"/>
      <c r="CM194" s="14"/>
      <c r="CN194" s="14"/>
      <c r="CO194" s="14"/>
      <c r="CP194" s="14"/>
      <c r="CQ194" s="14"/>
      <c r="CR194" s="14"/>
      <c r="CS194" s="14"/>
      <c r="CT194" s="14"/>
      <c r="CU194" s="14"/>
      <c r="CV194" s="14"/>
      <c r="CW194" s="14"/>
      <c r="CX194" s="14"/>
      <c r="CY194" s="14"/>
      <c r="CZ194" s="14"/>
      <c r="DA194" s="14"/>
      <c r="DB194" s="14"/>
      <c r="DC194" s="14"/>
      <c r="DD194" s="14"/>
      <c r="DE194" s="14"/>
      <c r="DF194" s="14"/>
      <c r="DG194" s="14"/>
      <c r="DH194" s="14"/>
      <c r="DI194" s="14"/>
      <c r="DJ194" s="14"/>
      <c r="DK194" s="14"/>
      <c r="DL194" s="14"/>
      <c r="DM194" s="14"/>
      <c r="DN194" s="14"/>
      <c r="DO194" s="14"/>
      <c r="DP194" s="14"/>
      <c r="DQ194" s="14"/>
      <c r="DR194" s="14"/>
      <c r="DS194" s="14"/>
      <c r="DT194" s="14"/>
      <c r="DU194" s="14"/>
      <c r="DV194" s="14"/>
      <c r="DW194" s="14"/>
      <c r="DX194" s="14"/>
      <c r="DY194" s="14"/>
      <c r="DZ194" s="14"/>
      <c r="EA194" s="14"/>
      <c r="EB194" s="14"/>
      <c r="EC194" s="14"/>
    </row>
    <row r="195" spans="1:133" s="13" customFormat="1" ht="46.8" x14ac:dyDescent="0.25">
      <c r="A195" s="59" t="s">
        <v>66</v>
      </c>
      <c r="B195" s="60" t="s">
        <v>14</v>
      </c>
      <c r="C195" s="53" t="s">
        <v>67</v>
      </c>
      <c r="D195" s="53" t="s">
        <v>68</v>
      </c>
      <c r="E195" s="75">
        <v>0</v>
      </c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4"/>
      <c r="AI195" s="14"/>
      <c r="AJ195" s="14"/>
      <c r="AK195" s="14"/>
      <c r="AL195" s="14"/>
      <c r="AM195" s="14"/>
      <c r="AN195" s="14"/>
      <c r="AO195" s="14"/>
      <c r="AP195" s="14"/>
      <c r="AQ195" s="14"/>
      <c r="AR195" s="14"/>
      <c r="AS195" s="14"/>
      <c r="AT195" s="14"/>
      <c r="AU195" s="14"/>
      <c r="AV195" s="14"/>
      <c r="AW195" s="14"/>
      <c r="AX195" s="14"/>
      <c r="AY195" s="14"/>
      <c r="AZ195" s="14"/>
      <c r="BA195" s="14"/>
      <c r="BB195" s="14"/>
      <c r="BC195" s="14"/>
      <c r="BD195" s="14"/>
      <c r="BE195" s="14"/>
      <c r="BF195" s="14"/>
      <c r="BG195" s="14"/>
      <c r="BH195" s="14"/>
      <c r="BI195" s="14"/>
      <c r="BJ195" s="14"/>
      <c r="BK195" s="14"/>
      <c r="BL195" s="14"/>
      <c r="BM195" s="14"/>
      <c r="BN195" s="14"/>
      <c r="BO195" s="14"/>
      <c r="BP195" s="14"/>
      <c r="BQ195" s="14"/>
      <c r="BR195" s="14"/>
      <c r="BS195" s="14"/>
      <c r="BT195" s="14"/>
      <c r="BU195" s="14"/>
      <c r="BV195" s="14"/>
      <c r="BW195" s="14"/>
      <c r="BX195" s="14"/>
      <c r="BY195" s="14"/>
      <c r="BZ195" s="14"/>
      <c r="CA195" s="14"/>
      <c r="CB195" s="14"/>
      <c r="CC195" s="14"/>
      <c r="CD195" s="14"/>
      <c r="CE195" s="14"/>
      <c r="CF195" s="14"/>
      <c r="CG195" s="14"/>
      <c r="CH195" s="14"/>
      <c r="CI195" s="14"/>
      <c r="CJ195" s="14"/>
      <c r="CK195" s="14"/>
      <c r="CL195" s="14"/>
      <c r="CM195" s="14"/>
      <c r="CN195" s="14"/>
      <c r="CO195" s="14"/>
      <c r="CP195" s="14"/>
      <c r="CQ195" s="14"/>
      <c r="CR195" s="14"/>
      <c r="CS195" s="14"/>
      <c r="CT195" s="14"/>
      <c r="CU195" s="14"/>
      <c r="CV195" s="14"/>
      <c r="CW195" s="14"/>
      <c r="CX195" s="14"/>
      <c r="CY195" s="14"/>
      <c r="CZ195" s="14"/>
      <c r="DA195" s="14"/>
      <c r="DB195" s="14"/>
      <c r="DC195" s="14"/>
      <c r="DD195" s="14"/>
      <c r="DE195" s="14"/>
      <c r="DF195" s="14"/>
      <c r="DG195" s="14"/>
      <c r="DH195" s="14"/>
      <c r="DI195" s="14"/>
      <c r="DJ195" s="14"/>
      <c r="DK195" s="14"/>
      <c r="DL195" s="14"/>
      <c r="DM195" s="14"/>
      <c r="DN195" s="14"/>
      <c r="DO195" s="14"/>
      <c r="DP195" s="14"/>
      <c r="DQ195" s="14"/>
      <c r="DR195" s="14"/>
      <c r="DS195" s="14"/>
      <c r="DT195" s="14"/>
      <c r="DU195" s="14"/>
      <c r="DV195" s="14"/>
      <c r="DW195" s="14"/>
      <c r="DX195" s="14"/>
      <c r="DY195" s="14"/>
      <c r="DZ195" s="14"/>
      <c r="EA195" s="14"/>
      <c r="EB195" s="14"/>
      <c r="EC195" s="14"/>
    </row>
    <row r="196" spans="1:133" s="13" customFormat="1" ht="46.8" x14ac:dyDescent="0.25">
      <c r="A196" s="63" t="s">
        <v>69</v>
      </c>
      <c r="B196" s="25" t="s">
        <v>70</v>
      </c>
      <c r="C196" s="35" t="s">
        <v>71</v>
      </c>
      <c r="D196" s="53" t="str">
        <f>D202</f>
        <v>Historical data on site in the FSR (It was calculated with conservative value)</v>
      </c>
      <c r="E196" s="74">
        <f>E202</f>
        <v>345.49030816088219</v>
      </c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  <c r="AI196" s="14"/>
      <c r="AJ196" s="14"/>
      <c r="AK196" s="14"/>
      <c r="AL196" s="14"/>
      <c r="AM196" s="14"/>
      <c r="AN196" s="14"/>
      <c r="AO196" s="14"/>
      <c r="AP196" s="14"/>
      <c r="AQ196" s="14"/>
      <c r="AR196" s="14"/>
      <c r="AS196" s="14"/>
      <c r="AT196" s="14"/>
      <c r="AU196" s="14"/>
      <c r="AV196" s="14"/>
      <c r="AW196" s="14"/>
      <c r="AX196" s="14"/>
      <c r="AY196" s="14"/>
      <c r="AZ196" s="14"/>
      <c r="BA196" s="14"/>
      <c r="BB196" s="14"/>
      <c r="BC196" s="14"/>
      <c r="BD196" s="14"/>
      <c r="BE196" s="14"/>
      <c r="BF196" s="14"/>
      <c r="BG196" s="14"/>
      <c r="BH196" s="14"/>
      <c r="BI196" s="14"/>
      <c r="BJ196" s="14"/>
      <c r="BK196" s="14"/>
      <c r="BL196" s="14"/>
      <c r="BM196" s="14"/>
      <c r="BN196" s="14"/>
      <c r="BO196" s="14"/>
      <c r="BP196" s="14"/>
      <c r="BQ196" s="14"/>
      <c r="BR196" s="14"/>
      <c r="BS196" s="14"/>
      <c r="BT196" s="14"/>
      <c r="BU196" s="14"/>
      <c r="BV196" s="14"/>
      <c r="BW196" s="14"/>
      <c r="BX196" s="14"/>
      <c r="BY196" s="14"/>
      <c r="BZ196" s="14"/>
      <c r="CA196" s="14"/>
      <c r="CB196" s="14"/>
      <c r="CC196" s="14"/>
      <c r="CD196" s="14"/>
      <c r="CE196" s="14"/>
      <c r="CF196" s="14"/>
      <c r="CG196" s="14"/>
      <c r="CH196" s="14"/>
      <c r="CI196" s="14"/>
      <c r="CJ196" s="14"/>
      <c r="CK196" s="14"/>
      <c r="CL196" s="14"/>
      <c r="CM196" s="14"/>
      <c r="CN196" s="14"/>
      <c r="CO196" s="14"/>
      <c r="CP196" s="14"/>
      <c r="CQ196" s="14"/>
      <c r="CR196" s="14"/>
      <c r="CS196" s="14"/>
      <c r="CT196" s="14"/>
      <c r="CU196" s="14"/>
      <c r="CV196" s="14"/>
      <c r="CW196" s="14"/>
      <c r="CX196" s="14"/>
      <c r="CY196" s="14"/>
      <c r="CZ196" s="14"/>
      <c r="DA196" s="14"/>
      <c r="DB196" s="14"/>
      <c r="DC196" s="14"/>
      <c r="DD196" s="14"/>
      <c r="DE196" s="14"/>
      <c r="DF196" s="14"/>
      <c r="DG196" s="14"/>
      <c r="DH196" s="14"/>
      <c r="DI196" s="14"/>
      <c r="DJ196" s="14"/>
      <c r="DK196" s="14"/>
      <c r="DL196" s="14"/>
      <c r="DM196" s="14"/>
      <c r="DN196" s="14"/>
      <c r="DO196" s="14"/>
      <c r="DP196" s="14"/>
      <c r="DQ196" s="14"/>
      <c r="DR196" s="14"/>
      <c r="DS196" s="14"/>
      <c r="DT196" s="14"/>
      <c r="DU196" s="14"/>
      <c r="DV196" s="14"/>
      <c r="DW196" s="14"/>
      <c r="DX196" s="14"/>
      <c r="DY196" s="14"/>
      <c r="DZ196" s="14"/>
      <c r="EA196" s="14"/>
      <c r="EB196" s="14"/>
      <c r="EC196" s="14"/>
    </row>
    <row r="197" spans="1:133" s="13" customFormat="1" x14ac:dyDescent="0.25">
      <c r="A197" s="14"/>
      <c r="C197" s="12"/>
      <c r="D197" s="12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  <c r="AI197" s="14"/>
      <c r="AJ197" s="14"/>
      <c r="AK197" s="14"/>
      <c r="AL197" s="14"/>
      <c r="AM197" s="14"/>
      <c r="AN197" s="14"/>
      <c r="AO197" s="14"/>
      <c r="AP197" s="14"/>
      <c r="AQ197" s="14"/>
      <c r="AR197" s="14"/>
      <c r="AS197" s="14"/>
      <c r="AT197" s="14"/>
      <c r="AU197" s="14"/>
      <c r="AV197" s="14"/>
      <c r="AW197" s="14"/>
      <c r="AX197" s="14"/>
      <c r="AY197" s="14"/>
      <c r="AZ197" s="14"/>
      <c r="BA197" s="14"/>
      <c r="BB197" s="14"/>
      <c r="BC197" s="14"/>
      <c r="BD197" s="14"/>
      <c r="BE197" s="14"/>
      <c r="BF197" s="14"/>
      <c r="BG197" s="14"/>
      <c r="BH197" s="14"/>
      <c r="BI197" s="14"/>
      <c r="BJ197" s="14"/>
      <c r="BK197" s="14"/>
      <c r="BL197" s="14"/>
      <c r="BM197" s="14"/>
      <c r="BN197" s="14"/>
      <c r="BO197" s="14"/>
      <c r="BP197" s="14"/>
      <c r="BQ197" s="14"/>
      <c r="BR197" s="14"/>
      <c r="BS197" s="14"/>
      <c r="BT197" s="14"/>
      <c r="BU197" s="14"/>
      <c r="BV197" s="14"/>
      <c r="BW197" s="14"/>
      <c r="BX197" s="14"/>
      <c r="BY197" s="14"/>
      <c r="BZ197" s="14"/>
      <c r="CA197" s="14"/>
      <c r="CB197" s="14"/>
      <c r="CC197" s="14"/>
      <c r="CD197" s="14"/>
      <c r="CE197" s="14"/>
      <c r="CF197" s="14"/>
      <c r="CG197" s="14"/>
      <c r="CH197" s="14"/>
      <c r="CI197" s="14"/>
      <c r="CJ197" s="14"/>
      <c r="CK197" s="14"/>
      <c r="CL197" s="14"/>
      <c r="CM197" s="14"/>
      <c r="CN197" s="14"/>
      <c r="CO197" s="14"/>
      <c r="CP197" s="14"/>
      <c r="CQ197" s="14"/>
      <c r="CR197" s="14"/>
      <c r="CS197" s="14"/>
      <c r="CT197" s="14"/>
      <c r="CU197" s="14"/>
      <c r="CV197" s="14"/>
      <c r="CW197" s="14"/>
      <c r="CX197" s="14"/>
      <c r="CY197" s="14"/>
      <c r="CZ197" s="14"/>
      <c r="DA197" s="14"/>
      <c r="DB197" s="14"/>
      <c r="DC197" s="14"/>
      <c r="DD197" s="14"/>
      <c r="DE197" s="14"/>
      <c r="DF197" s="14"/>
      <c r="DG197" s="14"/>
      <c r="DH197" s="14"/>
      <c r="DI197" s="14"/>
      <c r="DJ197" s="14"/>
      <c r="DK197" s="14"/>
      <c r="DL197" s="14"/>
      <c r="DM197" s="14"/>
      <c r="DN197" s="14"/>
      <c r="DO197" s="14"/>
      <c r="DP197" s="14"/>
      <c r="DQ197" s="14"/>
      <c r="DR197" s="14"/>
      <c r="DS197" s="14"/>
      <c r="DT197" s="14"/>
      <c r="DU197" s="14"/>
      <c r="DV197" s="14"/>
      <c r="DW197" s="14"/>
      <c r="DX197" s="14"/>
      <c r="DY197" s="14"/>
      <c r="DZ197" s="14"/>
      <c r="EA197" s="14"/>
      <c r="EB197" s="14"/>
      <c r="EC197" s="14"/>
    </row>
    <row r="198" spans="1:133" s="13" customFormat="1" x14ac:dyDescent="0.25">
      <c r="A198" s="174" t="s">
        <v>72</v>
      </c>
      <c r="B198" s="174"/>
      <c r="C198" s="175"/>
      <c r="D198" s="175"/>
      <c r="E198" s="17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  <c r="AI198" s="14"/>
      <c r="AJ198" s="14"/>
      <c r="AK198" s="14"/>
      <c r="AL198" s="14"/>
      <c r="AM198" s="14"/>
      <c r="AN198" s="14"/>
      <c r="AO198" s="14"/>
      <c r="AP198" s="14"/>
      <c r="AQ198" s="14"/>
      <c r="AR198" s="14"/>
      <c r="AS198" s="14"/>
      <c r="AT198" s="14"/>
      <c r="AU198" s="14"/>
      <c r="AV198" s="14"/>
      <c r="AW198" s="14"/>
      <c r="AX198" s="14"/>
      <c r="AY198" s="14"/>
      <c r="AZ198" s="14"/>
      <c r="BA198" s="14"/>
      <c r="BB198" s="14"/>
      <c r="BC198" s="14"/>
      <c r="BD198" s="14"/>
      <c r="BE198" s="14"/>
      <c r="BF198" s="14"/>
      <c r="BG198" s="14"/>
      <c r="BH198" s="14"/>
      <c r="BI198" s="14"/>
      <c r="BJ198" s="14"/>
      <c r="BK198" s="14"/>
      <c r="BL198" s="14"/>
      <c r="BM198" s="14"/>
      <c r="BN198" s="14"/>
      <c r="BO198" s="14"/>
      <c r="BP198" s="14"/>
      <c r="BQ198" s="14"/>
      <c r="BR198" s="14"/>
      <c r="BS198" s="14"/>
      <c r="BT198" s="14"/>
      <c r="BU198" s="14"/>
      <c r="BV198" s="14"/>
      <c r="BW198" s="14"/>
      <c r="BX198" s="14"/>
      <c r="BY198" s="14"/>
      <c r="BZ198" s="14"/>
      <c r="CA198" s="14"/>
      <c r="CB198" s="14"/>
      <c r="CC198" s="14"/>
      <c r="CD198" s="14"/>
      <c r="CE198" s="14"/>
      <c r="CF198" s="14"/>
      <c r="CG198" s="14"/>
      <c r="CH198" s="14"/>
      <c r="CI198" s="14"/>
      <c r="CJ198" s="14"/>
      <c r="CK198" s="14"/>
      <c r="CL198" s="14"/>
      <c r="CM198" s="14"/>
      <c r="CN198" s="14"/>
      <c r="CO198" s="14"/>
      <c r="CP198" s="14"/>
      <c r="CQ198" s="14"/>
      <c r="CR198" s="14"/>
      <c r="CS198" s="14"/>
      <c r="CT198" s="14"/>
      <c r="CU198" s="14"/>
      <c r="CV198" s="14"/>
      <c r="CW198" s="14"/>
      <c r="CX198" s="14"/>
      <c r="CY198" s="14"/>
      <c r="CZ198" s="14"/>
      <c r="DA198" s="14"/>
      <c r="DB198" s="14"/>
      <c r="DC198" s="14"/>
      <c r="DD198" s="14"/>
      <c r="DE198" s="14"/>
      <c r="DF198" s="14"/>
      <c r="DG198" s="14"/>
      <c r="DH198" s="14"/>
      <c r="DI198" s="14"/>
      <c r="DJ198" s="14"/>
      <c r="DK198" s="14"/>
      <c r="DL198" s="14"/>
      <c r="DM198" s="14"/>
      <c r="DN198" s="14"/>
      <c r="DO198" s="14"/>
      <c r="DP198" s="14"/>
      <c r="DQ198" s="14"/>
      <c r="DR198" s="14"/>
      <c r="DS198" s="14"/>
      <c r="DT198" s="14"/>
      <c r="DU198" s="14"/>
      <c r="DV198" s="14"/>
      <c r="DW198" s="14"/>
      <c r="DX198" s="14"/>
      <c r="DY198" s="14"/>
      <c r="DZ198" s="14"/>
      <c r="EA198" s="14"/>
      <c r="EB198" s="14"/>
      <c r="EC198" s="14"/>
    </row>
    <row r="199" spans="1:133" s="13" customFormat="1" x14ac:dyDescent="0.25">
      <c r="A199" s="59" t="s">
        <v>8</v>
      </c>
      <c r="B199" s="16" t="s">
        <v>9</v>
      </c>
      <c r="C199" s="38" t="s">
        <v>10</v>
      </c>
      <c r="D199" s="38" t="s">
        <v>340</v>
      </c>
      <c r="E199" s="16" t="s">
        <v>65</v>
      </c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  <c r="AI199" s="14"/>
      <c r="AJ199" s="14"/>
      <c r="AK199" s="14"/>
      <c r="AL199" s="14"/>
      <c r="AM199" s="14"/>
      <c r="AN199" s="14"/>
      <c r="AO199" s="14"/>
      <c r="AP199" s="14"/>
      <c r="AQ199" s="14"/>
      <c r="AR199" s="14"/>
      <c r="AS199" s="14"/>
      <c r="AT199" s="14"/>
      <c r="AU199" s="14"/>
      <c r="AV199" s="14"/>
      <c r="AW199" s="14"/>
      <c r="AX199" s="14"/>
      <c r="AY199" s="14"/>
      <c r="AZ199" s="14"/>
      <c r="BA199" s="14"/>
      <c r="BB199" s="14"/>
      <c r="BC199" s="14"/>
      <c r="BD199" s="14"/>
      <c r="BE199" s="14"/>
      <c r="BF199" s="14"/>
      <c r="BG199" s="14"/>
      <c r="BH199" s="14"/>
      <c r="BI199" s="14"/>
      <c r="BJ199" s="14"/>
      <c r="BK199" s="14"/>
      <c r="BL199" s="14"/>
      <c r="BM199" s="14"/>
      <c r="BN199" s="14"/>
      <c r="BO199" s="14"/>
      <c r="BP199" s="14"/>
      <c r="BQ199" s="14"/>
      <c r="BR199" s="14"/>
      <c r="BS199" s="14"/>
      <c r="BT199" s="14"/>
      <c r="BU199" s="14"/>
      <c r="BV199" s="14"/>
      <c r="BW199" s="14"/>
      <c r="BX199" s="14"/>
      <c r="BY199" s="14"/>
      <c r="BZ199" s="14"/>
      <c r="CA199" s="14"/>
      <c r="CB199" s="14"/>
      <c r="CC199" s="14"/>
      <c r="CD199" s="14"/>
      <c r="CE199" s="14"/>
      <c r="CF199" s="14"/>
      <c r="CG199" s="14"/>
      <c r="CH199" s="14"/>
      <c r="CI199" s="14"/>
      <c r="CJ199" s="14"/>
      <c r="CK199" s="14"/>
      <c r="CL199" s="14"/>
      <c r="CM199" s="14"/>
      <c r="CN199" s="14"/>
      <c r="CO199" s="14"/>
      <c r="CP199" s="14"/>
      <c r="CQ199" s="14"/>
      <c r="CR199" s="14"/>
      <c r="CS199" s="14"/>
      <c r="CT199" s="14"/>
      <c r="CU199" s="14"/>
      <c r="CV199" s="14"/>
      <c r="CW199" s="14"/>
      <c r="CX199" s="14"/>
      <c r="CY199" s="14"/>
      <c r="CZ199" s="14"/>
      <c r="DA199" s="14"/>
      <c r="DB199" s="14"/>
      <c r="DC199" s="14"/>
      <c r="DD199" s="14"/>
      <c r="DE199" s="14"/>
      <c r="DF199" s="14"/>
      <c r="DG199" s="14"/>
      <c r="DH199" s="14"/>
      <c r="DI199" s="14"/>
      <c r="DJ199" s="14"/>
      <c r="DK199" s="14"/>
      <c r="DL199" s="14"/>
      <c r="DM199" s="14"/>
      <c r="DN199" s="14"/>
      <c r="DO199" s="14"/>
      <c r="DP199" s="14"/>
      <c r="DQ199" s="14"/>
      <c r="DR199" s="14"/>
      <c r="DS199" s="14"/>
      <c r="DT199" s="14"/>
      <c r="DU199" s="14"/>
      <c r="DV199" s="14"/>
      <c r="DW199" s="14"/>
      <c r="DX199" s="14"/>
      <c r="DY199" s="14"/>
      <c r="DZ199" s="14"/>
      <c r="EA199" s="14"/>
      <c r="EB199" s="14"/>
      <c r="EC199" s="14"/>
    </row>
    <row r="200" spans="1:133" s="13" customFormat="1" ht="33.6" x14ac:dyDescent="0.4">
      <c r="A200" s="76" t="s">
        <v>73</v>
      </c>
      <c r="B200" s="25" t="s">
        <v>74</v>
      </c>
      <c r="C200" s="35" t="s">
        <v>75</v>
      </c>
      <c r="D200" s="35" t="s">
        <v>378</v>
      </c>
      <c r="E200" s="50">
        <f>E201*E204*E205*E206*E207*E208</f>
        <v>1.4032886862608092</v>
      </c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  <c r="AI200" s="14"/>
      <c r="AJ200" s="14"/>
      <c r="AK200" s="14"/>
      <c r="AL200" s="14"/>
      <c r="AM200" s="14"/>
      <c r="AN200" s="14"/>
      <c r="AO200" s="14"/>
      <c r="AP200" s="14"/>
      <c r="AQ200" s="14"/>
      <c r="AR200" s="14"/>
      <c r="AS200" s="14"/>
      <c r="AT200" s="14"/>
      <c r="AU200" s="14"/>
      <c r="AV200" s="14"/>
      <c r="AW200" s="14"/>
      <c r="AX200" s="14"/>
      <c r="AY200" s="14"/>
      <c r="AZ200" s="14"/>
      <c r="BA200" s="14"/>
      <c r="BB200" s="14"/>
      <c r="BC200" s="14"/>
      <c r="BD200" s="14"/>
      <c r="BE200" s="14"/>
      <c r="BF200" s="14"/>
      <c r="BG200" s="14"/>
      <c r="BH200" s="14"/>
      <c r="BI200" s="14"/>
      <c r="BJ200" s="14"/>
      <c r="BK200" s="14"/>
      <c r="BL200" s="14"/>
      <c r="BM200" s="14"/>
      <c r="BN200" s="14"/>
      <c r="BO200" s="14"/>
      <c r="BP200" s="14"/>
      <c r="BQ200" s="14"/>
      <c r="BR200" s="14"/>
      <c r="BS200" s="14"/>
      <c r="BT200" s="14"/>
      <c r="BU200" s="14"/>
      <c r="BV200" s="14"/>
      <c r="BW200" s="14"/>
      <c r="BX200" s="14"/>
      <c r="BY200" s="14"/>
      <c r="BZ200" s="14"/>
      <c r="CA200" s="14"/>
      <c r="CB200" s="14"/>
      <c r="CC200" s="14"/>
      <c r="CD200" s="14"/>
      <c r="CE200" s="14"/>
      <c r="CF200" s="14"/>
      <c r="CG200" s="14"/>
      <c r="CH200" s="14"/>
      <c r="CI200" s="14"/>
      <c r="CJ200" s="14"/>
      <c r="CK200" s="14"/>
      <c r="CL200" s="14"/>
      <c r="CM200" s="14"/>
      <c r="CN200" s="14"/>
      <c r="CO200" s="14"/>
      <c r="CP200" s="14"/>
      <c r="CQ200" s="14"/>
      <c r="CR200" s="14"/>
      <c r="CS200" s="14"/>
      <c r="CT200" s="14"/>
      <c r="CU200" s="14"/>
      <c r="CV200" s="14"/>
      <c r="CW200" s="14"/>
      <c r="CX200" s="14"/>
      <c r="CY200" s="14"/>
      <c r="CZ200" s="14"/>
      <c r="DA200" s="14"/>
      <c r="DB200" s="14"/>
      <c r="DC200" s="14"/>
      <c r="DD200" s="14"/>
      <c r="DE200" s="14"/>
      <c r="DF200" s="14"/>
      <c r="DG200" s="14"/>
      <c r="DH200" s="14"/>
      <c r="DI200" s="14"/>
      <c r="DJ200" s="14"/>
      <c r="DK200" s="14"/>
      <c r="DL200" s="14"/>
      <c r="DM200" s="14"/>
      <c r="DN200" s="14"/>
      <c r="DO200" s="14"/>
      <c r="DP200" s="14"/>
      <c r="DQ200" s="14"/>
      <c r="DR200" s="14"/>
      <c r="DS200" s="14"/>
      <c r="DT200" s="14"/>
      <c r="DU200" s="14"/>
      <c r="DV200" s="14"/>
      <c r="DW200" s="14"/>
      <c r="DX200" s="14"/>
      <c r="DY200" s="14"/>
      <c r="DZ200" s="14"/>
      <c r="EA200" s="14"/>
      <c r="EB200" s="14"/>
      <c r="EC200" s="14"/>
    </row>
    <row r="201" spans="1:133" s="13" customFormat="1" ht="46.8" x14ac:dyDescent="0.4">
      <c r="A201" s="77" t="s">
        <v>207</v>
      </c>
      <c r="B201" s="25" t="s">
        <v>76</v>
      </c>
      <c r="C201" s="35" t="s">
        <v>77</v>
      </c>
      <c r="D201" s="35" t="s">
        <v>379</v>
      </c>
      <c r="E201" s="52">
        <f>E202/E203</f>
        <v>69.098061632176439</v>
      </c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  <c r="AM201" s="14"/>
      <c r="AN201" s="14"/>
      <c r="AO201" s="14"/>
      <c r="AP201" s="14"/>
      <c r="AQ201" s="14"/>
      <c r="AR201" s="14"/>
      <c r="AS201" s="14"/>
      <c r="AT201" s="14"/>
      <c r="AU201" s="14"/>
      <c r="AV201" s="14"/>
      <c r="AW201" s="14"/>
      <c r="AX201" s="14"/>
      <c r="AY201" s="14"/>
      <c r="AZ201" s="14"/>
      <c r="BA201" s="14"/>
      <c r="BB201" s="14"/>
      <c r="BC201" s="14"/>
      <c r="BD201" s="14"/>
      <c r="BE201" s="14"/>
      <c r="BF201" s="14"/>
      <c r="BG201" s="14"/>
      <c r="BH201" s="14"/>
      <c r="BI201" s="14"/>
      <c r="BJ201" s="14"/>
      <c r="BK201" s="14"/>
      <c r="BL201" s="14"/>
      <c r="BM201" s="14"/>
      <c r="BN201" s="14"/>
      <c r="BO201" s="14"/>
      <c r="BP201" s="14"/>
      <c r="BQ201" s="14"/>
      <c r="BR201" s="14"/>
      <c r="BS201" s="14"/>
      <c r="BT201" s="14"/>
      <c r="BU201" s="14"/>
      <c r="BV201" s="14"/>
      <c r="BW201" s="14"/>
      <c r="BX201" s="14"/>
      <c r="BY201" s="14"/>
      <c r="BZ201" s="14"/>
      <c r="CA201" s="14"/>
      <c r="CB201" s="14"/>
      <c r="CC201" s="14"/>
      <c r="CD201" s="14"/>
      <c r="CE201" s="14"/>
      <c r="CF201" s="14"/>
      <c r="CG201" s="14"/>
      <c r="CH201" s="14"/>
      <c r="CI201" s="14"/>
      <c r="CJ201" s="14"/>
      <c r="CK201" s="14"/>
      <c r="CL201" s="14"/>
      <c r="CM201" s="14"/>
      <c r="CN201" s="14"/>
      <c r="CO201" s="14"/>
      <c r="CP201" s="14"/>
      <c r="CQ201" s="14"/>
      <c r="CR201" s="14"/>
      <c r="CS201" s="14"/>
      <c r="CT201" s="14"/>
      <c r="CU201" s="14"/>
      <c r="CV201" s="14"/>
      <c r="CW201" s="14"/>
      <c r="CX201" s="14"/>
      <c r="CY201" s="14"/>
      <c r="CZ201" s="14"/>
      <c r="DA201" s="14"/>
      <c r="DB201" s="14"/>
      <c r="DC201" s="14"/>
      <c r="DD201" s="14"/>
      <c r="DE201" s="14"/>
      <c r="DF201" s="14"/>
      <c r="DG201" s="14"/>
      <c r="DH201" s="14"/>
      <c r="DI201" s="14"/>
      <c r="DJ201" s="14"/>
      <c r="DK201" s="14"/>
      <c r="DL201" s="14"/>
      <c r="DM201" s="14"/>
      <c r="DN201" s="14"/>
      <c r="DO201" s="14"/>
      <c r="DP201" s="14"/>
      <c r="DQ201" s="14"/>
      <c r="DR201" s="14"/>
      <c r="DS201" s="14"/>
      <c r="DT201" s="14"/>
      <c r="DU201" s="14"/>
      <c r="DV201" s="14"/>
      <c r="DW201" s="14"/>
      <c r="DX201" s="14"/>
      <c r="DY201" s="14"/>
      <c r="DZ201" s="14"/>
      <c r="EA201" s="14"/>
      <c r="EB201" s="14"/>
      <c r="EC201" s="14"/>
    </row>
    <row r="202" spans="1:133" s="13" customFormat="1" ht="46.8" x14ac:dyDescent="0.25">
      <c r="A202" s="63" t="s">
        <v>208</v>
      </c>
      <c r="B202" s="25" t="s">
        <v>78</v>
      </c>
      <c r="C202" s="35" t="s">
        <v>79</v>
      </c>
      <c r="D202" s="53" t="s">
        <v>352</v>
      </c>
      <c r="E202" s="52">
        <f>0.000185863421606413*E175</f>
        <v>345.49030816088219</v>
      </c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  <c r="AI202" s="14"/>
      <c r="AJ202" s="14"/>
      <c r="AK202" s="14"/>
      <c r="AL202" s="14"/>
      <c r="AM202" s="14"/>
      <c r="AN202" s="14"/>
      <c r="AO202" s="14"/>
      <c r="AP202" s="14"/>
      <c r="AQ202" s="14"/>
      <c r="AR202" s="14"/>
      <c r="AS202" s="14"/>
      <c r="AT202" s="14"/>
      <c r="AU202" s="14"/>
      <c r="AV202" s="14"/>
      <c r="AW202" s="14"/>
      <c r="AX202" s="14"/>
      <c r="AY202" s="14"/>
      <c r="AZ202" s="14"/>
      <c r="BA202" s="14"/>
      <c r="BB202" s="14"/>
      <c r="BC202" s="14"/>
      <c r="BD202" s="14"/>
      <c r="BE202" s="14"/>
      <c r="BF202" s="14"/>
      <c r="BG202" s="14"/>
      <c r="BH202" s="14"/>
      <c r="BI202" s="14"/>
      <c r="BJ202" s="14"/>
      <c r="BK202" s="14"/>
      <c r="BL202" s="14"/>
      <c r="BM202" s="14"/>
      <c r="BN202" s="14"/>
      <c r="BO202" s="14"/>
      <c r="BP202" s="14"/>
      <c r="BQ202" s="14"/>
      <c r="BR202" s="14"/>
      <c r="BS202" s="14"/>
      <c r="BT202" s="14"/>
      <c r="BU202" s="14"/>
      <c r="BV202" s="14"/>
      <c r="BW202" s="14"/>
      <c r="BX202" s="14"/>
      <c r="BY202" s="14"/>
      <c r="BZ202" s="14"/>
      <c r="CA202" s="14"/>
      <c r="CB202" s="14"/>
      <c r="CC202" s="14"/>
      <c r="CD202" s="14"/>
      <c r="CE202" s="14"/>
      <c r="CF202" s="14"/>
      <c r="CG202" s="14"/>
      <c r="CH202" s="14"/>
      <c r="CI202" s="14"/>
      <c r="CJ202" s="14"/>
      <c r="CK202" s="14"/>
      <c r="CL202" s="14"/>
      <c r="CM202" s="14"/>
      <c r="CN202" s="14"/>
      <c r="CO202" s="14"/>
      <c r="CP202" s="14"/>
      <c r="CQ202" s="14"/>
      <c r="CR202" s="14"/>
      <c r="CS202" s="14"/>
      <c r="CT202" s="14"/>
      <c r="CU202" s="14"/>
      <c r="CV202" s="14"/>
      <c r="CW202" s="14"/>
      <c r="CX202" s="14"/>
      <c r="CY202" s="14"/>
      <c r="CZ202" s="14"/>
      <c r="DA202" s="14"/>
      <c r="DB202" s="14"/>
      <c r="DC202" s="14"/>
      <c r="DD202" s="14"/>
      <c r="DE202" s="14"/>
      <c r="DF202" s="14"/>
      <c r="DG202" s="14"/>
      <c r="DH202" s="14"/>
      <c r="DI202" s="14"/>
      <c r="DJ202" s="14"/>
      <c r="DK202" s="14"/>
      <c r="DL202" s="14"/>
      <c r="DM202" s="14"/>
      <c r="DN202" s="14"/>
      <c r="DO202" s="14"/>
      <c r="DP202" s="14"/>
      <c r="DQ202" s="14"/>
      <c r="DR202" s="14"/>
      <c r="DS202" s="14"/>
      <c r="DT202" s="14"/>
      <c r="DU202" s="14"/>
      <c r="DV202" s="14"/>
      <c r="DW202" s="14"/>
      <c r="DX202" s="14"/>
      <c r="DY202" s="14"/>
      <c r="DZ202" s="14"/>
      <c r="EA202" s="14"/>
      <c r="EB202" s="14"/>
      <c r="EC202" s="14"/>
    </row>
    <row r="203" spans="1:133" s="13" customFormat="1" ht="31.2" x14ac:dyDescent="0.25">
      <c r="A203" s="63" t="s">
        <v>209</v>
      </c>
      <c r="B203" s="25" t="s">
        <v>80</v>
      </c>
      <c r="C203" s="35" t="s">
        <v>81</v>
      </c>
      <c r="D203" s="35" t="s">
        <v>353</v>
      </c>
      <c r="E203" s="25">
        <f>5</f>
        <v>5</v>
      </c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  <c r="AI203" s="14"/>
      <c r="AJ203" s="14"/>
      <c r="AK203" s="14"/>
      <c r="AL203" s="14"/>
      <c r="AM203" s="14"/>
      <c r="AN203" s="14"/>
      <c r="AO203" s="14"/>
      <c r="AP203" s="14"/>
      <c r="AQ203" s="14"/>
      <c r="AR203" s="14"/>
      <c r="AS203" s="14"/>
      <c r="AT203" s="14"/>
      <c r="AU203" s="14"/>
      <c r="AV203" s="14"/>
      <c r="AW203" s="14"/>
      <c r="AX203" s="14"/>
      <c r="AY203" s="14"/>
      <c r="AZ203" s="14"/>
      <c r="BA203" s="14"/>
      <c r="BB203" s="14"/>
      <c r="BC203" s="14"/>
      <c r="BD203" s="14"/>
      <c r="BE203" s="14"/>
      <c r="BF203" s="14"/>
      <c r="BG203" s="14"/>
      <c r="BH203" s="14"/>
      <c r="BI203" s="14"/>
      <c r="BJ203" s="14"/>
      <c r="BK203" s="14"/>
      <c r="BL203" s="14"/>
      <c r="BM203" s="14"/>
      <c r="BN203" s="14"/>
      <c r="BO203" s="14"/>
      <c r="BP203" s="14"/>
      <c r="BQ203" s="14"/>
      <c r="BR203" s="14"/>
      <c r="BS203" s="14"/>
      <c r="BT203" s="14"/>
      <c r="BU203" s="14"/>
      <c r="BV203" s="14"/>
      <c r="BW203" s="14"/>
      <c r="BX203" s="14"/>
      <c r="BY203" s="14"/>
      <c r="BZ203" s="14"/>
      <c r="CA203" s="14"/>
      <c r="CB203" s="14"/>
      <c r="CC203" s="14"/>
      <c r="CD203" s="14"/>
      <c r="CE203" s="14"/>
      <c r="CF203" s="14"/>
      <c r="CG203" s="14"/>
      <c r="CH203" s="14"/>
      <c r="CI203" s="14"/>
      <c r="CJ203" s="14"/>
      <c r="CK203" s="14"/>
      <c r="CL203" s="14"/>
      <c r="CM203" s="14"/>
      <c r="CN203" s="14"/>
      <c r="CO203" s="14"/>
      <c r="CP203" s="14"/>
      <c r="CQ203" s="14"/>
      <c r="CR203" s="14"/>
      <c r="CS203" s="14"/>
      <c r="CT203" s="14"/>
      <c r="CU203" s="14"/>
      <c r="CV203" s="14"/>
      <c r="CW203" s="14"/>
      <c r="CX203" s="14"/>
      <c r="CY203" s="14"/>
      <c r="CZ203" s="14"/>
      <c r="DA203" s="14"/>
      <c r="DB203" s="14"/>
      <c r="DC203" s="14"/>
      <c r="DD203" s="14"/>
      <c r="DE203" s="14"/>
      <c r="DF203" s="14"/>
      <c r="DG203" s="14"/>
      <c r="DH203" s="14"/>
      <c r="DI203" s="14"/>
      <c r="DJ203" s="14"/>
      <c r="DK203" s="14"/>
      <c r="DL203" s="14"/>
      <c r="DM203" s="14"/>
      <c r="DN203" s="14"/>
      <c r="DO203" s="14"/>
      <c r="DP203" s="14"/>
      <c r="DQ203" s="14"/>
      <c r="DR203" s="14"/>
      <c r="DS203" s="14"/>
      <c r="DT203" s="14"/>
      <c r="DU203" s="14"/>
      <c r="DV203" s="14"/>
      <c r="DW203" s="14"/>
      <c r="DX203" s="14"/>
      <c r="DY203" s="14"/>
      <c r="DZ203" s="14"/>
      <c r="EA203" s="14"/>
      <c r="EB203" s="14"/>
      <c r="EC203" s="14"/>
    </row>
    <row r="204" spans="1:133" s="13" customFormat="1" ht="62.4" x14ac:dyDescent="0.25">
      <c r="A204" s="63" t="s">
        <v>210</v>
      </c>
      <c r="B204" s="25" t="s">
        <v>82</v>
      </c>
      <c r="C204" s="35" t="s">
        <v>83</v>
      </c>
      <c r="D204" s="53" t="s">
        <v>354</v>
      </c>
      <c r="E204" s="25">
        <f>15*2</f>
        <v>30</v>
      </c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  <c r="AI204" s="14"/>
      <c r="AJ204" s="14"/>
      <c r="AK204" s="14"/>
      <c r="AL204" s="14"/>
      <c r="AM204" s="14"/>
      <c r="AN204" s="14"/>
      <c r="AO204" s="14"/>
      <c r="AP204" s="14"/>
      <c r="AQ204" s="14"/>
      <c r="AR204" s="14"/>
      <c r="AS204" s="14"/>
      <c r="AT204" s="14"/>
      <c r="AU204" s="14"/>
      <c r="AV204" s="14"/>
      <c r="AW204" s="14"/>
      <c r="AX204" s="14"/>
      <c r="AY204" s="14"/>
      <c r="AZ204" s="14"/>
      <c r="BA204" s="14"/>
      <c r="BB204" s="14"/>
      <c r="BC204" s="14"/>
      <c r="BD204" s="14"/>
      <c r="BE204" s="14"/>
      <c r="BF204" s="14"/>
      <c r="BG204" s="14"/>
      <c r="BH204" s="14"/>
      <c r="BI204" s="14"/>
      <c r="BJ204" s="14"/>
      <c r="BK204" s="14"/>
      <c r="BL204" s="14"/>
      <c r="BM204" s="14"/>
      <c r="BN204" s="14"/>
      <c r="BO204" s="14"/>
      <c r="BP204" s="14"/>
      <c r="BQ204" s="14"/>
      <c r="BR204" s="14"/>
      <c r="BS204" s="14"/>
      <c r="BT204" s="14"/>
      <c r="BU204" s="14"/>
      <c r="BV204" s="14"/>
      <c r="BW204" s="14"/>
      <c r="BX204" s="14"/>
      <c r="BY204" s="14"/>
      <c r="BZ204" s="14"/>
      <c r="CA204" s="14"/>
      <c r="CB204" s="14"/>
      <c r="CC204" s="14"/>
      <c r="CD204" s="14"/>
      <c r="CE204" s="14"/>
      <c r="CF204" s="14"/>
      <c r="CG204" s="14"/>
      <c r="CH204" s="14"/>
      <c r="CI204" s="14"/>
      <c r="CJ204" s="14"/>
      <c r="CK204" s="14"/>
      <c r="CL204" s="14"/>
      <c r="CM204" s="14"/>
      <c r="CN204" s="14"/>
      <c r="CO204" s="14"/>
      <c r="CP204" s="14"/>
      <c r="CQ204" s="14"/>
      <c r="CR204" s="14"/>
      <c r="CS204" s="14"/>
      <c r="CT204" s="14"/>
      <c r="CU204" s="14"/>
      <c r="CV204" s="14"/>
      <c r="CW204" s="14"/>
      <c r="CX204" s="14"/>
      <c r="CY204" s="14"/>
      <c r="CZ204" s="14"/>
      <c r="DA204" s="14"/>
      <c r="DB204" s="14"/>
      <c r="DC204" s="14"/>
      <c r="DD204" s="14"/>
      <c r="DE204" s="14"/>
      <c r="DF204" s="14"/>
      <c r="DG204" s="14"/>
      <c r="DH204" s="14"/>
      <c r="DI204" s="14"/>
      <c r="DJ204" s="14"/>
      <c r="DK204" s="14"/>
      <c r="DL204" s="14"/>
      <c r="DM204" s="14"/>
      <c r="DN204" s="14"/>
      <c r="DO204" s="14"/>
      <c r="DP204" s="14"/>
      <c r="DQ204" s="14"/>
      <c r="DR204" s="14"/>
      <c r="DS204" s="14"/>
      <c r="DT204" s="14"/>
      <c r="DU204" s="14"/>
      <c r="DV204" s="14"/>
      <c r="DW204" s="14"/>
      <c r="DX204" s="14"/>
      <c r="DY204" s="14"/>
      <c r="DZ204" s="14"/>
      <c r="EA204" s="14"/>
      <c r="EB204" s="14"/>
      <c r="EC204" s="14"/>
    </row>
    <row r="205" spans="1:133" s="13" customFormat="1" ht="172.2" x14ac:dyDescent="0.25">
      <c r="A205" s="63" t="s">
        <v>211</v>
      </c>
      <c r="B205" s="25" t="s">
        <v>84</v>
      </c>
      <c r="C205" s="35" t="s">
        <v>85</v>
      </c>
      <c r="D205" s="35" t="s">
        <v>355</v>
      </c>
      <c r="E205" s="25">
        <f>25.1/100</f>
        <v>0.251</v>
      </c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  <c r="AI205" s="14"/>
      <c r="AJ205" s="14"/>
      <c r="AK205" s="14"/>
      <c r="AL205" s="14"/>
      <c r="AM205" s="14"/>
      <c r="AN205" s="14"/>
      <c r="AO205" s="14"/>
      <c r="AP205" s="14"/>
      <c r="AQ205" s="14"/>
      <c r="AR205" s="14"/>
      <c r="AS205" s="14"/>
      <c r="AT205" s="14"/>
      <c r="AU205" s="14"/>
      <c r="AV205" s="14"/>
      <c r="AW205" s="14"/>
      <c r="AX205" s="14"/>
      <c r="AY205" s="14"/>
      <c r="AZ205" s="14"/>
      <c r="BA205" s="14"/>
      <c r="BB205" s="14"/>
      <c r="BC205" s="14"/>
      <c r="BD205" s="14"/>
      <c r="BE205" s="14"/>
      <c r="BF205" s="14"/>
      <c r="BG205" s="14"/>
      <c r="BH205" s="14"/>
      <c r="BI205" s="14"/>
      <c r="BJ205" s="14"/>
      <c r="BK205" s="14"/>
      <c r="BL205" s="14"/>
      <c r="BM205" s="14"/>
      <c r="BN205" s="14"/>
      <c r="BO205" s="14"/>
      <c r="BP205" s="14"/>
      <c r="BQ205" s="14"/>
      <c r="BR205" s="14"/>
      <c r="BS205" s="14"/>
      <c r="BT205" s="14"/>
      <c r="BU205" s="14"/>
      <c r="BV205" s="14"/>
      <c r="BW205" s="14"/>
      <c r="BX205" s="14"/>
      <c r="BY205" s="14"/>
      <c r="BZ205" s="14"/>
      <c r="CA205" s="14"/>
      <c r="CB205" s="14"/>
      <c r="CC205" s="14"/>
      <c r="CD205" s="14"/>
      <c r="CE205" s="14"/>
      <c r="CF205" s="14"/>
      <c r="CG205" s="14"/>
      <c r="CH205" s="14"/>
      <c r="CI205" s="14"/>
      <c r="CJ205" s="14"/>
      <c r="CK205" s="14"/>
      <c r="CL205" s="14"/>
      <c r="CM205" s="14"/>
      <c r="CN205" s="14"/>
      <c r="CO205" s="14"/>
      <c r="CP205" s="14"/>
      <c r="CQ205" s="14"/>
      <c r="CR205" s="14"/>
      <c r="CS205" s="14"/>
      <c r="CT205" s="14"/>
      <c r="CU205" s="14"/>
      <c r="CV205" s="14"/>
      <c r="CW205" s="14"/>
      <c r="CX205" s="14"/>
      <c r="CY205" s="14"/>
      <c r="CZ205" s="14"/>
      <c r="DA205" s="14"/>
      <c r="DB205" s="14"/>
      <c r="DC205" s="14"/>
      <c r="DD205" s="14"/>
      <c r="DE205" s="14"/>
      <c r="DF205" s="14"/>
      <c r="DG205" s="14"/>
      <c r="DH205" s="14"/>
      <c r="DI205" s="14"/>
      <c r="DJ205" s="14"/>
      <c r="DK205" s="14"/>
      <c r="DL205" s="14"/>
      <c r="DM205" s="14"/>
      <c r="DN205" s="14"/>
      <c r="DO205" s="14"/>
      <c r="DP205" s="14"/>
      <c r="DQ205" s="14"/>
      <c r="DR205" s="14"/>
      <c r="DS205" s="14"/>
      <c r="DT205" s="14"/>
      <c r="DU205" s="14"/>
      <c r="DV205" s="14"/>
      <c r="DW205" s="14"/>
      <c r="DX205" s="14"/>
      <c r="DY205" s="14"/>
      <c r="DZ205" s="14"/>
      <c r="EA205" s="14"/>
      <c r="EB205" s="14"/>
      <c r="EC205" s="14"/>
    </row>
    <row r="206" spans="1:133" s="13" customFormat="1" ht="140.4" x14ac:dyDescent="0.25">
      <c r="A206" s="63" t="s">
        <v>212</v>
      </c>
      <c r="B206" s="25" t="s">
        <v>87</v>
      </c>
      <c r="C206" s="35" t="s">
        <v>86</v>
      </c>
      <c r="D206" s="35" t="s">
        <v>356</v>
      </c>
      <c r="E206" s="25">
        <f>0.84/1000</f>
        <v>8.3999999999999993E-4</v>
      </c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  <c r="AI206" s="14"/>
      <c r="AJ206" s="14"/>
      <c r="AK206" s="14"/>
      <c r="AL206" s="14"/>
      <c r="AM206" s="14"/>
      <c r="AN206" s="14"/>
      <c r="AO206" s="14"/>
      <c r="AP206" s="14"/>
      <c r="AQ206" s="14"/>
      <c r="AR206" s="14"/>
      <c r="AS206" s="14"/>
      <c r="AT206" s="14"/>
      <c r="AU206" s="14"/>
      <c r="AV206" s="14"/>
      <c r="AW206" s="14"/>
      <c r="AX206" s="14"/>
      <c r="AY206" s="14"/>
      <c r="AZ206" s="14"/>
      <c r="BA206" s="14"/>
      <c r="BB206" s="14"/>
      <c r="BC206" s="14"/>
      <c r="BD206" s="14"/>
      <c r="BE206" s="14"/>
      <c r="BF206" s="14"/>
      <c r="BG206" s="14"/>
      <c r="BH206" s="14"/>
      <c r="BI206" s="14"/>
      <c r="BJ206" s="14"/>
      <c r="BK206" s="14"/>
      <c r="BL206" s="14"/>
      <c r="BM206" s="14"/>
      <c r="BN206" s="14"/>
      <c r="BO206" s="14"/>
      <c r="BP206" s="14"/>
      <c r="BQ206" s="14"/>
      <c r="BR206" s="14"/>
      <c r="BS206" s="14"/>
      <c r="BT206" s="14"/>
      <c r="BU206" s="14"/>
      <c r="BV206" s="14"/>
      <c r="BW206" s="14"/>
      <c r="BX206" s="14"/>
      <c r="BY206" s="14"/>
      <c r="BZ206" s="14"/>
      <c r="CA206" s="14"/>
      <c r="CB206" s="14"/>
      <c r="CC206" s="14"/>
      <c r="CD206" s="14"/>
      <c r="CE206" s="14"/>
      <c r="CF206" s="14"/>
      <c r="CG206" s="14"/>
      <c r="CH206" s="14"/>
      <c r="CI206" s="14"/>
      <c r="CJ206" s="14"/>
      <c r="CK206" s="14"/>
      <c r="CL206" s="14"/>
      <c r="CM206" s="14"/>
      <c r="CN206" s="14"/>
      <c r="CO206" s="14"/>
      <c r="CP206" s="14"/>
      <c r="CQ206" s="14"/>
      <c r="CR206" s="14"/>
      <c r="CS206" s="14"/>
      <c r="CT206" s="14"/>
      <c r="CU206" s="14"/>
      <c r="CV206" s="14"/>
      <c r="CW206" s="14"/>
      <c r="CX206" s="14"/>
      <c r="CY206" s="14"/>
      <c r="CZ206" s="14"/>
      <c r="DA206" s="14"/>
      <c r="DB206" s="14"/>
      <c r="DC206" s="14"/>
      <c r="DD206" s="14"/>
      <c r="DE206" s="14"/>
      <c r="DF206" s="14"/>
      <c r="DG206" s="14"/>
      <c r="DH206" s="14"/>
      <c r="DI206" s="14"/>
      <c r="DJ206" s="14"/>
      <c r="DK206" s="14"/>
      <c r="DL206" s="14"/>
      <c r="DM206" s="14"/>
      <c r="DN206" s="14"/>
      <c r="DO206" s="14"/>
      <c r="DP206" s="14"/>
      <c r="DQ206" s="14"/>
      <c r="DR206" s="14"/>
      <c r="DS206" s="14"/>
      <c r="DT206" s="14"/>
      <c r="DU206" s="14"/>
      <c r="DV206" s="14"/>
      <c r="DW206" s="14"/>
      <c r="DX206" s="14"/>
      <c r="DY206" s="14"/>
      <c r="DZ206" s="14"/>
      <c r="EA206" s="14"/>
      <c r="EB206" s="14"/>
      <c r="EC206" s="14"/>
    </row>
    <row r="207" spans="1:133" s="13" customFormat="1" ht="140.4" x14ac:dyDescent="0.25">
      <c r="A207" s="63" t="s">
        <v>213</v>
      </c>
      <c r="B207" s="25" t="s">
        <v>88</v>
      </c>
      <c r="C207" s="35" t="s">
        <v>89</v>
      </c>
      <c r="D207" s="35" t="s">
        <v>357</v>
      </c>
      <c r="E207" s="25">
        <f>43.33/1000</f>
        <v>4.333E-2</v>
      </c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  <c r="AI207" s="14"/>
      <c r="AJ207" s="14"/>
      <c r="AK207" s="14"/>
      <c r="AL207" s="14"/>
      <c r="AM207" s="14"/>
      <c r="AN207" s="14"/>
      <c r="AO207" s="14"/>
      <c r="AP207" s="14"/>
      <c r="AQ207" s="14"/>
      <c r="AR207" s="14"/>
      <c r="AS207" s="14"/>
      <c r="AT207" s="14"/>
      <c r="AU207" s="14"/>
      <c r="AV207" s="14"/>
      <c r="AW207" s="14"/>
      <c r="AX207" s="14"/>
      <c r="AY207" s="14"/>
      <c r="AZ207" s="14"/>
      <c r="BA207" s="14"/>
      <c r="BB207" s="14"/>
      <c r="BC207" s="14"/>
      <c r="BD207" s="14"/>
      <c r="BE207" s="14"/>
      <c r="BF207" s="14"/>
      <c r="BG207" s="14"/>
      <c r="BH207" s="14"/>
      <c r="BI207" s="14"/>
      <c r="BJ207" s="14"/>
      <c r="BK207" s="14"/>
      <c r="BL207" s="14"/>
      <c r="BM207" s="14"/>
      <c r="BN207" s="14"/>
      <c r="BO207" s="14"/>
      <c r="BP207" s="14"/>
      <c r="BQ207" s="14"/>
      <c r="BR207" s="14"/>
      <c r="BS207" s="14"/>
      <c r="BT207" s="14"/>
      <c r="BU207" s="14"/>
      <c r="BV207" s="14"/>
      <c r="BW207" s="14"/>
      <c r="BX207" s="14"/>
      <c r="BY207" s="14"/>
      <c r="BZ207" s="14"/>
      <c r="CA207" s="14"/>
      <c r="CB207" s="14"/>
      <c r="CC207" s="14"/>
      <c r="CD207" s="14"/>
      <c r="CE207" s="14"/>
      <c r="CF207" s="14"/>
      <c r="CG207" s="14"/>
      <c r="CH207" s="14"/>
      <c r="CI207" s="14"/>
      <c r="CJ207" s="14"/>
      <c r="CK207" s="14"/>
      <c r="CL207" s="14"/>
      <c r="CM207" s="14"/>
      <c r="CN207" s="14"/>
      <c r="CO207" s="14"/>
      <c r="CP207" s="14"/>
      <c r="CQ207" s="14"/>
      <c r="CR207" s="14"/>
      <c r="CS207" s="14"/>
      <c r="CT207" s="14"/>
      <c r="CU207" s="14"/>
      <c r="CV207" s="14"/>
      <c r="CW207" s="14"/>
      <c r="CX207" s="14"/>
      <c r="CY207" s="14"/>
      <c r="CZ207" s="14"/>
      <c r="DA207" s="14"/>
      <c r="DB207" s="14"/>
      <c r="DC207" s="14"/>
      <c r="DD207" s="14"/>
      <c r="DE207" s="14"/>
      <c r="DF207" s="14"/>
      <c r="DG207" s="14"/>
      <c r="DH207" s="14"/>
      <c r="DI207" s="14"/>
      <c r="DJ207" s="14"/>
      <c r="DK207" s="14"/>
      <c r="DL207" s="14"/>
      <c r="DM207" s="14"/>
      <c r="DN207" s="14"/>
      <c r="DO207" s="14"/>
      <c r="DP207" s="14"/>
      <c r="DQ207" s="14"/>
      <c r="DR207" s="14"/>
      <c r="DS207" s="14"/>
      <c r="DT207" s="14"/>
      <c r="DU207" s="14"/>
      <c r="DV207" s="14"/>
      <c r="DW207" s="14"/>
      <c r="DX207" s="14"/>
      <c r="DY207" s="14"/>
      <c r="DZ207" s="14"/>
      <c r="EA207" s="14"/>
      <c r="EB207" s="14"/>
      <c r="EC207" s="14"/>
    </row>
    <row r="208" spans="1:133" ht="62.4" x14ac:dyDescent="0.25">
      <c r="A208" s="63" t="s">
        <v>214</v>
      </c>
      <c r="B208" s="25" t="s">
        <v>90</v>
      </c>
      <c r="C208" s="35" t="s">
        <v>91</v>
      </c>
      <c r="D208" s="35" t="s">
        <v>358</v>
      </c>
      <c r="E208" s="25">
        <v>74.099999999999994</v>
      </c>
    </row>
    <row r="210" spans="1:133" x14ac:dyDescent="0.25">
      <c r="A210" s="158" t="s">
        <v>93</v>
      </c>
      <c r="B210" s="158"/>
      <c r="C210" s="158"/>
      <c r="D210" s="158"/>
      <c r="E210" s="158"/>
    </row>
    <row r="211" spans="1:133" x14ac:dyDescent="0.25">
      <c r="A211" s="57" t="s">
        <v>8</v>
      </c>
      <c r="B211" s="58" t="s">
        <v>9</v>
      </c>
      <c r="C211" s="34" t="s">
        <v>10</v>
      </c>
      <c r="D211" s="34" t="s">
        <v>340</v>
      </c>
      <c r="E211" s="16" t="s">
        <v>65</v>
      </c>
    </row>
    <row r="212" spans="1:133" ht="64.8" x14ac:dyDescent="0.25">
      <c r="A212" s="15" t="s">
        <v>94</v>
      </c>
      <c r="B212" s="25" t="s">
        <v>95</v>
      </c>
      <c r="C212" s="35" t="s">
        <v>96</v>
      </c>
      <c r="D212" s="35" t="s">
        <v>97</v>
      </c>
      <c r="E212" s="16">
        <v>0</v>
      </c>
    </row>
    <row r="214" spans="1:133" x14ac:dyDescent="0.25">
      <c r="A214" s="158" t="s">
        <v>98</v>
      </c>
      <c r="B214" s="158"/>
      <c r="C214" s="158"/>
      <c r="D214" s="158"/>
      <c r="E214" s="158"/>
    </row>
    <row r="215" spans="1:133" x14ac:dyDescent="0.25">
      <c r="A215" s="57" t="s">
        <v>8</v>
      </c>
      <c r="B215" s="58" t="s">
        <v>9</v>
      </c>
      <c r="C215" s="34" t="s">
        <v>10</v>
      </c>
      <c r="D215" s="34" t="s">
        <v>340</v>
      </c>
      <c r="E215" s="16" t="s">
        <v>65</v>
      </c>
    </row>
    <row r="216" spans="1:133" ht="49.2" x14ac:dyDescent="0.25">
      <c r="A216" s="15" t="s">
        <v>99</v>
      </c>
      <c r="B216" s="25" t="s">
        <v>95</v>
      </c>
      <c r="C216" s="35" t="s">
        <v>100</v>
      </c>
      <c r="D216" s="35" t="s">
        <v>101</v>
      </c>
      <c r="E216" s="16">
        <v>0</v>
      </c>
    </row>
    <row r="218" spans="1:133" x14ac:dyDescent="0.25">
      <c r="A218" s="57" t="s">
        <v>8</v>
      </c>
      <c r="B218" s="58" t="s">
        <v>9</v>
      </c>
      <c r="C218" s="34" t="s">
        <v>10</v>
      </c>
      <c r="D218" s="34" t="s">
        <v>340</v>
      </c>
      <c r="E218" s="16" t="s">
        <v>65</v>
      </c>
    </row>
    <row r="219" spans="1:133" ht="18" x14ac:dyDescent="0.25">
      <c r="A219" s="59" t="s">
        <v>102</v>
      </c>
      <c r="B219" s="25" t="s">
        <v>103</v>
      </c>
      <c r="C219" s="35" t="s">
        <v>104</v>
      </c>
      <c r="D219" s="53" t="s">
        <v>380</v>
      </c>
      <c r="E219" s="18">
        <f>ROUNDDOWN(E169+E200+E195+E212+E216,0)</f>
        <v>2582</v>
      </c>
    </row>
    <row r="220" spans="1:133" s="166" customFormat="1" ht="38.4" customHeight="1" x14ac:dyDescent="0.25">
      <c r="A220" s="165" t="s">
        <v>224</v>
      </c>
    </row>
    <row r="221" spans="1:133" s="180" customFormat="1" ht="38.4" customHeight="1" x14ac:dyDescent="0.25">
      <c r="A221" s="180" t="s">
        <v>242</v>
      </c>
    </row>
    <row r="222" spans="1:133" s="56" customFormat="1" ht="31.2" x14ac:dyDescent="0.25">
      <c r="A222" s="92" t="s">
        <v>8</v>
      </c>
      <c r="B222" s="93" t="s">
        <v>9</v>
      </c>
      <c r="C222" s="94" t="s">
        <v>10</v>
      </c>
      <c r="D222" s="93" t="s">
        <v>341</v>
      </c>
      <c r="E222" s="93" t="s">
        <v>11</v>
      </c>
      <c r="F222" s="16" t="s">
        <v>312</v>
      </c>
      <c r="G222" s="16" t="s">
        <v>313</v>
      </c>
      <c r="H222" s="16" t="s">
        <v>314</v>
      </c>
      <c r="I222" s="16" t="s">
        <v>315</v>
      </c>
      <c r="J222" s="16" t="s">
        <v>316</v>
      </c>
      <c r="K222" s="16" t="s">
        <v>317</v>
      </c>
      <c r="L222" s="16" t="s">
        <v>318</v>
      </c>
      <c r="M222" s="16" t="s">
        <v>319</v>
      </c>
      <c r="N222" s="16" t="s">
        <v>320</v>
      </c>
      <c r="O222" s="16" t="s">
        <v>293</v>
      </c>
      <c r="P222" s="16" t="s">
        <v>294</v>
      </c>
      <c r="Q222" s="16" t="s">
        <v>295</v>
      </c>
      <c r="R222" s="54"/>
      <c r="S222" s="54"/>
      <c r="T222" s="54"/>
      <c r="U222" s="54"/>
      <c r="V222" s="54"/>
      <c r="W222" s="54"/>
      <c r="X222" s="54"/>
      <c r="Y222" s="54"/>
      <c r="Z222" s="54"/>
      <c r="AA222" s="54"/>
      <c r="AB222" s="54"/>
      <c r="AC222" s="54"/>
      <c r="AD222" s="54"/>
      <c r="AE222" s="54"/>
      <c r="AF222" s="54"/>
      <c r="AG222" s="54"/>
      <c r="AH222" s="54"/>
      <c r="AI222" s="54"/>
      <c r="AJ222" s="54"/>
      <c r="AK222" s="54"/>
      <c r="AL222" s="54"/>
      <c r="AM222" s="54"/>
      <c r="AN222" s="54"/>
      <c r="AO222" s="54"/>
      <c r="AP222" s="54"/>
      <c r="AQ222" s="54"/>
      <c r="AR222" s="54"/>
      <c r="AS222" s="54"/>
      <c r="AT222" s="54"/>
      <c r="AU222" s="54"/>
      <c r="AV222" s="54"/>
      <c r="AW222" s="54"/>
      <c r="AX222" s="54"/>
      <c r="AY222" s="54"/>
      <c r="AZ222" s="54"/>
      <c r="BA222" s="54"/>
      <c r="BB222" s="54"/>
      <c r="BC222" s="54"/>
      <c r="BD222" s="54"/>
      <c r="BE222" s="54"/>
      <c r="BF222" s="54"/>
      <c r="BG222" s="54"/>
      <c r="BH222" s="54"/>
      <c r="BI222" s="54"/>
      <c r="BJ222" s="54"/>
      <c r="BK222" s="54"/>
      <c r="BL222" s="54"/>
      <c r="BM222" s="54"/>
      <c r="BN222" s="54"/>
      <c r="BO222" s="54"/>
      <c r="BP222" s="54"/>
      <c r="BQ222" s="54"/>
      <c r="BR222" s="54"/>
      <c r="BS222" s="54"/>
      <c r="BT222" s="54"/>
      <c r="BU222" s="54"/>
      <c r="BV222" s="54"/>
      <c r="BW222" s="54"/>
      <c r="BX222" s="54"/>
      <c r="BY222" s="54"/>
      <c r="BZ222" s="54"/>
      <c r="CA222" s="54"/>
      <c r="CB222" s="54"/>
      <c r="CC222" s="54"/>
      <c r="CD222" s="54"/>
      <c r="CE222" s="54"/>
      <c r="CF222" s="54"/>
      <c r="CG222" s="54"/>
      <c r="CH222" s="54"/>
      <c r="CI222" s="54"/>
      <c r="CJ222" s="54"/>
      <c r="CK222" s="54"/>
      <c r="CL222" s="54"/>
      <c r="CM222" s="54"/>
      <c r="CN222" s="54"/>
      <c r="CO222" s="54"/>
      <c r="CP222" s="54"/>
      <c r="CQ222" s="54"/>
      <c r="CR222" s="54"/>
      <c r="CS222" s="54"/>
      <c r="CT222" s="54"/>
      <c r="CU222" s="54"/>
      <c r="CV222" s="54"/>
      <c r="CW222" s="54"/>
      <c r="CX222" s="54"/>
      <c r="CY222" s="54"/>
      <c r="CZ222" s="54"/>
      <c r="DA222" s="54"/>
      <c r="DB222" s="54"/>
      <c r="DC222" s="54"/>
      <c r="DD222" s="54"/>
      <c r="DE222" s="54"/>
      <c r="DF222" s="54"/>
      <c r="DG222" s="54"/>
      <c r="DH222" s="54"/>
      <c r="DI222" s="54"/>
      <c r="DJ222" s="54"/>
      <c r="DK222" s="54"/>
      <c r="DL222" s="54"/>
      <c r="DM222" s="54"/>
      <c r="DN222" s="54"/>
      <c r="DO222" s="54"/>
      <c r="DP222" s="54"/>
      <c r="DQ222" s="54"/>
      <c r="DR222" s="54"/>
      <c r="DS222" s="54"/>
      <c r="DT222" s="54"/>
      <c r="DU222" s="54"/>
      <c r="DV222" s="54"/>
      <c r="DW222" s="54"/>
      <c r="DX222" s="54"/>
      <c r="DY222" s="54"/>
      <c r="DZ222" s="54"/>
      <c r="EA222" s="54"/>
      <c r="EB222" s="54"/>
      <c r="EC222" s="54"/>
    </row>
    <row r="223" spans="1:133" s="56" customFormat="1" x14ac:dyDescent="0.25">
      <c r="A223" s="178" t="s">
        <v>12</v>
      </c>
      <c r="B223" s="178"/>
      <c r="C223" s="179"/>
      <c r="D223" s="179"/>
      <c r="E223" s="178"/>
      <c r="F223" s="16">
        <v>31</v>
      </c>
      <c r="G223" s="16">
        <v>28</v>
      </c>
      <c r="H223" s="16">
        <v>31</v>
      </c>
      <c r="I223" s="16">
        <v>30</v>
      </c>
      <c r="J223" s="16">
        <v>31</v>
      </c>
      <c r="K223" s="16">
        <v>30</v>
      </c>
      <c r="L223" s="16">
        <v>31</v>
      </c>
      <c r="M223" s="16">
        <v>31</v>
      </c>
      <c r="N223" s="16">
        <v>30</v>
      </c>
      <c r="O223" s="16">
        <v>31</v>
      </c>
      <c r="P223" s="16">
        <v>30</v>
      </c>
      <c r="Q223" s="16">
        <v>31</v>
      </c>
      <c r="R223" s="54"/>
      <c r="S223" s="54"/>
      <c r="T223" s="54"/>
      <c r="U223" s="54"/>
      <c r="V223" s="54"/>
      <c r="W223" s="54"/>
      <c r="X223" s="54"/>
      <c r="Y223" s="54"/>
      <c r="Z223" s="54"/>
      <c r="AA223" s="54"/>
      <c r="AB223" s="54"/>
      <c r="AC223" s="54"/>
      <c r="AD223" s="54"/>
      <c r="AE223" s="54"/>
      <c r="AF223" s="54"/>
      <c r="AG223" s="54"/>
      <c r="AH223" s="54"/>
      <c r="AI223" s="54"/>
      <c r="AJ223" s="54"/>
      <c r="AK223" s="54"/>
      <c r="AL223" s="54"/>
      <c r="AM223" s="54"/>
      <c r="AN223" s="54"/>
      <c r="AO223" s="54"/>
      <c r="AP223" s="54"/>
      <c r="AQ223" s="54"/>
      <c r="AR223" s="54"/>
      <c r="AS223" s="54"/>
      <c r="AT223" s="54"/>
      <c r="AU223" s="54"/>
      <c r="AV223" s="54"/>
      <c r="AW223" s="54"/>
      <c r="AX223" s="54"/>
      <c r="AY223" s="54"/>
      <c r="AZ223" s="54"/>
      <c r="BA223" s="54"/>
      <c r="BB223" s="54"/>
      <c r="BC223" s="54"/>
      <c r="BD223" s="54"/>
      <c r="BE223" s="54"/>
      <c r="BF223" s="54"/>
      <c r="BG223" s="54"/>
      <c r="BH223" s="54"/>
      <c r="BI223" s="54"/>
      <c r="BJ223" s="54"/>
      <c r="BK223" s="54"/>
      <c r="BL223" s="54"/>
      <c r="BM223" s="54"/>
      <c r="BN223" s="54"/>
      <c r="BO223" s="54"/>
      <c r="BP223" s="54"/>
      <c r="BQ223" s="54"/>
      <c r="BR223" s="54"/>
      <c r="BS223" s="54"/>
      <c r="BT223" s="54"/>
      <c r="BU223" s="54"/>
      <c r="BV223" s="54"/>
      <c r="BW223" s="54"/>
      <c r="BX223" s="54"/>
      <c r="BY223" s="54"/>
      <c r="BZ223" s="54"/>
      <c r="CA223" s="54"/>
      <c r="CB223" s="54"/>
      <c r="CC223" s="54"/>
      <c r="CD223" s="54"/>
      <c r="CE223" s="54"/>
      <c r="CF223" s="54"/>
      <c r="CG223" s="54"/>
      <c r="CH223" s="54"/>
      <c r="CI223" s="54"/>
      <c r="CJ223" s="54"/>
      <c r="CK223" s="54"/>
      <c r="CL223" s="54"/>
      <c r="CM223" s="54"/>
      <c r="CN223" s="54"/>
      <c r="CO223" s="54"/>
      <c r="CP223" s="54"/>
      <c r="CQ223" s="54"/>
      <c r="CR223" s="54"/>
      <c r="CS223" s="54"/>
      <c r="CT223" s="54"/>
      <c r="CU223" s="54"/>
      <c r="CV223" s="54"/>
      <c r="CW223" s="54"/>
      <c r="CX223" s="54"/>
      <c r="CY223" s="54"/>
      <c r="CZ223" s="54"/>
      <c r="DA223" s="54"/>
      <c r="DB223" s="54"/>
      <c r="DC223" s="54"/>
      <c r="DD223" s="54"/>
      <c r="DE223" s="54"/>
      <c r="DF223" s="54"/>
      <c r="DG223" s="54"/>
      <c r="DH223" s="54"/>
      <c r="DI223" s="54"/>
      <c r="DJ223" s="54"/>
      <c r="DK223" s="54"/>
      <c r="DL223" s="54"/>
      <c r="DM223" s="54"/>
      <c r="DN223" s="54"/>
      <c r="DO223" s="54"/>
      <c r="DP223" s="54"/>
      <c r="DQ223" s="54"/>
      <c r="DR223" s="54"/>
      <c r="DS223" s="54"/>
      <c r="DT223" s="54"/>
      <c r="DU223" s="54"/>
      <c r="DV223" s="54"/>
      <c r="DW223" s="54"/>
      <c r="DX223" s="54"/>
      <c r="DY223" s="54"/>
      <c r="DZ223" s="54"/>
      <c r="EA223" s="54"/>
      <c r="EB223" s="54"/>
      <c r="EC223" s="54"/>
    </row>
    <row r="224" spans="1:133" ht="46.8" x14ac:dyDescent="0.25">
      <c r="A224" s="59" t="s">
        <v>13</v>
      </c>
      <c r="B224" s="60" t="s">
        <v>14</v>
      </c>
      <c r="C224" s="53" t="s">
        <v>15</v>
      </c>
      <c r="D224" s="53" t="s">
        <v>369</v>
      </c>
      <c r="E224" s="61">
        <f>SUM(F224:Q224)</f>
        <v>4713.8464417709811</v>
      </c>
      <c r="F224" s="62">
        <f>$E$225*$E$226*F227*$E$238</f>
        <v>400.94309343798869</v>
      </c>
      <c r="G224" s="62">
        <f>$E$225*$E$226*G227*$E$238</f>
        <v>361.70012108642254</v>
      </c>
      <c r="H224" s="62">
        <f>$E$225*$E$226*H227*$E$238</f>
        <v>400.41018425847062</v>
      </c>
      <c r="I224" s="62">
        <f t="shared" ref="I224:Q224" si="28">$E$225*$E$226*I227*$E$238</f>
        <v>387.21032943651284</v>
      </c>
      <c r="J224" s="62">
        <f t="shared" si="28"/>
        <v>423.22331182281147</v>
      </c>
      <c r="K224" s="62">
        <f t="shared" si="28"/>
        <v>365.42533163045567</v>
      </c>
      <c r="L224" s="62">
        <f t="shared" si="28"/>
        <v>377.54623399115798</v>
      </c>
      <c r="M224" s="62">
        <f t="shared" si="28"/>
        <v>377.44504730862434</v>
      </c>
      <c r="N224" s="62">
        <f t="shared" si="28"/>
        <v>409.46465629426154</v>
      </c>
      <c r="O224" s="62">
        <f t="shared" si="28"/>
        <v>422.82842841100586</v>
      </c>
      <c r="P224" s="62">
        <f t="shared" si="28"/>
        <v>387.48062481321762</v>
      </c>
      <c r="Q224" s="62">
        <f t="shared" si="28"/>
        <v>400.16907928005145</v>
      </c>
    </row>
    <row r="225" spans="1:17" ht="31.2" x14ac:dyDescent="0.25">
      <c r="A225" s="63" t="s">
        <v>16</v>
      </c>
      <c r="B225" s="60" t="s">
        <v>193</v>
      </c>
      <c r="C225" s="35" t="s">
        <v>17</v>
      </c>
      <c r="D225" s="35" t="s">
        <v>205</v>
      </c>
      <c r="E225" s="176">
        <v>28</v>
      </c>
      <c r="F225" s="176"/>
      <c r="G225" s="176"/>
      <c r="H225" s="176"/>
      <c r="I225" s="176"/>
      <c r="J225" s="176"/>
      <c r="K225" s="176"/>
      <c r="L225" s="176"/>
      <c r="M225" s="176"/>
      <c r="N225" s="176"/>
      <c r="O225" s="176"/>
      <c r="P225" s="176"/>
      <c r="Q225" s="176"/>
    </row>
    <row r="226" spans="1:17" ht="64.8" x14ac:dyDescent="0.25">
      <c r="A226" s="63" t="s">
        <v>18</v>
      </c>
      <c r="B226" s="25" t="s">
        <v>194</v>
      </c>
      <c r="C226" s="35" t="s">
        <v>20</v>
      </c>
      <c r="D226" s="35" t="s">
        <v>394</v>
      </c>
      <c r="E226" s="176">
        <v>0.21</v>
      </c>
      <c r="F226" s="176"/>
      <c r="G226" s="176"/>
      <c r="H226" s="176"/>
      <c r="I226" s="176"/>
      <c r="J226" s="176"/>
      <c r="K226" s="176"/>
      <c r="L226" s="176"/>
      <c r="M226" s="176"/>
      <c r="N226" s="176"/>
      <c r="O226" s="176"/>
      <c r="P226" s="176"/>
      <c r="Q226" s="176"/>
    </row>
    <row r="227" spans="1:17" ht="46.8" x14ac:dyDescent="0.25">
      <c r="A227" s="35" t="s">
        <v>21</v>
      </c>
      <c r="B227" s="25" t="s">
        <v>195</v>
      </c>
      <c r="C227" s="53" t="s">
        <v>22</v>
      </c>
      <c r="D227" s="53" t="s">
        <v>370</v>
      </c>
      <c r="E227" s="64">
        <f t="shared" ref="E227:Q227" si="29">E235*E228</f>
        <v>1358.2427533416421</v>
      </c>
      <c r="F227" s="64">
        <f t="shared" si="29"/>
        <v>115.52732102998512</v>
      </c>
      <c r="G227" s="64">
        <f t="shared" si="29"/>
        <v>104.21989227206488</v>
      </c>
      <c r="H227" s="64">
        <f t="shared" si="29"/>
        <v>115.37376913978021</v>
      </c>
      <c r="I227" s="64">
        <f t="shared" si="29"/>
        <v>111.5703768616155</v>
      </c>
      <c r="J227" s="64">
        <f t="shared" si="29"/>
        <v>121.9471197098686</v>
      </c>
      <c r="K227" s="64">
        <f t="shared" si="29"/>
        <v>105.29327051817592</v>
      </c>
      <c r="L227" s="64">
        <f t="shared" si="29"/>
        <v>108.78577456953833</v>
      </c>
      <c r="M227" s="64">
        <f t="shared" si="29"/>
        <v>108.75661874531207</v>
      </c>
      <c r="N227" s="64">
        <f t="shared" si="29"/>
        <v>117.98271518413357</v>
      </c>
      <c r="O227" s="64">
        <f t="shared" si="29"/>
        <v>121.83333841912756</v>
      </c>
      <c r="P227" s="64">
        <f t="shared" si="29"/>
        <v>111.64825948702685</v>
      </c>
      <c r="Q227" s="64">
        <f t="shared" si="29"/>
        <v>115.30429740501377</v>
      </c>
    </row>
    <row r="228" spans="1:17" ht="46.8" x14ac:dyDescent="0.25">
      <c r="A228" s="35" t="s">
        <v>23</v>
      </c>
      <c r="B228" s="25" t="s">
        <v>197</v>
      </c>
      <c r="C228" s="35" t="s">
        <v>191</v>
      </c>
      <c r="D228" s="35" t="s">
        <v>371</v>
      </c>
      <c r="E228" s="20">
        <f>SUM(F228:Q228)</f>
        <v>1430.0365176507089</v>
      </c>
      <c r="F228" s="20">
        <f>F230*F233</f>
        <v>121.63384450443682</v>
      </c>
      <c r="G228" s="20">
        <f t="shared" ref="G228:Q228" si="30">G230*G233</f>
        <v>109.72872960153961</v>
      </c>
      <c r="H228" s="20">
        <f t="shared" si="30"/>
        <v>121.47217619455107</v>
      </c>
      <c r="I228" s="20">
        <f t="shared" si="30"/>
        <v>117.46774485461211</v>
      </c>
      <c r="J228" s="20">
        <f t="shared" si="30"/>
        <v>128.39297981041403</v>
      </c>
      <c r="K228" s="20">
        <f t="shared" si="30"/>
        <v>110.85884429231503</v>
      </c>
      <c r="L228" s="20">
        <f t="shared" si="30"/>
        <v>114.53595452846665</v>
      </c>
      <c r="M228" s="20">
        <f t="shared" si="30"/>
        <v>114.50525759064519</v>
      </c>
      <c r="N228" s="20">
        <f t="shared" si="30"/>
        <v>124.2190254649239</v>
      </c>
      <c r="O228" s="20">
        <f t="shared" si="30"/>
        <v>128.27318428757042</v>
      </c>
      <c r="P228" s="20">
        <f t="shared" si="30"/>
        <v>117.54974418658331</v>
      </c>
      <c r="Q228" s="20">
        <f t="shared" si="30"/>
        <v>121.39903233465112</v>
      </c>
    </row>
    <row r="229" spans="1:17" ht="62.4" x14ac:dyDescent="0.25">
      <c r="A229" s="17" t="s">
        <v>335</v>
      </c>
      <c r="B229" s="60" t="s">
        <v>192</v>
      </c>
      <c r="C229" s="35" t="s">
        <v>25</v>
      </c>
      <c r="D229" s="35" t="s">
        <v>333</v>
      </c>
      <c r="E229" s="121">
        <f>AVERAGE(F229:Q229)</f>
        <v>8603.8445092101902</v>
      </c>
      <c r="F229" s="121">
        <v>8366.5811290322617</v>
      </c>
      <c r="G229" s="121">
        <v>8365.6009642857171</v>
      </c>
      <c r="H229" s="121">
        <v>8363.3084193548384</v>
      </c>
      <c r="I229" s="121">
        <v>8363.9523333333345</v>
      </c>
      <c r="J229" s="121">
        <v>8842.3902258064536</v>
      </c>
      <c r="K229" s="121">
        <v>8843.6975666666694</v>
      </c>
      <c r="L229" s="121">
        <v>8845.6820000000007</v>
      </c>
      <c r="M229" s="121">
        <v>8845.246774193547</v>
      </c>
      <c r="N229" s="121">
        <v>8844.6006333333335</v>
      </c>
      <c r="O229" s="121">
        <v>8839.7103548387095</v>
      </c>
      <c r="P229" s="121">
        <v>8365.0910000000003</v>
      </c>
      <c r="Q229" s="121">
        <v>8360.2727096774215</v>
      </c>
    </row>
    <row r="230" spans="1:17" ht="46.8" x14ac:dyDescent="0.25">
      <c r="A230" s="35" t="s">
        <v>26</v>
      </c>
      <c r="B230" s="60" t="s">
        <v>198</v>
      </c>
      <c r="C230" s="35" t="s">
        <v>27</v>
      </c>
      <c r="D230" s="35" t="s">
        <v>206</v>
      </c>
      <c r="E230" s="65">
        <f>SUM(F230:Q230)</f>
        <v>3141116.0130000003</v>
      </c>
      <c r="F230" s="65">
        <f>F229*F223</f>
        <v>259364.0150000001</v>
      </c>
      <c r="G230" s="65">
        <f t="shared" ref="G230:Q230" si="31">G229*G223</f>
        <v>234236.82700000008</v>
      </c>
      <c r="H230" s="65">
        <f t="shared" si="31"/>
        <v>259262.56099999999</v>
      </c>
      <c r="I230" s="65">
        <f t="shared" si="31"/>
        <v>250918.57000000004</v>
      </c>
      <c r="J230" s="65">
        <f t="shared" si="31"/>
        <v>274114.09700000007</v>
      </c>
      <c r="K230" s="65">
        <f t="shared" si="31"/>
        <v>265310.92700000008</v>
      </c>
      <c r="L230" s="65">
        <f t="shared" si="31"/>
        <v>274216.14199999999</v>
      </c>
      <c r="M230" s="65">
        <f t="shared" si="31"/>
        <v>274202.64999999997</v>
      </c>
      <c r="N230" s="65">
        <f t="shared" si="31"/>
        <v>265338.01900000003</v>
      </c>
      <c r="O230" s="65">
        <f t="shared" si="31"/>
        <v>274031.02100000001</v>
      </c>
      <c r="P230" s="65">
        <f t="shared" si="31"/>
        <v>250952.73</v>
      </c>
      <c r="Q230" s="65">
        <f t="shared" si="31"/>
        <v>259168.45400000006</v>
      </c>
    </row>
    <row r="231" spans="1:17" ht="62.4" x14ac:dyDescent="0.25">
      <c r="A231" s="35" t="s">
        <v>28</v>
      </c>
      <c r="B231" s="60" t="s">
        <v>199</v>
      </c>
      <c r="C231" s="35" t="s">
        <v>29</v>
      </c>
      <c r="D231" s="35" t="s">
        <v>332</v>
      </c>
      <c r="E231" s="125">
        <f>AVERAGE(F231:Q231)</f>
        <v>455.72505578471964</v>
      </c>
      <c r="F231" s="125">
        <v>468.96962365591378</v>
      </c>
      <c r="G231" s="125">
        <v>468.45208333333329</v>
      </c>
      <c r="H231" s="125">
        <v>468.52956989247315</v>
      </c>
      <c r="I231" s="125">
        <v>468.15086206896558</v>
      </c>
      <c r="J231" s="125">
        <v>468.39247311827961</v>
      </c>
      <c r="K231" s="125">
        <v>417.84499999999997</v>
      </c>
      <c r="L231" s="125">
        <v>417.68494623655909</v>
      </c>
      <c r="M231" s="125">
        <v>417.59354838709692</v>
      </c>
      <c r="N231" s="125">
        <v>468.1538888888889</v>
      </c>
      <c r="O231" s="125">
        <v>468.09731182795696</v>
      </c>
      <c r="P231" s="125">
        <v>468.41388888888883</v>
      </c>
      <c r="Q231" s="125">
        <v>468.41747311827964</v>
      </c>
    </row>
    <row r="232" spans="1:17" ht="62.4" x14ac:dyDescent="0.25">
      <c r="A232" s="35" t="s">
        <v>30</v>
      </c>
      <c r="B232" s="60" t="s">
        <v>199</v>
      </c>
      <c r="C232" s="35" t="s">
        <v>31</v>
      </c>
      <c r="D232" s="35" t="s">
        <v>331</v>
      </c>
      <c r="E232" s="125">
        <f>AVERAGE(F232:Q232)</f>
        <v>21.408088832168016</v>
      </c>
      <c r="F232" s="125">
        <v>21.748924731182793</v>
      </c>
      <c r="G232" s="125">
        <v>22.14910714285714</v>
      </c>
      <c r="H232" s="125">
        <v>22.366935483870964</v>
      </c>
      <c r="I232" s="125">
        <v>21.542528735632182</v>
      </c>
      <c r="J232" s="125">
        <v>21.991129032258065</v>
      </c>
      <c r="K232" s="125">
        <v>20.20611111111111</v>
      </c>
      <c r="L232" s="125">
        <v>19.863440860215047</v>
      </c>
      <c r="M232" s="125">
        <v>19.204032258064519</v>
      </c>
      <c r="N232" s="125">
        <v>21.471666666666668</v>
      </c>
      <c r="O232" s="125">
        <v>22.011021505376341</v>
      </c>
      <c r="P232" s="125">
        <v>22.507222222222232</v>
      </c>
      <c r="Q232" s="125">
        <v>21.834946236559141</v>
      </c>
    </row>
    <row r="233" spans="1:17" ht="62.4" x14ac:dyDescent="0.25">
      <c r="A233" s="35" t="s">
        <v>32</v>
      </c>
      <c r="B233" s="60" t="s">
        <v>200</v>
      </c>
      <c r="C233" s="35" t="s">
        <v>34</v>
      </c>
      <c r="D233" s="35" t="s">
        <v>338</v>
      </c>
      <c r="E233" s="122">
        <f>E231/1000000</f>
        <v>4.5572505578471965E-4</v>
      </c>
      <c r="F233" s="120">
        <f>F231/1000000</f>
        <v>4.6896962365591377E-4</v>
      </c>
      <c r="G233" s="120">
        <f t="shared" ref="G233:Q234" si="32">G231/1000000</f>
        <v>4.684520833333333E-4</v>
      </c>
      <c r="H233" s="120">
        <f t="shared" si="32"/>
        <v>4.6852956989247314E-4</v>
      </c>
      <c r="I233" s="120">
        <f t="shared" si="32"/>
        <v>4.6815086206896561E-4</v>
      </c>
      <c r="J233" s="120">
        <f t="shared" si="32"/>
        <v>4.6839247311827962E-4</v>
      </c>
      <c r="K233" s="120">
        <f t="shared" si="32"/>
        <v>4.1784499999999997E-4</v>
      </c>
      <c r="L233" s="120">
        <f t="shared" si="32"/>
        <v>4.1768494623655909E-4</v>
      </c>
      <c r="M233" s="120">
        <f t="shared" si="32"/>
        <v>4.1759354838709692E-4</v>
      </c>
      <c r="N233" s="120">
        <f t="shared" si="32"/>
        <v>4.6815388888888889E-4</v>
      </c>
      <c r="O233" s="120">
        <f t="shared" si="32"/>
        <v>4.6809731182795696E-4</v>
      </c>
      <c r="P233" s="120">
        <f t="shared" si="32"/>
        <v>4.6841388888888881E-4</v>
      </c>
      <c r="Q233" s="120">
        <f t="shared" si="32"/>
        <v>4.6841747311827963E-4</v>
      </c>
    </row>
    <row r="234" spans="1:17" ht="62.4" x14ac:dyDescent="0.25">
      <c r="A234" s="35" t="s">
        <v>30</v>
      </c>
      <c r="B234" s="60" t="s">
        <v>33</v>
      </c>
      <c r="C234" s="35" t="s">
        <v>35</v>
      </c>
      <c r="D234" s="35" t="s">
        <v>339</v>
      </c>
      <c r="E234" s="122">
        <f>E232/1000000</f>
        <v>2.1408088832168017E-5</v>
      </c>
      <c r="F234" s="120">
        <f>F232/1000000</f>
        <v>2.1748924731182794E-5</v>
      </c>
      <c r="G234" s="120">
        <f t="shared" si="32"/>
        <v>2.2149107142857142E-5</v>
      </c>
      <c r="H234" s="120">
        <f t="shared" si="32"/>
        <v>2.2366935483870966E-5</v>
      </c>
      <c r="I234" s="120">
        <f t="shared" si="32"/>
        <v>2.1542528735632183E-5</v>
      </c>
      <c r="J234" s="120">
        <f t="shared" si="32"/>
        <v>2.1991129032258067E-5</v>
      </c>
      <c r="K234" s="120">
        <f t="shared" si="32"/>
        <v>2.0206111111111108E-5</v>
      </c>
      <c r="L234" s="120">
        <f t="shared" si="32"/>
        <v>1.9863440860215046E-5</v>
      </c>
      <c r="M234" s="120">
        <f t="shared" si="32"/>
        <v>1.920403225806452E-5</v>
      </c>
      <c r="N234" s="120">
        <f t="shared" si="32"/>
        <v>2.1471666666666666E-5</v>
      </c>
      <c r="O234" s="120">
        <f t="shared" si="32"/>
        <v>2.201102150537634E-5</v>
      </c>
      <c r="P234" s="120">
        <f t="shared" si="32"/>
        <v>2.2507222222222232E-5</v>
      </c>
      <c r="Q234" s="120">
        <f t="shared" si="32"/>
        <v>2.183494623655914E-5</v>
      </c>
    </row>
    <row r="235" spans="1:17" ht="46.8" x14ac:dyDescent="0.25">
      <c r="A235" s="63" t="s">
        <v>36</v>
      </c>
      <c r="B235" s="25" t="s">
        <v>201</v>
      </c>
      <c r="C235" s="35" t="s">
        <v>38</v>
      </c>
      <c r="D235" s="35" t="s">
        <v>368</v>
      </c>
      <c r="E235" s="68">
        <f>(1-(E236/E237))</f>
        <v>0.94979585246745235</v>
      </c>
      <c r="F235" s="68">
        <f>E235</f>
        <v>0.94979585246745235</v>
      </c>
      <c r="G235" s="68">
        <f>E235</f>
        <v>0.94979585246745235</v>
      </c>
      <c r="H235" s="68">
        <f>E235</f>
        <v>0.94979585246745235</v>
      </c>
      <c r="I235" s="68">
        <f>E235</f>
        <v>0.94979585246745235</v>
      </c>
      <c r="J235" s="68">
        <f>E235</f>
        <v>0.94979585246745235</v>
      </c>
      <c r="K235" s="68">
        <f>E235</f>
        <v>0.94979585246745235</v>
      </c>
      <c r="L235" s="68">
        <f>E235</f>
        <v>0.94979585246745235</v>
      </c>
      <c r="M235" s="68">
        <f>E235</f>
        <v>0.94979585246745235</v>
      </c>
      <c r="N235" s="68">
        <f>E235</f>
        <v>0.94979585246745235</v>
      </c>
      <c r="O235" s="68">
        <f>E235</f>
        <v>0.94979585246745235</v>
      </c>
      <c r="P235" s="68">
        <f>E235</f>
        <v>0.94979585246745235</v>
      </c>
      <c r="Q235" s="68">
        <f>E235</f>
        <v>0.94979585246745235</v>
      </c>
    </row>
    <row r="236" spans="1:17" ht="31.2" x14ac:dyDescent="0.25">
      <c r="A236" s="35" t="s">
        <v>39</v>
      </c>
      <c r="B236" s="25" t="s">
        <v>196</v>
      </c>
      <c r="C236" s="35" t="s">
        <v>40</v>
      </c>
      <c r="D236" s="35" t="s">
        <v>351</v>
      </c>
      <c r="E236" s="52">
        <f>SUM(F236:Q236)</f>
        <v>71.109113010499996</v>
      </c>
      <c r="F236" s="52">
        <v>6.0394041186999994</v>
      </c>
      <c r="G236" s="52">
        <v>5.4549456556000004</v>
      </c>
      <c r="H236" s="52">
        <v>6.0394041186999994</v>
      </c>
      <c r="I236" s="52">
        <v>5.844584631</v>
      </c>
      <c r="J236" s="52">
        <v>6.0394041186999994</v>
      </c>
      <c r="K236" s="52">
        <v>5.844584631</v>
      </c>
      <c r="L236" s="52">
        <v>6.0394041186999994</v>
      </c>
      <c r="M236" s="52">
        <v>6.0394041186999994</v>
      </c>
      <c r="N236" s="52">
        <v>5.844584631</v>
      </c>
      <c r="O236" s="52">
        <v>6.0394041186999994</v>
      </c>
      <c r="P236" s="52">
        <v>5.844584631</v>
      </c>
      <c r="Q236" s="52">
        <v>6.0394041186999994</v>
      </c>
    </row>
    <row r="237" spans="1:17" ht="31.2" x14ac:dyDescent="0.25">
      <c r="A237" s="63" t="s">
        <v>41</v>
      </c>
      <c r="B237" s="25" t="s">
        <v>24</v>
      </c>
      <c r="C237" s="35" t="s">
        <v>42</v>
      </c>
      <c r="D237" s="35" t="s">
        <v>351</v>
      </c>
      <c r="E237" s="52">
        <f>SUM(F237:Q237)</f>
        <v>1416.3991722874998</v>
      </c>
      <c r="F237" s="52">
        <v>120.29691600250001</v>
      </c>
      <c r="G237" s="52">
        <v>108.65527897000001</v>
      </c>
      <c r="H237" s="52">
        <v>120.29691600250001</v>
      </c>
      <c r="I237" s="52">
        <v>116.416370325</v>
      </c>
      <c r="J237" s="52">
        <v>120.29691600250001</v>
      </c>
      <c r="K237" s="52">
        <v>116.416370325</v>
      </c>
      <c r="L237" s="52">
        <v>120.29691600250001</v>
      </c>
      <c r="M237" s="52">
        <v>120.29691600250001</v>
      </c>
      <c r="N237" s="52">
        <v>116.416370325</v>
      </c>
      <c r="O237" s="52">
        <v>120.29691600250001</v>
      </c>
      <c r="P237" s="52">
        <v>116.416370325</v>
      </c>
      <c r="Q237" s="52">
        <v>120.29691600250001</v>
      </c>
    </row>
    <row r="238" spans="1:17" ht="31.2" x14ac:dyDescent="0.25">
      <c r="A238" s="53" t="s">
        <v>43</v>
      </c>
      <c r="B238" s="25" t="s">
        <v>201</v>
      </c>
      <c r="C238" s="53" t="s">
        <v>44</v>
      </c>
      <c r="D238" s="35" t="s">
        <v>372</v>
      </c>
      <c r="E238" s="191">
        <f>E239*E240*0.89</f>
        <v>0.59022922298293334</v>
      </c>
      <c r="F238" s="191"/>
      <c r="G238" s="191"/>
      <c r="H238" s="191"/>
      <c r="I238" s="191"/>
      <c r="J238" s="191"/>
      <c r="K238" s="191"/>
      <c r="L238" s="191"/>
      <c r="M238" s="191"/>
      <c r="N238" s="191"/>
      <c r="O238" s="191"/>
      <c r="P238" s="191"/>
      <c r="Q238" s="191"/>
    </row>
    <row r="239" spans="1:17" ht="31.2" x14ac:dyDescent="0.25">
      <c r="A239" s="70" t="s">
        <v>45</v>
      </c>
      <c r="B239" s="25" t="s">
        <v>201</v>
      </c>
      <c r="C239" s="53" t="s">
        <v>46</v>
      </c>
      <c r="D239" s="35" t="s">
        <v>373</v>
      </c>
      <c r="E239" s="162">
        <v>0.7</v>
      </c>
      <c r="F239" s="163"/>
      <c r="G239" s="163"/>
      <c r="H239" s="163"/>
      <c r="I239" s="163"/>
      <c r="J239" s="163"/>
      <c r="K239" s="163"/>
      <c r="L239" s="163"/>
      <c r="M239" s="163"/>
      <c r="N239" s="163"/>
      <c r="O239" s="163"/>
      <c r="P239" s="163"/>
      <c r="Q239" s="164"/>
    </row>
    <row r="240" spans="1:17" ht="36" customHeight="1" x14ac:dyDescent="0.25">
      <c r="A240" s="70" t="s">
        <v>47</v>
      </c>
      <c r="B240" s="25" t="s">
        <v>37</v>
      </c>
      <c r="C240" s="53" t="s">
        <v>48</v>
      </c>
      <c r="D240" s="35" t="s">
        <v>374</v>
      </c>
      <c r="E240" s="159">
        <f>(F241*F246+G241*G246+H241*H246+I241*I246+J241*J246+K241*K246+L241*L246+M241*M246+N241*N246+O241*O246+P241*P246+Q241*Q246)/(F235*F230*F233+G235*G233*G230+H235*H230*H233+I235*I233*I230+J235*J233*J230+K235*K233*K230+L235*L233*L230+M235*M233*M230+N235*N233*N230+O235*O230*O233+P235*P233*P230+Q235*Q233*Q230)</f>
        <v>0.94739843175430716</v>
      </c>
      <c r="F240" s="160"/>
      <c r="G240" s="160"/>
      <c r="H240" s="160"/>
      <c r="I240" s="160"/>
      <c r="J240" s="160"/>
      <c r="K240" s="160"/>
      <c r="L240" s="160"/>
      <c r="M240" s="160"/>
      <c r="N240" s="160"/>
      <c r="O240" s="160"/>
      <c r="P240" s="160"/>
      <c r="Q240" s="161"/>
    </row>
    <row r="241" spans="1:133" s="9" customFormat="1" ht="46.8" x14ac:dyDescent="0.4">
      <c r="A241" s="71" t="s">
        <v>49</v>
      </c>
      <c r="B241" s="25" t="s">
        <v>37</v>
      </c>
      <c r="C241" s="53" t="s">
        <v>50</v>
      </c>
      <c r="D241" s="53" t="s">
        <v>375</v>
      </c>
      <c r="E241" s="72">
        <f>AVERAGE(F241:Q241)</f>
        <v>0.64054421729664701</v>
      </c>
      <c r="F241" s="72">
        <f>IF(F245&lt;283,0,IF(F245&gt;303,1,EXP(($E$242*(F245-$E$243))/($E$244*$E$243*F245))))</f>
        <v>0.25708890533410012</v>
      </c>
      <c r="G241" s="72">
        <f t="shared" ref="G241:Q241" si="33">IF(G245&lt;283,0,IF(G245&gt;303,1,EXP(($E$242*(G245-$E$243))/($E$244*$E$243*G245))))</f>
        <v>0.37002059672690846</v>
      </c>
      <c r="H241" s="72">
        <f t="shared" si="33"/>
        <v>0.44226396815696317</v>
      </c>
      <c r="I241" s="72">
        <f t="shared" si="33"/>
        <v>0.57531644493802248</v>
      </c>
      <c r="J241" s="72">
        <f t="shared" si="33"/>
        <v>0.88152221926734242</v>
      </c>
      <c r="K241" s="72">
        <f t="shared" si="33"/>
        <v>0.88152221926734242</v>
      </c>
      <c r="L241" s="72">
        <f t="shared" si="33"/>
        <v>0.95843738031531212</v>
      </c>
      <c r="M241" s="72">
        <f t="shared" si="33"/>
        <v>0.91923925774048054</v>
      </c>
      <c r="N241" s="72">
        <f t="shared" si="33"/>
        <v>1</v>
      </c>
      <c r="O241" s="72">
        <f t="shared" si="33"/>
        <v>0.65487347206548807</v>
      </c>
      <c r="P241" s="72">
        <f t="shared" si="33"/>
        <v>0.42307437878932203</v>
      </c>
      <c r="Q241" s="72">
        <f t="shared" si="33"/>
        <v>0.32317176495848171</v>
      </c>
      <c r="R241" s="78"/>
      <c r="S241" s="78"/>
      <c r="T241" s="78"/>
      <c r="U241" s="78"/>
      <c r="V241" s="78"/>
      <c r="W241" s="78"/>
      <c r="X241" s="78"/>
      <c r="Y241" s="78"/>
      <c r="Z241" s="78"/>
      <c r="AA241" s="78"/>
      <c r="AB241" s="78"/>
      <c r="AC241" s="78"/>
      <c r="AD241" s="78"/>
      <c r="AE241" s="78"/>
      <c r="AF241" s="78"/>
      <c r="AG241" s="78"/>
      <c r="AH241" s="78"/>
      <c r="AI241" s="78"/>
      <c r="AJ241" s="78"/>
      <c r="AK241" s="78"/>
      <c r="AL241" s="78"/>
      <c r="AM241" s="78"/>
      <c r="AN241" s="78"/>
      <c r="AO241" s="78"/>
      <c r="AP241" s="78"/>
      <c r="AQ241" s="78"/>
      <c r="AR241" s="78"/>
      <c r="AS241" s="78"/>
      <c r="AT241" s="78"/>
      <c r="AU241" s="78"/>
      <c r="AV241" s="78"/>
      <c r="AW241" s="78"/>
      <c r="AX241" s="78"/>
      <c r="AY241" s="78"/>
      <c r="AZ241" s="78"/>
      <c r="BA241" s="78"/>
      <c r="BB241" s="78"/>
      <c r="BC241" s="78"/>
      <c r="BD241" s="78"/>
      <c r="BE241" s="78"/>
      <c r="BF241" s="78"/>
      <c r="BG241" s="78"/>
      <c r="BH241" s="78"/>
      <c r="BI241" s="78"/>
      <c r="BJ241" s="78"/>
      <c r="BK241" s="78"/>
      <c r="BL241" s="78"/>
      <c r="BM241" s="78"/>
      <c r="BN241" s="78"/>
      <c r="BO241" s="78"/>
      <c r="BP241" s="78"/>
      <c r="BQ241" s="78"/>
      <c r="BR241" s="78"/>
      <c r="BS241" s="78"/>
      <c r="BT241" s="78"/>
      <c r="BU241" s="78"/>
      <c r="BV241" s="78"/>
      <c r="BW241" s="78"/>
      <c r="BX241" s="78"/>
      <c r="BY241" s="78"/>
      <c r="BZ241" s="78"/>
      <c r="CA241" s="78"/>
      <c r="CB241" s="78"/>
      <c r="CC241" s="78"/>
      <c r="CD241" s="78"/>
      <c r="CE241" s="78"/>
      <c r="CF241" s="78"/>
      <c r="CG241" s="78"/>
      <c r="CH241" s="78"/>
      <c r="CI241" s="78"/>
      <c r="CJ241" s="78"/>
      <c r="CK241" s="78"/>
      <c r="CL241" s="78"/>
      <c r="CM241" s="78"/>
      <c r="CN241" s="78"/>
      <c r="CO241" s="78"/>
      <c r="CP241" s="78"/>
      <c r="CQ241" s="78"/>
      <c r="CR241" s="78"/>
      <c r="CS241" s="78"/>
      <c r="CT241" s="78"/>
      <c r="CU241" s="78"/>
      <c r="CV241" s="78"/>
      <c r="CW241" s="78"/>
      <c r="CX241" s="78"/>
      <c r="CY241" s="78"/>
      <c r="CZ241" s="78"/>
      <c r="DA241" s="78"/>
      <c r="DB241" s="78"/>
      <c r="DC241" s="78"/>
      <c r="DD241" s="78"/>
      <c r="DE241" s="78"/>
      <c r="DF241" s="78"/>
      <c r="DG241" s="78"/>
      <c r="DH241" s="78"/>
      <c r="DI241" s="78"/>
      <c r="DJ241" s="78"/>
      <c r="DK241" s="78"/>
      <c r="DL241" s="78"/>
      <c r="DM241" s="78"/>
      <c r="DN241" s="78"/>
      <c r="DO241" s="78"/>
      <c r="DP241" s="78"/>
      <c r="DQ241" s="78"/>
      <c r="DR241" s="78"/>
      <c r="DS241" s="78"/>
      <c r="DT241" s="78"/>
      <c r="DU241" s="78"/>
      <c r="DV241" s="78"/>
      <c r="DW241" s="78"/>
      <c r="DX241" s="78"/>
      <c r="DY241" s="78"/>
      <c r="DZ241" s="78"/>
      <c r="EA241" s="78"/>
      <c r="EB241" s="78"/>
      <c r="EC241" s="78"/>
    </row>
    <row r="242" spans="1:133" s="9" customFormat="1" x14ac:dyDescent="0.25">
      <c r="A242" s="73" t="s">
        <v>51</v>
      </c>
      <c r="B242" s="60" t="s">
        <v>202</v>
      </c>
      <c r="C242" s="53" t="s">
        <v>53</v>
      </c>
      <c r="D242" s="53" t="s">
        <v>376</v>
      </c>
      <c r="E242" s="162">
        <v>15175</v>
      </c>
      <c r="F242" s="163"/>
      <c r="G242" s="163"/>
      <c r="H242" s="163"/>
      <c r="I242" s="163"/>
      <c r="J242" s="163"/>
      <c r="K242" s="163"/>
      <c r="L242" s="163"/>
      <c r="M242" s="163"/>
      <c r="N242" s="163"/>
      <c r="O242" s="163"/>
      <c r="P242" s="163"/>
      <c r="Q242" s="164"/>
      <c r="R242" s="78"/>
      <c r="S242" s="78"/>
      <c r="T242" s="78"/>
      <c r="U242" s="78"/>
      <c r="V242" s="78"/>
      <c r="W242" s="78"/>
      <c r="X242" s="78"/>
      <c r="Y242" s="78"/>
      <c r="Z242" s="78"/>
      <c r="AA242" s="78"/>
      <c r="AB242" s="78"/>
      <c r="AC242" s="78"/>
      <c r="AD242" s="78"/>
      <c r="AE242" s="78"/>
      <c r="AF242" s="78"/>
      <c r="AG242" s="78"/>
      <c r="AH242" s="78"/>
      <c r="AI242" s="78"/>
      <c r="AJ242" s="78"/>
      <c r="AK242" s="78"/>
      <c r="AL242" s="78"/>
      <c r="AM242" s="78"/>
      <c r="AN242" s="78"/>
      <c r="AO242" s="78"/>
      <c r="AP242" s="78"/>
      <c r="AQ242" s="78"/>
      <c r="AR242" s="78"/>
      <c r="AS242" s="78"/>
      <c r="AT242" s="78"/>
      <c r="AU242" s="78"/>
      <c r="AV242" s="78"/>
      <c r="AW242" s="78"/>
      <c r="AX242" s="78"/>
      <c r="AY242" s="78"/>
      <c r="AZ242" s="78"/>
      <c r="BA242" s="78"/>
      <c r="BB242" s="78"/>
      <c r="BC242" s="78"/>
      <c r="BD242" s="78"/>
      <c r="BE242" s="78"/>
      <c r="BF242" s="78"/>
      <c r="BG242" s="78"/>
      <c r="BH242" s="78"/>
      <c r="BI242" s="78"/>
      <c r="BJ242" s="78"/>
      <c r="BK242" s="78"/>
      <c r="BL242" s="78"/>
      <c r="BM242" s="78"/>
      <c r="BN242" s="78"/>
      <c r="BO242" s="78"/>
      <c r="BP242" s="78"/>
      <c r="BQ242" s="78"/>
      <c r="BR242" s="78"/>
      <c r="BS242" s="78"/>
      <c r="BT242" s="78"/>
      <c r="BU242" s="78"/>
      <c r="BV242" s="78"/>
      <c r="BW242" s="78"/>
      <c r="BX242" s="78"/>
      <c r="BY242" s="78"/>
      <c r="BZ242" s="78"/>
      <c r="CA242" s="78"/>
      <c r="CB242" s="78"/>
      <c r="CC242" s="78"/>
      <c r="CD242" s="78"/>
      <c r="CE242" s="78"/>
      <c r="CF242" s="78"/>
      <c r="CG242" s="78"/>
      <c r="CH242" s="78"/>
      <c r="CI242" s="78"/>
      <c r="CJ242" s="78"/>
      <c r="CK242" s="78"/>
      <c r="CL242" s="78"/>
      <c r="CM242" s="78"/>
      <c r="CN242" s="78"/>
      <c r="CO242" s="78"/>
      <c r="CP242" s="78"/>
      <c r="CQ242" s="78"/>
      <c r="CR242" s="78"/>
      <c r="CS242" s="78"/>
      <c r="CT242" s="78"/>
      <c r="CU242" s="78"/>
      <c r="CV242" s="78"/>
      <c r="CW242" s="78"/>
      <c r="CX242" s="78"/>
      <c r="CY242" s="78"/>
      <c r="CZ242" s="78"/>
      <c r="DA242" s="78"/>
      <c r="DB242" s="78"/>
      <c r="DC242" s="78"/>
      <c r="DD242" s="78"/>
      <c r="DE242" s="78"/>
      <c r="DF242" s="78"/>
      <c r="DG242" s="78"/>
      <c r="DH242" s="78"/>
      <c r="DI242" s="78"/>
      <c r="DJ242" s="78"/>
      <c r="DK242" s="78"/>
      <c r="DL242" s="78"/>
      <c r="DM242" s="78"/>
      <c r="DN242" s="78"/>
      <c r="DO242" s="78"/>
      <c r="DP242" s="78"/>
      <c r="DQ242" s="78"/>
      <c r="DR242" s="78"/>
      <c r="DS242" s="78"/>
      <c r="DT242" s="78"/>
      <c r="DU242" s="78"/>
      <c r="DV242" s="78"/>
      <c r="DW242" s="78"/>
      <c r="DX242" s="78"/>
      <c r="DY242" s="78"/>
      <c r="DZ242" s="78"/>
      <c r="EA242" s="78"/>
      <c r="EB242" s="78"/>
      <c r="EC242" s="78"/>
    </row>
    <row r="243" spans="1:133" s="9" customFormat="1" ht="18" x14ac:dyDescent="0.25">
      <c r="A243" s="73" t="s">
        <v>54</v>
      </c>
      <c r="B243" s="60" t="s">
        <v>203</v>
      </c>
      <c r="C243" s="53" t="s">
        <v>56</v>
      </c>
      <c r="D243" s="53" t="s">
        <v>376</v>
      </c>
      <c r="E243" s="162">
        <v>303.16000000000003</v>
      </c>
      <c r="F243" s="163"/>
      <c r="G243" s="163"/>
      <c r="H243" s="163"/>
      <c r="I243" s="163"/>
      <c r="J243" s="163"/>
      <c r="K243" s="163"/>
      <c r="L243" s="163"/>
      <c r="M243" s="163"/>
      <c r="N243" s="163"/>
      <c r="O243" s="163"/>
      <c r="P243" s="163"/>
      <c r="Q243" s="164"/>
      <c r="R243" s="78"/>
      <c r="S243" s="78"/>
      <c r="T243" s="78"/>
      <c r="U243" s="78"/>
      <c r="V243" s="78"/>
      <c r="W243" s="78"/>
      <c r="X243" s="78"/>
      <c r="Y243" s="78"/>
      <c r="Z243" s="78"/>
      <c r="AA243" s="78"/>
      <c r="AB243" s="78"/>
      <c r="AC243" s="78"/>
      <c r="AD243" s="78"/>
      <c r="AE243" s="78"/>
      <c r="AF243" s="78"/>
      <c r="AG243" s="78"/>
      <c r="AH243" s="78"/>
      <c r="AI243" s="78"/>
      <c r="AJ243" s="78"/>
      <c r="AK243" s="78"/>
      <c r="AL243" s="78"/>
      <c r="AM243" s="78"/>
      <c r="AN243" s="78"/>
      <c r="AO243" s="78"/>
      <c r="AP243" s="78"/>
      <c r="AQ243" s="78"/>
      <c r="AR243" s="78"/>
      <c r="AS243" s="78"/>
      <c r="AT243" s="78"/>
      <c r="AU243" s="78"/>
      <c r="AV243" s="78"/>
      <c r="AW243" s="78"/>
      <c r="AX243" s="78"/>
      <c r="AY243" s="78"/>
      <c r="AZ243" s="78"/>
      <c r="BA243" s="78"/>
      <c r="BB243" s="78"/>
      <c r="BC243" s="78"/>
      <c r="BD243" s="78"/>
      <c r="BE243" s="78"/>
      <c r="BF243" s="78"/>
      <c r="BG243" s="78"/>
      <c r="BH243" s="78"/>
      <c r="BI243" s="78"/>
      <c r="BJ243" s="78"/>
      <c r="BK243" s="78"/>
      <c r="BL243" s="78"/>
      <c r="BM243" s="78"/>
      <c r="BN243" s="78"/>
      <c r="BO243" s="78"/>
      <c r="BP243" s="78"/>
      <c r="BQ243" s="78"/>
      <c r="BR243" s="78"/>
      <c r="BS243" s="78"/>
      <c r="BT243" s="78"/>
      <c r="BU243" s="78"/>
      <c r="BV243" s="78"/>
      <c r="BW243" s="78"/>
      <c r="BX243" s="78"/>
      <c r="BY243" s="78"/>
      <c r="BZ243" s="78"/>
      <c r="CA243" s="78"/>
      <c r="CB243" s="78"/>
      <c r="CC243" s="78"/>
      <c r="CD243" s="78"/>
      <c r="CE243" s="78"/>
      <c r="CF243" s="78"/>
      <c r="CG243" s="78"/>
      <c r="CH243" s="78"/>
      <c r="CI243" s="78"/>
      <c r="CJ243" s="78"/>
      <c r="CK243" s="78"/>
      <c r="CL243" s="78"/>
      <c r="CM243" s="78"/>
      <c r="CN243" s="78"/>
      <c r="CO243" s="78"/>
      <c r="CP243" s="78"/>
      <c r="CQ243" s="78"/>
      <c r="CR243" s="78"/>
      <c r="CS243" s="78"/>
      <c r="CT243" s="78"/>
      <c r="CU243" s="78"/>
      <c r="CV243" s="78"/>
      <c r="CW243" s="78"/>
      <c r="CX243" s="78"/>
      <c r="CY243" s="78"/>
      <c r="CZ243" s="78"/>
      <c r="DA243" s="78"/>
      <c r="DB243" s="78"/>
      <c r="DC243" s="78"/>
      <c r="DD243" s="78"/>
      <c r="DE243" s="78"/>
      <c r="DF243" s="78"/>
      <c r="DG243" s="78"/>
      <c r="DH243" s="78"/>
      <c r="DI243" s="78"/>
      <c r="DJ243" s="78"/>
      <c r="DK243" s="78"/>
      <c r="DL243" s="78"/>
      <c r="DM243" s="78"/>
      <c r="DN243" s="78"/>
      <c r="DO243" s="78"/>
      <c r="DP243" s="78"/>
      <c r="DQ243" s="78"/>
      <c r="DR243" s="78"/>
      <c r="DS243" s="78"/>
      <c r="DT243" s="78"/>
      <c r="DU243" s="78"/>
      <c r="DV243" s="78"/>
      <c r="DW243" s="78"/>
      <c r="DX243" s="78"/>
      <c r="DY243" s="78"/>
      <c r="DZ243" s="78"/>
      <c r="EA243" s="78"/>
      <c r="EB243" s="78"/>
      <c r="EC243" s="78"/>
    </row>
    <row r="244" spans="1:133" s="9" customFormat="1" x14ac:dyDescent="0.25">
      <c r="A244" s="73" t="s">
        <v>57</v>
      </c>
      <c r="B244" s="60" t="s">
        <v>204</v>
      </c>
      <c r="C244" s="53" t="s">
        <v>59</v>
      </c>
      <c r="D244" s="53" t="s">
        <v>376</v>
      </c>
      <c r="E244" s="162">
        <v>1.9870000000000001</v>
      </c>
      <c r="F244" s="163"/>
      <c r="G244" s="163"/>
      <c r="H244" s="163"/>
      <c r="I244" s="163"/>
      <c r="J244" s="163"/>
      <c r="K244" s="163"/>
      <c r="L244" s="163"/>
      <c r="M244" s="163"/>
      <c r="N244" s="163"/>
      <c r="O244" s="163"/>
      <c r="P244" s="163"/>
      <c r="Q244" s="164"/>
      <c r="R244" s="78"/>
      <c r="S244" s="78"/>
      <c r="T244" s="78"/>
      <c r="U244" s="78"/>
      <c r="V244" s="78"/>
      <c r="W244" s="78"/>
      <c r="X244" s="78"/>
      <c r="Y244" s="78"/>
      <c r="Z244" s="78"/>
      <c r="AA244" s="78"/>
      <c r="AB244" s="78"/>
      <c r="AC244" s="78"/>
      <c r="AD244" s="78"/>
      <c r="AE244" s="78"/>
      <c r="AF244" s="78"/>
      <c r="AG244" s="78"/>
      <c r="AH244" s="78"/>
      <c r="AI244" s="78"/>
      <c r="AJ244" s="78"/>
      <c r="AK244" s="78"/>
      <c r="AL244" s="78"/>
      <c r="AM244" s="78"/>
      <c r="AN244" s="78"/>
      <c r="AO244" s="78"/>
      <c r="AP244" s="78"/>
      <c r="AQ244" s="78"/>
      <c r="AR244" s="78"/>
      <c r="AS244" s="78"/>
      <c r="AT244" s="78"/>
      <c r="AU244" s="78"/>
      <c r="AV244" s="78"/>
      <c r="AW244" s="78"/>
      <c r="AX244" s="78"/>
      <c r="AY244" s="78"/>
      <c r="AZ244" s="78"/>
      <c r="BA244" s="78"/>
      <c r="BB244" s="78"/>
      <c r="BC244" s="78"/>
      <c r="BD244" s="78"/>
      <c r="BE244" s="78"/>
      <c r="BF244" s="78"/>
      <c r="BG244" s="78"/>
      <c r="BH244" s="78"/>
      <c r="BI244" s="78"/>
      <c r="BJ244" s="78"/>
      <c r="BK244" s="78"/>
      <c r="BL244" s="78"/>
      <c r="BM244" s="78"/>
      <c r="BN244" s="78"/>
      <c r="BO244" s="78"/>
      <c r="BP244" s="78"/>
      <c r="BQ244" s="78"/>
      <c r="BR244" s="78"/>
      <c r="BS244" s="78"/>
      <c r="BT244" s="78"/>
      <c r="BU244" s="78"/>
      <c r="BV244" s="78"/>
      <c r="BW244" s="78"/>
      <c r="BX244" s="78"/>
      <c r="BY244" s="78"/>
      <c r="BZ244" s="78"/>
      <c r="CA244" s="78"/>
      <c r="CB244" s="78"/>
      <c r="CC244" s="78"/>
      <c r="CD244" s="78"/>
      <c r="CE244" s="78"/>
      <c r="CF244" s="78"/>
      <c r="CG244" s="78"/>
      <c r="CH244" s="78"/>
      <c r="CI244" s="78"/>
      <c r="CJ244" s="78"/>
      <c r="CK244" s="78"/>
      <c r="CL244" s="78"/>
      <c r="CM244" s="78"/>
      <c r="CN244" s="78"/>
      <c r="CO244" s="78"/>
      <c r="CP244" s="78"/>
      <c r="CQ244" s="78"/>
      <c r="CR244" s="78"/>
      <c r="CS244" s="78"/>
      <c r="CT244" s="78"/>
      <c r="CU244" s="78"/>
      <c r="CV244" s="78"/>
      <c r="CW244" s="78"/>
      <c r="CX244" s="78"/>
      <c r="CY244" s="78"/>
      <c r="CZ244" s="78"/>
      <c r="DA244" s="78"/>
      <c r="DB244" s="78"/>
      <c r="DC244" s="78"/>
      <c r="DD244" s="78"/>
      <c r="DE244" s="78"/>
      <c r="DF244" s="78"/>
      <c r="DG244" s="78"/>
      <c r="DH244" s="78"/>
      <c r="DI244" s="78"/>
      <c r="DJ244" s="78"/>
      <c r="DK244" s="78"/>
      <c r="DL244" s="78"/>
      <c r="DM244" s="78"/>
      <c r="DN244" s="78"/>
      <c r="DO244" s="78"/>
      <c r="DP244" s="78"/>
      <c r="DQ244" s="78"/>
      <c r="DR244" s="78"/>
      <c r="DS244" s="78"/>
      <c r="DT244" s="78"/>
      <c r="DU244" s="78"/>
      <c r="DV244" s="78"/>
      <c r="DW244" s="78"/>
      <c r="DX244" s="78"/>
      <c r="DY244" s="78"/>
      <c r="DZ244" s="78"/>
      <c r="EA244" s="78"/>
      <c r="EB244" s="78"/>
      <c r="EC244" s="78"/>
    </row>
    <row r="245" spans="1:133" s="9" customFormat="1" ht="31.2" x14ac:dyDescent="0.25">
      <c r="A245" s="73" t="s">
        <v>60</v>
      </c>
      <c r="B245" s="60" t="s">
        <v>203</v>
      </c>
      <c r="C245" s="53" t="s">
        <v>61</v>
      </c>
      <c r="D245" s="143" t="s">
        <v>363</v>
      </c>
      <c r="E245" s="98">
        <f>AVERAGE(F245:Q245)</f>
        <v>296.85833333333341</v>
      </c>
      <c r="F245" s="60">
        <v>287.64999999999998</v>
      </c>
      <c r="G245" s="60">
        <v>291.64999999999998</v>
      </c>
      <c r="H245" s="60">
        <v>293.64999999999998</v>
      </c>
      <c r="I245" s="60">
        <v>296.64999999999998</v>
      </c>
      <c r="J245" s="60">
        <v>301.64999999999998</v>
      </c>
      <c r="K245" s="60">
        <v>301.64999999999998</v>
      </c>
      <c r="L245" s="60">
        <v>302.64999999999998</v>
      </c>
      <c r="M245" s="60">
        <v>302.14999999999998</v>
      </c>
      <c r="N245" s="60">
        <v>303.14999999999998</v>
      </c>
      <c r="O245" s="60">
        <v>298.14999999999998</v>
      </c>
      <c r="P245" s="60">
        <v>293.14999999999998</v>
      </c>
      <c r="Q245" s="60">
        <v>290.14999999999998</v>
      </c>
      <c r="R245" s="78"/>
      <c r="S245" s="78"/>
      <c r="T245" s="78"/>
      <c r="U245" s="78"/>
      <c r="V245" s="78"/>
      <c r="W245" s="78"/>
      <c r="X245" s="78"/>
      <c r="Y245" s="78"/>
      <c r="Z245" s="78"/>
      <c r="AA245" s="78"/>
      <c r="AB245" s="78"/>
      <c r="AC245" s="78"/>
      <c r="AD245" s="78"/>
      <c r="AE245" s="78"/>
      <c r="AF245" s="78"/>
      <c r="AG245" s="78"/>
      <c r="AH245" s="78"/>
      <c r="AI245" s="78"/>
      <c r="AJ245" s="78"/>
      <c r="AK245" s="78"/>
      <c r="AL245" s="78"/>
      <c r="AM245" s="78"/>
      <c r="AN245" s="78"/>
      <c r="AO245" s="78"/>
      <c r="AP245" s="78"/>
      <c r="AQ245" s="78"/>
      <c r="AR245" s="78"/>
      <c r="AS245" s="78"/>
      <c r="AT245" s="78"/>
      <c r="AU245" s="78"/>
      <c r="AV245" s="78"/>
      <c r="AW245" s="78"/>
      <c r="AX245" s="78"/>
      <c r="AY245" s="78"/>
      <c r="AZ245" s="78"/>
      <c r="BA245" s="78"/>
      <c r="BB245" s="78"/>
      <c r="BC245" s="78"/>
      <c r="BD245" s="78"/>
      <c r="BE245" s="78"/>
      <c r="BF245" s="78"/>
      <c r="BG245" s="78"/>
      <c r="BH245" s="78"/>
      <c r="BI245" s="78"/>
      <c r="BJ245" s="78"/>
      <c r="BK245" s="78"/>
      <c r="BL245" s="78"/>
      <c r="BM245" s="78"/>
      <c r="BN245" s="78"/>
      <c r="BO245" s="78"/>
      <c r="BP245" s="78"/>
      <c r="BQ245" s="78"/>
      <c r="BR245" s="78"/>
      <c r="BS245" s="78"/>
      <c r="BT245" s="78"/>
      <c r="BU245" s="78"/>
      <c r="BV245" s="78"/>
      <c r="BW245" s="78"/>
      <c r="BX245" s="78"/>
      <c r="BY245" s="78"/>
      <c r="BZ245" s="78"/>
      <c r="CA245" s="78"/>
      <c r="CB245" s="78"/>
      <c r="CC245" s="78"/>
      <c r="CD245" s="78"/>
      <c r="CE245" s="78"/>
      <c r="CF245" s="78"/>
      <c r="CG245" s="78"/>
      <c r="CH245" s="78"/>
      <c r="CI245" s="78"/>
      <c r="CJ245" s="78"/>
      <c r="CK245" s="78"/>
      <c r="CL245" s="78"/>
      <c r="CM245" s="78"/>
      <c r="CN245" s="78"/>
      <c r="CO245" s="78"/>
      <c r="CP245" s="78"/>
      <c r="CQ245" s="78"/>
      <c r="CR245" s="78"/>
      <c r="CS245" s="78"/>
      <c r="CT245" s="78"/>
      <c r="CU245" s="78"/>
      <c r="CV245" s="78"/>
      <c r="CW245" s="78"/>
      <c r="CX245" s="78"/>
      <c r="CY245" s="78"/>
      <c r="CZ245" s="78"/>
      <c r="DA245" s="78"/>
      <c r="DB245" s="78"/>
      <c r="DC245" s="78"/>
      <c r="DD245" s="78"/>
      <c r="DE245" s="78"/>
      <c r="DF245" s="78"/>
      <c r="DG245" s="78"/>
      <c r="DH245" s="78"/>
      <c r="DI245" s="78"/>
      <c r="DJ245" s="78"/>
      <c r="DK245" s="78"/>
      <c r="DL245" s="78"/>
      <c r="DM245" s="78"/>
      <c r="DN245" s="78"/>
      <c r="DO245" s="78"/>
      <c r="DP245" s="78"/>
      <c r="DQ245" s="78"/>
      <c r="DR245" s="78"/>
      <c r="DS245" s="78"/>
      <c r="DT245" s="78"/>
      <c r="DU245" s="78"/>
      <c r="DV245" s="78"/>
      <c r="DW245" s="78"/>
      <c r="DX245" s="78"/>
      <c r="DY245" s="78"/>
      <c r="DZ245" s="78"/>
      <c r="EA245" s="78"/>
      <c r="EB245" s="78"/>
      <c r="EC245" s="78"/>
    </row>
    <row r="246" spans="1:133" s="9" customFormat="1" ht="31.2" x14ac:dyDescent="0.4">
      <c r="A246" s="71" t="s">
        <v>62</v>
      </c>
      <c r="B246" s="60" t="s">
        <v>196</v>
      </c>
      <c r="C246" s="53" t="s">
        <v>63</v>
      </c>
      <c r="D246" s="53" t="s">
        <v>377</v>
      </c>
      <c r="E246" s="74">
        <f>SUM(F246:Q246)</f>
        <v>2330.4857677937025</v>
      </c>
      <c r="F246" s="74">
        <f>F235*F230*F233+(1-F241)*'Baseline Emissions 2020'!Q246</f>
        <v>292.56635641526805</v>
      </c>
      <c r="G246" s="74">
        <f t="shared" ref="G246:Q246" si="34">G235*G230*G233+(1-G241)*F246</f>
        <v>288.53067090433808</v>
      </c>
      <c r="H246" s="74">
        <f t="shared" si="34"/>
        <v>276.29772059497492</v>
      </c>
      <c r="I246" s="74">
        <f t="shared" si="34"/>
        <v>228.9094750994104</v>
      </c>
      <c r="J246" s="74">
        <f t="shared" si="34"/>
        <v>149.06780630832426</v>
      </c>
      <c r="K246" s="74">
        <f t="shared" si="34"/>
        <v>122.95449338827183</v>
      </c>
      <c r="L246" s="74">
        <f t="shared" si="34"/>
        <v>113.89608541675855</v>
      </c>
      <c r="M246" s="74">
        <f t="shared" si="34"/>
        <v>117.95495114402311</v>
      </c>
      <c r="N246" s="74">
        <f>N235*N230*N233+(1-N241)*0</f>
        <v>117.98271518413357</v>
      </c>
      <c r="O246" s="74">
        <f t="shared" si="34"/>
        <v>162.55230326691401</v>
      </c>
      <c r="P246" s="74">
        <f t="shared" si="34"/>
        <v>205.42884802851773</v>
      </c>
      <c r="Q246" s="74">
        <f t="shared" si="34"/>
        <v>254.34434204276772</v>
      </c>
      <c r="R246" s="78"/>
      <c r="S246" s="78"/>
      <c r="T246" s="78"/>
      <c r="U246" s="78"/>
      <c r="V246" s="78"/>
      <c r="W246" s="78"/>
      <c r="X246" s="78"/>
      <c r="Y246" s="78"/>
      <c r="Z246" s="78"/>
      <c r="AA246" s="78"/>
      <c r="AB246" s="78"/>
      <c r="AC246" s="78"/>
      <c r="AD246" s="78"/>
      <c r="AE246" s="78"/>
      <c r="AF246" s="78"/>
      <c r="AG246" s="78"/>
      <c r="AH246" s="78"/>
      <c r="AI246" s="78"/>
      <c r="AJ246" s="78"/>
      <c r="AK246" s="78"/>
      <c r="AL246" s="78"/>
      <c r="AM246" s="78"/>
      <c r="AN246" s="78"/>
      <c r="AO246" s="78"/>
      <c r="AP246" s="78"/>
      <c r="AQ246" s="78"/>
      <c r="AR246" s="78"/>
      <c r="AS246" s="78"/>
      <c r="AT246" s="78"/>
      <c r="AU246" s="78"/>
      <c r="AV246" s="78"/>
      <c r="AW246" s="78"/>
      <c r="AX246" s="78"/>
      <c r="AY246" s="78"/>
      <c r="AZ246" s="78"/>
      <c r="BA246" s="78"/>
      <c r="BB246" s="78"/>
      <c r="BC246" s="78"/>
      <c r="BD246" s="78"/>
      <c r="BE246" s="78"/>
      <c r="BF246" s="78"/>
      <c r="BG246" s="78"/>
      <c r="BH246" s="78"/>
      <c r="BI246" s="78"/>
      <c r="BJ246" s="78"/>
      <c r="BK246" s="78"/>
      <c r="BL246" s="78"/>
      <c r="BM246" s="78"/>
      <c r="BN246" s="78"/>
      <c r="BO246" s="78"/>
      <c r="BP246" s="78"/>
      <c r="BQ246" s="78"/>
      <c r="BR246" s="78"/>
      <c r="BS246" s="78"/>
      <c r="BT246" s="78"/>
      <c r="BU246" s="78"/>
      <c r="BV246" s="78"/>
      <c r="BW246" s="78"/>
      <c r="BX246" s="78"/>
      <c r="BY246" s="78"/>
      <c r="BZ246" s="78"/>
      <c r="CA246" s="78"/>
      <c r="CB246" s="78"/>
      <c r="CC246" s="78"/>
      <c r="CD246" s="78"/>
      <c r="CE246" s="78"/>
      <c r="CF246" s="78"/>
      <c r="CG246" s="78"/>
      <c r="CH246" s="78"/>
      <c r="CI246" s="78"/>
      <c r="CJ246" s="78"/>
      <c r="CK246" s="78"/>
      <c r="CL246" s="78"/>
      <c r="CM246" s="78"/>
      <c r="CN246" s="78"/>
      <c r="CO246" s="78"/>
      <c r="CP246" s="78"/>
      <c r="CQ246" s="78"/>
      <c r="CR246" s="78"/>
      <c r="CS246" s="78"/>
      <c r="CT246" s="78"/>
      <c r="CU246" s="78"/>
      <c r="CV246" s="78"/>
      <c r="CW246" s="78"/>
      <c r="CX246" s="78"/>
      <c r="CY246" s="78"/>
      <c r="CZ246" s="78"/>
      <c r="DA246" s="78"/>
      <c r="DB246" s="78"/>
      <c r="DC246" s="78"/>
      <c r="DD246" s="78"/>
      <c r="DE246" s="78"/>
      <c r="DF246" s="78"/>
      <c r="DG246" s="78"/>
      <c r="DH246" s="78"/>
      <c r="DI246" s="78"/>
      <c r="DJ246" s="78"/>
      <c r="DK246" s="78"/>
      <c r="DL246" s="78"/>
      <c r="DM246" s="78"/>
      <c r="DN246" s="78"/>
      <c r="DO246" s="78"/>
      <c r="DP246" s="78"/>
      <c r="DQ246" s="78"/>
      <c r="DR246" s="78"/>
      <c r="DS246" s="78"/>
      <c r="DT246" s="78"/>
      <c r="DU246" s="78"/>
      <c r="DV246" s="78"/>
      <c r="DW246" s="78"/>
      <c r="DX246" s="78"/>
      <c r="DY246" s="78"/>
      <c r="DZ246" s="78"/>
      <c r="EA246" s="78"/>
      <c r="EB246" s="78"/>
      <c r="EC246" s="78"/>
    </row>
    <row r="248" spans="1:133" x14ac:dyDescent="0.25">
      <c r="A248" s="158" t="s">
        <v>64</v>
      </c>
      <c r="B248" s="158"/>
      <c r="C248" s="158"/>
      <c r="D248" s="158"/>
      <c r="E248" s="158"/>
    </row>
    <row r="249" spans="1:133" x14ac:dyDescent="0.25">
      <c r="A249" s="57" t="s">
        <v>8</v>
      </c>
      <c r="B249" s="58" t="s">
        <v>9</v>
      </c>
      <c r="C249" s="34" t="s">
        <v>10</v>
      </c>
      <c r="D249" s="34" t="s">
        <v>340</v>
      </c>
      <c r="E249" s="16" t="s">
        <v>65</v>
      </c>
    </row>
    <row r="250" spans="1:133" ht="46.8" x14ac:dyDescent="0.25">
      <c r="A250" s="59" t="s">
        <v>66</v>
      </c>
      <c r="B250" s="60" t="s">
        <v>14</v>
      </c>
      <c r="C250" s="53" t="s">
        <v>67</v>
      </c>
      <c r="D250" s="53" t="s">
        <v>68</v>
      </c>
      <c r="E250" s="75">
        <v>0</v>
      </c>
    </row>
    <row r="251" spans="1:133" ht="46.8" x14ac:dyDescent="0.25">
      <c r="A251" s="63" t="s">
        <v>69</v>
      </c>
      <c r="B251" s="25" t="s">
        <v>70</v>
      </c>
      <c r="C251" s="35" t="s">
        <v>71</v>
      </c>
      <c r="D251" s="53" t="str">
        <f>D257</f>
        <v>Historical data on site in the FSR (It was calculated with conservative value)</v>
      </c>
      <c r="E251" s="66">
        <f>E257</f>
        <v>583.88929462514045</v>
      </c>
    </row>
    <row r="253" spans="1:133" x14ac:dyDescent="0.25">
      <c r="A253" s="174" t="s">
        <v>72</v>
      </c>
      <c r="B253" s="174"/>
      <c r="C253" s="175"/>
      <c r="D253" s="175"/>
      <c r="E253" s="174"/>
    </row>
    <row r="254" spans="1:133" x14ac:dyDescent="0.25">
      <c r="A254" s="59" t="s">
        <v>8</v>
      </c>
      <c r="B254" s="16" t="s">
        <v>9</v>
      </c>
      <c r="C254" s="38" t="s">
        <v>10</v>
      </c>
      <c r="D254" s="38" t="s">
        <v>340</v>
      </c>
      <c r="E254" s="16" t="s">
        <v>65</v>
      </c>
    </row>
    <row r="255" spans="1:133" ht="33.6" x14ac:dyDescent="0.4">
      <c r="A255" s="76" t="s">
        <v>73</v>
      </c>
      <c r="B255" s="25" t="s">
        <v>74</v>
      </c>
      <c r="C255" s="35" t="s">
        <v>75</v>
      </c>
      <c r="D255" s="35" t="s">
        <v>378</v>
      </c>
      <c r="E255" s="50">
        <f>E256*E259*E260*E261*E262*E263</f>
        <v>2.3716012340199004</v>
      </c>
    </row>
    <row r="256" spans="1:133" s="13" customFormat="1" ht="46.8" x14ac:dyDescent="0.4">
      <c r="A256" s="77" t="s">
        <v>207</v>
      </c>
      <c r="B256" s="25" t="s">
        <v>76</v>
      </c>
      <c r="C256" s="35" t="s">
        <v>77</v>
      </c>
      <c r="D256" s="35" t="s">
        <v>379</v>
      </c>
      <c r="E256" s="52">
        <f>E257/E258</f>
        <v>116.77785892502808</v>
      </c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  <c r="AG256" s="14"/>
      <c r="AH256" s="14"/>
      <c r="AI256" s="14"/>
      <c r="AJ256" s="14"/>
      <c r="AK256" s="14"/>
      <c r="AL256" s="14"/>
      <c r="AM256" s="14"/>
      <c r="AN256" s="14"/>
      <c r="AO256" s="14"/>
      <c r="AP256" s="14"/>
      <c r="AQ256" s="14"/>
      <c r="AR256" s="14"/>
      <c r="AS256" s="14"/>
      <c r="AT256" s="14"/>
      <c r="AU256" s="14"/>
      <c r="AV256" s="14"/>
      <c r="AW256" s="14"/>
      <c r="AX256" s="14"/>
      <c r="AY256" s="14"/>
      <c r="AZ256" s="14"/>
      <c r="BA256" s="14"/>
      <c r="BB256" s="14"/>
      <c r="BC256" s="14"/>
      <c r="BD256" s="14"/>
      <c r="BE256" s="14"/>
      <c r="BF256" s="14"/>
      <c r="BG256" s="14"/>
      <c r="BH256" s="14"/>
      <c r="BI256" s="14"/>
      <c r="BJ256" s="14"/>
      <c r="BK256" s="14"/>
      <c r="BL256" s="14"/>
      <c r="BM256" s="14"/>
      <c r="BN256" s="14"/>
      <c r="BO256" s="14"/>
      <c r="BP256" s="14"/>
      <c r="BQ256" s="14"/>
      <c r="BR256" s="14"/>
      <c r="BS256" s="14"/>
      <c r="BT256" s="14"/>
      <c r="BU256" s="14"/>
      <c r="BV256" s="14"/>
      <c r="BW256" s="14"/>
      <c r="BX256" s="14"/>
      <c r="BY256" s="14"/>
      <c r="BZ256" s="14"/>
      <c r="CA256" s="14"/>
      <c r="CB256" s="14"/>
      <c r="CC256" s="14"/>
      <c r="CD256" s="14"/>
      <c r="CE256" s="14"/>
      <c r="CF256" s="14"/>
      <c r="CG256" s="14"/>
      <c r="CH256" s="14"/>
      <c r="CI256" s="14"/>
      <c r="CJ256" s="14"/>
      <c r="CK256" s="14"/>
      <c r="CL256" s="14"/>
      <c r="CM256" s="14"/>
      <c r="CN256" s="14"/>
      <c r="CO256" s="14"/>
      <c r="CP256" s="14"/>
      <c r="CQ256" s="14"/>
      <c r="CR256" s="14"/>
      <c r="CS256" s="14"/>
      <c r="CT256" s="14"/>
      <c r="CU256" s="14"/>
      <c r="CV256" s="14"/>
      <c r="CW256" s="14"/>
      <c r="CX256" s="14"/>
      <c r="CY256" s="14"/>
      <c r="CZ256" s="14"/>
      <c r="DA256" s="14"/>
      <c r="DB256" s="14"/>
      <c r="DC256" s="14"/>
      <c r="DD256" s="14"/>
      <c r="DE256" s="14"/>
      <c r="DF256" s="14"/>
      <c r="DG256" s="14"/>
      <c r="DH256" s="14"/>
      <c r="DI256" s="14"/>
      <c r="DJ256" s="14"/>
      <c r="DK256" s="14"/>
      <c r="DL256" s="14"/>
      <c r="DM256" s="14"/>
      <c r="DN256" s="14"/>
      <c r="DO256" s="14"/>
      <c r="DP256" s="14"/>
      <c r="DQ256" s="14"/>
      <c r="DR256" s="14"/>
      <c r="DS256" s="14"/>
      <c r="DT256" s="14"/>
      <c r="DU256" s="14"/>
      <c r="DV256" s="14"/>
      <c r="DW256" s="14"/>
      <c r="DX256" s="14"/>
      <c r="DY256" s="14"/>
      <c r="DZ256" s="14"/>
      <c r="EA256" s="14"/>
      <c r="EB256" s="14"/>
      <c r="EC256" s="14"/>
    </row>
    <row r="257" spans="1:133" s="13" customFormat="1" ht="46.8" x14ac:dyDescent="0.25">
      <c r="A257" s="63" t="s">
        <v>208</v>
      </c>
      <c r="B257" s="25" t="s">
        <v>78</v>
      </c>
      <c r="C257" s="35" t="s">
        <v>79</v>
      </c>
      <c r="D257" s="53" t="s">
        <v>352</v>
      </c>
      <c r="E257" s="52">
        <f>0.000185885937421166*E230</f>
        <v>583.88929462514045</v>
      </c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  <c r="AG257" s="14"/>
      <c r="AH257" s="14"/>
      <c r="AI257" s="14"/>
      <c r="AJ257" s="14"/>
      <c r="AK257" s="14"/>
      <c r="AL257" s="14"/>
      <c r="AM257" s="14"/>
      <c r="AN257" s="14"/>
      <c r="AO257" s="14"/>
      <c r="AP257" s="14"/>
      <c r="AQ257" s="14"/>
      <c r="AR257" s="14"/>
      <c r="AS257" s="14"/>
      <c r="AT257" s="14"/>
      <c r="AU257" s="14"/>
      <c r="AV257" s="14"/>
      <c r="AW257" s="14"/>
      <c r="AX257" s="14"/>
      <c r="AY257" s="14"/>
      <c r="AZ257" s="14"/>
      <c r="BA257" s="14"/>
      <c r="BB257" s="14"/>
      <c r="BC257" s="14"/>
      <c r="BD257" s="14"/>
      <c r="BE257" s="14"/>
      <c r="BF257" s="14"/>
      <c r="BG257" s="14"/>
      <c r="BH257" s="14"/>
      <c r="BI257" s="14"/>
      <c r="BJ257" s="14"/>
      <c r="BK257" s="14"/>
      <c r="BL257" s="14"/>
      <c r="BM257" s="14"/>
      <c r="BN257" s="14"/>
      <c r="BO257" s="14"/>
      <c r="BP257" s="14"/>
      <c r="BQ257" s="14"/>
      <c r="BR257" s="14"/>
      <c r="BS257" s="14"/>
      <c r="BT257" s="14"/>
      <c r="BU257" s="14"/>
      <c r="BV257" s="14"/>
      <c r="BW257" s="14"/>
      <c r="BX257" s="14"/>
      <c r="BY257" s="14"/>
      <c r="BZ257" s="14"/>
      <c r="CA257" s="14"/>
      <c r="CB257" s="14"/>
      <c r="CC257" s="14"/>
      <c r="CD257" s="14"/>
      <c r="CE257" s="14"/>
      <c r="CF257" s="14"/>
      <c r="CG257" s="14"/>
      <c r="CH257" s="14"/>
      <c r="CI257" s="14"/>
      <c r="CJ257" s="14"/>
      <c r="CK257" s="14"/>
      <c r="CL257" s="14"/>
      <c r="CM257" s="14"/>
      <c r="CN257" s="14"/>
      <c r="CO257" s="14"/>
      <c r="CP257" s="14"/>
      <c r="CQ257" s="14"/>
      <c r="CR257" s="14"/>
      <c r="CS257" s="14"/>
      <c r="CT257" s="14"/>
      <c r="CU257" s="14"/>
      <c r="CV257" s="14"/>
      <c r="CW257" s="14"/>
      <c r="CX257" s="14"/>
      <c r="CY257" s="14"/>
      <c r="CZ257" s="14"/>
      <c r="DA257" s="14"/>
      <c r="DB257" s="14"/>
      <c r="DC257" s="14"/>
      <c r="DD257" s="14"/>
      <c r="DE257" s="14"/>
      <c r="DF257" s="14"/>
      <c r="DG257" s="14"/>
      <c r="DH257" s="14"/>
      <c r="DI257" s="14"/>
      <c r="DJ257" s="14"/>
      <c r="DK257" s="14"/>
      <c r="DL257" s="14"/>
      <c r="DM257" s="14"/>
      <c r="DN257" s="14"/>
      <c r="DO257" s="14"/>
      <c r="DP257" s="14"/>
      <c r="DQ257" s="14"/>
      <c r="DR257" s="14"/>
      <c r="DS257" s="14"/>
      <c r="DT257" s="14"/>
      <c r="DU257" s="14"/>
      <c r="DV257" s="14"/>
      <c r="DW257" s="14"/>
      <c r="DX257" s="14"/>
      <c r="DY257" s="14"/>
      <c r="DZ257" s="14"/>
      <c r="EA257" s="14"/>
      <c r="EB257" s="14"/>
      <c r="EC257" s="14"/>
    </row>
    <row r="258" spans="1:133" s="13" customFormat="1" ht="31.2" x14ac:dyDescent="0.25">
      <c r="A258" s="63" t="s">
        <v>209</v>
      </c>
      <c r="B258" s="25" t="s">
        <v>80</v>
      </c>
      <c r="C258" s="35" t="s">
        <v>81</v>
      </c>
      <c r="D258" s="35" t="s">
        <v>353</v>
      </c>
      <c r="E258" s="25">
        <f>5</f>
        <v>5</v>
      </c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  <c r="AG258" s="14"/>
      <c r="AH258" s="14"/>
      <c r="AI258" s="14"/>
      <c r="AJ258" s="14"/>
      <c r="AK258" s="14"/>
      <c r="AL258" s="14"/>
      <c r="AM258" s="14"/>
      <c r="AN258" s="14"/>
      <c r="AO258" s="14"/>
      <c r="AP258" s="14"/>
      <c r="AQ258" s="14"/>
      <c r="AR258" s="14"/>
      <c r="AS258" s="14"/>
      <c r="AT258" s="14"/>
      <c r="AU258" s="14"/>
      <c r="AV258" s="14"/>
      <c r="AW258" s="14"/>
      <c r="AX258" s="14"/>
      <c r="AY258" s="14"/>
      <c r="AZ258" s="14"/>
      <c r="BA258" s="14"/>
      <c r="BB258" s="14"/>
      <c r="BC258" s="14"/>
      <c r="BD258" s="14"/>
      <c r="BE258" s="14"/>
      <c r="BF258" s="14"/>
      <c r="BG258" s="14"/>
      <c r="BH258" s="14"/>
      <c r="BI258" s="14"/>
      <c r="BJ258" s="14"/>
      <c r="BK258" s="14"/>
      <c r="BL258" s="14"/>
      <c r="BM258" s="14"/>
      <c r="BN258" s="14"/>
      <c r="BO258" s="14"/>
      <c r="BP258" s="14"/>
      <c r="BQ258" s="14"/>
      <c r="BR258" s="14"/>
      <c r="BS258" s="14"/>
      <c r="BT258" s="14"/>
      <c r="BU258" s="14"/>
      <c r="BV258" s="14"/>
      <c r="BW258" s="14"/>
      <c r="BX258" s="14"/>
      <c r="BY258" s="14"/>
      <c r="BZ258" s="14"/>
      <c r="CA258" s="14"/>
      <c r="CB258" s="14"/>
      <c r="CC258" s="14"/>
      <c r="CD258" s="14"/>
      <c r="CE258" s="14"/>
      <c r="CF258" s="14"/>
      <c r="CG258" s="14"/>
      <c r="CH258" s="14"/>
      <c r="CI258" s="14"/>
      <c r="CJ258" s="14"/>
      <c r="CK258" s="14"/>
      <c r="CL258" s="14"/>
      <c r="CM258" s="14"/>
      <c r="CN258" s="14"/>
      <c r="CO258" s="14"/>
      <c r="CP258" s="14"/>
      <c r="CQ258" s="14"/>
      <c r="CR258" s="14"/>
      <c r="CS258" s="14"/>
      <c r="CT258" s="14"/>
      <c r="CU258" s="14"/>
      <c r="CV258" s="14"/>
      <c r="CW258" s="14"/>
      <c r="CX258" s="14"/>
      <c r="CY258" s="14"/>
      <c r="CZ258" s="14"/>
      <c r="DA258" s="14"/>
      <c r="DB258" s="14"/>
      <c r="DC258" s="14"/>
      <c r="DD258" s="14"/>
      <c r="DE258" s="14"/>
      <c r="DF258" s="14"/>
      <c r="DG258" s="14"/>
      <c r="DH258" s="14"/>
      <c r="DI258" s="14"/>
      <c r="DJ258" s="14"/>
      <c r="DK258" s="14"/>
      <c r="DL258" s="14"/>
      <c r="DM258" s="14"/>
      <c r="DN258" s="14"/>
      <c r="DO258" s="14"/>
      <c r="DP258" s="14"/>
      <c r="DQ258" s="14"/>
      <c r="DR258" s="14"/>
      <c r="DS258" s="14"/>
      <c r="DT258" s="14"/>
      <c r="DU258" s="14"/>
      <c r="DV258" s="14"/>
      <c r="DW258" s="14"/>
      <c r="DX258" s="14"/>
      <c r="DY258" s="14"/>
      <c r="DZ258" s="14"/>
      <c r="EA258" s="14"/>
      <c r="EB258" s="14"/>
      <c r="EC258" s="14"/>
    </row>
    <row r="259" spans="1:133" s="13" customFormat="1" ht="62.4" x14ac:dyDescent="0.25">
      <c r="A259" s="63" t="s">
        <v>210</v>
      </c>
      <c r="B259" s="25" t="s">
        <v>82</v>
      </c>
      <c r="C259" s="35" t="s">
        <v>83</v>
      </c>
      <c r="D259" s="53" t="s">
        <v>354</v>
      </c>
      <c r="E259" s="25">
        <f>15*2</f>
        <v>30</v>
      </c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F259" s="14"/>
      <c r="AG259" s="14"/>
      <c r="AH259" s="14"/>
      <c r="AI259" s="14"/>
      <c r="AJ259" s="14"/>
      <c r="AK259" s="14"/>
      <c r="AL259" s="14"/>
      <c r="AM259" s="14"/>
      <c r="AN259" s="14"/>
      <c r="AO259" s="14"/>
      <c r="AP259" s="14"/>
      <c r="AQ259" s="14"/>
      <c r="AR259" s="14"/>
      <c r="AS259" s="14"/>
      <c r="AT259" s="14"/>
      <c r="AU259" s="14"/>
      <c r="AV259" s="14"/>
      <c r="AW259" s="14"/>
      <c r="AX259" s="14"/>
      <c r="AY259" s="14"/>
      <c r="AZ259" s="14"/>
      <c r="BA259" s="14"/>
      <c r="BB259" s="14"/>
      <c r="BC259" s="14"/>
      <c r="BD259" s="14"/>
      <c r="BE259" s="14"/>
      <c r="BF259" s="14"/>
      <c r="BG259" s="14"/>
      <c r="BH259" s="14"/>
      <c r="BI259" s="14"/>
      <c r="BJ259" s="14"/>
      <c r="BK259" s="14"/>
      <c r="BL259" s="14"/>
      <c r="BM259" s="14"/>
      <c r="BN259" s="14"/>
      <c r="BO259" s="14"/>
      <c r="BP259" s="14"/>
      <c r="BQ259" s="14"/>
      <c r="BR259" s="14"/>
      <c r="BS259" s="14"/>
      <c r="BT259" s="14"/>
      <c r="BU259" s="14"/>
      <c r="BV259" s="14"/>
      <c r="BW259" s="14"/>
      <c r="BX259" s="14"/>
      <c r="BY259" s="14"/>
      <c r="BZ259" s="14"/>
      <c r="CA259" s="14"/>
      <c r="CB259" s="14"/>
      <c r="CC259" s="14"/>
      <c r="CD259" s="14"/>
      <c r="CE259" s="14"/>
      <c r="CF259" s="14"/>
      <c r="CG259" s="14"/>
      <c r="CH259" s="14"/>
      <c r="CI259" s="14"/>
      <c r="CJ259" s="14"/>
      <c r="CK259" s="14"/>
      <c r="CL259" s="14"/>
      <c r="CM259" s="14"/>
      <c r="CN259" s="14"/>
      <c r="CO259" s="14"/>
      <c r="CP259" s="14"/>
      <c r="CQ259" s="14"/>
      <c r="CR259" s="14"/>
      <c r="CS259" s="14"/>
      <c r="CT259" s="14"/>
      <c r="CU259" s="14"/>
      <c r="CV259" s="14"/>
      <c r="CW259" s="14"/>
      <c r="CX259" s="14"/>
      <c r="CY259" s="14"/>
      <c r="CZ259" s="14"/>
      <c r="DA259" s="14"/>
      <c r="DB259" s="14"/>
      <c r="DC259" s="14"/>
      <c r="DD259" s="14"/>
      <c r="DE259" s="14"/>
      <c r="DF259" s="14"/>
      <c r="DG259" s="14"/>
      <c r="DH259" s="14"/>
      <c r="DI259" s="14"/>
      <c r="DJ259" s="14"/>
      <c r="DK259" s="14"/>
      <c r="DL259" s="14"/>
      <c r="DM259" s="14"/>
      <c r="DN259" s="14"/>
      <c r="DO259" s="14"/>
      <c r="DP259" s="14"/>
      <c r="DQ259" s="14"/>
      <c r="DR259" s="14"/>
      <c r="DS259" s="14"/>
      <c r="DT259" s="14"/>
      <c r="DU259" s="14"/>
      <c r="DV259" s="14"/>
      <c r="DW259" s="14"/>
      <c r="DX259" s="14"/>
      <c r="DY259" s="14"/>
      <c r="DZ259" s="14"/>
      <c r="EA259" s="14"/>
      <c r="EB259" s="14"/>
      <c r="EC259" s="14"/>
    </row>
    <row r="260" spans="1:133" s="13" customFormat="1" ht="172.2" x14ac:dyDescent="0.25">
      <c r="A260" s="63" t="s">
        <v>211</v>
      </c>
      <c r="B260" s="25" t="s">
        <v>84</v>
      </c>
      <c r="C260" s="35" t="s">
        <v>85</v>
      </c>
      <c r="D260" s="35" t="s">
        <v>355</v>
      </c>
      <c r="E260" s="25">
        <f>25.1/100</f>
        <v>0.251</v>
      </c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  <c r="AG260" s="14"/>
      <c r="AH260" s="14"/>
      <c r="AI260" s="14"/>
      <c r="AJ260" s="14"/>
      <c r="AK260" s="14"/>
      <c r="AL260" s="14"/>
      <c r="AM260" s="14"/>
      <c r="AN260" s="14"/>
      <c r="AO260" s="14"/>
      <c r="AP260" s="14"/>
      <c r="AQ260" s="14"/>
      <c r="AR260" s="14"/>
      <c r="AS260" s="14"/>
      <c r="AT260" s="14"/>
      <c r="AU260" s="14"/>
      <c r="AV260" s="14"/>
      <c r="AW260" s="14"/>
      <c r="AX260" s="14"/>
      <c r="AY260" s="14"/>
      <c r="AZ260" s="14"/>
      <c r="BA260" s="14"/>
      <c r="BB260" s="14"/>
      <c r="BC260" s="14"/>
      <c r="BD260" s="14"/>
      <c r="BE260" s="14"/>
      <c r="BF260" s="14"/>
      <c r="BG260" s="14"/>
      <c r="BH260" s="14"/>
      <c r="BI260" s="14"/>
      <c r="BJ260" s="14"/>
      <c r="BK260" s="14"/>
      <c r="BL260" s="14"/>
      <c r="BM260" s="14"/>
      <c r="BN260" s="14"/>
      <c r="BO260" s="14"/>
      <c r="BP260" s="14"/>
      <c r="BQ260" s="14"/>
      <c r="BR260" s="14"/>
      <c r="BS260" s="14"/>
      <c r="BT260" s="14"/>
      <c r="BU260" s="14"/>
      <c r="BV260" s="14"/>
      <c r="BW260" s="14"/>
      <c r="BX260" s="14"/>
      <c r="BY260" s="14"/>
      <c r="BZ260" s="14"/>
      <c r="CA260" s="14"/>
      <c r="CB260" s="14"/>
      <c r="CC260" s="14"/>
      <c r="CD260" s="14"/>
      <c r="CE260" s="14"/>
      <c r="CF260" s="14"/>
      <c r="CG260" s="14"/>
      <c r="CH260" s="14"/>
      <c r="CI260" s="14"/>
      <c r="CJ260" s="14"/>
      <c r="CK260" s="14"/>
      <c r="CL260" s="14"/>
      <c r="CM260" s="14"/>
      <c r="CN260" s="14"/>
      <c r="CO260" s="14"/>
      <c r="CP260" s="14"/>
      <c r="CQ260" s="14"/>
      <c r="CR260" s="14"/>
      <c r="CS260" s="14"/>
      <c r="CT260" s="14"/>
      <c r="CU260" s="14"/>
      <c r="CV260" s="14"/>
      <c r="CW260" s="14"/>
      <c r="CX260" s="14"/>
      <c r="CY260" s="14"/>
      <c r="CZ260" s="14"/>
      <c r="DA260" s="14"/>
      <c r="DB260" s="14"/>
      <c r="DC260" s="14"/>
      <c r="DD260" s="14"/>
      <c r="DE260" s="14"/>
      <c r="DF260" s="14"/>
      <c r="DG260" s="14"/>
      <c r="DH260" s="14"/>
      <c r="DI260" s="14"/>
      <c r="DJ260" s="14"/>
      <c r="DK260" s="14"/>
      <c r="DL260" s="14"/>
      <c r="DM260" s="14"/>
      <c r="DN260" s="14"/>
      <c r="DO260" s="14"/>
      <c r="DP260" s="14"/>
      <c r="DQ260" s="14"/>
      <c r="DR260" s="14"/>
      <c r="DS260" s="14"/>
      <c r="DT260" s="14"/>
      <c r="DU260" s="14"/>
      <c r="DV260" s="14"/>
      <c r="DW260" s="14"/>
      <c r="DX260" s="14"/>
      <c r="DY260" s="14"/>
      <c r="DZ260" s="14"/>
      <c r="EA260" s="14"/>
      <c r="EB260" s="14"/>
      <c r="EC260" s="14"/>
    </row>
    <row r="261" spans="1:133" s="13" customFormat="1" ht="140.4" x14ac:dyDescent="0.25">
      <c r="A261" s="63" t="s">
        <v>212</v>
      </c>
      <c r="B261" s="25" t="s">
        <v>87</v>
      </c>
      <c r="C261" s="35" t="s">
        <v>86</v>
      </c>
      <c r="D261" s="35" t="s">
        <v>356</v>
      </c>
      <c r="E261" s="25">
        <f>0.84/1000</f>
        <v>8.3999999999999993E-4</v>
      </c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  <c r="AG261" s="14"/>
      <c r="AH261" s="14"/>
      <c r="AI261" s="14"/>
      <c r="AJ261" s="14"/>
      <c r="AK261" s="14"/>
      <c r="AL261" s="14"/>
      <c r="AM261" s="14"/>
      <c r="AN261" s="14"/>
      <c r="AO261" s="14"/>
      <c r="AP261" s="14"/>
      <c r="AQ261" s="14"/>
      <c r="AR261" s="14"/>
      <c r="AS261" s="14"/>
      <c r="AT261" s="14"/>
      <c r="AU261" s="14"/>
      <c r="AV261" s="14"/>
      <c r="AW261" s="14"/>
      <c r="AX261" s="14"/>
      <c r="AY261" s="14"/>
      <c r="AZ261" s="14"/>
      <c r="BA261" s="14"/>
      <c r="BB261" s="14"/>
      <c r="BC261" s="14"/>
      <c r="BD261" s="14"/>
      <c r="BE261" s="14"/>
      <c r="BF261" s="14"/>
      <c r="BG261" s="14"/>
      <c r="BH261" s="14"/>
      <c r="BI261" s="14"/>
      <c r="BJ261" s="14"/>
      <c r="BK261" s="14"/>
      <c r="BL261" s="14"/>
      <c r="BM261" s="14"/>
      <c r="BN261" s="14"/>
      <c r="BO261" s="14"/>
      <c r="BP261" s="14"/>
      <c r="BQ261" s="14"/>
      <c r="BR261" s="14"/>
      <c r="BS261" s="14"/>
      <c r="BT261" s="14"/>
      <c r="BU261" s="14"/>
      <c r="BV261" s="14"/>
      <c r="BW261" s="14"/>
      <c r="BX261" s="14"/>
      <c r="BY261" s="14"/>
      <c r="BZ261" s="14"/>
      <c r="CA261" s="14"/>
      <c r="CB261" s="14"/>
      <c r="CC261" s="14"/>
      <c r="CD261" s="14"/>
      <c r="CE261" s="14"/>
      <c r="CF261" s="14"/>
      <c r="CG261" s="14"/>
      <c r="CH261" s="14"/>
      <c r="CI261" s="14"/>
      <c r="CJ261" s="14"/>
      <c r="CK261" s="14"/>
      <c r="CL261" s="14"/>
      <c r="CM261" s="14"/>
      <c r="CN261" s="14"/>
      <c r="CO261" s="14"/>
      <c r="CP261" s="14"/>
      <c r="CQ261" s="14"/>
      <c r="CR261" s="14"/>
      <c r="CS261" s="14"/>
      <c r="CT261" s="14"/>
      <c r="CU261" s="14"/>
      <c r="CV261" s="14"/>
      <c r="CW261" s="14"/>
      <c r="CX261" s="14"/>
      <c r="CY261" s="14"/>
      <c r="CZ261" s="14"/>
      <c r="DA261" s="14"/>
      <c r="DB261" s="14"/>
      <c r="DC261" s="14"/>
      <c r="DD261" s="14"/>
      <c r="DE261" s="14"/>
      <c r="DF261" s="14"/>
      <c r="DG261" s="14"/>
      <c r="DH261" s="14"/>
      <c r="DI261" s="14"/>
      <c r="DJ261" s="14"/>
      <c r="DK261" s="14"/>
      <c r="DL261" s="14"/>
      <c r="DM261" s="14"/>
      <c r="DN261" s="14"/>
      <c r="DO261" s="14"/>
      <c r="DP261" s="14"/>
      <c r="DQ261" s="14"/>
      <c r="DR261" s="14"/>
      <c r="DS261" s="14"/>
      <c r="DT261" s="14"/>
      <c r="DU261" s="14"/>
      <c r="DV261" s="14"/>
      <c r="DW261" s="14"/>
      <c r="DX261" s="14"/>
      <c r="DY261" s="14"/>
      <c r="DZ261" s="14"/>
      <c r="EA261" s="14"/>
      <c r="EB261" s="14"/>
      <c r="EC261" s="14"/>
    </row>
    <row r="262" spans="1:133" s="13" customFormat="1" ht="140.4" x14ac:dyDescent="0.25">
      <c r="A262" s="63" t="s">
        <v>213</v>
      </c>
      <c r="B262" s="25" t="s">
        <v>88</v>
      </c>
      <c r="C262" s="35" t="s">
        <v>89</v>
      </c>
      <c r="D262" s="35" t="s">
        <v>357</v>
      </c>
      <c r="E262" s="25">
        <f>43.33/1000</f>
        <v>4.333E-2</v>
      </c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F262" s="14"/>
      <c r="AG262" s="14"/>
      <c r="AH262" s="14"/>
      <c r="AI262" s="14"/>
      <c r="AJ262" s="14"/>
      <c r="AK262" s="14"/>
      <c r="AL262" s="14"/>
      <c r="AM262" s="14"/>
      <c r="AN262" s="14"/>
      <c r="AO262" s="14"/>
      <c r="AP262" s="14"/>
      <c r="AQ262" s="14"/>
      <c r="AR262" s="14"/>
      <c r="AS262" s="14"/>
      <c r="AT262" s="14"/>
      <c r="AU262" s="14"/>
      <c r="AV262" s="14"/>
      <c r="AW262" s="14"/>
      <c r="AX262" s="14"/>
      <c r="AY262" s="14"/>
      <c r="AZ262" s="14"/>
      <c r="BA262" s="14"/>
      <c r="BB262" s="14"/>
      <c r="BC262" s="14"/>
      <c r="BD262" s="14"/>
      <c r="BE262" s="14"/>
      <c r="BF262" s="14"/>
      <c r="BG262" s="14"/>
      <c r="BH262" s="14"/>
      <c r="BI262" s="14"/>
      <c r="BJ262" s="14"/>
      <c r="BK262" s="14"/>
      <c r="BL262" s="14"/>
      <c r="BM262" s="14"/>
      <c r="BN262" s="14"/>
      <c r="BO262" s="14"/>
      <c r="BP262" s="14"/>
      <c r="BQ262" s="14"/>
      <c r="BR262" s="14"/>
      <c r="BS262" s="14"/>
      <c r="BT262" s="14"/>
      <c r="BU262" s="14"/>
      <c r="BV262" s="14"/>
      <c r="BW262" s="14"/>
      <c r="BX262" s="14"/>
      <c r="BY262" s="14"/>
      <c r="BZ262" s="14"/>
      <c r="CA262" s="14"/>
      <c r="CB262" s="14"/>
      <c r="CC262" s="14"/>
      <c r="CD262" s="14"/>
      <c r="CE262" s="14"/>
      <c r="CF262" s="14"/>
      <c r="CG262" s="14"/>
      <c r="CH262" s="14"/>
      <c r="CI262" s="14"/>
      <c r="CJ262" s="14"/>
      <c r="CK262" s="14"/>
      <c r="CL262" s="14"/>
      <c r="CM262" s="14"/>
      <c r="CN262" s="14"/>
      <c r="CO262" s="14"/>
      <c r="CP262" s="14"/>
      <c r="CQ262" s="14"/>
      <c r="CR262" s="14"/>
      <c r="CS262" s="14"/>
      <c r="CT262" s="14"/>
      <c r="CU262" s="14"/>
      <c r="CV262" s="14"/>
      <c r="CW262" s="14"/>
      <c r="CX262" s="14"/>
      <c r="CY262" s="14"/>
      <c r="CZ262" s="14"/>
      <c r="DA262" s="14"/>
      <c r="DB262" s="14"/>
      <c r="DC262" s="14"/>
      <c r="DD262" s="14"/>
      <c r="DE262" s="14"/>
      <c r="DF262" s="14"/>
      <c r="DG262" s="14"/>
      <c r="DH262" s="14"/>
      <c r="DI262" s="14"/>
      <c r="DJ262" s="14"/>
      <c r="DK262" s="14"/>
      <c r="DL262" s="14"/>
      <c r="DM262" s="14"/>
      <c r="DN262" s="14"/>
      <c r="DO262" s="14"/>
      <c r="DP262" s="14"/>
      <c r="DQ262" s="14"/>
      <c r="DR262" s="14"/>
      <c r="DS262" s="14"/>
      <c r="DT262" s="14"/>
      <c r="DU262" s="14"/>
      <c r="DV262" s="14"/>
      <c r="DW262" s="14"/>
      <c r="DX262" s="14"/>
      <c r="DY262" s="14"/>
      <c r="DZ262" s="14"/>
      <c r="EA262" s="14"/>
      <c r="EB262" s="14"/>
      <c r="EC262" s="14"/>
    </row>
    <row r="263" spans="1:133" s="13" customFormat="1" ht="62.4" x14ac:dyDescent="0.25">
      <c r="A263" s="63" t="s">
        <v>214</v>
      </c>
      <c r="B263" s="25" t="s">
        <v>90</v>
      </c>
      <c r="C263" s="35" t="s">
        <v>91</v>
      </c>
      <c r="D263" s="35" t="s">
        <v>358</v>
      </c>
      <c r="E263" s="25">
        <v>74.099999999999994</v>
      </c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F263" s="14"/>
      <c r="AG263" s="14"/>
      <c r="AH263" s="14"/>
      <c r="AI263" s="14"/>
      <c r="AJ263" s="14"/>
      <c r="AK263" s="14"/>
      <c r="AL263" s="14"/>
      <c r="AM263" s="14"/>
      <c r="AN263" s="14"/>
      <c r="AO263" s="14"/>
      <c r="AP263" s="14"/>
      <c r="AQ263" s="14"/>
      <c r="AR263" s="14"/>
      <c r="AS263" s="14"/>
      <c r="AT263" s="14"/>
      <c r="AU263" s="14"/>
      <c r="AV263" s="14"/>
      <c r="AW263" s="14"/>
      <c r="AX263" s="14"/>
      <c r="AY263" s="14"/>
      <c r="AZ263" s="14"/>
      <c r="BA263" s="14"/>
      <c r="BB263" s="14"/>
      <c r="BC263" s="14"/>
      <c r="BD263" s="14"/>
      <c r="BE263" s="14"/>
      <c r="BF263" s="14"/>
      <c r="BG263" s="14"/>
      <c r="BH263" s="14"/>
      <c r="BI263" s="14"/>
      <c r="BJ263" s="14"/>
      <c r="BK263" s="14"/>
      <c r="BL263" s="14"/>
      <c r="BM263" s="14"/>
      <c r="BN263" s="14"/>
      <c r="BO263" s="14"/>
      <c r="BP263" s="14"/>
      <c r="BQ263" s="14"/>
      <c r="BR263" s="14"/>
      <c r="BS263" s="14"/>
      <c r="BT263" s="14"/>
      <c r="BU263" s="14"/>
      <c r="BV263" s="14"/>
      <c r="BW263" s="14"/>
      <c r="BX263" s="14"/>
      <c r="BY263" s="14"/>
      <c r="BZ263" s="14"/>
      <c r="CA263" s="14"/>
      <c r="CB263" s="14"/>
      <c r="CC263" s="14"/>
      <c r="CD263" s="14"/>
      <c r="CE263" s="14"/>
      <c r="CF263" s="14"/>
      <c r="CG263" s="14"/>
      <c r="CH263" s="14"/>
      <c r="CI263" s="14"/>
      <c r="CJ263" s="14"/>
      <c r="CK263" s="14"/>
      <c r="CL263" s="14"/>
      <c r="CM263" s="14"/>
      <c r="CN263" s="14"/>
      <c r="CO263" s="14"/>
      <c r="CP263" s="14"/>
      <c r="CQ263" s="14"/>
      <c r="CR263" s="14"/>
      <c r="CS263" s="14"/>
      <c r="CT263" s="14"/>
      <c r="CU263" s="14"/>
      <c r="CV263" s="14"/>
      <c r="CW263" s="14"/>
      <c r="CX263" s="14"/>
      <c r="CY263" s="14"/>
      <c r="CZ263" s="14"/>
      <c r="DA263" s="14"/>
      <c r="DB263" s="14"/>
      <c r="DC263" s="14"/>
      <c r="DD263" s="14"/>
      <c r="DE263" s="14"/>
      <c r="DF263" s="14"/>
      <c r="DG263" s="14"/>
      <c r="DH263" s="14"/>
      <c r="DI263" s="14"/>
      <c r="DJ263" s="14"/>
      <c r="DK263" s="14"/>
      <c r="DL263" s="14"/>
      <c r="DM263" s="14"/>
      <c r="DN263" s="14"/>
      <c r="DO263" s="14"/>
      <c r="DP263" s="14"/>
      <c r="DQ263" s="14"/>
      <c r="DR263" s="14"/>
      <c r="DS263" s="14"/>
      <c r="DT263" s="14"/>
      <c r="DU263" s="14"/>
      <c r="DV263" s="14"/>
      <c r="DW263" s="14"/>
      <c r="DX263" s="14"/>
      <c r="DY263" s="14"/>
      <c r="DZ263" s="14"/>
      <c r="EA263" s="14"/>
      <c r="EB263" s="14"/>
      <c r="EC263" s="14"/>
    </row>
    <row r="265" spans="1:133" s="13" customFormat="1" x14ac:dyDescent="0.25">
      <c r="A265" s="158" t="s">
        <v>93</v>
      </c>
      <c r="B265" s="158"/>
      <c r="C265" s="158"/>
      <c r="D265" s="158"/>
      <c r="E265" s="158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  <c r="AH265" s="14"/>
      <c r="AI265" s="14"/>
      <c r="AJ265" s="14"/>
      <c r="AK265" s="14"/>
      <c r="AL265" s="14"/>
      <c r="AM265" s="14"/>
      <c r="AN265" s="14"/>
      <c r="AO265" s="14"/>
      <c r="AP265" s="14"/>
      <c r="AQ265" s="14"/>
      <c r="AR265" s="14"/>
      <c r="AS265" s="14"/>
      <c r="AT265" s="14"/>
      <c r="AU265" s="14"/>
      <c r="AV265" s="14"/>
      <c r="AW265" s="14"/>
      <c r="AX265" s="14"/>
      <c r="AY265" s="14"/>
      <c r="AZ265" s="14"/>
      <c r="BA265" s="14"/>
      <c r="BB265" s="14"/>
      <c r="BC265" s="14"/>
      <c r="BD265" s="14"/>
      <c r="BE265" s="14"/>
      <c r="BF265" s="14"/>
      <c r="BG265" s="14"/>
      <c r="BH265" s="14"/>
      <c r="BI265" s="14"/>
      <c r="BJ265" s="14"/>
      <c r="BK265" s="14"/>
      <c r="BL265" s="14"/>
      <c r="BM265" s="14"/>
      <c r="BN265" s="14"/>
      <c r="BO265" s="14"/>
      <c r="BP265" s="14"/>
      <c r="BQ265" s="14"/>
      <c r="BR265" s="14"/>
      <c r="BS265" s="14"/>
      <c r="BT265" s="14"/>
      <c r="BU265" s="14"/>
      <c r="BV265" s="14"/>
      <c r="BW265" s="14"/>
      <c r="BX265" s="14"/>
      <c r="BY265" s="14"/>
      <c r="BZ265" s="14"/>
      <c r="CA265" s="14"/>
      <c r="CB265" s="14"/>
      <c r="CC265" s="14"/>
      <c r="CD265" s="14"/>
      <c r="CE265" s="14"/>
      <c r="CF265" s="14"/>
      <c r="CG265" s="14"/>
      <c r="CH265" s="14"/>
      <c r="CI265" s="14"/>
      <c r="CJ265" s="14"/>
      <c r="CK265" s="14"/>
      <c r="CL265" s="14"/>
      <c r="CM265" s="14"/>
      <c r="CN265" s="14"/>
      <c r="CO265" s="14"/>
      <c r="CP265" s="14"/>
      <c r="CQ265" s="14"/>
      <c r="CR265" s="14"/>
      <c r="CS265" s="14"/>
      <c r="CT265" s="14"/>
      <c r="CU265" s="14"/>
      <c r="CV265" s="14"/>
      <c r="CW265" s="14"/>
      <c r="CX265" s="14"/>
      <c r="CY265" s="14"/>
      <c r="CZ265" s="14"/>
      <c r="DA265" s="14"/>
      <c r="DB265" s="14"/>
      <c r="DC265" s="14"/>
      <c r="DD265" s="14"/>
      <c r="DE265" s="14"/>
      <c r="DF265" s="14"/>
      <c r="DG265" s="14"/>
      <c r="DH265" s="14"/>
      <c r="DI265" s="14"/>
      <c r="DJ265" s="14"/>
      <c r="DK265" s="14"/>
      <c r="DL265" s="14"/>
      <c r="DM265" s="14"/>
      <c r="DN265" s="14"/>
      <c r="DO265" s="14"/>
      <c r="DP265" s="14"/>
      <c r="DQ265" s="14"/>
      <c r="DR265" s="14"/>
      <c r="DS265" s="14"/>
      <c r="DT265" s="14"/>
      <c r="DU265" s="14"/>
      <c r="DV265" s="14"/>
      <c r="DW265" s="14"/>
      <c r="DX265" s="14"/>
      <c r="DY265" s="14"/>
      <c r="DZ265" s="14"/>
      <c r="EA265" s="14"/>
      <c r="EB265" s="14"/>
      <c r="EC265" s="14"/>
    </row>
    <row r="266" spans="1:133" s="13" customFormat="1" x14ac:dyDescent="0.25">
      <c r="A266" s="57" t="s">
        <v>8</v>
      </c>
      <c r="B266" s="58" t="s">
        <v>9</v>
      </c>
      <c r="C266" s="34" t="s">
        <v>10</v>
      </c>
      <c r="D266" s="34" t="s">
        <v>340</v>
      </c>
      <c r="E266" s="16" t="s">
        <v>65</v>
      </c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  <c r="AH266" s="14"/>
      <c r="AI266" s="14"/>
      <c r="AJ266" s="14"/>
      <c r="AK266" s="14"/>
      <c r="AL266" s="14"/>
      <c r="AM266" s="14"/>
      <c r="AN266" s="14"/>
      <c r="AO266" s="14"/>
      <c r="AP266" s="14"/>
      <c r="AQ266" s="14"/>
      <c r="AR266" s="14"/>
      <c r="AS266" s="14"/>
      <c r="AT266" s="14"/>
      <c r="AU266" s="14"/>
      <c r="AV266" s="14"/>
      <c r="AW266" s="14"/>
      <c r="AX266" s="14"/>
      <c r="AY266" s="14"/>
      <c r="AZ266" s="14"/>
      <c r="BA266" s="14"/>
      <c r="BB266" s="14"/>
      <c r="BC266" s="14"/>
      <c r="BD266" s="14"/>
      <c r="BE266" s="14"/>
      <c r="BF266" s="14"/>
      <c r="BG266" s="14"/>
      <c r="BH266" s="14"/>
      <c r="BI266" s="14"/>
      <c r="BJ266" s="14"/>
      <c r="BK266" s="14"/>
      <c r="BL266" s="14"/>
      <c r="BM266" s="14"/>
      <c r="BN266" s="14"/>
      <c r="BO266" s="14"/>
      <c r="BP266" s="14"/>
      <c r="BQ266" s="14"/>
      <c r="BR266" s="14"/>
      <c r="BS266" s="14"/>
      <c r="BT266" s="14"/>
      <c r="BU266" s="14"/>
      <c r="BV266" s="14"/>
      <c r="BW266" s="14"/>
      <c r="BX266" s="14"/>
      <c r="BY266" s="14"/>
      <c r="BZ266" s="14"/>
      <c r="CA266" s="14"/>
      <c r="CB266" s="14"/>
      <c r="CC266" s="14"/>
      <c r="CD266" s="14"/>
      <c r="CE266" s="14"/>
      <c r="CF266" s="14"/>
      <c r="CG266" s="14"/>
      <c r="CH266" s="14"/>
      <c r="CI266" s="14"/>
      <c r="CJ266" s="14"/>
      <c r="CK266" s="14"/>
      <c r="CL266" s="14"/>
      <c r="CM266" s="14"/>
      <c r="CN266" s="14"/>
      <c r="CO266" s="14"/>
      <c r="CP266" s="14"/>
      <c r="CQ266" s="14"/>
      <c r="CR266" s="14"/>
      <c r="CS266" s="14"/>
      <c r="CT266" s="14"/>
      <c r="CU266" s="14"/>
      <c r="CV266" s="14"/>
      <c r="CW266" s="14"/>
      <c r="CX266" s="14"/>
      <c r="CY266" s="14"/>
      <c r="CZ266" s="14"/>
      <c r="DA266" s="14"/>
      <c r="DB266" s="14"/>
      <c r="DC266" s="14"/>
      <c r="DD266" s="14"/>
      <c r="DE266" s="14"/>
      <c r="DF266" s="14"/>
      <c r="DG266" s="14"/>
      <c r="DH266" s="14"/>
      <c r="DI266" s="14"/>
      <c r="DJ266" s="14"/>
      <c r="DK266" s="14"/>
      <c r="DL266" s="14"/>
      <c r="DM266" s="14"/>
      <c r="DN266" s="14"/>
      <c r="DO266" s="14"/>
      <c r="DP266" s="14"/>
      <c r="DQ266" s="14"/>
      <c r="DR266" s="14"/>
      <c r="DS266" s="14"/>
      <c r="DT266" s="14"/>
      <c r="DU266" s="14"/>
      <c r="DV266" s="14"/>
      <c r="DW266" s="14"/>
      <c r="DX266" s="14"/>
      <c r="DY266" s="14"/>
      <c r="DZ266" s="14"/>
      <c r="EA266" s="14"/>
      <c r="EB266" s="14"/>
      <c r="EC266" s="14"/>
    </row>
    <row r="267" spans="1:133" s="13" customFormat="1" ht="64.8" x14ac:dyDescent="0.25">
      <c r="A267" s="15" t="s">
        <v>94</v>
      </c>
      <c r="B267" s="25" t="s">
        <v>95</v>
      </c>
      <c r="C267" s="35" t="s">
        <v>96</v>
      </c>
      <c r="D267" s="35" t="s">
        <v>97</v>
      </c>
      <c r="E267" s="16">
        <v>0</v>
      </c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  <c r="AH267" s="14"/>
      <c r="AI267" s="14"/>
      <c r="AJ267" s="14"/>
      <c r="AK267" s="14"/>
      <c r="AL267" s="14"/>
      <c r="AM267" s="14"/>
      <c r="AN267" s="14"/>
      <c r="AO267" s="14"/>
      <c r="AP267" s="14"/>
      <c r="AQ267" s="14"/>
      <c r="AR267" s="14"/>
      <c r="AS267" s="14"/>
      <c r="AT267" s="14"/>
      <c r="AU267" s="14"/>
      <c r="AV267" s="14"/>
      <c r="AW267" s="14"/>
      <c r="AX267" s="14"/>
      <c r="AY267" s="14"/>
      <c r="AZ267" s="14"/>
      <c r="BA267" s="14"/>
      <c r="BB267" s="14"/>
      <c r="BC267" s="14"/>
      <c r="BD267" s="14"/>
      <c r="BE267" s="14"/>
      <c r="BF267" s="14"/>
      <c r="BG267" s="14"/>
      <c r="BH267" s="14"/>
      <c r="BI267" s="14"/>
      <c r="BJ267" s="14"/>
      <c r="BK267" s="14"/>
      <c r="BL267" s="14"/>
      <c r="BM267" s="14"/>
      <c r="BN267" s="14"/>
      <c r="BO267" s="14"/>
      <c r="BP267" s="14"/>
      <c r="BQ267" s="14"/>
      <c r="BR267" s="14"/>
      <c r="BS267" s="14"/>
      <c r="BT267" s="14"/>
      <c r="BU267" s="14"/>
      <c r="BV267" s="14"/>
      <c r="BW267" s="14"/>
      <c r="BX267" s="14"/>
      <c r="BY267" s="14"/>
      <c r="BZ267" s="14"/>
      <c r="CA267" s="14"/>
      <c r="CB267" s="14"/>
      <c r="CC267" s="14"/>
      <c r="CD267" s="14"/>
      <c r="CE267" s="14"/>
      <c r="CF267" s="14"/>
      <c r="CG267" s="14"/>
      <c r="CH267" s="14"/>
      <c r="CI267" s="14"/>
      <c r="CJ267" s="14"/>
      <c r="CK267" s="14"/>
      <c r="CL267" s="14"/>
      <c r="CM267" s="14"/>
      <c r="CN267" s="14"/>
      <c r="CO267" s="14"/>
      <c r="CP267" s="14"/>
      <c r="CQ267" s="14"/>
      <c r="CR267" s="14"/>
      <c r="CS267" s="14"/>
      <c r="CT267" s="14"/>
      <c r="CU267" s="14"/>
      <c r="CV267" s="14"/>
      <c r="CW267" s="14"/>
      <c r="CX267" s="14"/>
      <c r="CY267" s="14"/>
      <c r="CZ267" s="14"/>
      <c r="DA267" s="14"/>
      <c r="DB267" s="14"/>
      <c r="DC267" s="14"/>
      <c r="DD267" s="14"/>
      <c r="DE267" s="14"/>
      <c r="DF267" s="14"/>
      <c r="DG267" s="14"/>
      <c r="DH267" s="14"/>
      <c r="DI267" s="14"/>
      <c r="DJ267" s="14"/>
      <c r="DK267" s="14"/>
      <c r="DL267" s="14"/>
      <c r="DM267" s="14"/>
      <c r="DN267" s="14"/>
      <c r="DO267" s="14"/>
      <c r="DP267" s="14"/>
      <c r="DQ267" s="14"/>
      <c r="DR267" s="14"/>
      <c r="DS267" s="14"/>
      <c r="DT267" s="14"/>
      <c r="DU267" s="14"/>
      <c r="DV267" s="14"/>
      <c r="DW267" s="14"/>
      <c r="DX267" s="14"/>
      <c r="DY267" s="14"/>
      <c r="DZ267" s="14"/>
      <c r="EA267" s="14"/>
      <c r="EB267" s="14"/>
      <c r="EC267" s="14"/>
    </row>
    <row r="269" spans="1:133" s="13" customFormat="1" x14ac:dyDescent="0.25">
      <c r="A269" s="158" t="s">
        <v>98</v>
      </c>
      <c r="B269" s="158"/>
      <c r="C269" s="158"/>
      <c r="D269" s="158"/>
      <c r="E269" s="158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  <c r="AG269" s="14"/>
      <c r="AH269" s="14"/>
      <c r="AI269" s="14"/>
      <c r="AJ269" s="14"/>
      <c r="AK269" s="14"/>
      <c r="AL269" s="14"/>
      <c r="AM269" s="14"/>
      <c r="AN269" s="14"/>
      <c r="AO269" s="14"/>
      <c r="AP269" s="14"/>
      <c r="AQ269" s="14"/>
      <c r="AR269" s="14"/>
      <c r="AS269" s="14"/>
      <c r="AT269" s="14"/>
      <c r="AU269" s="14"/>
      <c r="AV269" s="14"/>
      <c r="AW269" s="14"/>
      <c r="AX269" s="14"/>
      <c r="AY269" s="14"/>
      <c r="AZ269" s="14"/>
      <c r="BA269" s="14"/>
      <c r="BB269" s="14"/>
      <c r="BC269" s="14"/>
      <c r="BD269" s="14"/>
      <c r="BE269" s="14"/>
      <c r="BF269" s="14"/>
      <c r="BG269" s="14"/>
      <c r="BH269" s="14"/>
      <c r="BI269" s="14"/>
      <c r="BJ269" s="14"/>
      <c r="BK269" s="14"/>
      <c r="BL269" s="14"/>
      <c r="BM269" s="14"/>
      <c r="BN269" s="14"/>
      <c r="BO269" s="14"/>
      <c r="BP269" s="14"/>
      <c r="BQ269" s="14"/>
      <c r="BR269" s="14"/>
      <c r="BS269" s="14"/>
      <c r="BT269" s="14"/>
      <c r="BU269" s="14"/>
      <c r="BV269" s="14"/>
      <c r="BW269" s="14"/>
      <c r="BX269" s="14"/>
      <c r="BY269" s="14"/>
      <c r="BZ269" s="14"/>
      <c r="CA269" s="14"/>
      <c r="CB269" s="14"/>
      <c r="CC269" s="14"/>
      <c r="CD269" s="14"/>
      <c r="CE269" s="14"/>
      <c r="CF269" s="14"/>
      <c r="CG269" s="14"/>
      <c r="CH269" s="14"/>
      <c r="CI269" s="14"/>
      <c r="CJ269" s="14"/>
      <c r="CK269" s="14"/>
      <c r="CL269" s="14"/>
      <c r="CM269" s="14"/>
      <c r="CN269" s="14"/>
      <c r="CO269" s="14"/>
      <c r="CP269" s="14"/>
      <c r="CQ269" s="14"/>
      <c r="CR269" s="14"/>
      <c r="CS269" s="14"/>
      <c r="CT269" s="14"/>
      <c r="CU269" s="14"/>
      <c r="CV269" s="14"/>
      <c r="CW269" s="14"/>
      <c r="CX269" s="14"/>
      <c r="CY269" s="14"/>
      <c r="CZ269" s="14"/>
      <c r="DA269" s="14"/>
      <c r="DB269" s="14"/>
      <c r="DC269" s="14"/>
      <c r="DD269" s="14"/>
      <c r="DE269" s="14"/>
      <c r="DF269" s="14"/>
      <c r="DG269" s="14"/>
      <c r="DH269" s="14"/>
      <c r="DI269" s="14"/>
      <c r="DJ269" s="14"/>
      <c r="DK269" s="14"/>
      <c r="DL269" s="14"/>
      <c r="DM269" s="14"/>
      <c r="DN269" s="14"/>
      <c r="DO269" s="14"/>
      <c r="DP269" s="14"/>
      <c r="DQ269" s="14"/>
      <c r="DR269" s="14"/>
      <c r="DS269" s="14"/>
      <c r="DT269" s="14"/>
      <c r="DU269" s="14"/>
      <c r="DV269" s="14"/>
      <c r="DW269" s="14"/>
      <c r="DX269" s="14"/>
      <c r="DY269" s="14"/>
      <c r="DZ269" s="14"/>
      <c r="EA269" s="14"/>
      <c r="EB269" s="14"/>
      <c r="EC269" s="14"/>
    </row>
    <row r="270" spans="1:133" s="13" customFormat="1" x14ac:dyDescent="0.25">
      <c r="A270" s="57" t="s">
        <v>8</v>
      </c>
      <c r="B270" s="58" t="s">
        <v>9</v>
      </c>
      <c r="C270" s="34" t="s">
        <v>10</v>
      </c>
      <c r="D270" s="34" t="s">
        <v>340</v>
      </c>
      <c r="E270" s="16" t="s">
        <v>65</v>
      </c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  <c r="AH270" s="14"/>
      <c r="AI270" s="14"/>
      <c r="AJ270" s="14"/>
      <c r="AK270" s="14"/>
      <c r="AL270" s="14"/>
      <c r="AM270" s="14"/>
      <c r="AN270" s="14"/>
      <c r="AO270" s="14"/>
      <c r="AP270" s="14"/>
      <c r="AQ270" s="14"/>
      <c r="AR270" s="14"/>
      <c r="AS270" s="14"/>
      <c r="AT270" s="14"/>
      <c r="AU270" s="14"/>
      <c r="AV270" s="14"/>
      <c r="AW270" s="14"/>
      <c r="AX270" s="14"/>
      <c r="AY270" s="14"/>
      <c r="AZ270" s="14"/>
      <c r="BA270" s="14"/>
      <c r="BB270" s="14"/>
      <c r="BC270" s="14"/>
      <c r="BD270" s="14"/>
      <c r="BE270" s="14"/>
      <c r="BF270" s="14"/>
      <c r="BG270" s="14"/>
      <c r="BH270" s="14"/>
      <c r="BI270" s="14"/>
      <c r="BJ270" s="14"/>
      <c r="BK270" s="14"/>
      <c r="BL270" s="14"/>
      <c r="BM270" s="14"/>
      <c r="BN270" s="14"/>
      <c r="BO270" s="14"/>
      <c r="BP270" s="14"/>
      <c r="BQ270" s="14"/>
      <c r="BR270" s="14"/>
      <c r="BS270" s="14"/>
      <c r="BT270" s="14"/>
      <c r="BU270" s="14"/>
      <c r="BV270" s="14"/>
      <c r="BW270" s="14"/>
      <c r="BX270" s="14"/>
      <c r="BY270" s="14"/>
      <c r="BZ270" s="14"/>
      <c r="CA270" s="14"/>
      <c r="CB270" s="14"/>
      <c r="CC270" s="14"/>
      <c r="CD270" s="14"/>
      <c r="CE270" s="14"/>
      <c r="CF270" s="14"/>
      <c r="CG270" s="14"/>
      <c r="CH270" s="14"/>
      <c r="CI270" s="14"/>
      <c r="CJ270" s="14"/>
      <c r="CK270" s="14"/>
      <c r="CL270" s="14"/>
      <c r="CM270" s="14"/>
      <c r="CN270" s="14"/>
      <c r="CO270" s="14"/>
      <c r="CP270" s="14"/>
      <c r="CQ270" s="14"/>
      <c r="CR270" s="14"/>
      <c r="CS270" s="14"/>
      <c r="CT270" s="14"/>
      <c r="CU270" s="14"/>
      <c r="CV270" s="14"/>
      <c r="CW270" s="14"/>
      <c r="CX270" s="14"/>
      <c r="CY270" s="14"/>
      <c r="CZ270" s="14"/>
      <c r="DA270" s="14"/>
      <c r="DB270" s="14"/>
      <c r="DC270" s="14"/>
      <c r="DD270" s="14"/>
      <c r="DE270" s="14"/>
      <c r="DF270" s="14"/>
      <c r="DG270" s="14"/>
      <c r="DH270" s="14"/>
      <c r="DI270" s="14"/>
      <c r="DJ270" s="14"/>
      <c r="DK270" s="14"/>
      <c r="DL270" s="14"/>
      <c r="DM270" s="14"/>
      <c r="DN270" s="14"/>
      <c r="DO270" s="14"/>
      <c r="DP270" s="14"/>
      <c r="DQ270" s="14"/>
      <c r="DR270" s="14"/>
      <c r="DS270" s="14"/>
      <c r="DT270" s="14"/>
      <c r="DU270" s="14"/>
      <c r="DV270" s="14"/>
      <c r="DW270" s="14"/>
      <c r="DX270" s="14"/>
      <c r="DY270" s="14"/>
      <c r="DZ270" s="14"/>
      <c r="EA270" s="14"/>
      <c r="EB270" s="14"/>
      <c r="EC270" s="14"/>
    </row>
    <row r="271" spans="1:133" s="13" customFormat="1" ht="49.2" x14ac:dyDescent="0.25">
      <c r="A271" s="15" t="s">
        <v>99</v>
      </c>
      <c r="B271" s="25" t="s">
        <v>95</v>
      </c>
      <c r="C271" s="35" t="s">
        <v>100</v>
      </c>
      <c r="D271" s="35" t="s">
        <v>101</v>
      </c>
      <c r="E271" s="16">
        <v>0</v>
      </c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  <c r="AH271" s="14"/>
      <c r="AI271" s="14"/>
      <c r="AJ271" s="14"/>
      <c r="AK271" s="14"/>
      <c r="AL271" s="14"/>
      <c r="AM271" s="14"/>
      <c r="AN271" s="14"/>
      <c r="AO271" s="14"/>
      <c r="AP271" s="14"/>
      <c r="AQ271" s="14"/>
      <c r="AR271" s="14"/>
      <c r="AS271" s="14"/>
      <c r="AT271" s="14"/>
      <c r="AU271" s="14"/>
      <c r="AV271" s="14"/>
      <c r="AW271" s="14"/>
      <c r="AX271" s="14"/>
      <c r="AY271" s="14"/>
      <c r="AZ271" s="14"/>
      <c r="BA271" s="14"/>
      <c r="BB271" s="14"/>
      <c r="BC271" s="14"/>
      <c r="BD271" s="14"/>
      <c r="BE271" s="14"/>
      <c r="BF271" s="14"/>
      <c r="BG271" s="14"/>
      <c r="BH271" s="14"/>
      <c r="BI271" s="14"/>
      <c r="BJ271" s="14"/>
      <c r="BK271" s="14"/>
      <c r="BL271" s="14"/>
      <c r="BM271" s="14"/>
      <c r="BN271" s="14"/>
      <c r="BO271" s="14"/>
      <c r="BP271" s="14"/>
      <c r="BQ271" s="14"/>
      <c r="BR271" s="14"/>
      <c r="BS271" s="14"/>
      <c r="BT271" s="14"/>
      <c r="BU271" s="14"/>
      <c r="BV271" s="14"/>
      <c r="BW271" s="14"/>
      <c r="BX271" s="14"/>
      <c r="BY271" s="14"/>
      <c r="BZ271" s="14"/>
      <c r="CA271" s="14"/>
      <c r="CB271" s="14"/>
      <c r="CC271" s="14"/>
      <c r="CD271" s="14"/>
      <c r="CE271" s="14"/>
      <c r="CF271" s="14"/>
      <c r="CG271" s="14"/>
      <c r="CH271" s="14"/>
      <c r="CI271" s="14"/>
      <c r="CJ271" s="14"/>
      <c r="CK271" s="14"/>
      <c r="CL271" s="14"/>
      <c r="CM271" s="14"/>
      <c r="CN271" s="14"/>
      <c r="CO271" s="14"/>
      <c r="CP271" s="14"/>
      <c r="CQ271" s="14"/>
      <c r="CR271" s="14"/>
      <c r="CS271" s="14"/>
      <c r="CT271" s="14"/>
      <c r="CU271" s="14"/>
      <c r="CV271" s="14"/>
      <c r="CW271" s="14"/>
      <c r="CX271" s="14"/>
      <c r="CY271" s="14"/>
      <c r="CZ271" s="14"/>
      <c r="DA271" s="14"/>
      <c r="DB271" s="14"/>
      <c r="DC271" s="14"/>
      <c r="DD271" s="14"/>
      <c r="DE271" s="14"/>
      <c r="DF271" s="14"/>
      <c r="DG271" s="14"/>
      <c r="DH271" s="14"/>
      <c r="DI271" s="14"/>
      <c r="DJ271" s="14"/>
      <c r="DK271" s="14"/>
      <c r="DL271" s="14"/>
      <c r="DM271" s="14"/>
      <c r="DN271" s="14"/>
      <c r="DO271" s="14"/>
      <c r="DP271" s="14"/>
      <c r="DQ271" s="14"/>
      <c r="DR271" s="14"/>
      <c r="DS271" s="14"/>
      <c r="DT271" s="14"/>
      <c r="DU271" s="14"/>
      <c r="DV271" s="14"/>
      <c r="DW271" s="14"/>
      <c r="DX271" s="14"/>
      <c r="DY271" s="14"/>
      <c r="DZ271" s="14"/>
      <c r="EA271" s="14"/>
      <c r="EB271" s="14"/>
      <c r="EC271" s="14"/>
    </row>
    <row r="273" spans="1:133" x14ac:dyDescent="0.25">
      <c r="A273" s="57" t="s">
        <v>8</v>
      </c>
      <c r="B273" s="58" t="s">
        <v>9</v>
      </c>
      <c r="C273" s="34" t="s">
        <v>10</v>
      </c>
      <c r="D273" s="34" t="s">
        <v>340</v>
      </c>
      <c r="E273" s="16" t="s">
        <v>65</v>
      </c>
    </row>
    <row r="274" spans="1:133" ht="18" x14ac:dyDescent="0.25">
      <c r="A274" s="59" t="s">
        <v>102</v>
      </c>
      <c r="B274" s="25" t="s">
        <v>103</v>
      </c>
      <c r="C274" s="35" t="s">
        <v>104</v>
      </c>
      <c r="D274" s="53" t="s">
        <v>380</v>
      </c>
      <c r="E274" s="18">
        <f>ROUNDDOWN(E224+E255+E250+E267+E271,0)</f>
        <v>4716</v>
      </c>
    </row>
    <row r="275" spans="1:133" s="167" customFormat="1" ht="43.2" customHeight="1" x14ac:dyDescent="0.25">
      <c r="A275" s="167" t="s">
        <v>247</v>
      </c>
    </row>
    <row r="276" spans="1:133" s="56" customFormat="1" ht="31.2" x14ac:dyDescent="0.25">
      <c r="A276" s="92" t="s">
        <v>8</v>
      </c>
      <c r="B276" s="93" t="s">
        <v>9</v>
      </c>
      <c r="C276" s="94" t="s">
        <v>10</v>
      </c>
      <c r="D276" s="93" t="s">
        <v>341</v>
      </c>
      <c r="E276" s="93" t="s">
        <v>11</v>
      </c>
      <c r="F276" s="16" t="s">
        <v>312</v>
      </c>
      <c r="G276" s="16" t="s">
        <v>313</v>
      </c>
      <c r="H276" s="16" t="s">
        <v>314</v>
      </c>
      <c r="I276" s="16" t="s">
        <v>315</v>
      </c>
      <c r="J276" s="16" t="s">
        <v>316</v>
      </c>
      <c r="K276" s="16" t="s">
        <v>317</v>
      </c>
      <c r="L276" s="16" t="s">
        <v>318</v>
      </c>
      <c r="M276" s="16" t="s">
        <v>319</v>
      </c>
      <c r="N276" s="16" t="s">
        <v>320</v>
      </c>
      <c r="O276" s="16" t="s">
        <v>293</v>
      </c>
      <c r="P276" s="16" t="s">
        <v>294</v>
      </c>
      <c r="Q276" s="16" t="s">
        <v>295</v>
      </c>
      <c r="R276" s="54"/>
      <c r="S276" s="54"/>
      <c r="T276" s="54"/>
      <c r="U276" s="54"/>
      <c r="V276" s="54"/>
      <c r="W276" s="54"/>
      <c r="X276" s="54"/>
      <c r="Y276" s="54"/>
      <c r="Z276" s="54"/>
      <c r="AA276" s="54"/>
      <c r="AB276" s="54"/>
      <c r="AC276" s="54"/>
      <c r="AD276" s="54"/>
      <c r="AE276" s="54"/>
      <c r="AF276" s="54"/>
      <c r="AG276" s="54"/>
      <c r="AH276" s="54"/>
      <c r="AI276" s="54"/>
      <c r="AJ276" s="54"/>
      <c r="AK276" s="54"/>
      <c r="AL276" s="54"/>
      <c r="AM276" s="54"/>
      <c r="AN276" s="54"/>
      <c r="AO276" s="54"/>
      <c r="AP276" s="54"/>
      <c r="AQ276" s="54"/>
      <c r="AR276" s="54"/>
      <c r="AS276" s="54"/>
      <c r="AT276" s="54"/>
      <c r="AU276" s="54"/>
      <c r="AV276" s="54"/>
      <c r="AW276" s="54"/>
      <c r="AX276" s="54"/>
      <c r="AY276" s="54"/>
      <c r="AZ276" s="54"/>
      <c r="BA276" s="54"/>
      <c r="BB276" s="54"/>
      <c r="BC276" s="54"/>
      <c r="BD276" s="54"/>
      <c r="BE276" s="54"/>
      <c r="BF276" s="54"/>
      <c r="BG276" s="54"/>
      <c r="BH276" s="54"/>
      <c r="BI276" s="54"/>
      <c r="BJ276" s="54"/>
      <c r="BK276" s="54"/>
      <c r="BL276" s="54"/>
      <c r="BM276" s="54"/>
      <c r="BN276" s="54"/>
      <c r="BO276" s="54"/>
      <c r="BP276" s="54"/>
      <c r="BQ276" s="54"/>
      <c r="BR276" s="54"/>
      <c r="BS276" s="54"/>
      <c r="BT276" s="54"/>
      <c r="BU276" s="54"/>
      <c r="BV276" s="54"/>
      <c r="BW276" s="54"/>
      <c r="BX276" s="54"/>
      <c r="BY276" s="54"/>
      <c r="BZ276" s="54"/>
      <c r="CA276" s="54"/>
      <c r="CB276" s="54"/>
      <c r="CC276" s="54"/>
      <c r="CD276" s="54"/>
      <c r="CE276" s="54"/>
      <c r="CF276" s="54"/>
      <c r="CG276" s="54"/>
      <c r="CH276" s="54"/>
      <c r="CI276" s="54"/>
      <c r="CJ276" s="54"/>
      <c r="CK276" s="54"/>
      <c r="CL276" s="54"/>
      <c r="CM276" s="54"/>
      <c r="CN276" s="54"/>
      <c r="CO276" s="54"/>
      <c r="CP276" s="54"/>
      <c r="CQ276" s="54"/>
      <c r="CR276" s="54"/>
      <c r="CS276" s="54"/>
      <c r="CT276" s="54"/>
      <c r="CU276" s="54"/>
      <c r="CV276" s="54"/>
      <c r="CW276" s="54"/>
      <c r="CX276" s="54"/>
      <c r="CY276" s="54"/>
      <c r="CZ276" s="54"/>
      <c r="DA276" s="54"/>
      <c r="DB276" s="54"/>
      <c r="DC276" s="54"/>
      <c r="DD276" s="54"/>
      <c r="DE276" s="54"/>
      <c r="DF276" s="54"/>
      <c r="DG276" s="54"/>
      <c r="DH276" s="54"/>
      <c r="DI276" s="54"/>
      <c r="DJ276" s="54"/>
      <c r="DK276" s="54"/>
      <c r="DL276" s="54"/>
      <c r="DM276" s="54"/>
      <c r="DN276" s="54"/>
      <c r="DO276" s="54"/>
      <c r="DP276" s="54"/>
      <c r="DQ276" s="54"/>
      <c r="DR276" s="54"/>
      <c r="DS276" s="54"/>
      <c r="DT276" s="54"/>
      <c r="DU276" s="54"/>
      <c r="DV276" s="54"/>
      <c r="DW276" s="54"/>
      <c r="DX276" s="54"/>
      <c r="DY276" s="54"/>
      <c r="DZ276" s="54"/>
      <c r="EA276" s="54"/>
      <c r="EB276" s="54"/>
      <c r="EC276" s="54"/>
    </row>
    <row r="277" spans="1:133" s="56" customFormat="1" x14ac:dyDescent="0.25">
      <c r="A277" s="178" t="s">
        <v>12</v>
      </c>
      <c r="B277" s="178"/>
      <c r="C277" s="179"/>
      <c r="D277" s="179"/>
      <c r="E277" s="178"/>
      <c r="F277" s="16">
        <v>31</v>
      </c>
      <c r="G277" s="16">
        <v>28</v>
      </c>
      <c r="H277" s="16">
        <v>31</v>
      </c>
      <c r="I277" s="16">
        <v>30</v>
      </c>
      <c r="J277" s="16">
        <v>31</v>
      </c>
      <c r="K277" s="16">
        <v>30</v>
      </c>
      <c r="L277" s="16">
        <v>31</v>
      </c>
      <c r="M277" s="16">
        <v>31</v>
      </c>
      <c r="N277" s="16">
        <v>30</v>
      </c>
      <c r="O277" s="16">
        <v>31</v>
      </c>
      <c r="P277" s="16">
        <v>30</v>
      </c>
      <c r="Q277" s="16">
        <v>31</v>
      </c>
      <c r="R277" s="54"/>
      <c r="S277" s="54"/>
      <c r="T277" s="54"/>
      <c r="U277" s="54"/>
      <c r="V277" s="54"/>
      <c r="W277" s="54"/>
      <c r="X277" s="54"/>
      <c r="Y277" s="54"/>
      <c r="Z277" s="54"/>
      <c r="AA277" s="54"/>
      <c r="AB277" s="54"/>
      <c r="AC277" s="54"/>
      <c r="AD277" s="54"/>
      <c r="AE277" s="54"/>
      <c r="AF277" s="54"/>
      <c r="AG277" s="54"/>
      <c r="AH277" s="54"/>
      <c r="AI277" s="54"/>
      <c r="AJ277" s="54"/>
      <c r="AK277" s="54"/>
      <c r="AL277" s="54"/>
      <c r="AM277" s="54"/>
      <c r="AN277" s="54"/>
      <c r="AO277" s="54"/>
      <c r="AP277" s="54"/>
      <c r="AQ277" s="54"/>
      <c r="AR277" s="54"/>
      <c r="AS277" s="54"/>
      <c r="AT277" s="54"/>
      <c r="AU277" s="54"/>
      <c r="AV277" s="54"/>
      <c r="AW277" s="54"/>
      <c r="AX277" s="54"/>
      <c r="AY277" s="54"/>
      <c r="AZ277" s="54"/>
      <c r="BA277" s="54"/>
      <c r="BB277" s="54"/>
      <c r="BC277" s="54"/>
      <c r="BD277" s="54"/>
      <c r="BE277" s="54"/>
      <c r="BF277" s="54"/>
      <c r="BG277" s="54"/>
      <c r="BH277" s="54"/>
      <c r="BI277" s="54"/>
      <c r="BJ277" s="54"/>
      <c r="BK277" s="54"/>
      <c r="BL277" s="54"/>
      <c r="BM277" s="54"/>
      <c r="BN277" s="54"/>
      <c r="BO277" s="54"/>
      <c r="BP277" s="54"/>
      <c r="BQ277" s="54"/>
      <c r="BR277" s="54"/>
      <c r="BS277" s="54"/>
      <c r="BT277" s="54"/>
      <c r="BU277" s="54"/>
      <c r="BV277" s="54"/>
      <c r="BW277" s="54"/>
      <c r="BX277" s="54"/>
      <c r="BY277" s="54"/>
      <c r="BZ277" s="54"/>
      <c r="CA277" s="54"/>
      <c r="CB277" s="54"/>
      <c r="CC277" s="54"/>
      <c r="CD277" s="54"/>
      <c r="CE277" s="54"/>
      <c r="CF277" s="54"/>
      <c r="CG277" s="54"/>
      <c r="CH277" s="54"/>
      <c r="CI277" s="54"/>
      <c r="CJ277" s="54"/>
      <c r="CK277" s="54"/>
      <c r="CL277" s="54"/>
      <c r="CM277" s="54"/>
      <c r="CN277" s="54"/>
      <c r="CO277" s="54"/>
      <c r="CP277" s="54"/>
      <c r="CQ277" s="54"/>
      <c r="CR277" s="54"/>
      <c r="CS277" s="54"/>
      <c r="CT277" s="54"/>
      <c r="CU277" s="54"/>
      <c r="CV277" s="54"/>
      <c r="CW277" s="54"/>
      <c r="CX277" s="54"/>
      <c r="CY277" s="54"/>
      <c r="CZ277" s="54"/>
      <c r="DA277" s="54"/>
      <c r="DB277" s="54"/>
      <c r="DC277" s="54"/>
      <c r="DD277" s="54"/>
      <c r="DE277" s="54"/>
      <c r="DF277" s="54"/>
      <c r="DG277" s="54"/>
      <c r="DH277" s="54"/>
      <c r="DI277" s="54"/>
      <c r="DJ277" s="54"/>
      <c r="DK277" s="54"/>
      <c r="DL277" s="54"/>
      <c r="DM277" s="54"/>
      <c r="DN277" s="54"/>
      <c r="DO277" s="54"/>
      <c r="DP277" s="54"/>
      <c r="DQ277" s="54"/>
      <c r="DR277" s="54"/>
      <c r="DS277" s="54"/>
      <c r="DT277" s="54"/>
      <c r="DU277" s="54"/>
      <c r="DV277" s="54"/>
      <c r="DW277" s="54"/>
      <c r="DX277" s="54"/>
      <c r="DY277" s="54"/>
      <c r="DZ277" s="54"/>
      <c r="EA277" s="54"/>
      <c r="EB277" s="54"/>
      <c r="EC277" s="54"/>
    </row>
    <row r="278" spans="1:133" ht="46.8" x14ac:dyDescent="0.25">
      <c r="A278" s="59" t="s">
        <v>13</v>
      </c>
      <c r="B278" s="60" t="s">
        <v>14</v>
      </c>
      <c r="C278" s="53" t="s">
        <v>15</v>
      </c>
      <c r="D278" s="53" t="s">
        <v>369</v>
      </c>
      <c r="E278" s="61">
        <f>SUM(F278:Q278)</f>
        <v>4326.5151745356206</v>
      </c>
      <c r="F278" s="62">
        <f>$E$279*$E$280*F281*$E$292</f>
        <v>363.74595873470247</v>
      </c>
      <c r="G278" s="62">
        <f>$E$279*$E$280*G281*$E$292</f>
        <v>328.29395207722581</v>
      </c>
      <c r="H278" s="62">
        <f t="shared" ref="H278:Q278" si="35">$E$279*$E$280*H281*$E$292</f>
        <v>363.8479068211214</v>
      </c>
      <c r="I278" s="62">
        <f t="shared" si="35"/>
        <v>351.91824134722208</v>
      </c>
      <c r="J278" s="62">
        <f t="shared" si="35"/>
        <v>379.587233221617</v>
      </c>
      <c r="K278" s="62">
        <f t="shared" si="35"/>
        <v>351.26693063568166</v>
      </c>
      <c r="L278" s="62">
        <f t="shared" si="35"/>
        <v>362.8952747669569</v>
      </c>
      <c r="M278" s="62">
        <f t="shared" si="35"/>
        <v>362.76158397794734</v>
      </c>
      <c r="N278" s="62">
        <f t="shared" si="35"/>
        <v>367.0714091881693</v>
      </c>
      <c r="O278" s="62">
        <f t="shared" si="35"/>
        <v>379.32754839016366</v>
      </c>
      <c r="P278" s="62">
        <f t="shared" si="35"/>
        <v>352.16475150517937</v>
      </c>
      <c r="Q278" s="62">
        <f t="shared" si="35"/>
        <v>363.63438386963367</v>
      </c>
    </row>
    <row r="279" spans="1:133" ht="31.2" x14ac:dyDescent="0.25">
      <c r="A279" s="63" t="s">
        <v>16</v>
      </c>
      <c r="B279" s="60" t="s">
        <v>193</v>
      </c>
      <c r="C279" s="35" t="s">
        <v>17</v>
      </c>
      <c r="D279" s="35" t="s">
        <v>205</v>
      </c>
      <c r="E279" s="176">
        <v>28</v>
      </c>
      <c r="F279" s="176"/>
      <c r="G279" s="176"/>
      <c r="H279" s="176"/>
      <c r="I279" s="176"/>
      <c r="J279" s="176"/>
      <c r="K279" s="176"/>
      <c r="L279" s="176"/>
      <c r="M279" s="176"/>
      <c r="N279" s="176"/>
      <c r="O279" s="176"/>
      <c r="P279" s="176"/>
      <c r="Q279" s="176"/>
    </row>
    <row r="280" spans="1:133" ht="64.8" x14ac:dyDescent="0.25">
      <c r="A280" s="63" t="s">
        <v>18</v>
      </c>
      <c r="B280" s="25" t="s">
        <v>194</v>
      </c>
      <c r="C280" s="35" t="s">
        <v>20</v>
      </c>
      <c r="D280" s="35" t="s">
        <v>394</v>
      </c>
      <c r="E280" s="176">
        <v>0.21</v>
      </c>
      <c r="F280" s="176"/>
      <c r="G280" s="176"/>
      <c r="H280" s="176"/>
      <c r="I280" s="176"/>
      <c r="J280" s="176"/>
      <c r="K280" s="176"/>
      <c r="L280" s="176"/>
      <c r="M280" s="176"/>
      <c r="N280" s="176"/>
      <c r="O280" s="176"/>
      <c r="P280" s="176"/>
      <c r="Q280" s="176"/>
    </row>
    <row r="281" spans="1:133" ht="46.8" x14ac:dyDescent="0.25">
      <c r="A281" s="35" t="s">
        <v>21</v>
      </c>
      <c r="B281" s="25" t="s">
        <v>195</v>
      </c>
      <c r="C281" s="53" t="s">
        <v>22</v>
      </c>
      <c r="D281" s="53" t="s">
        <v>370</v>
      </c>
      <c r="E281" s="64">
        <f t="shared" ref="E281:Q281" si="36">E289*E282</f>
        <v>1246.8035576259776</v>
      </c>
      <c r="F281" s="64">
        <f t="shared" si="36"/>
        <v>104.8233363635843</v>
      </c>
      <c r="G281" s="64">
        <f t="shared" si="36"/>
        <v>94.606872017017892</v>
      </c>
      <c r="H281" s="64">
        <f t="shared" si="36"/>
        <v>104.85271549013595</v>
      </c>
      <c r="I281" s="64">
        <f t="shared" si="36"/>
        <v>101.41485643865535</v>
      </c>
      <c r="J281" s="64">
        <f t="shared" si="36"/>
        <v>109.38843242608328</v>
      </c>
      <c r="K281" s="64">
        <f t="shared" si="36"/>
        <v>101.22716346185776</v>
      </c>
      <c r="L281" s="64">
        <f t="shared" si="36"/>
        <v>104.57818853568736</v>
      </c>
      <c r="M281" s="64">
        <f t="shared" si="36"/>
        <v>104.53966188210252</v>
      </c>
      <c r="N281" s="64">
        <f t="shared" si="36"/>
        <v>105.7816557705043</v>
      </c>
      <c r="O281" s="64">
        <f t="shared" si="36"/>
        <v>109.31359714672887</v>
      </c>
      <c r="P281" s="64">
        <f t="shared" si="36"/>
        <v>101.48589507588029</v>
      </c>
      <c r="Q281" s="64">
        <f t="shared" si="36"/>
        <v>104.79118301773956</v>
      </c>
    </row>
    <row r="282" spans="1:133" ht="46.8" x14ac:dyDescent="0.25">
      <c r="A282" s="35" t="s">
        <v>23</v>
      </c>
      <c r="B282" s="25" t="s">
        <v>197</v>
      </c>
      <c r="C282" s="35" t="s">
        <v>191</v>
      </c>
      <c r="D282" s="35" t="s">
        <v>371</v>
      </c>
      <c r="E282" s="20">
        <f>SUM(F282:Q282)</f>
        <v>1313.3063309330855</v>
      </c>
      <c r="F282" s="20">
        <f>F284*F287</f>
        <v>110.41446780754301</v>
      </c>
      <c r="G282" s="20">
        <f t="shared" ref="G282:Q282" si="37">G284*G287</f>
        <v>99.653071415920877</v>
      </c>
      <c r="H282" s="20">
        <f t="shared" si="37"/>
        <v>110.44541397597632</v>
      </c>
      <c r="I282" s="20">
        <f t="shared" si="37"/>
        <v>106.8241842886293</v>
      </c>
      <c r="J282" s="20">
        <f t="shared" si="37"/>
        <v>115.22305976537581</v>
      </c>
      <c r="K282" s="20">
        <f t="shared" si="37"/>
        <v>106.62648002865004</v>
      </c>
      <c r="L282" s="20">
        <f t="shared" si="37"/>
        <v>110.15624413435701</v>
      </c>
      <c r="M282" s="20">
        <f t="shared" si="37"/>
        <v>110.11566252247985</v>
      </c>
      <c r="N282" s="20">
        <f t="shared" si="37"/>
        <v>111.42390264310001</v>
      </c>
      <c r="O282" s="20">
        <f t="shared" si="37"/>
        <v>115.14423287596556</v>
      </c>
      <c r="P282" s="20">
        <f t="shared" si="37"/>
        <v>106.89901202828223</v>
      </c>
      <c r="Q282" s="20">
        <f t="shared" si="37"/>
        <v>110.38059944680542</v>
      </c>
    </row>
    <row r="283" spans="1:133" ht="62.4" x14ac:dyDescent="0.25">
      <c r="A283" s="17" t="s">
        <v>335</v>
      </c>
      <c r="B283" s="60" t="s">
        <v>192</v>
      </c>
      <c r="C283" s="35" t="s">
        <v>25</v>
      </c>
      <c r="D283" s="35" t="s">
        <v>333</v>
      </c>
      <c r="E283" s="121">
        <f>AVERAGE(F283:Q283)</f>
        <v>8539.7183788146449</v>
      </c>
      <c r="F283" s="121">
        <v>8355.9755161290323</v>
      </c>
      <c r="G283" s="121">
        <v>8356.7159285714297</v>
      </c>
      <c r="H283" s="121">
        <v>8362.0194838709685</v>
      </c>
      <c r="I283" s="121">
        <v>8359.5456999999988</v>
      </c>
      <c r="J283" s="121">
        <v>8723.281258064515</v>
      </c>
      <c r="K283" s="121">
        <v>8717.7060000000019</v>
      </c>
      <c r="L283" s="121">
        <v>8720.3199354838707</v>
      </c>
      <c r="M283" s="121">
        <v>8719.8742903225811</v>
      </c>
      <c r="N283" s="121">
        <v>8721.1060000000016</v>
      </c>
      <c r="O283" s="121">
        <v>8720.7576451612895</v>
      </c>
      <c r="P283" s="121">
        <v>8362.417433333334</v>
      </c>
      <c r="Q283" s="121">
        <v>8356.9013548387102</v>
      </c>
    </row>
    <row r="284" spans="1:133" ht="46.8" x14ac:dyDescent="0.25">
      <c r="A284" s="35" t="s">
        <v>26</v>
      </c>
      <c r="B284" s="60" t="s">
        <v>198</v>
      </c>
      <c r="C284" s="35" t="s">
        <v>27</v>
      </c>
      <c r="D284" s="35" t="s">
        <v>206</v>
      </c>
      <c r="E284" s="65">
        <f>SUM(F284:Q284)</f>
        <v>3117544.3140000002</v>
      </c>
      <c r="F284" s="65">
        <f>F283*F277</f>
        <v>259035.24100000001</v>
      </c>
      <c r="G284" s="65">
        <f t="shared" ref="G284:Q284" si="38">G283*G277</f>
        <v>233988.04600000003</v>
      </c>
      <c r="H284" s="65">
        <f t="shared" si="38"/>
        <v>259222.60400000002</v>
      </c>
      <c r="I284" s="65">
        <f t="shared" si="38"/>
        <v>250786.37099999996</v>
      </c>
      <c r="J284" s="65">
        <f t="shared" si="38"/>
        <v>270421.71899999998</v>
      </c>
      <c r="K284" s="65">
        <f t="shared" si="38"/>
        <v>261531.18000000005</v>
      </c>
      <c r="L284" s="65">
        <f t="shared" si="38"/>
        <v>270329.91800000001</v>
      </c>
      <c r="M284" s="65">
        <f t="shared" si="38"/>
        <v>270316.103</v>
      </c>
      <c r="N284" s="65">
        <f t="shared" si="38"/>
        <v>261633.18000000005</v>
      </c>
      <c r="O284" s="65">
        <f t="shared" si="38"/>
        <v>270343.48699999996</v>
      </c>
      <c r="P284" s="65">
        <f t="shared" si="38"/>
        <v>250872.52300000002</v>
      </c>
      <c r="Q284" s="65">
        <f t="shared" si="38"/>
        <v>259063.94200000001</v>
      </c>
    </row>
    <row r="285" spans="1:133" ht="62.4" x14ac:dyDescent="0.25">
      <c r="A285" s="35" t="s">
        <v>28</v>
      </c>
      <c r="B285" s="60" t="s">
        <v>199</v>
      </c>
      <c r="C285" s="35" t="s">
        <v>29</v>
      </c>
      <c r="D285" s="35" t="s">
        <v>332</v>
      </c>
      <c r="E285" s="125">
        <f>AVERAGE(F285:Q285)</f>
        <v>421.39815125087551</v>
      </c>
      <c r="F285" s="125">
        <v>426.25268817204295</v>
      </c>
      <c r="G285" s="125">
        <v>425.88958333333346</v>
      </c>
      <c r="H285" s="125">
        <v>426.06397849462354</v>
      </c>
      <c r="I285" s="125">
        <v>425.95689655172413</v>
      </c>
      <c r="J285" s="125">
        <v>426.08655913978498</v>
      </c>
      <c r="K285" s="125">
        <v>407.70083333333338</v>
      </c>
      <c r="L285" s="125">
        <v>407.48817204301082</v>
      </c>
      <c r="M285" s="125">
        <v>407.35887096774195</v>
      </c>
      <c r="N285" s="125">
        <v>425.87833333333327</v>
      </c>
      <c r="O285" s="125">
        <v>425.91827956989243</v>
      </c>
      <c r="P285" s="125">
        <v>426.10888888888888</v>
      </c>
      <c r="Q285" s="125">
        <v>426.07473118279586</v>
      </c>
    </row>
    <row r="286" spans="1:133" ht="62.4" x14ac:dyDescent="0.25">
      <c r="A286" s="35" t="s">
        <v>30</v>
      </c>
      <c r="B286" s="60" t="s">
        <v>199</v>
      </c>
      <c r="C286" s="35" t="s">
        <v>31</v>
      </c>
      <c r="D286" s="35" t="s">
        <v>331</v>
      </c>
      <c r="E286" s="125">
        <f>AVERAGE(F286:Q286)</f>
        <v>19.835461031804886</v>
      </c>
      <c r="F286" s="125">
        <v>19.930913978494619</v>
      </c>
      <c r="G286" s="125">
        <v>20.137499999999999</v>
      </c>
      <c r="H286" s="125">
        <v>19.555645161290322</v>
      </c>
      <c r="I286" s="125">
        <v>20.035057471264366</v>
      </c>
      <c r="J286" s="125">
        <v>19.732258064516135</v>
      </c>
      <c r="K286" s="125">
        <v>19.608611111111113</v>
      </c>
      <c r="L286" s="125">
        <v>19.852150537634405</v>
      </c>
      <c r="M286" s="125">
        <v>19.807526881720431</v>
      </c>
      <c r="N286" s="125">
        <v>19.717499999999998</v>
      </c>
      <c r="O286" s="125">
        <v>20.11854838709678</v>
      </c>
      <c r="P286" s="125">
        <v>19.649444444444448</v>
      </c>
      <c r="Q286" s="125">
        <v>19.880376344086017</v>
      </c>
    </row>
    <row r="287" spans="1:133" ht="62.4" x14ac:dyDescent="0.25">
      <c r="A287" s="35" t="s">
        <v>32</v>
      </c>
      <c r="B287" s="60" t="s">
        <v>200</v>
      </c>
      <c r="C287" s="35" t="s">
        <v>34</v>
      </c>
      <c r="D287" s="35" t="s">
        <v>338</v>
      </c>
      <c r="E287" s="122">
        <f>E285/1000000</f>
        <v>4.2139815125087551E-4</v>
      </c>
      <c r="F287" s="120">
        <f>F285/1000000</f>
        <v>4.2625268817204296E-4</v>
      </c>
      <c r="G287" s="120">
        <f t="shared" ref="G287:Q288" si="39">G285/1000000</f>
        <v>4.2588958333333345E-4</v>
      </c>
      <c r="H287" s="120">
        <f t="shared" si="39"/>
        <v>4.2606397849462356E-4</v>
      </c>
      <c r="I287" s="120">
        <f t="shared" si="39"/>
        <v>4.2595689655172415E-4</v>
      </c>
      <c r="J287" s="120">
        <f t="shared" si="39"/>
        <v>4.2608655913978498E-4</v>
      </c>
      <c r="K287" s="120">
        <f t="shared" si="39"/>
        <v>4.0770083333333337E-4</v>
      </c>
      <c r="L287" s="120">
        <f t="shared" si="39"/>
        <v>4.0748817204301082E-4</v>
      </c>
      <c r="M287" s="120">
        <f t="shared" si="39"/>
        <v>4.0735887096774196E-4</v>
      </c>
      <c r="N287" s="120">
        <f t="shared" si="39"/>
        <v>4.258783333333333E-4</v>
      </c>
      <c r="O287" s="120">
        <f t="shared" si="39"/>
        <v>4.2591827956989242E-4</v>
      </c>
      <c r="P287" s="120">
        <f t="shared" si="39"/>
        <v>4.2610888888888889E-4</v>
      </c>
      <c r="Q287" s="120">
        <f t="shared" si="39"/>
        <v>4.2607473118279587E-4</v>
      </c>
    </row>
    <row r="288" spans="1:133" ht="62.4" x14ac:dyDescent="0.25">
      <c r="A288" s="35" t="s">
        <v>30</v>
      </c>
      <c r="B288" s="60" t="s">
        <v>33</v>
      </c>
      <c r="C288" s="35" t="s">
        <v>35</v>
      </c>
      <c r="D288" s="35" t="s">
        <v>339</v>
      </c>
      <c r="E288" s="122">
        <f>E286/1000000</f>
        <v>1.9835461031804888E-5</v>
      </c>
      <c r="F288" s="120">
        <f>F286/1000000</f>
        <v>1.993091397849462E-5</v>
      </c>
      <c r="G288" s="120">
        <f t="shared" si="39"/>
        <v>2.0137499999999998E-5</v>
      </c>
      <c r="H288" s="120">
        <f t="shared" si="39"/>
        <v>1.9555645161290322E-5</v>
      </c>
      <c r="I288" s="120">
        <f t="shared" si="39"/>
        <v>2.0035057471264368E-5</v>
      </c>
      <c r="J288" s="120">
        <f t="shared" si="39"/>
        <v>1.9732258064516134E-5</v>
      </c>
      <c r="K288" s="120">
        <f t="shared" si="39"/>
        <v>1.9608611111111113E-5</v>
      </c>
      <c r="L288" s="120">
        <f t="shared" si="39"/>
        <v>1.9852150537634403E-5</v>
      </c>
      <c r="M288" s="120">
        <f t="shared" si="39"/>
        <v>1.9807526881720431E-5</v>
      </c>
      <c r="N288" s="120">
        <f t="shared" si="39"/>
        <v>1.9717499999999999E-5</v>
      </c>
      <c r="O288" s="120">
        <f t="shared" si="39"/>
        <v>2.0118548387096779E-5</v>
      </c>
      <c r="P288" s="120">
        <f t="shared" si="39"/>
        <v>1.9649444444444448E-5</v>
      </c>
      <c r="Q288" s="120">
        <f t="shared" si="39"/>
        <v>1.9880376344086018E-5</v>
      </c>
    </row>
    <row r="289" spans="1:133" ht="46.8" x14ac:dyDescent="0.25">
      <c r="A289" s="63" t="s">
        <v>36</v>
      </c>
      <c r="B289" s="25" t="s">
        <v>201</v>
      </c>
      <c r="C289" s="35" t="s">
        <v>38</v>
      </c>
      <c r="D289" s="35" t="s">
        <v>368</v>
      </c>
      <c r="E289" s="68">
        <f>(1-(E290/E291))</f>
        <v>0.94936232945754651</v>
      </c>
      <c r="F289" s="68">
        <f>E289</f>
        <v>0.94936232945754651</v>
      </c>
      <c r="G289" s="68">
        <f>E289</f>
        <v>0.94936232945754651</v>
      </c>
      <c r="H289" s="68">
        <f>E289</f>
        <v>0.94936232945754651</v>
      </c>
      <c r="I289" s="68">
        <f>E289</f>
        <v>0.94936232945754651</v>
      </c>
      <c r="J289" s="68">
        <f>E289</f>
        <v>0.94936232945754651</v>
      </c>
      <c r="K289" s="68">
        <f>E289</f>
        <v>0.94936232945754651</v>
      </c>
      <c r="L289" s="68">
        <f>E289</f>
        <v>0.94936232945754651</v>
      </c>
      <c r="M289" s="68">
        <f>E289</f>
        <v>0.94936232945754651</v>
      </c>
      <c r="N289" s="68">
        <f>E289</f>
        <v>0.94936232945754651</v>
      </c>
      <c r="O289" s="68">
        <f>E289</f>
        <v>0.94936232945754651</v>
      </c>
      <c r="P289" s="68">
        <f>E289</f>
        <v>0.94936232945754651</v>
      </c>
      <c r="Q289" s="68">
        <f>E289</f>
        <v>0.94936232945754651</v>
      </c>
    </row>
    <row r="290" spans="1:133" ht="31.2" x14ac:dyDescent="0.25">
      <c r="A290" s="35" t="s">
        <v>39</v>
      </c>
      <c r="B290" s="25" t="s">
        <v>196</v>
      </c>
      <c r="C290" s="35" t="s">
        <v>40</v>
      </c>
      <c r="D290" s="35" t="s">
        <v>351</v>
      </c>
      <c r="E290" s="52">
        <f>SUM(F290:Q290)</f>
        <v>65.103540359999982</v>
      </c>
      <c r="F290" s="52">
        <v>5.5293417839999996</v>
      </c>
      <c r="G290" s="52">
        <v>4.994244192</v>
      </c>
      <c r="H290" s="52">
        <v>5.5293417839999996</v>
      </c>
      <c r="I290" s="52">
        <v>5.3509759199999998</v>
      </c>
      <c r="J290" s="52">
        <v>5.5293417839999996</v>
      </c>
      <c r="K290" s="52">
        <v>5.3509759199999998</v>
      </c>
      <c r="L290" s="52">
        <v>5.5293417839999996</v>
      </c>
      <c r="M290" s="52">
        <v>5.5293417839999996</v>
      </c>
      <c r="N290" s="52">
        <v>5.3509759199999998</v>
      </c>
      <c r="O290" s="52">
        <v>5.5293417839999996</v>
      </c>
      <c r="P290" s="52">
        <v>5.3509759199999998</v>
      </c>
      <c r="Q290" s="52">
        <v>5.5293417839999996</v>
      </c>
    </row>
    <row r="291" spans="1:133" ht="31.2" x14ac:dyDescent="0.25">
      <c r="A291" s="63" t="s">
        <v>41</v>
      </c>
      <c r="B291" s="25" t="s">
        <v>24</v>
      </c>
      <c r="C291" s="35" t="s">
        <v>42</v>
      </c>
      <c r="D291" s="35" t="s">
        <v>351</v>
      </c>
      <c r="E291" s="52">
        <f>SUM(F291:Q291)</f>
        <v>1285.6740774719997</v>
      </c>
      <c r="F291" s="52">
        <v>109.19423671679999</v>
      </c>
      <c r="G291" s="52">
        <v>98.627052518399992</v>
      </c>
      <c r="H291" s="52">
        <v>109.19423671679999</v>
      </c>
      <c r="I291" s="52">
        <v>105.671841984</v>
      </c>
      <c r="J291" s="52">
        <v>109.19423671679999</v>
      </c>
      <c r="K291" s="52">
        <v>105.671841984</v>
      </c>
      <c r="L291" s="52">
        <v>109.19423671679999</v>
      </c>
      <c r="M291" s="52">
        <v>109.19423671679999</v>
      </c>
      <c r="N291" s="52">
        <v>105.671841984</v>
      </c>
      <c r="O291" s="52">
        <v>109.19423671679999</v>
      </c>
      <c r="P291" s="52">
        <v>105.671841984</v>
      </c>
      <c r="Q291" s="52">
        <v>109.19423671679999</v>
      </c>
    </row>
    <row r="292" spans="1:133" ht="31.2" x14ac:dyDescent="0.25">
      <c r="A292" s="53" t="s">
        <v>43</v>
      </c>
      <c r="B292" s="25" t="s">
        <v>201</v>
      </c>
      <c r="C292" s="53" t="s">
        <v>44</v>
      </c>
      <c r="D292" s="35" t="s">
        <v>372</v>
      </c>
      <c r="E292" s="191">
        <f>E293*E294*0.89</f>
        <v>0.5901506263202031</v>
      </c>
      <c r="F292" s="191"/>
      <c r="G292" s="191"/>
      <c r="H292" s="191"/>
      <c r="I292" s="191"/>
      <c r="J292" s="191"/>
      <c r="K292" s="191"/>
      <c r="L292" s="191"/>
      <c r="M292" s="191"/>
      <c r="N292" s="191"/>
      <c r="O292" s="191"/>
      <c r="P292" s="191"/>
      <c r="Q292" s="191"/>
    </row>
    <row r="293" spans="1:133" ht="31.2" x14ac:dyDescent="0.25">
      <c r="A293" s="70" t="s">
        <v>45</v>
      </c>
      <c r="B293" s="25" t="s">
        <v>201</v>
      </c>
      <c r="C293" s="53" t="s">
        <v>46</v>
      </c>
      <c r="D293" s="35" t="s">
        <v>373</v>
      </c>
      <c r="E293" s="162">
        <v>0.7</v>
      </c>
      <c r="F293" s="163"/>
      <c r="G293" s="163"/>
      <c r="H293" s="163"/>
      <c r="I293" s="163"/>
      <c r="J293" s="163"/>
      <c r="K293" s="163"/>
      <c r="L293" s="163"/>
      <c r="M293" s="163"/>
      <c r="N293" s="163"/>
      <c r="O293" s="163"/>
      <c r="P293" s="163"/>
      <c r="Q293" s="164"/>
    </row>
    <row r="294" spans="1:133" ht="36" customHeight="1" x14ac:dyDescent="0.25">
      <c r="A294" s="70" t="s">
        <v>47</v>
      </c>
      <c r="B294" s="25" t="s">
        <v>37</v>
      </c>
      <c r="C294" s="53" t="s">
        <v>48</v>
      </c>
      <c r="D294" s="35" t="s">
        <v>374</v>
      </c>
      <c r="E294" s="159">
        <f>(F295*F300+G295*G300+H295*H300+I295*I300+J295*J300+K295*K300+L295*L300+M295*M300+N295*N300+O295*O300+P295*P300+Q295*Q300)/(F289*F284*F287+G289*G287*G284+H289*H284*H287+I289*I287*I284+J289*J287*J284+K289*K287*K284+L289*L287*L284+M289*M287*M284+N289*N287*N284+O289*O284*O287+P289*P287*P284+Q289*Q287*Q284)</f>
        <v>0.9472722733871638</v>
      </c>
      <c r="F294" s="160"/>
      <c r="G294" s="160"/>
      <c r="H294" s="160"/>
      <c r="I294" s="160"/>
      <c r="J294" s="160"/>
      <c r="K294" s="160"/>
      <c r="L294" s="160"/>
      <c r="M294" s="160"/>
      <c r="N294" s="160"/>
      <c r="O294" s="160"/>
      <c r="P294" s="160"/>
      <c r="Q294" s="161"/>
    </row>
    <row r="295" spans="1:133" s="9" customFormat="1" ht="46.8" x14ac:dyDescent="0.4">
      <c r="A295" s="71" t="s">
        <v>49</v>
      </c>
      <c r="B295" s="25" t="s">
        <v>37</v>
      </c>
      <c r="C295" s="53" t="s">
        <v>50</v>
      </c>
      <c r="D295" s="53" t="s">
        <v>375</v>
      </c>
      <c r="E295" s="72">
        <f>AVERAGE(F295:Q295)</f>
        <v>0.64054421729664701</v>
      </c>
      <c r="F295" s="72">
        <f>IF(F299&lt;283,0,IF(F299&gt;303,1,EXP(($E$296*(F299-$E$297))/($E$298*$E$297*F299))))</f>
        <v>0.25708890533410012</v>
      </c>
      <c r="G295" s="72">
        <f>IF(G299&lt;283,0,IF(G299&gt;303,1,EXP(($E$296*(G299-$E$297))/($E$298*$E$297*G299))))</f>
        <v>0.37002059672690846</v>
      </c>
      <c r="H295" s="72">
        <f t="shared" ref="H295:Q295" si="40">IF(H299&lt;283,0,IF(H299&gt;303,1,EXP(($E$296*(H299-$E$297))/($E$298*$E$297*H299))))</f>
        <v>0.44226396815696317</v>
      </c>
      <c r="I295" s="72">
        <f t="shared" si="40"/>
        <v>0.57531644493802248</v>
      </c>
      <c r="J295" s="72">
        <f t="shared" si="40"/>
        <v>0.88152221926734242</v>
      </c>
      <c r="K295" s="72">
        <f t="shared" si="40"/>
        <v>0.88152221926734242</v>
      </c>
      <c r="L295" s="72">
        <f t="shared" si="40"/>
        <v>0.95843738031531212</v>
      </c>
      <c r="M295" s="72">
        <f t="shared" si="40"/>
        <v>0.91923925774048054</v>
      </c>
      <c r="N295" s="72">
        <f t="shared" si="40"/>
        <v>1</v>
      </c>
      <c r="O295" s="72">
        <f t="shared" si="40"/>
        <v>0.65487347206548807</v>
      </c>
      <c r="P295" s="72">
        <f t="shared" si="40"/>
        <v>0.42307437878932203</v>
      </c>
      <c r="Q295" s="72">
        <f t="shared" si="40"/>
        <v>0.32317176495848171</v>
      </c>
      <c r="R295" s="78"/>
      <c r="S295" s="78"/>
      <c r="T295" s="78"/>
      <c r="U295" s="78"/>
      <c r="V295" s="78"/>
      <c r="W295" s="78"/>
      <c r="X295" s="78"/>
      <c r="Y295" s="78"/>
      <c r="Z295" s="78"/>
      <c r="AA295" s="78"/>
      <c r="AB295" s="78"/>
      <c r="AC295" s="78"/>
      <c r="AD295" s="78"/>
      <c r="AE295" s="78"/>
      <c r="AF295" s="78"/>
      <c r="AG295" s="78"/>
      <c r="AH295" s="78"/>
      <c r="AI295" s="78"/>
      <c r="AJ295" s="78"/>
      <c r="AK295" s="78"/>
      <c r="AL295" s="78"/>
      <c r="AM295" s="78"/>
      <c r="AN295" s="78"/>
      <c r="AO295" s="78"/>
      <c r="AP295" s="78"/>
      <c r="AQ295" s="78"/>
      <c r="AR295" s="78"/>
      <c r="AS295" s="78"/>
      <c r="AT295" s="78"/>
      <c r="AU295" s="78"/>
      <c r="AV295" s="78"/>
      <c r="AW295" s="78"/>
      <c r="AX295" s="78"/>
      <c r="AY295" s="78"/>
      <c r="AZ295" s="78"/>
      <c r="BA295" s="78"/>
      <c r="BB295" s="78"/>
      <c r="BC295" s="78"/>
      <c r="BD295" s="78"/>
      <c r="BE295" s="78"/>
      <c r="BF295" s="78"/>
      <c r="BG295" s="78"/>
      <c r="BH295" s="78"/>
      <c r="BI295" s="78"/>
      <c r="BJ295" s="78"/>
      <c r="BK295" s="78"/>
      <c r="BL295" s="78"/>
      <c r="BM295" s="78"/>
      <c r="BN295" s="78"/>
      <c r="BO295" s="78"/>
      <c r="BP295" s="78"/>
      <c r="BQ295" s="78"/>
      <c r="BR295" s="78"/>
      <c r="BS295" s="78"/>
      <c r="BT295" s="78"/>
      <c r="BU295" s="78"/>
      <c r="BV295" s="78"/>
      <c r="BW295" s="78"/>
      <c r="BX295" s="78"/>
      <c r="BY295" s="78"/>
      <c r="BZ295" s="78"/>
      <c r="CA295" s="78"/>
      <c r="CB295" s="78"/>
      <c r="CC295" s="78"/>
      <c r="CD295" s="78"/>
      <c r="CE295" s="78"/>
      <c r="CF295" s="78"/>
      <c r="CG295" s="78"/>
      <c r="CH295" s="78"/>
      <c r="CI295" s="78"/>
      <c r="CJ295" s="78"/>
      <c r="CK295" s="78"/>
      <c r="CL295" s="78"/>
      <c r="CM295" s="78"/>
      <c r="CN295" s="78"/>
      <c r="CO295" s="78"/>
      <c r="CP295" s="78"/>
      <c r="CQ295" s="78"/>
      <c r="CR295" s="78"/>
      <c r="CS295" s="78"/>
      <c r="CT295" s="78"/>
      <c r="CU295" s="78"/>
      <c r="CV295" s="78"/>
      <c r="CW295" s="78"/>
      <c r="CX295" s="78"/>
      <c r="CY295" s="78"/>
      <c r="CZ295" s="78"/>
      <c r="DA295" s="78"/>
      <c r="DB295" s="78"/>
      <c r="DC295" s="78"/>
      <c r="DD295" s="78"/>
      <c r="DE295" s="78"/>
      <c r="DF295" s="78"/>
      <c r="DG295" s="78"/>
      <c r="DH295" s="78"/>
      <c r="DI295" s="78"/>
      <c r="DJ295" s="78"/>
      <c r="DK295" s="78"/>
      <c r="DL295" s="78"/>
      <c r="DM295" s="78"/>
      <c r="DN295" s="78"/>
      <c r="DO295" s="78"/>
      <c r="DP295" s="78"/>
      <c r="DQ295" s="78"/>
      <c r="DR295" s="78"/>
      <c r="DS295" s="78"/>
      <c r="DT295" s="78"/>
      <c r="DU295" s="78"/>
      <c r="DV295" s="78"/>
      <c r="DW295" s="78"/>
      <c r="DX295" s="78"/>
      <c r="DY295" s="78"/>
      <c r="DZ295" s="78"/>
      <c r="EA295" s="78"/>
      <c r="EB295" s="78"/>
      <c r="EC295" s="78"/>
    </row>
    <row r="296" spans="1:133" s="9" customFormat="1" x14ac:dyDescent="0.25">
      <c r="A296" s="73" t="s">
        <v>51</v>
      </c>
      <c r="B296" s="60" t="s">
        <v>202</v>
      </c>
      <c r="C296" s="53" t="s">
        <v>53</v>
      </c>
      <c r="D296" s="53" t="s">
        <v>376</v>
      </c>
      <c r="E296" s="162">
        <v>15175</v>
      </c>
      <c r="F296" s="163"/>
      <c r="G296" s="163"/>
      <c r="H296" s="163"/>
      <c r="I296" s="163"/>
      <c r="J296" s="163"/>
      <c r="K296" s="163"/>
      <c r="L296" s="163"/>
      <c r="M296" s="163"/>
      <c r="N296" s="163"/>
      <c r="O296" s="163"/>
      <c r="P296" s="163"/>
      <c r="Q296" s="164"/>
      <c r="R296" s="78"/>
      <c r="S296" s="78"/>
      <c r="T296" s="78"/>
      <c r="U296" s="78"/>
      <c r="V296" s="78"/>
      <c r="W296" s="78"/>
      <c r="X296" s="78"/>
      <c r="Y296" s="78"/>
      <c r="Z296" s="78"/>
      <c r="AA296" s="78"/>
      <c r="AB296" s="78"/>
      <c r="AC296" s="78"/>
      <c r="AD296" s="78"/>
      <c r="AE296" s="78"/>
      <c r="AF296" s="78"/>
      <c r="AG296" s="78"/>
      <c r="AH296" s="78"/>
      <c r="AI296" s="78"/>
      <c r="AJ296" s="78"/>
      <c r="AK296" s="78"/>
      <c r="AL296" s="78"/>
      <c r="AM296" s="78"/>
      <c r="AN296" s="78"/>
      <c r="AO296" s="78"/>
      <c r="AP296" s="78"/>
      <c r="AQ296" s="78"/>
      <c r="AR296" s="78"/>
      <c r="AS296" s="78"/>
      <c r="AT296" s="78"/>
      <c r="AU296" s="78"/>
      <c r="AV296" s="78"/>
      <c r="AW296" s="78"/>
      <c r="AX296" s="78"/>
      <c r="AY296" s="78"/>
      <c r="AZ296" s="78"/>
      <c r="BA296" s="78"/>
      <c r="BB296" s="78"/>
      <c r="BC296" s="78"/>
      <c r="BD296" s="78"/>
      <c r="BE296" s="78"/>
      <c r="BF296" s="78"/>
      <c r="BG296" s="78"/>
      <c r="BH296" s="78"/>
      <c r="BI296" s="78"/>
      <c r="BJ296" s="78"/>
      <c r="BK296" s="78"/>
      <c r="BL296" s="78"/>
      <c r="BM296" s="78"/>
      <c r="BN296" s="78"/>
      <c r="BO296" s="78"/>
      <c r="BP296" s="78"/>
      <c r="BQ296" s="78"/>
      <c r="BR296" s="78"/>
      <c r="BS296" s="78"/>
      <c r="BT296" s="78"/>
      <c r="BU296" s="78"/>
      <c r="BV296" s="78"/>
      <c r="BW296" s="78"/>
      <c r="BX296" s="78"/>
      <c r="BY296" s="78"/>
      <c r="BZ296" s="78"/>
      <c r="CA296" s="78"/>
      <c r="CB296" s="78"/>
      <c r="CC296" s="78"/>
      <c r="CD296" s="78"/>
      <c r="CE296" s="78"/>
      <c r="CF296" s="78"/>
      <c r="CG296" s="78"/>
      <c r="CH296" s="78"/>
      <c r="CI296" s="78"/>
      <c r="CJ296" s="78"/>
      <c r="CK296" s="78"/>
      <c r="CL296" s="78"/>
      <c r="CM296" s="78"/>
      <c r="CN296" s="78"/>
      <c r="CO296" s="78"/>
      <c r="CP296" s="78"/>
      <c r="CQ296" s="78"/>
      <c r="CR296" s="78"/>
      <c r="CS296" s="78"/>
      <c r="CT296" s="78"/>
      <c r="CU296" s="78"/>
      <c r="CV296" s="78"/>
      <c r="CW296" s="78"/>
      <c r="CX296" s="78"/>
      <c r="CY296" s="78"/>
      <c r="CZ296" s="78"/>
      <c r="DA296" s="78"/>
      <c r="DB296" s="78"/>
      <c r="DC296" s="78"/>
      <c r="DD296" s="78"/>
      <c r="DE296" s="78"/>
      <c r="DF296" s="78"/>
      <c r="DG296" s="78"/>
      <c r="DH296" s="78"/>
      <c r="DI296" s="78"/>
      <c r="DJ296" s="78"/>
      <c r="DK296" s="78"/>
      <c r="DL296" s="78"/>
      <c r="DM296" s="78"/>
      <c r="DN296" s="78"/>
      <c r="DO296" s="78"/>
      <c r="DP296" s="78"/>
      <c r="DQ296" s="78"/>
      <c r="DR296" s="78"/>
      <c r="DS296" s="78"/>
      <c r="DT296" s="78"/>
      <c r="DU296" s="78"/>
      <c r="DV296" s="78"/>
      <c r="DW296" s="78"/>
      <c r="DX296" s="78"/>
      <c r="DY296" s="78"/>
      <c r="DZ296" s="78"/>
      <c r="EA296" s="78"/>
      <c r="EB296" s="78"/>
      <c r="EC296" s="78"/>
    </row>
    <row r="297" spans="1:133" s="9" customFormat="1" ht="18" x14ac:dyDescent="0.25">
      <c r="A297" s="73" t="s">
        <v>54</v>
      </c>
      <c r="B297" s="60" t="s">
        <v>203</v>
      </c>
      <c r="C297" s="53" t="s">
        <v>56</v>
      </c>
      <c r="D297" s="53" t="s">
        <v>376</v>
      </c>
      <c r="E297" s="162">
        <v>303.16000000000003</v>
      </c>
      <c r="F297" s="163"/>
      <c r="G297" s="163"/>
      <c r="H297" s="163"/>
      <c r="I297" s="163"/>
      <c r="J297" s="163"/>
      <c r="K297" s="163"/>
      <c r="L297" s="163"/>
      <c r="M297" s="163"/>
      <c r="N297" s="163"/>
      <c r="O297" s="163"/>
      <c r="P297" s="163"/>
      <c r="Q297" s="164"/>
      <c r="R297" s="78"/>
      <c r="S297" s="78"/>
      <c r="T297" s="78"/>
      <c r="U297" s="78"/>
      <c r="V297" s="78"/>
      <c r="W297" s="78"/>
      <c r="X297" s="78"/>
      <c r="Y297" s="78"/>
      <c r="Z297" s="78"/>
      <c r="AA297" s="78"/>
      <c r="AB297" s="78"/>
      <c r="AC297" s="78"/>
      <c r="AD297" s="78"/>
      <c r="AE297" s="78"/>
      <c r="AF297" s="78"/>
      <c r="AG297" s="78"/>
      <c r="AH297" s="78"/>
      <c r="AI297" s="78"/>
      <c r="AJ297" s="78"/>
      <c r="AK297" s="78"/>
      <c r="AL297" s="78"/>
      <c r="AM297" s="78"/>
      <c r="AN297" s="78"/>
      <c r="AO297" s="78"/>
      <c r="AP297" s="78"/>
      <c r="AQ297" s="78"/>
      <c r="AR297" s="78"/>
      <c r="AS297" s="78"/>
      <c r="AT297" s="78"/>
      <c r="AU297" s="78"/>
      <c r="AV297" s="78"/>
      <c r="AW297" s="78"/>
      <c r="AX297" s="78"/>
      <c r="AY297" s="78"/>
      <c r="AZ297" s="78"/>
      <c r="BA297" s="78"/>
      <c r="BB297" s="78"/>
      <c r="BC297" s="78"/>
      <c r="BD297" s="78"/>
      <c r="BE297" s="78"/>
      <c r="BF297" s="78"/>
      <c r="BG297" s="78"/>
      <c r="BH297" s="78"/>
      <c r="BI297" s="78"/>
      <c r="BJ297" s="78"/>
      <c r="BK297" s="78"/>
      <c r="BL297" s="78"/>
      <c r="BM297" s="78"/>
      <c r="BN297" s="78"/>
      <c r="BO297" s="78"/>
      <c r="BP297" s="78"/>
      <c r="BQ297" s="78"/>
      <c r="BR297" s="78"/>
      <c r="BS297" s="78"/>
      <c r="BT297" s="78"/>
      <c r="BU297" s="78"/>
      <c r="BV297" s="78"/>
      <c r="BW297" s="78"/>
      <c r="BX297" s="78"/>
      <c r="BY297" s="78"/>
      <c r="BZ297" s="78"/>
      <c r="CA297" s="78"/>
      <c r="CB297" s="78"/>
      <c r="CC297" s="78"/>
      <c r="CD297" s="78"/>
      <c r="CE297" s="78"/>
      <c r="CF297" s="78"/>
      <c r="CG297" s="78"/>
      <c r="CH297" s="78"/>
      <c r="CI297" s="78"/>
      <c r="CJ297" s="78"/>
      <c r="CK297" s="78"/>
      <c r="CL297" s="78"/>
      <c r="CM297" s="78"/>
      <c r="CN297" s="78"/>
      <c r="CO297" s="78"/>
      <c r="CP297" s="78"/>
      <c r="CQ297" s="78"/>
      <c r="CR297" s="78"/>
      <c r="CS297" s="78"/>
      <c r="CT297" s="78"/>
      <c r="CU297" s="78"/>
      <c r="CV297" s="78"/>
      <c r="CW297" s="78"/>
      <c r="CX297" s="78"/>
      <c r="CY297" s="78"/>
      <c r="CZ297" s="78"/>
      <c r="DA297" s="78"/>
      <c r="DB297" s="78"/>
      <c r="DC297" s="78"/>
      <c r="DD297" s="78"/>
      <c r="DE297" s="78"/>
      <c r="DF297" s="78"/>
      <c r="DG297" s="78"/>
      <c r="DH297" s="78"/>
      <c r="DI297" s="78"/>
      <c r="DJ297" s="78"/>
      <c r="DK297" s="78"/>
      <c r="DL297" s="78"/>
      <c r="DM297" s="78"/>
      <c r="DN297" s="78"/>
      <c r="DO297" s="78"/>
      <c r="DP297" s="78"/>
      <c r="DQ297" s="78"/>
      <c r="DR297" s="78"/>
      <c r="DS297" s="78"/>
      <c r="DT297" s="78"/>
      <c r="DU297" s="78"/>
      <c r="DV297" s="78"/>
      <c r="DW297" s="78"/>
      <c r="DX297" s="78"/>
      <c r="DY297" s="78"/>
      <c r="DZ297" s="78"/>
      <c r="EA297" s="78"/>
      <c r="EB297" s="78"/>
      <c r="EC297" s="78"/>
    </row>
    <row r="298" spans="1:133" s="9" customFormat="1" x14ac:dyDescent="0.25">
      <c r="A298" s="73" t="s">
        <v>57</v>
      </c>
      <c r="B298" s="60" t="s">
        <v>204</v>
      </c>
      <c r="C298" s="53" t="s">
        <v>59</v>
      </c>
      <c r="D298" s="53" t="s">
        <v>376</v>
      </c>
      <c r="E298" s="162">
        <v>1.9870000000000001</v>
      </c>
      <c r="F298" s="163"/>
      <c r="G298" s="163"/>
      <c r="H298" s="163"/>
      <c r="I298" s="163"/>
      <c r="J298" s="163"/>
      <c r="K298" s="163"/>
      <c r="L298" s="163"/>
      <c r="M298" s="163"/>
      <c r="N298" s="163"/>
      <c r="O298" s="163"/>
      <c r="P298" s="163"/>
      <c r="Q298" s="164"/>
      <c r="R298" s="78"/>
      <c r="S298" s="78"/>
      <c r="T298" s="78"/>
      <c r="U298" s="78"/>
      <c r="V298" s="78"/>
      <c r="W298" s="78"/>
      <c r="X298" s="78"/>
      <c r="Y298" s="78"/>
      <c r="Z298" s="78"/>
      <c r="AA298" s="78"/>
      <c r="AB298" s="78"/>
      <c r="AC298" s="78"/>
      <c r="AD298" s="78"/>
      <c r="AE298" s="78"/>
      <c r="AF298" s="78"/>
      <c r="AG298" s="78"/>
      <c r="AH298" s="78"/>
      <c r="AI298" s="78"/>
      <c r="AJ298" s="78"/>
      <c r="AK298" s="78"/>
      <c r="AL298" s="78"/>
      <c r="AM298" s="78"/>
      <c r="AN298" s="78"/>
      <c r="AO298" s="78"/>
      <c r="AP298" s="78"/>
      <c r="AQ298" s="78"/>
      <c r="AR298" s="78"/>
      <c r="AS298" s="78"/>
      <c r="AT298" s="78"/>
      <c r="AU298" s="78"/>
      <c r="AV298" s="78"/>
      <c r="AW298" s="78"/>
      <c r="AX298" s="78"/>
      <c r="AY298" s="78"/>
      <c r="AZ298" s="78"/>
      <c r="BA298" s="78"/>
      <c r="BB298" s="78"/>
      <c r="BC298" s="78"/>
      <c r="BD298" s="78"/>
      <c r="BE298" s="78"/>
      <c r="BF298" s="78"/>
      <c r="BG298" s="78"/>
      <c r="BH298" s="78"/>
      <c r="BI298" s="78"/>
      <c r="BJ298" s="78"/>
      <c r="BK298" s="78"/>
      <c r="BL298" s="78"/>
      <c r="BM298" s="78"/>
      <c r="BN298" s="78"/>
      <c r="BO298" s="78"/>
      <c r="BP298" s="78"/>
      <c r="BQ298" s="78"/>
      <c r="BR298" s="78"/>
      <c r="BS298" s="78"/>
      <c r="BT298" s="78"/>
      <c r="BU298" s="78"/>
      <c r="BV298" s="78"/>
      <c r="BW298" s="78"/>
      <c r="BX298" s="78"/>
      <c r="BY298" s="78"/>
      <c r="BZ298" s="78"/>
      <c r="CA298" s="78"/>
      <c r="CB298" s="78"/>
      <c r="CC298" s="78"/>
      <c r="CD298" s="78"/>
      <c r="CE298" s="78"/>
      <c r="CF298" s="78"/>
      <c r="CG298" s="78"/>
      <c r="CH298" s="78"/>
      <c r="CI298" s="78"/>
      <c r="CJ298" s="78"/>
      <c r="CK298" s="78"/>
      <c r="CL298" s="78"/>
      <c r="CM298" s="78"/>
      <c r="CN298" s="78"/>
      <c r="CO298" s="78"/>
      <c r="CP298" s="78"/>
      <c r="CQ298" s="78"/>
      <c r="CR298" s="78"/>
      <c r="CS298" s="78"/>
      <c r="CT298" s="78"/>
      <c r="CU298" s="78"/>
      <c r="CV298" s="78"/>
      <c r="CW298" s="78"/>
      <c r="CX298" s="78"/>
      <c r="CY298" s="78"/>
      <c r="CZ298" s="78"/>
      <c r="DA298" s="78"/>
      <c r="DB298" s="78"/>
      <c r="DC298" s="78"/>
      <c r="DD298" s="78"/>
      <c r="DE298" s="78"/>
      <c r="DF298" s="78"/>
      <c r="DG298" s="78"/>
      <c r="DH298" s="78"/>
      <c r="DI298" s="78"/>
      <c r="DJ298" s="78"/>
      <c r="DK298" s="78"/>
      <c r="DL298" s="78"/>
      <c r="DM298" s="78"/>
      <c r="DN298" s="78"/>
      <c r="DO298" s="78"/>
      <c r="DP298" s="78"/>
      <c r="DQ298" s="78"/>
      <c r="DR298" s="78"/>
      <c r="DS298" s="78"/>
      <c r="DT298" s="78"/>
      <c r="DU298" s="78"/>
      <c r="DV298" s="78"/>
      <c r="DW298" s="78"/>
      <c r="DX298" s="78"/>
      <c r="DY298" s="78"/>
      <c r="DZ298" s="78"/>
      <c r="EA298" s="78"/>
      <c r="EB298" s="78"/>
      <c r="EC298" s="78"/>
    </row>
    <row r="299" spans="1:133" s="9" customFormat="1" ht="31.2" x14ac:dyDescent="0.25">
      <c r="A299" s="73" t="s">
        <v>60</v>
      </c>
      <c r="B299" s="60" t="s">
        <v>203</v>
      </c>
      <c r="C299" s="53" t="s">
        <v>61</v>
      </c>
      <c r="D299" s="143" t="s">
        <v>363</v>
      </c>
      <c r="E299" s="98">
        <f>AVERAGE(F299:Q299)</f>
        <v>296.85833333333341</v>
      </c>
      <c r="F299" s="60">
        <v>287.64999999999998</v>
      </c>
      <c r="G299" s="60">
        <v>291.64999999999998</v>
      </c>
      <c r="H299" s="60">
        <v>293.64999999999998</v>
      </c>
      <c r="I299" s="60">
        <v>296.64999999999998</v>
      </c>
      <c r="J299" s="60">
        <v>301.64999999999998</v>
      </c>
      <c r="K299" s="60">
        <v>301.64999999999998</v>
      </c>
      <c r="L299" s="60">
        <v>302.64999999999998</v>
      </c>
      <c r="M299" s="60">
        <v>302.14999999999998</v>
      </c>
      <c r="N299" s="60">
        <v>303.14999999999998</v>
      </c>
      <c r="O299" s="60">
        <v>298.14999999999998</v>
      </c>
      <c r="P299" s="60">
        <v>293.14999999999998</v>
      </c>
      <c r="Q299" s="60">
        <v>290.14999999999998</v>
      </c>
      <c r="R299" s="78"/>
      <c r="S299" s="78"/>
      <c r="T299" s="78"/>
      <c r="U299" s="78"/>
      <c r="V299" s="78"/>
      <c r="W299" s="78"/>
      <c r="X299" s="78"/>
      <c r="Y299" s="78"/>
      <c r="Z299" s="78"/>
      <c r="AA299" s="78"/>
      <c r="AB299" s="78"/>
      <c r="AC299" s="78"/>
      <c r="AD299" s="78"/>
      <c r="AE299" s="78"/>
      <c r="AF299" s="78"/>
      <c r="AG299" s="78"/>
      <c r="AH299" s="78"/>
      <c r="AI299" s="78"/>
      <c r="AJ299" s="78"/>
      <c r="AK299" s="78"/>
      <c r="AL299" s="78"/>
      <c r="AM299" s="78"/>
      <c r="AN299" s="78"/>
      <c r="AO299" s="78"/>
      <c r="AP299" s="78"/>
      <c r="AQ299" s="78"/>
      <c r="AR299" s="78"/>
      <c r="AS299" s="78"/>
      <c r="AT299" s="78"/>
      <c r="AU299" s="78"/>
      <c r="AV299" s="78"/>
      <c r="AW299" s="78"/>
      <c r="AX299" s="78"/>
      <c r="AY299" s="78"/>
      <c r="AZ299" s="78"/>
      <c r="BA299" s="78"/>
      <c r="BB299" s="78"/>
      <c r="BC299" s="78"/>
      <c r="BD299" s="78"/>
      <c r="BE299" s="78"/>
      <c r="BF299" s="78"/>
      <c r="BG299" s="78"/>
      <c r="BH299" s="78"/>
      <c r="BI299" s="78"/>
      <c r="BJ299" s="78"/>
      <c r="BK299" s="78"/>
      <c r="BL299" s="78"/>
      <c r="BM299" s="78"/>
      <c r="BN299" s="78"/>
      <c r="BO299" s="78"/>
      <c r="BP299" s="78"/>
      <c r="BQ299" s="78"/>
      <c r="BR299" s="78"/>
      <c r="BS299" s="78"/>
      <c r="BT299" s="78"/>
      <c r="BU299" s="78"/>
      <c r="BV299" s="78"/>
      <c r="BW299" s="78"/>
      <c r="BX299" s="78"/>
      <c r="BY299" s="78"/>
      <c r="BZ299" s="78"/>
      <c r="CA299" s="78"/>
      <c r="CB299" s="78"/>
      <c r="CC299" s="78"/>
      <c r="CD299" s="78"/>
      <c r="CE299" s="78"/>
      <c r="CF299" s="78"/>
      <c r="CG299" s="78"/>
      <c r="CH299" s="78"/>
      <c r="CI299" s="78"/>
      <c r="CJ299" s="78"/>
      <c r="CK299" s="78"/>
      <c r="CL299" s="78"/>
      <c r="CM299" s="78"/>
      <c r="CN299" s="78"/>
      <c r="CO299" s="78"/>
      <c r="CP299" s="78"/>
      <c r="CQ299" s="78"/>
      <c r="CR299" s="78"/>
      <c r="CS299" s="78"/>
      <c r="CT299" s="78"/>
      <c r="CU299" s="78"/>
      <c r="CV299" s="78"/>
      <c r="CW299" s="78"/>
      <c r="CX299" s="78"/>
      <c r="CY299" s="78"/>
      <c r="CZ299" s="78"/>
      <c r="DA299" s="78"/>
      <c r="DB299" s="78"/>
      <c r="DC299" s="78"/>
      <c r="DD299" s="78"/>
      <c r="DE299" s="78"/>
      <c r="DF299" s="78"/>
      <c r="DG299" s="78"/>
      <c r="DH299" s="78"/>
      <c r="DI299" s="78"/>
      <c r="DJ299" s="78"/>
      <c r="DK299" s="78"/>
      <c r="DL299" s="78"/>
      <c r="DM299" s="78"/>
      <c r="DN299" s="78"/>
      <c r="DO299" s="78"/>
      <c r="DP299" s="78"/>
      <c r="DQ299" s="78"/>
      <c r="DR299" s="78"/>
      <c r="DS299" s="78"/>
      <c r="DT299" s="78"/>
      <c r="DU299" s="78"/>
      <c r="DV299" s="78"/>
      <c r="DW299" s="78"/>
      <c r="DX299" s="78"/>
      <c r="DY299" s="78"/>
      <c r="DZ299" s="78"/>
      <c r="EA299" s="78"/>
      <c r="EB299" s="78"/>
      <c r="EC299" s="78"/>
    </row>
    <row r="300" spans="1:133" s="9" customFormat="1" ht="31.2" x14ac:dyDescent="0.4">
      <c r="A300" s="71" t="s">
        <v>62</v>
      </c>
      <c r="B300" s="60" t="s">
        <v>196</v>
      </c>
      <c r="C300" s="53" t="s">
        <v>63</v>
      </c>
      <c r="D300" s="53" t="s">
        <v>377</v>
      </c>
      <c r="E300" s="74">
        <f>SUM(F300:Q300)</f>
        <v>2129.3444725798786</v>
      </c>
      <c r="F300" s="74">
        <f>F289*F284*F287+(1-F295)*'Baseline Emissions 2020'!Q300</f>
        <v>266.20060102660091</v>
      </c>
      <c r="G300" s="74">
        <f t="shared" ref="G300:Q300" si="41">G289*G284*G287+(1-G295)*F300</f>
        <v>262.30776780269423</v>
      </c>
      <c r="H300" s="74">
        <f t="shared" si="41"/>
        <v>251.15120902601535</v>
      </c>
      <c r="I300" s="74">
        <f t="shared" si="41"/>
        <v>208.07464474593735</v>
      </c>
      <c r="J300" s="74">
        <f t="shared" si="41"/>
        <v>134.04065456231808</v>
      </c>
      <c r="K300" s="74">
        <f t="shared" si="41"/>
        <v>117.10800274235397</v>
      </c>
      <c r="L300" s="74">
        <f t="shared" si="41"/>
        <v>109.44550391570122</v>
      </c>
      <c r="M300" s="74">
        <f t="shared" si="41"/>
        <v>113.3785620153017</v>
      </c>
      <c r="N300" s="74">
        <f>N289*N284*N287+(1-N295)*0</f>
        <v>105.7816557705043</v>
      </c>
      <c r="O300" s="74">
        <f t="shared" si="41"/>
        <v>145.82165272196676</v>
      </c>
      <c r="P300" s="74">
        <f t="shared" si="41"/>
        <v>185.61414265846872</v>
      </c>
      <c r="Q300" s="74">
        <f t="shared" si="41"/>
        <v>230.42007559201554</v>
      </c>
      <c r="R300" s="78"/>
      <c r="S300" s="78"/>
      <c r="T300" s="78"/>
      <c r="U300" s="78"/>
      <c r="V300" s="78"/>
      <c r="W300" s="78"/>
      <c r="X300" s="78"/>
      <c r="Y300" s="78"/>
      <c r="Z300" s="78"/>
      <c r="AA300" s="78"/>
      <c r="AB300" s="78"/>
      <c r="AC300" s="78"/>
      <c r="AD300" s="78"/>
      <c r="AE300" s="78"/>
      <c r="AF300" s="78"/>
      <c r="AG300" s="78"/>
      <c r="AH300" s="78"/>
      <c r="AI300" s="78"/>
      <c r="AJ300" s="78"/>
      <c r="AK300" s="78"/>
      <c r="AL300" s="78"/>
      <c r="AM300" s="78"/>
      <c r="AN300" s="78"/>
      <c r="AO300" s="78"/>
      <c r="AP300" s="78"/>
      <c r="AQ300" s="78"/>
      <c r="AR300" s="78"/>
      <c r="AS300" s="78"/>
      <c r="AT300" s="78"/>
      <c r="AU300" s="78"/>
      <c r="AV300" s="78"/>
      <c r="AW300" s="78"/>
      <c r="AX300" s="78"/>
      <c r="AY300" s="78"/>
      <c r="AZ300" s="78"/>
      <c r="BA300" s="78"/>
      <c r="BB300" s="78"/>
      <c r="BC300" s="78"/>
      <c r="BD300" s="78"/>
      <c r="BE300" s="78"/>
      <c r="BF300" s="78"/>
      <c r="BG300" s="78"/>
      <c r="BH300" s="78"/>
      <c r="BI300" s="78"/>
      <c r="BJ300" s="78"/>
      <c r="BK300" s="78"/>
      <c r="BL300" s="78"/>
      <c r="BM300" s="78"/>
      <c r="BN300" s="78"/>
      <c r="BO300" s="78"/>
      <c r="BP300" s="78"/>
      <c r="BQ300" s="78"/>
      <c r="BR300" s="78"/>
      <c r="BS300" s="78"/>
      <c r="BT300" s="78"/>
      <c r="BU300" s="78"/>
      <c r="BV300" s="78"/>
      <c r="BW300" s="78"/>
      <c r="BX300" s="78"/>
      <c r="BY300" s="78"/>
      <c r="BZ300" s="78"/>
      <c r="CA300" s="78"/>
      <c r="CB300" s="78"/>
      <c r="CC300" s="78"/>
      <c r="CD300" s="78"/>
      <c r="CE300" s="78"/>
      <c r="CF300" s="78"/>
      <c r="CG300" s="78"/>
      <c r="CH300" s="78"/>
      <c r="CI300" s="78"/>
      <c r="CJ300" s="78"/>
      <c r="CK300" s="78"/>
      <c r="CL300" s="78"/>
      <c r="CM300" s="78"/>
      <c r="CN300" s="78"/>
      <c r="CO300" s="78"/>
      <c r="CP300" s="78"/>
      <c r="CQ300" s="78"/>
      <c r="CR300" s="78"/>
      <c r="CS300" s="78"/>
      <c r="CT300" s="78"/>
      <c r="CU300" s="78"/>
      <c r="CV300" s="78"/>
      <c r="CW300" s="78"/>
      <c r="CX300" s="78"/>
      <c r="CY300" s="78"/>
      <c r="CZ300" s="78"/>
      <c r="DA300" s="78"/>
      <c r="DB300" s="78"/>
      <c r="DC300" s="78"/>
      <c r="DD300" s="78"/>
      <c r="DE300" s="78"/>
      <c r="DF300" s="78"/>
      <c r="DG300" s="78"/>
      <c r="DH300" s="78"/>
      <c r="DI300" s="78"/>
      <c r="DJ300" s="78"/>
      <c r="DK300" s="78"/>
      <c r="DL300" s="78"/>
      <c r="DM300" s="78"/>
      <c r="DN300" s="78"/>
      <c r="DO300" s="78"/>
      <c r="DP300" s="78"/>
      <c r="DQ300" s="78"/>
      <c r="DR300" s="78"/>
      <c r="DS300" s="78"/>
      <c r="DT300" s="78"/>
      <c r="DU300" s="78"/>
      <c r="DV300" s="78"/>
      <c r="DW300" s="78"/>
      <c r="DX300" s="78"/>
      <c r="DY300" s="78"/>
      <c r="DZ300" s="78"/>
      <c r="EA300" s="78"/>
      <c r="EB300" s="78"/>
      <c r="EC300" s="78"/>
    </row>
    <row r="302" spans="1:133" x14ac:dyDescent="0.25">
      <c r="A302" s="158" t="s">
        <v>64</v>
      </c>
      <c r="B302" s="158"/>
      <c r="C302" s="158"/>
      <c r="D302" s="158"/>
      <c r="E302" s="158"/>
    </row>
    <row r="303" spans="1:133" x14ac:dyDescent="0.25">
      <c r="A303" s="57" t="s">
        <v>8</v>
      </c>
      <c r="B303" s="58" t="s">
        <v>9</v>
      </c>
      <c r="C303" s="34" t="s">
        <v>10</v>
      </c>
      <c r="D303" s="34" t="s">
        <v>340</v>
      </c>
      <c r="E303" s="16" t="s">
        <v>65</v>
      </c>
    </row>
    <row r="304" spans="1:133" s="13" customFormat="1" ht="46.8" x14ac:dyDescent="0.25">
      <c r="A304" s="59" t="s">
        <v>66</v>
      </c>
      <c r="B304" s="60" t="s">
        <v>14</v>
      </c>
      <c r="C304" s="53" t="s">
        <v>67</v>
      </c>
      <c r="D304" s="53" t="s">
        <v>68</v>
      </c>
      <c r="E304" s="75">
        <v>0</v>
      </c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F304" s="14"/>
      <c r="AG304" s="14"/>
      <c r="AH304" s="14"/>
      <c r="AI304" s="14"/>
      <c r="AJ304" s="14"/>
      <c r="AK304" s="14"/>
      <c r="AL304" s="14"/>
      <c r="AM304" s="14"/>
      <c r="AN304" s="14"/>
      <c r="AO304" s="14"/>
      <c r="AP304" s="14"/>
      <c r="AQ304" s="14"/>
      <c r="AR304" s="14"/>
      <c r="AS304" s="14"/>
      <c r="AT304" s="14"/>
      <c r="AU304" s="14"/>
      <c r="AV304" s="14"/>
      <c r="AW304" s="14"/>
      <c r="AX304" s="14"/>
      <c r="AY304" s="14"/>
      <c r="AZ304" s="14"/>
      <c r="BA304" s="14"/>
      <c r="BB304" s="14"/>
      <c r="BC304" s="14"/>
      <c r="BD304" s="14"/>
      <c r="BE304" s="14"/>
      <c r="BF304" s="14"/>
      <c r="BG304" s="14"/>
      <c r="BH304" s="14"/>
      <c r="BI304" s="14"/>
      <c r="BJ304" s="14"/>
      <c r="BK304" s="14"/>
      <c r="BL304" s="14"/>
      <c r="BM304" s="14"/>
      <c r="BN304" s="14"/>
      <c r="BO304" s="14"/>
      <c r="BP304" s="14"/>
      <c r="BQ304" s="14"/>
      <c r="BR304" s="14"/>
      <c r="BS304" s="14"/>
      <c r="BT304" s="14"/>
      <c r="BU304" s="14"/>
      <c r="BV304" s="14"/>
      <c r="BW304" s="14"/>
      <c r="BX304" s="14"/>
      <c r="BY304" s="14"/>
      <c r="BZ304" s="14"/>
      <c r="CA304" s="14"/>
      <c r="CB304" s="14"/>
      <c r="CC304" s="14"/>
      <c r="CD304" s="14"/>
      <c r="CE304" s="14"/>
      <c r="CF304" s="14"/>
      <c r="CG304" s="14"/>
      <c r="CH304" s="14"/>
      <c r="CI304" s="14"/>
      <c r="CJ304" s="14"/>
      <c r="CK304" s="14"/>
      <c r="CL304" s="14"/>
      <c r="CM304" s="14"/>
      <c r="CN304" s="14"/>
      <c r="CO304" s="14"/>
      <c r="CP304" s="14"/>
      <c r="CQ304" s="14"/>
      <c r="CR304" s="14"/>
      <c r="CS304" s="14"/>
      <c r="CT304" s="14"/>
      <c r="CU304" s="14"/>
      <c r="CV304" s="14"/>
      <c r="CW304" s="14"/>
      <c r="CX304" s="14"/>
      <c r="CY304" s="14"/>
      <c r="CZ304" s="14"/>
      <c r="DA304" s="14"/>
      <c r="DB304" s="14"/>
      <c r="DC304" s="14"/>
      <c r="DD304" s="14"/>
      <c r="DE304" s="14"/>
      <c r="DF304" s="14"/>
      <c r="DG304" s="14"/>
      <c r="DH304" s="14"/>
      <c r="DI304" s="14"/>
      <c r="DJ304" s="14"/>
      <c r="DK304" s="14"/>
      <c r="DL304" s="14"/>
      <c r="DM304" s="14"/>
      <c r="DN304" s="14"/>
      <c r="DO304" s="14"/>
      <c r="DP304" s="14"/>
      <c r="DQ304" s="14"/>
      <c r="DR304" s="14"/>
      <c r="DS304" s="14"/>
      <c r="DT304" s="14"/>
      <c r="DU304" s="14"/>
      <c r="DV304" s="14"/>
      <c r="DW304" s="14"/>
      <c r="DX304" s="14"/>
      <c r="DY304" s="14"/>
      <c r="DZ304" s="14"/>
      <c r="EA304" s="14"/>
      <c r="EB304" s="14"/>
      <c r="EC304" s="14"/>
    </row>
    <row r="305" spans="1:133" s="13" customFormat="1" ht="46.8" x14ac:dyDescent="0.25">
      <c r="A305" s="63" t="s">
        <v>69</v>
      </c>
      <c r="B305" s="25" t="s">
        <v>70</v>
      </c>
      <c r="C305" s="35" t="s">
        <v>71</v>
      </c>
      <c r="D305" s="53" t="str">
        <f>D311</f>
        <v>Historical data on site in the FSR (It was calculated with conservative value)</v>
      </c>
      <c r="E305" s="74">
        <f>E311</f>
        <v>579.02745576897803</v>
      </c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  <c r="AG305" s="14"/>
      <c r="AH305" s="14"/>
      <c r="AI305" s="14"/>
      <c r="AJ305" s="14"/>
      <c r="AK305" s="14"/>
      <c r="AL305" s="14"/>
      <c r="AM305" s="14"/>
      <c r="AN305" s="14"/>
      <c r="AO305" s="14"/>
      <c r="AP305" s="14"/>
      <c r="AQ305" s="14"/>
      <c r="AR305" s="14"/>
      <c r="AS305" s="14"/>
      <c r="AT305" s="14"/>
      <c r="AU305" s="14"/>
      <c r="AV305" s="14"/>
      <c r="AW305" s="14"/>
      <c r="AX305" s="14"/>
      <c r="AY305" s="14"/>
      <c r="AZ305" s="14"/>
      <c r="BA305" s="14"/>
      <c r="BB305" s="14"/>
      <c r="BC305" s="14"/>
      <c r="BD305" s="14"/>
      <c r="BE305" s="14"/>
      <c r="BF305" s="14"/>
      <c r="BG305" s="14"/>
      <c r="BH305" s="14"/>
      <c r="BI305" s="14"/>
      <c r="BJ305" s="14"/>
      <c r="BK305" s="14"/>
      <c r="BL305" s="14"/>
      <c r="BM305" s="14"/>
      <c r="BN305" s="14"/>
      <c r="BO305" s="14"/>
      <c r="BP305" s="14"/>
      <c r="BQ305" s="14"/>
      <c r="BR305" s="14"/>
      <c r="BS305" s="14"/>
      <c r="BT305" s="14"/>
      <c r="BU305" s="14"/>
      <c r="BV305" s="14"/>
      <c r="BW305" s="14"/>
      <c r="BX305" s="14"/>
      <c r="BY305" s="14"/>
      <c r="BZ305" s="14"/>
      <c r="CA305" s="14"/>
      <c r="CB305" s="14"/>
      <c r="CC305" s="14"/>
      <c r="CD305" s="14"/>
      <c r="CE305" s="14"/>
      <c r="CF305" s="14"/>
      <c r="CG305" s="14"/>
      <c r="CH305" s="14"/>
      <c r="CI305" s="14"/>
      <c r="CJ305" s="14"/>
      <c r="CK305" s="14"/>
      <c r="CL305" s="14"/>
      <c r="CM305" s="14"/>
      <c r="CN305" s="14"/>
      <c r="CO305" s="14"/>
      <c r="CP305" s="14"/>
      <c r="CQ305" s="14"/>
      <c r="CR305" s="14"/>
      <c r="CS305" s="14"/>
      <c r="CT305" s="14"/>
      <c r="CU305" s="14"/>
      <c r="CV305" s="14"/>
      <c r="CW305" s="14"/>
      <c r="CX305" s="14"/>
      <c r="CY305" s="14"/>
      <c r="CZ305" s="14"/>
      <c r="DA305" s="14"/>
      <c r="DB305" s="14"/>
      <c r="DC305" s="14"/>
      <c r="DD305" s="14"/>
      <c r="DE305" s="14"/>
      <c r="DF305" s="14"/>
      <c r="DG305" s="14"/>
      <c r="DH305" s="14"/>
      <c r="DI305" s="14"/>
      <c r="DJ305" s="14"/>
      <c r="DK305" s="14"/>
      <c r="DL305" s="14"/>
      <c r="DM305" s="14"/>
      <c r="DN305" s="14"/>
      <c r="DO305" s="14"/>
      <c r="DP305" s="14"/>
      <c r="DQ305" s="14"/>
      <c r="DR305" s="14"/>
      <c r="DS305" s="14"/>
      <c r="DT305" s="14"/>
      <c r="DU305" s="14"/>
      <c r="DV305" s="14"/>
      <c r="DW305" s="14"/>
      <c r="DX305" s="14"/>
      <c r="DY305" s="14"/>
      <c r="DZ305" s="14"/>
      <c r="EA305" s="14"/>
      <c r="EB305" s="14"/>
      <c r="EC305" s="14"/>
    </row>
    <row r="306" spans="1:133" s="13" customFormat="1" x14ac:dyDescent="0.25">
      <c r="A306" s="14"/>
      <c r="C306" s="12"/>
      <c r="D306" s="12"/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F306" s="14"/>
      <c r="AG306" s="14"/>
      <c r="AH306" s="14"/>
      <c r="AI306" s="14"/>
      <c r="AJ306" s="14"/>
      <c r="AK306" s="14"/>
      <c r="AL306" s="14"/>
      <c r="AM306" s="14"/>
      <c r="AN306" s="14"/>
      <c r="AO306" s="14"/>
      <c r="AP306" s="14"/>
      <c r="AQ306" s="14"/>
      <c r="AR306" s="14"/>
      <c r="AS306" s="14"/>
      <c r="AT306" s="14"/>
      <c r="AU306" s="14"/>
      <c r="AV306" s="14"/>
      <c r="AW306" s="14"/>
      <c r="AX306" s="14"/>
      <c r="AY306" s="14"/>
      <c r="AZ306" s="14"/>
      <c r="BA306" s="14"/>
      <c r="BB306" s="14"/>
      <c r="BC306" s="14"/>
      <c r="BD306" s="14"/>
      <c r="BE306" s="14"/>
      <c r="BF306" s="14"/>
      <c r="BG306" s="14"/>
      <c r="BH306" s="14"/>
      <c r="BI306" s="14"/>
      <c r="BJ306" s="14"/>
      <c r="BK306" s="14"/>
      <c r="BL306" s="14"/>
      <c r="BM306" s="14"/>
      <c r="BN306" s="14"/>
      <c r="BO306" s="14"/>
      <c r="BP306" s="14"/>
      <c r="BQ306" s="14"/>
      <c r="BR306" s="14"/>
      <c r="BS306" s="14"/>
      <c r="BT306" s="14"/>
      <c r="BU306" s="14"/>
      <c r="BV306" s="14"/>
      <c r="BW306" s="14"/>
      <c r="BX306" s="14"/>
      <c r="BY306" s="14"/>
      <c r="BZ306" s="14"/>
      <c r="CA306" s="14"/>
      <c r="CB306" s="14"/>
      <c r="CC306" s="14"/>
      <c r="CD306" s="14"/>
      <c r="CE306" s="14"/>
      <c r="CF306" s="14"/>
      <c r="CG306" s="14"/>
      <c r="CH306" s="14"/>
      <c r="CI306" s="14"/>
      <c r="CJ306" s="14"/>
      <c r="CK306" s="14"/>
      <c r="CL306" s="14"/>
      <c r="CM306" s="14"/>
      <c r="CN306" s="14"/>
      <c r="CO306" s="14"/>
      <c r="CP306" s="14"/>
      <c r="CQ306" s="14"/>
      <c r="CR306" s="14"/>
      <c r="CS306" s="14"/>
      <c r="CT306" s="14"/>
      <c r="CU306" s="14"/>
      <c r="CV306" s="14"/>
      <c r="CW306" s="14"/>
      <c r="CX306" s="14"/>
      <c r="CY306" s="14"/>
      <c r="CZ306" s="14"/>
      <c r="DA306" s="14"/>
      <c r="DB306" s="14"/>
      <c r="DC306" s="14"/>
      <c r="DD306" s="14"/>
      <c r="DE306" s="14"/>
      <c r="DF306" s="14"/>
      <c r="DG306" s="14"/>
      <c r="DH306" s="14"/>
      <c r="DI306" s="14"/>
      <c r="DJ306" s="14"/>
      <c r="DK306" s="14"/>
      <c r="DL306" s="14"/>
      <c r="DM306" s="14"/>
      <c r="DN306" s="14"/>
      <c r="DO306" s="14"/>
      <c r="DP306" s="14"/>
      <c r="DQ306" s="14"/>
      <c r="DR306" s="14"/>
      <c r="DS306" s="14"/>
      <c r="DT306" s="14"/>
      <c r="DU306" s="14"/>
      <c r="DV306" s="14"/>
      <c r="DW306" s="14"/>
      <c r="DX306" s="14"/>
      <c r="DY306" s="14"/>
      <c r="DZ306" s="14"/>
      <c r="EA306" s="14"/>
      <c r="EB306" s="14"/>
      <c r="EC306" s="14"/>
    </row>
    <row r="307" spans="1:133" s="13" customFormat="1" x14ac:dyDescent="0.25">
      <c r="A307" s="174" t="s">
        <v>72</v>
      </c>
      <c r="B307" s="174"/>
      <c r="C307" s="175"/>
      <c r="D307" s="175"/>
      <c r="E307" s="17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F307" s="14"/>
      <c r="AG307" s="14"/>
      <c r="AH307" s="14"/>
      <c r="AI307" s="14"/>
      <c r="AJ307" s="14"/>
      <c r="AK307" s="14"/>
      <c r="AL307" s="14"/>
      <c r="AM307" s="14"/>
      <c r="AN307" s="14"/>
      <c r="AO307" s="14"/>
      <c r="AP307" s="14"/>
      <c r="AQ307" s="14"/>
      <c r="AR307" s="14"/>
      <c r="AS307" s="14"/>
      <c r="AT307" s="14"/>
      <c r="AU307" s="14"/>
      <c r="AV307" s="14"/>
      <c r="AW307" s="14"/>
      <c r="AX307" s="14"/>
      <c r="AY307" s="14"/>
      <c r="AZ307" s="14"/>
      <c r="BA307" s="14"/>
      <c r="BB307" s="14"/>
      <c r="BC307" s="14"/>
      <c r="BD307" s="14"/>
      <c r="BE307" s="14"/>
      <c r="BF307" s="14"/>
      <c r="BG307" s="14"/>
      <c r="BH307" s="14"/>
      <c r="BI307" s="14"/>
      <c r="BJ307" s="14"/>
      <c r="BK307" s="14"/>
      <c r="BL307" s="14"/>
      <c r="BM307" s="14"/>
      <c r="BN307" s="14"/>
      <c r="BO307" s="14"/>
      <c r="BP307" s="14"/>
      <c r="BQ307" s="14"/>
      <c r="BR307" s="14"/>
      <c r="BS307" s="14"/>
      <c r="BT307" s="14"/>
      <c r="BU307" s="14"/>
      <c r="BV307" s="14"/>
      <c r="BW307" s="14"/>
      <c r="BX307" s="14"/>
      <c r="BY307" s="14"/>
      <c r="BZ307" s="14"/>
      <c r="CA307" s="14"/>
      <c r="CB307" s="14"/>
      <c r="CC307" s="14"/>
      <c r="CD307" s="14"/>
      <c r="CE307" s="14"/>
      <c r="CF307" s="14"/>
      <c r="CG307" s="14"/>
      <c r="CH307" s="14"/>
      <c r="CI307" s="14"/>
      <c r="CJ307" s="14"/>
      <c r="CK307" s="14"/>
      <c r="CL307" s="14"/>
      <c r="CM307" s="14"/>
      <c r="CN307" s="14"/>
      <c r="CO307" s="14"/>
      <c r="CP307" s="14"/>
      <c r="CQ307" s="14"/>
      <c r="CR307" s="14"/>
      <c r="CS307" s="14"/>
      <c r="CT307" s="14"/>
      <c r="CU307" s="14"/>
      <c r="CV307" s="14"/>
      <c r="CW307" s="14"/>
      <c r="CX307" s="14"/>
      <c r="CY307" s="14"/>
      <c r="CZ307" s="14"/>
      <c r="DA307" s="14"/>
      <c r="DB307" s="14"/>
      <c r="DC307" s="14"/>
      <c r="DD307" s="14"/>
      <c r="DE307" s="14"/>
      <c r="DF307" s="14"/>
      <c r="DG307" s="14"/>
      <c r="DH307" s="14"/>
      <c r="DI307" s="14"/>
      <c r="DJ307" s="14"/>
      <c r="DK307" s="14"/>
      <c r="DL307" s="14"/>
      <c r="DM307" s="14"/>
      <c r="DN307" s="14"/>
      <c r="DO307" s="14"/>
      <c r="DP307" s="14"/>
      <c r="DQ307" s="14"/>
      <c r="DR307" s="14"/>
      <c r="DS307" s="14"/>
      <c r="DT307" s="14"/>
      <c r="DU307" s="14"/>
      <c r="DV307" s="14"/>
      <c r="DW307" s="14"/>
      <c r="DX307" s="14"/>
      <c r="DY307" s="14"/>
      <c r="DZ307" s="14"/>
      <c r="EA307" s="14"/>
      <c r="EB307" s="14"/>
      <c r="EC307" s="14"/>
    </row>
    <row r="308" spans="1:133" s="13" customFormat="1" x14ac:dyDescent="0.25">
      <c r="A308" s="59" t="s">
        <v>8</v>
      </c>
      <c r="B308" s="16" t="s">
        <v>9</v>
      </c>
      <c r="C308" s="38" t="s">
        <v>10</v>
      </c>
      <c r="D308" s="38" t="s">
        <v>340</v>
      </c>
      <c r="E308" s="16" t="s">
        <v>65</v>
      </c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F308" s="14"/>
      <c r="AG308" s="14"/>
      <c r="AH308" s="14"/>
      <c r="AI308" s="14"/>
      <c r="AJ308" s="14"/>
      <c r="AK308" s="14"/>
      <c r="AL308" s="14"/>
      <c r="AM308" s="14"/>
      <c r="AN308" s="14"/>
      <c r="AO308" s="14"/>
      <c r="AP308" s="14"/>
      <c r="AQ308" s="14"/>
      <c r="AR308" s="14"/>
      <c r="AS308" s="14"/>
      <c r="AT308" s="14"/>
      <c r="AU308" s="14"/>
      <c r="AV308" s="14"/>
      <c r="AW308" s="14"/>
      <c r="AX308" s="14"/>
      <c r="AY308" s="14"/>
      <c r="AZ308" s="14"/>
      <c r="BA308" s="14"/>
      <c r="BB308" s="14"/>
      <c r="BC308" s="14"/>
      <c r="BD308" s="14"/>
      <c r="BE308" s="14"/>
      <c r="BF308" s="14"/>
      <c r="BG308" s="14"/>
      <c r="BH308" s="14"/>
      <c r="BI308" s="14"/>
      <c r="BJ308" s="14"/>
      <c r="BK308" s="14"/>
      <c r="BL308" s="14"/>
      <c r="BM308" s="14"/>
      <c r="BN308" s="14"/>
      <c r="BO308" s="14"/>
      <c r="BP308" s="14"/>
      <c r="BQ308" s="14"/>
      <c r="BR308" s="14"/>
      <c r="BS308" s="14"/>
      <c r="BT308" s="14"/>
      <c r="BU308" s="14"/>
      <c r="BV308" s="14"/>
      <c r="BW308" s="14"/>
      <c r="BX308" s="14"/>
      <c r="BY308" s="14"/>
      <c r="BZ308" s="14"/>
      <c r="CA308" s="14"/>
      <c r="CB308" s="14"/>
      <c r="CC308" s="14"/>
      <c r="CD308" s="14"/>
      <c r="CE308" s="14"/>
      <c r="CF308" s="14"/>
      <c r="CG308" s="14"/>
      <c r="CH308" s="14"/>
      <c r="CI308" s="14"/>
      <c r="CJ308" s="14"/>
      <c r="CK308" s="14"/>
      <c r="CL308" s="14"/>
      <c r="CM308" s="14"/>
      <c r="CN308" s="14"/>
      <c r="CO308" s="14"/>
      <c r="CP308" s="14"/>
      <c r="CQ308" s="14"/>
      <c r="CR308" s="14"/>
      <c r="CS308" s="14"/>
      <c r="CT308" s="14"/>
      <c r="CU308" s="14"/>
      <c r="CV308" s="14"/>
      <c r="CW308" s="14"/>
      <c r="CX308" s="14"/>
      <c r="CY308" s="14"/>
      <c r="CZ308" s="14"/>
      <c r="DA308" s="14"/>
      <c r="DB308" s="14"/>
      <c r="DC308" s="14"/>
      <c r="DD308" s="14"/>
      <c r="DE308" s="14"/>
      <c r="DF308" s="14"/>
      <c r="DG308" s="14"/>
      <c r="DH308" s="14"/>
      <c r="DI308" s="14"/>
      <c r="DJ308" s="14"/>
      <c r="DK308" s="14"/>
      <c r="DL308" s="14"/>
      <c r="DM308" s="14"/>
      <c r="DN308" s="14"/>
      <c r="DO308" s="14"/>
      <c r="DP308" s="14"/>
      <c r="DQ308" s="14"/>
      <c r="DR308" s="14"/>
      <c r="DS308" s="14"/>
      <c r="DT308" s="14"/>
      <c r="DU308" s="14"/>
      <c r="DV308" s="14"/>
      <c r="DW308" s="14"/>
      <c r="DX308" s="14"/>
      <c r="DY308" s="14"/>
      <c r="DZ308" s="14"/>
      <c r="EA308" s="14"/>
      <c r="EB308" s="14"/>
      <c r="EC308" s="14"/>
    </row>
    <row r="309" spans="1:133" s="13" customFormat="1" ht="33.6" x14ac:dyDescent="0.4">
      <c r="A309" s="76" t="s">
        <v>73</v>
      </c>
      <c r="B309" s="25" t="s">
        <v>74</v>
      </c>
      <c r="C309" s="35" t="s">
        <v>75</v>
      </c>
      <c r="D309" s="35" t="s">
        <v>378</v>
      </c>
      <c r="E309" s="50">
        <f>E310*E313*E314*E315*E316*E317</f>
        <v>2.3518537525417833</v>
      </c>
      <c r="R309" s="14"/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F309" s="14"/>
      <c r="AG309" s="14"/>
      <c r="AH309" s="14"/>
      <c r="AI309" s="14"/>
      <c r="AJ309" s="14"/>
      <c r="AK309" s="14"/>
      <c r="AL309" s="14"/>
      <c r="AM309" s="14"/>
      <c r="AN309" s="14"/>
      <c r="AO309" s="14"/>
      <c r="AP309" s="14"/>
      <c r="AQ309" s="14"/>
      <c r="AR309" s="14"/>
      <c r="AS309" s="14"/>
      <c r="AT309" s="14"/>
      <c r="AU309" s="14"/>
      <c r="AV309" s="14"/>
      <c r="AW309" s="14"/>
      <c r="AX309" s="14"/>
      <c r="AY309" s="14"/>
      <c r="AZ309" s="14"/>
      <c r="BA309" s="14"/>
      <c r="BB309" s="14"/>
      <c r="BC309" s="14"/>
      <c r="BD309" s="14"/>
      <c r="BE309" s="14"/>
      <c r="BF309" s="14"/>
      <c r="BG309" s="14"/>
      <c r="BH309" s="14"/>
      <c r="BI309" s="14"/>
      <c r="BJ309" s="14"/>
      <c r="BK309" s="14"/>
      <c r="BL309" s="14"/>
      <c r="BM309" s="14"/>
      <c r="BN309" s="14"/>
      <c r="BO309" s="14"/>
      <c r="BP309" s="14"/>
      <c r="BQ309" s="14"/>
      <c r="BR309" s="14"/>
      <c r="BS309" s="14"/>
      <c r="BT309" s="14"/>
      <c r="BU309" s="14"/>
      <c r="BV309" s="14"/>
      <c r="BW309" s="14"/>
      <c r="BX309" s="14"/>
      <c r="BY309" s="14"/>
      <c r="BZ309" s="14"/>
      <c r="CA309" s="14"/>
      <c r="CB309" s="14"/>
      <c r="CC309" s="14"/>
      <c r="CD309" s="14"/>
      <c r="CE309" s="14"/>
      <c r="CF309" s="14"/>
      <c r="CG309" s="14"/>
      <c r="CH309" s="14"/>
      <c r="CI309" s="14"/>
      <c r="CJ309" s="14"/>
      <c r="CK309" s="14"/>
      <c r="CL309" s="14"/>
      <c r="CM309" s="14"/>
      <c r="CN309" s="14"/>
      <c r="CO309" s="14"/>
      <c r="CP309" s="14"/>
      <c r="CQ309" s="14"/>
      <c r="CR309" s="14"/>
      <c r="CS309" s="14"/>
      <c r="CT309" s="14"/>
      <c r="CU309" s="14"/>
      <c r="CV309" s="14"/>
      <c r="CW309" s="14"/>
      <c r="CX309" s="14"/>
      <c r="CY309" s="14"/>
      <c r="CZ309" s="14"/>
      <c r="DA309" s="14"/>
      <c r="DB309" s="14"/>
      <c r="DC309" s="14"/>
      <c r="DD309" s="14"/>
      <c r="DE309" s="14"/>
      <c r="DF309" s="14"/>
      <c r="DG309" s="14"/>
      <c r="DH309" s="14"/>
      <c r="DI309" s="14"/>
      <c r="DJ309" s="14"/>
      <c r="DK309" s="14"/>
      <c r="DL309" s="14"/>
      <c r="DM309" s="14"/>
      <c r="DN309" s="14"/>
      <c r="DO309" s="14"/>
      <c r="DP309" s="14"/>
      <c r="DQ309" s="14"/>
      <c r="DR309" s="14"/>
      <c r="DS309" s="14"/>
      <c r="DT309" s="14"/>
      <c r="DU309" s="14"/>
      <c r="DV309" s="14"/>
      <c r="DW309" s="14"/>
      <c r="DX309" s="14"/>
      <c r="DY309" s="14"/>
      <c r="DZ309" s="14"/>
      <c r="EA309" s="14"/>
      <c r="EB309" s="14"/>
      <c r="EC309" s="14"/>
    </row>
    <row r="310" spans="1:133" s="13" customFormat="1" ht="46.8" x14ac:dyDescent="0.4">
      <c r="A310" s="77" t="s">
        <v>207</v>
      </c>
      <c r="B310" s="25" t="s">
        <v>76</v>
      </c>
      <c r="C310" s="35" t="s">
        <v>77</v>
      </c>
      <c r="D310" s="35" t="s">
        <v>379</v>
      </c>
      <c r="E310" s="52">
        <f>E311/E312</f>
        <v>115.8054911537956</v>
      </c>
      <c r="R310" s="14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F310" s="14"/>
      <c r="AG310" s="14"/>
      <c r="AH310" s="14"/>
      <c r="AI310" s="14"/>
      <c r="AJ310" s="14"/>
      <c r="AK310" s="14"/>
      <c r="AL310" s="14"/>
      <c r="AM310" s="14"/>
      <c r="AN310" s="14"/>
      <c r="AO310" s="14"/>
      <c r="AP310" s="14"/>
      <c r="AQ310" s="14"/>
      <c r="AR310" s="14"/>
      <c r="AS310" s="14"/>
      <c r="AT310" s="14"/>
      <c r="AU310" s="14"/>
      <c r="AV310" s="14"/>
      <c r="AW310" s="14"/>
      <c r="AX310" s="14"/>
      <c r="AY310" s="14"/>
      <c r="AZ310" s="14"/>
      <c r="BA310" s="14"/>
      <c r="BB310" s="14"/>
      <c r="BC310" s="14"/>
      <c r="BD310" s="14"/>
      <c r="BE310" s="14"/>
      <c r="BF310" s="14"/>
      <c r="BG310" s="14"/>
      <c r="BH310" s="14"/>
      <c r="BI310" s="14"/>
      <c r="BJ310" s="14"/>
      <c r="BK310" s="14"/>
      <c r="BL310" s="14"/>
      <c r="BM310" s="14"/>
      <c r="BN310" s="14"/>
      <c r="BO310" s="14"/>
      <c r="BP310" s="14"/>
      <c r="BQ310" s="14"/>
      <c r="BR310" s="14"/>
      <c r="BS310" s="14"/>
      <c r="BT310" s="14"/>
      <c r="BU310" s="14"/>
      <c r="BV310" s="14"/>
      <c r="BW310" s="14"/>
      <c r="BX310" s="14"/>
      <c r="BY310" s="14"/>
      <c r="BZ310" s="14"/>
      <c r="CA310" s="14"/>
      <c r="CB310" s="14"/>
      <c r="CC310" s="14"/>
      <c r="CD310" s="14"/>
      <c r="CE310" s="14"/>
      <c r="CF310" s="14"/>
      <c r="CG310" s="14"/>
      <c r="CH310" s="14"/>
      <c r="CI310" s="14"/>
      <c r="CJ310" s="14"/>
      <c r="CK310" s="14"/>
      <c r="CL310" s="14"/>
      <c r="CM310" s="14"/>
      <c r="CN310" s="14"/>
      <c r="CO310" s="14"/>
      <c r="CP310" s="14"/>
      <c r="CQ310" s="14"/>
      <c r="CR310" s="14"/>
      <c r="CS310" s="14"/>
      <c r="CT310" s="14"/>
      <c r="CU310" s="14"/>
      <c r="CV310" s="14"/>
      <c r="CW310" s="14"/>
      <c r="CX310" s="14"/>
      <c r="CY310" s="14"/>
      <c r="CZ310" s="14"/>
      <c r="DA310" s="14"/>
      <c r="DB310" s="14"/>
      <c r="DC310" s="14"/>
      <c r="DD310" s="14"/>
      <c r="DE310" s="14"/>
      <c r="DF310" s="14"/>
      <c r="DG310" s="14"/>
      <c r="DH310" s="14"/>
      <c r="DI310" s="14"/>
      <c r="DJ310" s="14"/>
      <c r="DK310" s="14"/>
      <c r="DL310" s="14"/>
      <c r="DM310" s="14"/>
      <c r="DN310" s="14"/>
      <c r="DO310" s="14"/>
      <c r="DP310" s="14"/>
      <c r="DQ310" s="14"/>
      <c r="DR310" s="14"/>
      <c r="DS310" s="14"/>
      <c r="DT310" s="14"/>
      <c r="DU310" s="14"/>
      <c r="DV310" s="14"/>
      <c r="DW310" s="14"/>
      <c r="DX310" s="14"/>
      <c r="DY310" s="14"/>
      <c r="DZ310" s="14"/>
      <c r="EA310" s="14"/>
      <c r="EB310" s="14"/>
      <c r="EC310" s="14"/>
    </row>
    <row r="311" spans="1:133" s="13" customFormat="1" ht="46.8" x14ac:dyDescent="0.25">
      <c r="A311" s="63" t="s">
        <v>208</v>
      </c>
      <c r="B311" s="25" t="s">
        <v>78</v>
      </c>
      <c r="C311" s="35" t="s">
        <v>79</v>
      </c>
      <c r="D311" s="53" t="s">
        <v>352</v>
      </c>
      <c r="E311" s="52">
        <f>0.000185731908659239*E284</f>
        <v>579.02745576897803</v>
      </c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F311" s="14"/>
      <c r="AG311" s="14"/>
      <c r="AH311" s="14"/>
      <c r="AI311" s="14"/>
      <c r="AJ311" s="14"/>
      <c r="AK311" s="14"/>
      <c r="AL311" s="14"/>
      <c r="AM311" s="14"/>
      <c r="AN311" s="14"/>
      <c r="AO311" s="14"/>
      <c r="AP311" s="14"/>
      <c r="AQ311" s="14"/>
      <c r="AR311" s="14"/>
      <c r="AS311" s="14"/>
      <c r="AT311" s="14"/>
      <c r="AU311" s="14"/>
      <c r="AV311" s="14"/>
      <c r="AW311" s="14"/>
      <c r="AX311" s="14"/>
      <c r="AY311" s="14"/>
      <c r="AZ311" s="14"/>
      <c r="BA311" s="14"/>
      <c r="BB311" s="14"/>
      <c r="BC311" s="14"/>
      <c r="BD311" s="14"/>
      <c r="BE311" s="14"/>
      <c r="BF311" s="14"/>
      <c r="BG311" s="14"/>
      <c r="BH311" s="14"/>
      <c r="BI311" s="14"/>
      <c r="BJ311" s="14"/>
      <c r="BK311" s="14"/>
      <c r="BL311" s="14"/>
      <c r="BM311" s="14"/>
      <c r="BN311" s="14"/>
      <c r="BO311" s="14"/>
      <c r="BP311" s="14"/>
      <c r="BQ311" s="14"/>
      <c r="BR311" s="14"/>
      <c r="BS311" s="14"/>
      <c r="BT311" s="14"/>
      <c r="BU311" s="14"/>
      <c r="BV311" s="14"/>
      <c r="BW311" s="14"/>
      <c r="BX311" s="14"/>
      <c r="BY311" s="14"/>
      <c r="BZ311" s="14"/>
      <c r="CA311" s="14"/>
      <c r="CB311" s="14"/>
      <c r="CC311" s="14"/>
      <c r="CD311" s="14"/>
      <c r="CE311" s="14"/>
      <c r="CF311" s="14"/>
      <c r="CG311" s="14"/>
      <c r="CH311" s="14"/>
      <c r="CI311" s="14"/>
      <c r="CJ311" s="14"/>
      <c r="CK311" s="14"/>
      <c r="CL311" s="14"/>
      <c r="CM311" s="14"/>
      <c r="CN311" s="14"/>
      <c r="CO311" s="14"/>
      <c r="CP311" s="14"/>
      <c r="CQ311" s="14"/>
      <c r="CR311" s="14"/>
      <c r="CS311" s="14"/>
      <c r="CT311" s="14"/>
      <c r="CU311" s="14"/>
      <c r="CV311" s="14"/>
      <c r="CW311" s="14"/>
      <c r="CX311" s="14"/>
      <c r="CY311" s="14"/>
      <c r="CZ311" s="14"/>
      <c r="DA311" s="14"/>
      <c r="DB311" s="14"/>
      <c r="DC311" s="14"/>
      <c r="DD311" s="14"/>
      <c r="DE311" s="14"/>
      <c r="DF311" s="14"/>
      <c r="DG311" s="14"/>
      <c r="DH311" s="14"/>
      <c r="DI311" s="14"/>
      <c r="DJ311" s="14"/>
      <c r="DK311" s="14"/>
      <c r="DL311" s="14"/>
      <c r="DM311" s="14"/>
      <c r="DN311" s="14"/>
      <c r="DO311" s="14"/>
      <c r="DP311" s="14"/>
      <c r="DQ311" s="14"/>
      <c r="DR311" s="14"/>
      <c r="DS311" s="14"/>
      <c r="DT311" s="14"/>
      <c r="DU311" s="14"/>
      <c r="DV311" s="14"/>
      <c r="DW311" s="14"/>
      <c r="DX311" s="14"/>
      <c r="DY311" s="14"/>
      <c r="DZ311" s="14"/>
      <c r="EA311" s="14"/>
      <c r="EB311" s="14"/>
      <c r="EC311" s="14"/>
    </row>
    <row r="312" spans="1:133" s="13" customFormat="1" ht="31.2" x14ac:dyDescent="0.25">
      <c r="A312" s="63" t="s">
        <v>209</v>
      </c>
      <c r="B312" s="25" t="s">
        <v>80</v>
      </c>
      <c r="C312" s="35" t="s">
        <v>81</v>
      </c>
      <c r="D312" s="35" t="s">
        <v>353</v>
      </c>
      <c r="E312" s="25">
        <f>5</f>
        <v>5</v>
      </c>
      <c r="R312" s="14"/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F312" s="14"/>
      <c r="AG312" s="14"/>
      <c r="AH312" s="14"/>
      <c r="AI312" s="14"/>
      <c r="AJ312" s="14"/>
      <c r="AK312" s="14"/>
      <c r="AL312" s="14"/>
      <c r="AM312" s="14"/>
      <c r="AN312" s="14"/>
      <c r="AO312" s="14"/>
      <c r="AP312" s="14"/>
      <c r="AQ312" s="14"/>
      <c r="AR312" s="14"/>
      <c r="AS312" s="14"/>
      <c r="AT312" s="14"/>
      <c r="AU312" s="14"/>
      <c r="AV312" s="14"/>
      <c r="AW312" s="14"/>
      <c r="AX312" s="14"/>
      <c r="AY312" s="14"/>
      <c r="AZ312" s="14"/>
      <c r="BA312" s="14"/>
      <c r="BB312" s="14"/>
      <c r="BC312" s="14"/>
      <c r="BD312" s="14"/>
      <c r="BE312" s="14"/>
      <c r="BF312" s="14"/>
      <c r="BG312" s="14"/>
      <c r="BH312" s="14"/>
      <c r="BI312" s="14"/>
      <c r="BJ312" s="14"/>
      <c r="BK312" s="14"/>
      <c r="BL312" s="14"/>
      <c r="BM312" s="14"/>
      <c r="BN312" s="14"/>
      <c r="BO312" s="14"/>
      <c r="BP312" s="14"/>
      <c r="BQ312" s="14"/>
      <c r="BR312" s="14"/>
      <c r="BS312" s="14"/>
      <c r="BT312" s="14"/>
      <c r="BU312" s="14"/>
      <c r="BV312" s="14"/>
      <c r="BW312" s="14"/>
      <c r="BX312" s="14"/>
      <c r="BY312" s="14"/>
      <c r="BZ312" s="14"/>
      <c r="CA312" s="14"/>
      <c r="CB312" s="14"/>
      <c r="CC312" s="14"/>
      <c r="CD312" s="14"/>
      <c r="CE312" s="14"/>
      <c r="CF312" s="14"/>
      <c r="CG312" s="14"/>
      <c r="CH312" s="14"/>
      <c r="CI312" s="14"/>
      <c r="CJ312" s="14"/>
      <c r="CK312" s="14"/>
      <c r="CL312" s="14"/>
      <c r="CM312" s="14"/>
      <c r="CN312" s="14"/>
      <c r="CO312" s="14"/>
      <c r="CP312" s="14"/>
      <c r="CQ312" s="14"/>
      <c r="CR312" s="14"/>
      <c r="CS312" s="14"/>
      <c r="CT312" s="14"/>
      <c r="CU312" s="14"/>
      <c r="CV312" s="14"/>
      <c r="CW312" s="14"/>
      <c r="CX312" s="14"/>
      <c r="CY312" s="14"/>
      <c r="CZ312" s="14"/>
      <c r="DA312" s="14"/>
      <c r="DB312" s="14"/>
      <c r="DC312" s="14"/>
      <c r="DD312" s="14"/>
      <c r="DE312" s="14"/>
      <c r="DF312" s="14"/>
      <c r="DG312" s="14"/>
      <c r="DH312" s="14"/>
      <c r="DI312" s="14"/>
      <c r="DJ312" s="14"/>
      <c r="DK312" s="14"/>
      <c r="DL312" s="14"/>
      <c r="DM312" s="14"/>
      <c r="DN312" s="14"/>
      <c r="DO312" s="14"/>
      <c r="DP312" s="14"/>
      <c r="DQ312" s="14"/>
      <c r="DR312" s="14"/>
      <c r="DS312" s="14"/>
      <c r="DT312" s="14"/>
      <c r="DU312" s="14"/>
      <c r="DV312" s="14"/>
      <c r="DW312" s="14"/>
      <c r="DX312" s="14"/>
      <c r="DY312" s="14"/>
      <c r="DZ312" s="14"/>
      <c r="EA312" s="14"/>
      <c r="EB312" s="14"/>
      <c r="EC312" s="14"/>
    </row>
    <row r="313" spans="1:133" s="13" customFormat="1" ht="62.4" x14ac:dyDescent="0.25">
      <c r="A313" s="63" t="s">
        <v>210</v>
      </c>
      <c r="B313" s="25" t="s">
        <v>82</v>
      </c>
      <c r="C313" s="35" t="s">
        <v>83</v>
      </c>
      <c r="D313" s="53" t="s">
        <v>354</v>
      </c>
      <c r="E313" s="25">
        <f>15*2</f>
        <v>30</v>
      </c>
      <c r="R313" s="14"/>
      <c r="S313" s="14"/>
      <c r="T313" s="1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F313" s="14"/>
      <c r="AG313" s="14"/>
      <c r="AH313" s="14"/>
      <c r="AI313" s="14"/>
      <c r="AJ313" s="14"/>
      <c r="AK313" s="14"/>
      <c r="AL313" s="14"/>
      <c r="AM313" s="14"/>
      <c r="AN313" s="14"/>
      <c r="AO313" s="14"/>
      <c r="AP313" s="14"/>
      <c r="AQ313" s="14"/>
      <c r="AR313" s="14"/>
      <c r="AS313" s="14"/>
      <c r="AT313" s="14"/>
      <c r="AU313" s="14"/>
      <c r="AV313" s="14"/>
      <c r="AW313" s="14"/>
      <c r="AX313" s="14"/>
      <c r="AY313" s="14"/>
      <c r="AZ313" s="14"/>
      <c r="BA313" s="14"/>
      <c r="BB313" s="14"/>
      <c r="BC313" s="14"/>
      <c r="BD313" s="14"/>
      <c r="BE313" s="14"/>
      <c r="BF313" s="14"/>
      <c r="BG313" s="14"/>
      <c r="BH313" s="14"/>
      <c r="BI313" s="14"/>
      <c r="BJ313" s="14"/>
      <c r="BK313" s="14"/>
      <c r="BL313" s="14"/>
      <c r="BM313" s="14"/>
      <c r="BN313" s="14"/>
      <c r="BO313" s="14"/>
      <c r="BP313" s="14"/>
      <c r="BQ313" s="14"/>
      <c r="BR313" s="14"/>
      <c r="BS313" s="14"/>
      <c r="BT313" s="14"/>
      <c r="BU313" s="14"/>
      <c r="BV313" s="14"/>
      <c r="BW313" s="14"/>
      <c r="BX313" s="14"/>
      <c r="BY313" s="14"/>
      <c r="BZ313" s="14"/>
      <c r="CA313" s="14"/>
      <c r="CB313" s="14"/>
      <c r="CC313" s="14"/>
      <c r="CD313" s="14"/>
      <c r="CE313" s="14"/>
      <c r="CF313" s="14"/>
      <c r="CG313" s="14"/>
      <c r="CH313" s="14"/>
      <c r="CI313" s="14"/>
      <c r="CJ313" s="14"/>
      <c r="CK313" s="14"/>
      <c r="CL313" s="14"/>
      <c r="CM313" s="14"/>
      <c r="CN313" s="14"/>
      <c r="CO313" s="14"/>
      <c r="CP313" s="14"/>
      <c r="CQ313" s="14"/>
      <c r="CR313" s="14"/>
      <c r="CS313" s="14"/>
      <c r="CT313" s="14"/>
      <c r="CU313" s="14"/>
      <c r="CV313" s="14"/>
      <c r="CW313" s="14"/>
      <c r="CX313" s="14"/>
      <c r="CY313" s="14"/>
      <c r="CZ313" s="14"/>
      <c r="DA313" s="14"/>
      <c r="DB313" s="14"/>
      <c r="DC313" s="14"/>
      <c r="DD313" s="14"/>
      <c r="DE313" s="14"/>
      <c r="DF313" s="14"/>
      <c r="DG313" s="14"/>
      <c r="DH313" s="14"/>
      <c r="DI313" s="14"/>
      <c r="DJ313" s="14"/>
      <c r="DK313" s="14"/>
      <c r="DL313" s="14"/>
      <c r="DM313" s="14"/>
      <c r="DN313" s="14"/>
      <c r="DO313" s="14"/>
      <c r="DP313" s="14"/>
      <c r="DQ313" s="14"/>
      <c r="DR313" s="14"/>
      <c r="DS313" s="14"/>
      <c r="DT313" s="14"/>
      <c r="DU313" s="14"/>
      <c r="DV313" s="14"/>
      <c r="DW313" s="14"/>
      <c r="DX313" s="14"/>
      <c r="DY313" s="14"/>
      <c r="DZ313" s="14"/>
      <c r="EA313" s="14"/>
      <c r="EB313" s="14"/>
      <c r="EC313" s="14"/>
    </row>
    <row r="314" spans="1:133" s="13" customFormat="1" ht="172.2" x14ac:dyDescent="0.25">
      <c r="A314" s="63" t="s">
        <v>211</v>
      </c>
      <c r="B314" s="25" t="s">
        <v>84</v>
      </c>
      <c r="C314" s="35" t="s">
        <v>85</v>
      </c>
      <c r="D314" s="35" t="s">
        <v>355</v>
      </c>
      <c r="E314" s="25">
        <f>25.1/100</f>
        <v>0.251</v>
      </c>
      <c r="R314" s="14"/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F314" s="14"/>
      <c r="AG314" s="14"/>
      <c r="AH314" s="14"/>
      <c r="AI314" s="14"/>
      <c r="AJ314" s="14"/>
      <c r="AK314" s="14"/>
      <c r="AL314" s="14"/>
      <c r="AM314" s="14"/>
      <c r="AN314" s="14"/>
      <c r="AO314" s="14"/>
      <c r="AP314" s="14"/>
      <c r="AQ314" s="14"/>
      <c r="AR314" s="14"/>
      <c r="AS314" s="14"/>
      <c r="AT314" s="14"/>
      <c r="AU314" s="14"/>
      <c r="AV314" s="14"/>
      <c r="AW314" s="14"/>
      <c r="AX314" s="14"/>
      <c r="AY314" s="14"/>
      <c r="AZ314" s="14"/>
      <c r="BA314" s="14"/>
      <c r="BB314" s="14"/>
      <c r="BC314" s="14"/>
      <c r="BD314" s="14"/>
      <c r="BE314" s="14"/>
      <c r="BF314" s="14"/>
      <c r="BG314" s="14"/>
      <c r="BH314" s="14"/>
      <c r="BI314" s="14"/>
      <c r="BJ314" s="14"/>
      <c r="BK314" s="14"/>
      <c r="BL314" s="14"/>
      <c r="BM314" s="14"/>
      <c r="BN314" s="14"/>
      <c r="BO314" s="14"/>
      <c r="BP314" s="14"/>
      <c r="BQ314" s="14"/>
      <c r="BR314" s="14"/>
      <c r="BS314" s="14"/>
      <c r="BT314" s="14"/>
      <c r="BU314" s="14"/>
      <c r="BV314" s="14"/>
      <c r="BW314" s="14"/>
      <c r="BX314" s="14"/>
      <c r="BY314" s="14"/>
      <c r="BZ314" s="14"/>
      <c r="CA314" s="14"/>
      <c r="CB314" s="14"/>
      <c r="CC314" s="14"/>
      <c r="CD314" s="14"/>
      <c r="CE314" s="14"/>
      <c r="CF314" s="14"/>
      <c r="CG314" s="14"/>
      <c r="CH314" s="14"/>
      <c r="CI314" s="14"/>
      <c r="CJ314" s="14"/>
      <c r="CK314" s="14"/>
      <c r="CL314" s="14"/>
      <c r="CM314" s="14"/>
      <c r="CN314" s="14"/>
      <c r="CO314" s="14"/>
      <c r="CP314" s="14"/>
      <c r="CQ314" s="14"/>
      <c r="CR314" s="14"/>
      <c r="CS314" s="14"/>
      <c r="CT314" s="14"/>
      <c r="CU314" s="14"/>
      <c r="CV314" s="14"/>
      <c r="CW314" s="14"/>
      <c r="CX314" s="14"/>
      <c r="CY314" s="14"/>
      <c r="CZ314" s="14"/>
      <c r="DA314" s="14"/>
      <c r="DB314" s="14"/>
      <c r="DC314" s="14"/>
      <c r="DD314" s="14"/>
      <c r="DE314" s="14"/>
      <c r="DF314" s="14"/>
      <c r="DG314" s="14"/>
      <c r="DH314" s="14"/>
      <c r="DI314" s="14"/>
      <c r="DJ314" s="14"/>
      <c r="DK314" s="14"/>
      <c r="DL314" s="14"/>
      <c r="DM314" s="14"/>
      <c r="DN314" s="14"/>
      <c r="DO314" s="14"/>
      <c r="DP314" s="14"/>
      <c r="DQ314" s="14"/>
      <c r="DR314" s="14"/>
      <c r="DS314" s="14"/>
      <c r="DT314" s="14"/>
      <c r="DU314" s="14"/>
      <c r="DV314" s="14"/>
      <c r="DW314" s="14"/>
      <c r="DX314" s="14"/>
      <c r="DY314" s="14"/>
      <c r="DZ314" s="14"/>
      <c r="EA314" s="14"/>
      <c r="EB314" s="14"/>
      <c r="EC314" s="14"/>
    </row>
    <row r="315" spans="1:133" s="13" customFormat="1" ht="140.4" x14ac:dyDescent="0.25">
      <c r="A315" s="63" t="s">
        <v>212</v>
      </c>
      <c r="B315" s="25" t="s">
        <v>87</v>
      </c>
      <c r="C315" s="35" t="s">
        <v>86</v>
      </c>
      <c r="D315" s="35" t="s">
        <v>356</v>
      </c>
      <c r="E315" s="25">
        <f>0.84/1000</f>
        <v>8.3999999999999993E-4</v>
      </c>
      <c r="R315" s="14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F315" s="14"/>
      <c r="AG315" s="14"/>
      <c r="AH315" s="14"/>
      <c r="AI315" s="14"/>
      <c r="AJ315" s="14"/>
      <c r="AK315" s="14"/>
      <c r="AL315" s="14"/>
      <c r="AM315" s="14"/>
      <c r="AN315" s="14"/>
      <c r="AO315" s="14"/>
      <c r="AP315" s="14"/>
      <c r="AQ315" s="14"/>
      <c r="AR315" s="14"/>
      <c r="AS315" s="14"/>
      <c r="AT315" s="14"/>
      <c r="AU315" s="14"/>
      <c r="AV315" s="14"/>
      <c r="AW315" s="14"/>
      <c r="AX315" s="14"/>
      <c r="AY315" s="14"/>
      <c r="AZ315" s="14"/>
      <c r="BA315" s="14"/>
      <c r="BB315" s="14"/>
      <c r="BC315" s="14"/>
      <c r="BD315" s="14"/>
      <c r="BE315" s="14"/>
      <c r="BF315" s="14"/>
      <c r="BG315" s="14"/>
      <c r="BH315" s="14"/>
      <c r="BI315" s="14"/>
      <c r="BJ315" s="14"/>
      <c r="BK315" s="14"/>
      <c r="BL315" s="14"/>
      <c r="BM315" s="14"/>
      <c r="BN315" s="14"/>
      <c r="BO315" s="14"/>
      <c r="BP315" s="14"/>
      <c r="BQ315" s="14"/>
      <c r="BR315" s="14"/>
      <c r="BS315" s="14"/>
      <c r="BT315" s="14"/>
      <c r="BU315" s="14"/>
      <c r="BV315" s="14"/>
      <c r="BW315" s="14"/>
      <c r="BX315" s="14"/>
      <c r="BY315" s="14"/>
      <c r="BZ315" s="14"/>
      <c r="CA315" s="14"/>
      <c r="CB315" s="14"/>
      <c r="CC315" s="14"/>
      <c r="CD315" s="14"/>
      <c r="CE315" s="14"/>
      <c r="CF315" s="14"/>
      <c r="CG315" s="14"/>
      <c r="CH315" s="14"/>
      <c r="CI315" s="14"/>
      <c r="CJ315" s="14"/>
      <c r="CK315" s="14"/>
      <c r="CL315" s="14"/>
      <c r="CM315" s="14"/>
      <c r="CN315" s="14"/>
      <c r="CO315" s="14"/>
      <c r="CP315" s="14"/>
      <c r="CQ315" s="14"/>
      <c r="CR315" s="14"/>
      <c r="CS315" s="14"/>
      <c r="CT315" s="14"/>
      <c r="CU315" s="14"/>
      <c r="CV315" s="14"/>
      <c r="CW315" s="14"/>
      <c r="CX315" s="14"/>
      <c r="CY315" s="14"/>
      <c r="CZ315" s="14"/>
      <c r="DA315" s="14"/>
      <c r="DB315" s="14"/>
      <c r="DC315" s="14"/>
      <c r="DD315" s="14"/>
      <c r="DE315" s="14"/>
      <c r="DF315" s="14"/>
      <c r="DG315" s="14"/>
      <c r="DH315" s="14"/>
      <c r="DI315" s="14"/>
      <c r="DJ315" s="14"/>
      <c r="DK315" s="14"/>
      <c r="DL315" s="14"/>
      <c r="DM315" s="14"/>
      <c r="DN315" s="14"/>
      <c r="DO315" s="14"/>
      <c r="DP315" s="14"/>
      <c r="DQ315" s="14"/>
      <c r="DR315" s="14"/>
      <c r="DS315" s="14"/>
      <c r="DT315" s="14"/>
      <c r="DU315" s="14"/>
      <c r="DV315" s="14"/>
      <c r="DW315" s="14"/>
      <c r="DX315" s="14"/>
      <c r="DY315" s="14"/>
      <c r="DZ315" s="14"/>
      <c r="EA315" s="14"/>
      <c r="EB315" s="14"/>
      <c r="EC315" s="14"/>
    </row>
    <row r="316" spans="1:133" s="13" customFormat="1" ht="140.4" x14ac:dyDescent="0.25">
      <c r="A316" s="63" t="s">
        <v>213</v>
      </c>
      <c r="B316" s="25" t="s">
        <v>88</v>
      </c>
      <c r="C316" s="35" t="s">
        <v>89</v>
      </c>
      <c r="D316" s="35" t="s">
        <v>357</v>
      </c>
      <c r="E316" s="25">
        <f>43.33/1000</f>
        <v>4.333E-2</v>
      </c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F316" s="14"/>
      <c r="AG316" s="14"/>
      <c r="AH316" s="14"/>
      <c r="AI316" s="14"/>
      <c r="AJ316" s="14"/>
      <c r="AK316" s="14"/>
      <c r="AL316" s="14"/>
      <c r="AM316" s="14"/>
      <c r="AN316" s="14"/>
      <c r="AO316" s="14"/>
      <c r="AP316" s="14"/>
      <c r="AQ316" s="14"/>
      <c r="AR316" s="14"/>
      <c r="AS316" s="14"/>
      <c r="AT316" s="14"/>
      <c r="AU316" s="14"/>
      <c r="AV316" s="14"/>
      <c r="AW316" s="14"/>
      <c r="AX316" s="14"/>
      <c r="AY316" s="14"/>
      <c r="AZ316" s="14"/>
      <c r="BA316" s="14"/>
      <c r="BB316" s="14"/>
      <c r="BC316" s="14"/>
      <c r="BD316" s="14"/>
      <c r="BE316" s="14"/>
      <c r="BF316" s="14"/>
      <c r="BG316" s="14"/>
      <c r="BH316" s="14"/>
      <c r="BI316" s="14"/>
      <c r="BJ316" s="14"/>
      <c r="BK316" s="14"/>
      <c r="BL316" s="14"/>
      <c r="BM316" s="14"/>
      <c r="BN316" s="14"/>
      <c r="BO316" s="14"/>
      <c r="BP316" s="14"/>
      <c r="BQ316" s="14"/>
      <c r="BR316" s="14"/>
      <c r="BS316" s="14"/>
      <c r="BT316" s="14"/>
      <c r="BU316" s="14"/>
      <c r="BV316" s="14"/>
      <c r="BW316" s="14"/>
      <c r="BX316" s="14"/>
      <c r="BY316" s="14"/>
      <c r="BZ316" s="14"/>
      <c r="CA316" s="14"/>
      <c r="CB316" s="14"/>
      <c r="CC316" s="14"/>
      <c r="CD316" s="14"/>
      <c r="CE316" s="14"/>
      <c r="CF316" s="14"/>
      <c r="CG316" s="14"/>
      <c r="CH316" s="14"/>
      <c r="CI316" s="14"/>
      <c r="CJ316" s="14"/>
      <c r="CK316" s="14"/>
      <c r="CL316" s="14"/>
      <c r="CM316" s="14"/>
      <c r="CN316" s="14"/>
      <c r="CO316" s="14"/>
      <c r="CP316" s="14"/>
      <c r="CQ316" s="14"/>
      <c r="CR316" s="14"/>
      <c r="CS316" s="14"/>
      <c r="CT316" s="14"/>
      <c r="CU316" s="14"/>
      <c r="CV316" s="14"/>
      <c r="CW316" s="14"/>
      <c r="CX316" s="14"/>
      <c r="CY316" s="14"/>
      <c r="CZ316" s="14"/>
      <c r="DA316" s="14"/>
      <c r="DB316" s="14"/>
      <c r="DC316" s="14"/>
      <c r="DD316" s="14"/>
      <c r="DE316" s="14"/>
      <c r="DF316" s="14"/>
      <c r="DG316" s="14"/>
      <c r="DH316" s="14"/>
      <c r="DI316" s="14"/>
      <c r="DJ316" s="14"/>
      <c r="DK316" s="14"/>
      <c r="DL316" s="14"/>
      <c r="DM316" s="14"/>
      <c r="DN316" s="14"/>
      <c r="DO316" s="14"/>
      <c r="DP316" s="14"/>
      <c r="DQ316" s="14"/>
      <c r="DR316" s="14"/>
      <c r="DS316" s="14"/>
      <c r="DT316" s="14"/>
      <c r="DU316" s="14"/>
      <c r="DV316" s="14"/>
      <c r="DW316" s="14"/>
      <c r="DX316" s="14"/>
      <c r="DY316" s="14"/>
      <c r="DZ316" s="14"/>
      <c r="EA316" s="14"/>
      <c r="EB316" s="14"/>
      <c r="EC316" s="14"/>
    </row>
    <row r="317" spans="1:133" s="13" customFormat="1" ht="62.4" x14ac:dyDescent="0.25">
      <c r="A317" s="63" t="s">
        <v>214</v>
      </c>
      <c r="B317" s="25" t="s">
        <v>90</v>
      </c>
      <c r="C317" s="35" t="s">
        <v>91</v>
      </c>
      <c r="D317" s="35" t="s">
        <v>358</v>
      </c>
      <c r="E317" s="25">
        <v>74.099999999999994</v>
      </c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F317" s="14"/>
      <c r="AG317" s="14"/>
      <c r="AH317" s="14"/>
      <c r="AI317" s="14"/>
      <c r="AJ317" s="14"/>
      <c r="AK317" s="14"/>
      <c r="AL317" s="14"/>
      <c r="AM317" s="14"/>
      <c r="AN317" s="14"/>
      <c r="AO317" s="14"/>
      <c r="AP317" s="14"/>
      <c r="AQ317" s="14"/>
      <c r="AR317" s="14"/>
      <c r="AS317" s="14"/>
      <c r="AT317" s="14"/>
      <c r="AU317" s="14"/>
      <c r="AV317" s="14"/>
      <c r="AW317" s="14"/>
      <c r="AX317" s="14"/>
      <c r="AY317" s="14"/>
      <c r="AZ317" s="14"/>
      <c r="BA317" s="14"/>
      <c r="BB317" s="14"/>
      <c r="BC317" s="14"/>
      <c r="BD317" s="14"/>
      <c r="BE317" s="14"/>
      <c r="BF317" s="14"/>
      <c r="BG317" s="14"/>
      <c r="BH317" s="14"/>
      <c r="BI317" s="14"/>
      <c r="BJ317" s="14"/>
      <c r="BK317" s="14"/>
      <c r="BL317" s="14"/>
      <c r="BM317" s="14"/>
      <c r="BN317" s="14"/>
      <c r="BO317" s="14"/>
      <c r="BP317" s="14"/>
      <c r="BQ317" s="14"/>
      <c r="BR317" s="14"/>
      <c r="BS317" s="14"/>
      <c r="BT317" s="14"/>
      <c r="BU317" s="14"/>
      <c r="BV317" s="14"/>
      <c r="BW317" s="14"/>
      <c r="BX317" s="14"/>
      <c r="BY317" s="14"/>
      <c r="BZ317" s="14"/>
      <c r="CA317" s="14"/>
      <c r="CB317" s="14"/>
      <c r="CC317" s="14"/>
      <c r="CD317" s="14"/>
      <c r="CE317" s="14"/>
      <c r="CF317" s="14"/>
      <c r="CG317" s="14"/>
      <c r="CH317" s="14"/>
      <c r="CI317" s="14"/>
      <c r="CJ317" s="14"/>
      <c r="CK317" s="14"/>
      <c r="CL317" s="14"/>
      <c r="CM317" s="14"/>
      <c r="CN317" s="14"/>
      <c r="CO317" s="14"/>
      <c r="CP317" s="14"/>
      <c r="CQ317" s="14"/>
      <c r="CR317" s="14"/>
      <c r="CS317" s="14"/>
      <c r="CT317" s="14"/>
      <c r="CU317" s="14"/>
      <c r="CV317" s="14"/>
      <c r="CW317" s="14"/>
      <c r="CX317" s="14"/>
      <c r="CY317" s="14"/>
      <c r="CZ317" s="14"/>
      <c r="DA317" s="14"/>
      <c r="DB317" s="14"/>
      <c r="DC317" s="14"/>
      <c r="DD317" s="14"/>
      <c r="DE317" s="14"/>
      <c r="DF317" s="14"/>
      <c r="DG317" s="14"/>
      <c r="DH317" s="14"/>
      <c r="DI317" s="14"/>
      <c r="DJ317" s="14"/>
      <c r="DK317" s="14"/>
      <c r="DL317" s="14"/>
      <c r="DM317" s="14"/>
      <c r="DN317" s="14"/>
      <c r="DO317" s="14"/>
      <c r="DP317" s="14"/>
      <c r="DQ317" s="14"/>
      <c r="DR317" s="14"/>
      <c r="DS317" s="14"/>
      <c r="DT317" s="14"/>
      <c r="DU317" s="14"/>
      <c r="DV317" s="14"/>
      <c r="DW317" s="14"/>
      <c r="DX317" s="14"/>
      <c r="DY317" s="14"/>
      <c r="DZ317" s="14"/>
      <c r="EA317" s="14"/>
      <c r="EB317" s="14"/>
      <c r="EC317" s="14"/>
    </row>
    <row r="319" spans="1:133" s="13" customFormat="1" x14ac:dyDescent="0.25">
      <c r="A319" s="158" t="s">
        <v>93</v>
      </c>
      <c r="B319" s="158"/>
      <c r="C319" s="158"/>
      <c r="D319" s="158"/>
      <c r="E319" s="158"/>
      <c r="R319" s="14"/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F319" s="14"/>
      <c r="AG319" s="14"/>
      <c r="AH319" s="14"/>
      <c r="AI319" s="14"/>
      <c r="AJ319" s="14"/>
      <c r="AK319" s="14"/>
      <c r="AL319" s="14"/>
      <c r="AM319" s="14"/>
      <c r="AN319" s="14"/>
      <c r="AO319" s="14"/>
      <c r="AP319" s="14"/>
      <c r="AQ319" s="14"/>
      <c r="AR319" s="14"/>
      <c r="AS319" s="14"/>
      <c r="AT319" s="14"/>
      <c r="AU319" s="14"/>
      <c r="AV319" s="14"/>
      <c r="AW319" s="14"/>
      <c r="AX319" s="14"/>
      <c r="AY319" s="14"/>
      <c r="AZ319" s="14"/>
      <c r="BA319" s="14"/>
      <c r="BB319" s="14"/>
      <c r="BC319" s="14"/>
      <c r="BD319" s="14"/>
      <c r="BE319" s="14"/>
      <c r="BF319" s="14"/>
      <c r="BG319" s="14"/>
      <c r="BH319" s="14"/>
      <c r="BI319" s="14"/>
      <c r="BJ319" s="14"/>
      <c r="BK319" s="14"/>
      <c r="BL319" s="14"/>
      <c r="BM319" s="14"/>
      <c r="BN319" s="14"/>
      <c r="BO319" s="14"/>
      <c r="BP319" s="14"/>
      <c r="BQ319" s="14"/>
      <c r="BR319" s="14"/>
      <c r="BS319" s="14"/>
      <c r="BT319" s="14"/>
      <c r="BU319" s="14"/>
      <c r="BV319" s="14"/>
      <c r="BW319" s="14"/>
      <c r="BX319" s="14"/>
      <c r="BY319" s="14"/>
      <c r="BZ319" s="14"/>
      <c r="CA319" s="14"/>
      <c r="CB319" s="14"/>
      <c r="CC319" s="14"/>
      <c r="CD319" s="14"/>
      <c r="CE319" s="14"/>
      <c r="CF319" s="14"/>
      <c r="CG319" s="14"/>
      <c r="CH319" s="14"/>
      <c r="CI319" s="14"/>
      <c r="CJ319" s="14"/>
      <c r="CK319" s="14"/>
      <c r="CL319" s="14"/>
      <c r="CM319" s="14"/>
      <c r="CN319" s="14"/>
      <c r="CO319" s="14"/>
      <c r="CP319" s="14"/>
      <c r="CQ319" s="14"/>
      <c r="CR319" s="14"/>
      <c r="CS319" s="14"/>
      <c r="CT319" s="14"/>
      <c r="CU319" s="14"/>
      <c r="CV319" s="14"/>
      <c r="CW319" s="14"/>
      <c r="CX319" s="14"/>
      <c r="CY319" s="14"/>
      <c r="CZ319" s="14"/>
      <c r="DA319" s="14"/>
      <c r="DB319" s="14"/>
      <c r="DC319" s="14"/>
      <c r="DD319" s="14"/>
      <c r="DE319" s="14"/>
      <c r="DF319" s="14"/>
      <c r="DG319" s="14"/>
      <c r="DH319" s="14"/>
      <c r="DI319" s="14"/>
      <c r="DJ319" s="14"/>
      <c r="DK319" s="14"/>
      <c r="DL319" s="14"/>
      <c r="DM319" s="14"/>
      <c r="DN319" s="14"/>
      <c r="DO319" s="14"/>
      <c r="DP319" s="14"/>
      <c r="DQ319" s="14"/>
      <c r="DR319" s="14"/>
      <c r="DS319" s="14"/>
      <c r="DT319" s="14"/>
      <c r="DU319" s="14"/>
      <c r="DV319" s="14"/>
      <c r="DW319" s="14"/>
      <c r="DX319" s="14"/>
      <c r="DY319" s="14"/>
      <c r="DZ319" s="14"/>
      <c r="EA319" s="14"/>
      <c r="EB319" s="14"/>
      <c r="EC319" s="14"/>
    </row>
    <row r="320" spans="1:133" x14ac:dyDescent="0.25">
      <c r="A320" s="57" t="s">
        <v>8</v>
      </c>
      <c r="B320" s="58" t="s">
        <v>9</v>
      </c>
      <c r="C320" s="34" t="s">
        <v>10</v>
      </c>
      <c r="D320" s="34" t="s">
        <v>340</v>
      </c>
      <c r="E320" s="16" t="s">
        <v>65</v>
      </c>
    </row>
    <row r="321" spans="1:133" ht="64.8" x14ac:dyDescent="0.25">
      <c r="A321" s="15" t="s">
        <v>94</v>
      </c>
      <c r="B321" s="25" t="s">
        <v>95</v>
      </c>
      <c r="C321" s="35" t="s">
        <v>96</v>
      </c>
      <c r="D321" s="35" t="s">
        <v>97</v>
      </c>
      <c r="E321" s="16">
        <v>0</v>
      </c>
    </row>
    <row r="323" spans="1:133" x14ac:dyDescent="0.25">
      <c r="A323" s="158" t="s">
        <v>98</v>
      </c>
      <c r="B323" s="158"/>
      <c r="C323" s="158"/>
      <c r="D323" s="158"/>
      <c r="E323" s="158"/>
    </row>
    <row r="324" spans="1:133" x14ac:dyDescent="0.25">
      <c r="A324" s="57" t="s">
        <v>8</v>
      </c>
      <c r="B324" s="58" t="s">
        <v>9</v>
      </c>
      <c r="C324" s="34" t="s">
        <v>10</v>
      </c>
      <c r="D324" s="34" t="s">
        <v>340</v>
      </c>
      <c r="E324" s="16" t="s">
        <v>65</v>
      </c>
    </row>
    <row r="325" spans="1:133" ht="49.2" x14ac:dyDescent="0.25">
      <c r="A325" s="15" t="s">
        <v>99</v>
      </c>
      <c r="B325" s="25" t="s">
        <v>95</v>
      </c>
      <c r="C325" s="35" t="s">
        <v>100</v>
      </c>
      <c r="D325" s="35" t="s">
        <v>101</v>
      </c>
      <c r="E325" s="16">
        <v>0</v>
      </c>
    </row>
    <row r="327" spans="1:133" x14ac:dyDescent="0.25">
      <c r="A327" s="57" t="s">
        <v>8</v>
      </c>
      <c r="B327" s="58" t="s">
        <v>9</v>
      </c>
      <c r="C327" s="34" t="s">
        <v>10</v>
      </c>
      <c r="D327" s="34" t="s">
        <v>340</v>
      </c>
      <c r="E327" s="16" t="s">
        <v>65</v>
      </c>
    </row>
    <row r="328" spans="1:133" ht="18" x14ac:dyDescent="0.25">
      <c r="A328" s="59" t="s">
        <v>102</v>
      </c>
      <c r="B328" s="25" t="s">
        <v>103</v>
      </c>
      <c r="C328" s="35" t="s">
        <v>104</v>
      </c>
      <c r="D328" s="53" t="s">
        <v>380</v>
      </c>
      <c r="E328" s="18">
        <f>ROUNDDOWN(E278+E309+E304+E321+E325,0)</f>
        <v>4328</v>
      </c>
    </row>
    <row r="329" spans="1:133" s="167" customFormat="1" ht="43.2" customHeight="1" x14ac:dyDescent="0.25">
      <c r="A329" s="167" t="s">
        <v>225</v>
      </c>
    </row>
    <row r="330" spans="1:133" s="56" customFormat="1" ht="31.2" x14ac:dyDescent="0.25">
      <c r="A330" s="92" t="s">
        <v>8</v>
      </c>
      <c r="B330" s="93" t="s">
        <v>9</v>
      </c>
      <c r="C330" s="94" t="s">
        <v>10</v>
      </c>
      <c r="D330" s="93" t="s">
        <v>341</v>
      </c>
      <c r="E330" s="93" t="s">
        <v>11</v>
      </c>
      <c r="F330" s="16" t="s">
        <v>312</v>
      </c>
      <c r="G330" s="16" t="s">
        <v>313</v>
      </c>
      <c r="H330" s="16" t="s">
        <v>314</v>
      </c>
      <c r="I330" s="16" t="s">
        <v>315</v>
      </c>
      <c r="J330" s="16" t="s">
        <v>316</v>
      </c>
      <c r="K330" s="16" t="s">
        <v>317</v>
      </c>
      <c r="L330" s="16" t="s">
        <v>318</v>
      </c>
      <c r="M330" s="16" t="s">
        <v>319</v>
      </c>
      <c r="N330" s="16" t="s">
        <v>320</v>
      </c>
      <c r="O330" s="16" t="s">
        <v>293</v>
      </c>
      <c r="P330" s="16" t="s">
        <v>294</v>
      </c>
      <c r="Q330" s="16" t="s">
        <v>295</v>
      </c>
      <c r="R330" s="54"/>
      <c r="S330" s="54"/>
      <c r="T330" s="54"/>
      <c r="U330" s="54"/>
      <c r="V330" s="54"/>
      <c r="W330" s="54"/>
      <c r="X330" s="54"/>
      <c r="Y330" s="54"/>
      <c r="Z330" s="54"/>
      <c r="AA330" s="54"/>
      <c r="AB330" s="54"/>
      <c r="AC330" s="54"/>
      <c r="AD330" s="54"/>
      <c r="AE330" s="54"/>
      <c r="AF330" s="54"/>
      <c r="AG330" s="54"/>
      <c r="AH330" s="54"/>
      <c r="AI330" s="54"/>
      <c r="AJ330" s="54"/>
      <c r="AK330" s="54"/>
      <c r="AL330" s="54"/>
      <c r="AM330" s="54"/>
      <c r="AN330" s="54"/>
      <c r="AO330" s="54"/>
      <c r="AP330" s="54"/>
      <c r="AQ330" s="54"/>
      <c r="AR330" s="54"/>
      <c r="AS330" s="54"/>
      <c r="AT330" s="54"/>
      <c r="AU330" s="54"/>
      <c r="AV330" s="54"/>
      <c r="AW330" s="54"/>
      <c r="AX330" s="54"/>
      <c r="AY330" s="54"/>
      <c r="AZ330" s="54"/>
      <c r="BA330" s="54"/>
      <c r="BB330" s="54"/>
      <c r="BC330" s="54"/>
      <c r="BD330" s="54"/>
      <c r="BE330" s="54"/>
      <c r="BF330" s="54"/>
      <c r="BG330" s="54"/>
      <c r="BH330" s="54"/>
      <c r="BI330" s="54"/>
      <c r="BJ330" s="54"/>
      <c r="BK330" s="54"/>
      <c r="BL330" s="54"/>
      <c r="BM330" s="54"/>
      <c r="BN330" s="54"/>
      <c r="BO330" s="54"/>
      <c r="BP330" s="54"/>
      <c r="BQ330" s="54"/>
      <c r="BR330" s="54"/>
      <c r="BS330" s="54"/>
      <c r="BT330" s="54"/>
      <c r="BU330" s="54"/>
      <c r="BV330" s="54"/>
      <c r="BW330" s="54"/>
      <c r="BX330" s="54"/>
      <c r="BY330" s="54"/>
      <c r="BZ330" s="54"/>
      <c r="CA330" s="54"/>
      <c r="CB330" s="54"/>
      <c r="CC330" s="54"/>
      <c r="CD330" s="54"/>
      <c r="CE330" s="54"/>
      <c r="CF330" s="54"/>
      <c r="CG330" s="54"/>
      <c r="CH330" s="54"/>
      <c r="CI330" s="54"/>
      <c r="CJ330" s="54"/>
      <c r="CK330" s="54"/>
      <c r="CL330" s="54"/>
      <c r="CM330" s="54"/>
      <c r="CN330" s="54"/>
      <c r="CO330" s="54"/>
      <c r="CP330" s="54"/>
      <c r="CQ330" s="54"/>
      <c r="CR330" s="54"/>
      <c r="CS330" s="54"/>
      <c r="CT330" s="54"/>
      <c r="CU330" s="54"/>
      <c r="CV330" s="54"/>
      <c r="CW330" s="54"/>
      <c r="CX330" s="54"/>
      <c r="CY330" s="54"/>
      <c r="CZ330" s="54"/>
      <c r="DA330" s="54"/>
      <c r="DB330" s="54"/>
      <c r="DC330" s="54"/>
      <c r="DD330" s="54"/>
      <c r="DE330" s="54"/>
      <c r="DF330" s="54"/>
      <c r="DG330" s="54"/>
      <c r="DH330" s="54"/>
      <c r="DI330" s="54"/>
      <c r="DJ330" s="54"/>
      <c r="DK330" s="54"/>
      <c r="DL330" s="54"/>
      <c r="DM330" s="54"/>
      <c r="DN330" s="54"/>
      <c r="DO330" s="54"/>
      <c r="DP330" s="54"/>
      <c r="DQ330" s="54"/>
      <c r="DR330" s="54"/>
      <c r="DS330" s="54"/>
      <c r="DT330" s="54"/>
      <c r="DU330" s="54"/>
      <c r="DV330" s="54"/>
      <c r="DW330" s="54"/>
      <c r="DX330" s="54"/>
      <c r="DY330" s="54"/>
      <c r="DZ330" s="54"/>
      <c r="EA330" s="54"/>
      <c r="EB330" s="54"/>
      <c r="EC330" s="54"/>
    </row>
    <row r="331" spans="1:133" s="56" customFormat="1" x14ac:dyDescent="0.25">
      <c r="A331" s="178" t="s">
        <v>12</v>
      </c>
      <c r="B331" s="178"/>
      <c r="C331" s="179"/>
      <c r="D331" s="179"/>
      <c r="E331" s="178"/>
      <c r="F331" s="16">
        <v>31</v>
      </c>
      <c r="G331" s="16">
        <v>28</v>
      </c>
      <c r="H331" s="16">
        <v>31</v>
      </c>
      <c r="I331" s="16">
        <v>30</v>
      </c>
      <c r="J331" s="16">
        <v>31</v>
      </c>
      <c r="K331" s="16">
        <v>30</v>
      </c>
      <c r="L331" s="16">
        <v>31</v>
      </c>
      <c r="M331" s="16">
        <v>31</v>
      </c>
      <c r="N331" s="16">
        <v>30</v>
      </c>
      <c r="O331" s="16">
        <v>31</v>
      </c>
      <c r="P331" s="16">
        <v>30</v>
      </c>
      <c r="Q331" s="16">
        <v>31</v>
      </c>
      <c r="R331" s="54"/>
      <c r="S331" s="54"/>
      <c r="T331" s="54"/>
      <c r="U331" s="54"/>
      <c r="V331" s="54"/>
      <c r="W331" s="54"/>
      <c r="X331" s="54"/>
      <c r="Y331" s="54"/>
      <c r="Z331" s="54"/>
      <c r="AA331" s="54"/>
      <c r="AB331" s="54"/>
      <c r="AC331" s="54"/>
      <c r="AD331" s="54"/>
      <c r="AE331" s="54"/>
      <c r="AF331" s="54"/>
      <c r="AG331" s="54"/>
      <c r="AH331" s="54"/>
      <c r="AI331" s="54"/>
      <c r="AJ331" s="54"/>
      <c r="AK331" s="54"/>
      <c r="AL331" s="54"/>
      <c r="AM331" s="54"/>
      <c r="AN331" s="54"/>
      <c r="AO331" s="54"/>
      <c r="AP331" s="54"/>
      <c r="AQ331" s="54"/>
      <c r="AR331" s="54"/>
      <c r="AS331" s="54"/>
      <c r="AT331" s="54"/>
      <c r="AU331" s="54"/>
      <c r="AV331" s="54"/>
      <c r="AW331" s="54"/>
      <c r="AX331" s="54"/>
      <c r="AY331" s="54"/>
      <c r="AZ331" s="54"/>
      <c r="BA331" s="54"/>
      <c r="BB331" s="54"/>
      <c r="BC331" s="54"/>
      <c r="BD331" s="54"/>
      <c r="BE331" s="54"/>
      <c r="BF331" s="54"/>
      <c r="BG331" s="54"/>
      <c r="BH331" s="54"/>
      <c r="BI331" s="54"/>
      <c r="BJ331" s="54"/>
      <c r="BK331" s="54"/>
      <c r="BL331" s="54"/>
      <c r="BM331" s="54"/>
      <c r="BN331" s="54"/>
      <c r="BO331" s="54"/>
      <c r="BP331" s="54"/>
      <c r="BQ331" s="54"/>
      <c r="BR331" s="54"/>
      <c r="BS331" s="54"/>
      <c r="BT331" s="54"/>
      <c r="BU331" s="54"/>
      <c r="BV331" s="54"/>
      <c r="BW331" s="54"/>
      <c r="BX331" s="54"/>
      <c r="BY331" s="54"/>
      <c r="BZ331" s="54"/>
      <c r="CA331" s="54"/>
      <c r="CB331" s="54"/>
      <c r="CC331" s="54"/>
      <c r="CD331" s="54"/>
      <c r="CE331" s="54"/>
      <c r="CF331" s="54"/>
      <c r="CG331" s="54"/>
      <c r="CH331" s="54"/>
      <c r="CI331" s="54"/>
      <c r="CJ331" s="54"/>
      <c r="CK331" s="54"/>
      <c r="CL331" s="54"/>
      <c r="CM331" s="54"/>
      <c r="CN331" s="54"/>
      <c r="CO331" s="54"/>
      <c r="CP331" s="54"/>
      <c r="CQ331" s="54"/>
      <c r="CR331" s="54"/>
      <c r="CS331" s="54"/>
      <c r="CT331" s="54"/>
      <c r="CU331" s="54"/>
      <c r="CV331" s="54"/>
      <c r="CW331" s="54"/>
      <c r="CX331" s="54"/>
      <c r="CY331" s="54"/>
      <c r="CZ331" s="54"/>
      <c r="DA331" s="54"/>
      <c r="DB331" s="54"/>
      <c r="DC331" s="54"/>
      <c r="DD331" s="54"/>
      <c r="DE331" s="54"/>
      <c r="DF331" s="54"/>
      <c r="DG331" s="54"/>
      <c r="DH331" s="54"/>
      <c r="DI331" s="54"/>
      <c r="DJ331" s="54"/>
      <c r="DK331" s="54"/>
      <c r="DL331" s="54"/>
      <c r="DM331" s="54"/>
      <c r="DN331" s="54"/>
      <c r="DO331" s="54"/>
      <c r="DP331" s="54"/>
      <c r="DQ331" s="54"/>
      <c r="DR331" s="54"/>
      <c r="DS331" s="54"/>
      <c r="DT331" s="54"/>
      <c r="DU331" s="54"/>
      <c r="DV331" s="54"/>
      <c r="DW331" s="54"/>
      <c r="DX331" s="54"/>
      <c r="DY331" s="54"/>
      <c r="DZ331" s="54"/>
      <c r="EA331" s="54"/>
      <c r="EB331" s="54"/>
      <c r="EC331" s="54"/>
    </row>
    <row r="332" spans="1:133" ht="46.8" x14ac:dyDescent="0.25">
      <c r="A332" s="59" t="s">
        <v>13</v>
      </c>
      <c r="B332" s="60" t="s">
        <v>14</v>
      </c>
      <c r="C332" s="53" t="s">
        <v>15</v>
      </c>
      <c r="D332" s="53" t="s">
        <v>369</v>
      </c>
      <c r="E332" s="61">
        <f>SUM(F332:Q332)</f>
        <v>4805.284714225636</v>
      </c>
      <c r="F332" s="62">
        <f>$E$333*$E$334*F335*$E$346</f>
        <v>411.10485259907466</v>
      </c>
      <c r="G332" s="62">
        <f t="shared" ref="G332:Q332" si="42">$E$333*$E$334*G335*$E$346</f>
        <v>371.48219545633435</v>
      </c>
      <c r="H332" s="62">
        <f t="shared" si="42"/>
        <v>411.06438379018141</v>
      </c>
      <c r="I332" s="62">
        <f t="shared" si="42"/>
        <v>397.61520443177864</v>
      </c>
      <c r="J332" s="62">
        <f t="shared" si="42"/>
        <v>429.44730384108038</v>
      </c>
      <c r="K332" s="62">
        <f t="shared" si="42"/>
        <v>368.80597139045744</v>
      </c>
      <c r="L332" s="62">
        <f t="shared" si="42"/>
        <v>381.39674339383635</v>
      </c>
      <c r="M332" s="62">
        <f t="shared" si="42"/>
        <v>381.31215404487546</v>
      </c>
      <c r="N332" s="62">
        <f t="shared" si="42"/>
        <v>415.21379791737934</v>
      </c>
      <c r="O332" s="62">
        <f t="shared" si="42"/>
        <v>429.31094094719236</v>
      </c>
      <c r="P332" s="62">
        <f t="shared" si="42"/>
        <v>397.60366103635494</v>
      </c>
      <c r="Q332" s="62">
        <f t="shared" si="42"/>
        <v>410.92750537708969</v>
      </c>
    </row>
    <row r="333" spans="1:133" ht="31.2" x14ac:dyDescent="0.25">
      <c r="A333" s="63" t="s">
        <v>16</v>
      </c>
      <c r="B333" s="60" t="s">
        <v>193</v>
      </c>
      <c r="C333" s="35" t="s">
        <v>17</v>
      </c>
      <c r="D333" s="35" t="s">
        <v>205</v>
      </c>
      <c r="E333" s="176">
        <v>28</v>
      </c>
      <c r="F333" s="176"/>
      <c r="G333" s="176"/>
      <c r="H333" s="176"/>
      <c r="I333" s="176"/>
      <c r="J333" s="176"/>
      <c r="K333" s="176"/>
      <c r="L333" s="176"/>
      <c r="M333" s="176"/>
      <c r="N333" s="176"/>
      <c r="O333" s="176"/>
      <c r="P333" s="176"/>
      <c r="Q333" s="176"/>
    </row>
    <row r="334" spans="1:133" ht="64.8" x14ac:dyDescent="0.25">
      <c r="A334" s="63" t="s">
        <v>18</v>
      </c>
      <c r="B334" s="25" t="s">
        <v>194</v>
      </c>
      <c r="C334" s="35" t="s">
        <v>20</v>
      </c>
      <c r="D334" s="35" t="s">
        <v>394</v>
      </c>
      <c r="E334" s="176">
        <v>0.21</v>
      </c>
      <c r="F334" s="176"/>
      <c r="G334" s="176"/>
      <c r="H334" s="176"/>
      <c r="I334" s="176"/>
      <c r="J334" s="176"/>
      <c r="K334" s="176"/>
      <c r="L334" s="176"/>
      <c r="M334" s="176"/>
      <c r="N334" s="176"/>
      <c r="O334" s="176"/>
      <c r="P334" s="176"/>
      <c r="Q334" s="176"/>
    </row>
    <row r="335" spans="1:133" ht="46.8" x14ac:dyDescent="0.25">
      <c r="A335" s="35" t="s">
        <v>21</v>
      </c>
      <c r="B335" s="25" t="s">
        <v>195</v>
      </c>
      <c r="C335" s="53" t="s">
        <v>22</v>
      </c>
      <c r="D335" s="53" t="s">
        <v>370</v>
      </c>
      <c r="E335" s="64">
        <f t="shared" ref="E335:Q335" si="43">E343*E336</f>
        <v>1386.1228854908043</v>
      </c>
      <c r="F335" s="64">
        <f t="shared" si="43"/>
        <v>118.58648933681974</v>
      </c>
      <c r="G335" s="64">
        <f t="shared" si="43"/>
        <v>107.15701634702656</v>
      </c>
      <c r="H335" s="64">
        <f t="shared" si="43"/>
        <v>118.57481578457643</v>
      </c>
      <c r="I335" s="64">
        <f t="shared" si="43"/>
        <v>114.69529221658391</v>
      </c>
      <c r="J335" s="64">
        <f t="shared" si="43"/>
        <v>123.87751639444136</v>
      </c>
      <c r="K335" s="64">
        <f t="shared" si="43"/>
        <v>106.38503806789745</v>
      </c>
      <c r="L335" s="64">
        <f t="shared" si="43"/>
        <v>110.01694715503524</v>
      </c>
      <c r="M335" s="64">
        <f t="shared" si="43"/>
        <v>109.99254667942631</v>
      </c>
      <c r="N335" s="64">
        <f t="shared" si="43"/>
        <v>119.77174754307573</v>
      </c>
      <c r="O335" s="64">
        <f t="shared" si="43"/>
        <v>123.8381814248837</v>
      </c>
      <c r="P335" s="64">
        <f t="shared" si="43"/>
        <v>114.69196243166489</v>
      </c>
      <c r="Q335" s="64">
        <f t="shared" si="43"/>
        <v>118.53533210937309</v>
      </c>
    </row>
    <row r="336" spans="1:133" ht="46.8" x14ac:dyDescent="0.25">
      <c r="A336" s="35" t="s">
        <v>23</v>
      </c>
      <c r="B336" s="25" t="s">
        <v>197</v>
      </c>
      <c r="C336" s="35" t="s">
        <v>191</v>
      </c>
      <c r="D336" s="35" t="s">
        <v>371</v>
      </c>
      <c r="E336" s="20">
        <f>SUM(F336:Q336)</f>
        <v>1461.6277559322173</v>
      </c>
      <c r="F336" s="20">
        <f>F338*F341</f>
        <v>125.04613126842824</v>
      </c>
      <c r="G336" s="20">
        <f t="shared" ref="G336:Q336" si="44">G338*G341</f>
        <v>112.99407215272862</v>
      </c>
      <c r="H336" s="20">
        <f t="shared" si="44"/>
        <v>125.03382183457663</v>
      </c>
      <c r="I336" s="20">
        <f t="shared" si="44"/>
        <v>120.94297290182617</v>
      </c>
      <c r="J336" s="20">
        <f t="shared" si="44"/>
        <v>130.62537109323628</v>
      </c>
      <c r="K336" s="20">
        <f t="shared" si="44"/>
        <v>112.1800426813428</v>
      </c>
      <c r="L336" s="20">
        <f t="shared" si="44"/>
        <v>116.00978907998433</v>
      </c>
      <c r="M336" s="20">
        <f t="shared" si="44"/>
        <v>115.98405946193873</v>
      </c>
      <c r="N336" s="20">
        <f t="shared" si="44"/>
        <v>126.29595284654667</v>
      </c>
      <c r="O336" s="20">
        <f t="shared" si="44"/>
        <v>130.58389346965325</v>
      </c>
      <c r="P336" s="20">
        <f t="shared" si="44"/>
        <v>120.93946173689997</v>
      </c>
      <c r="Q336" s="20">
        <f t="shared" si="44"/>
        <v>124.99218740505563</v>
      </c>
    </row>
    <row r="337" spans="1:133" ht="62.4" x14ac:dyDescent="0.25">
      <c r="A337" s="17" t="s">
        <v>335</v>
      </c>
      <c r="B337" s="60" t="s">
        <v>192</v>
      </c>
      <c r="C337" s="35" t="s">
        <v>25</v>
      </c>
      <c r="D337" s="35" t="s">
        <v>333</v>
      </c>
      <c r="E337" s="121">
        <f>AVERAGE(F337:Q337)</f>
        <v>10991.394616237842</v>
      </c>
      <c r="F337" s="121">
        <v>10751.269258064518</v>
      </c>
      <c r="G337" s="121">
        <v>10750.010035714287</v>
      </c>
      <c r="H337" s="121">
        <v>10752.707064516129</v>
      </c>
      <c r="I337" s="121">
        <v>10752.999633333333</v>
      </c>
      <c r="J337" s="121">
        <v>11230.384161290323</v>
      </c>
      <c r="K337" s="121">
        <v>11228.802633333335</v>
      </c>
      <c r="L337" s="121">
        <v>11232.832193548384</v>
      </c>
      <c r="M337" s="121">
        <v>11232.543290322581</v>
      </c>
      <c r="N337" s="121">
        <v>11230.9324</v>
      </c>
      <c r="O337" s="121">
        <v>11232.129354838711</v>
      </c>
      <c r="P337" s="121">
        <v>10749.099466666665</v>
      </c>
      <c r="Q337" s="121">
        <v>10753.025903225807</v>
      </c>
    </row>
    <row r="338" spans="1:133" ht="46.8" x14ac:dyDescent="0.25">
      <c r="A338" s="35" t="s">
        <v>26</v>
      </c>
      <c r="B338" s="60" t="s">
        <v>198</v>
      </c>
      <c r="C338" s="35" t="s">
        <v>27</v>
      </c>
      <c r="D338" s="35" t="s">
        <v>206</v>
      </c>
      <c r="E338" s="65">
        <f>SUM(F338:Q338)</f>
        <v>4012586.9330000007</v>
      </c>
      <c r="F338" s="65">
        <f>F337*F331</f>
        <v>333289.34700000007</v>
      </c>
      <c r="G338" s="65">
        <f t="shared" ref="G338:Q338" si="45">G337*G331</f>
        <v>301000.28100000008</v>
      </c>
      <c r="H338" s="65">
        <f t="shared" si="45"/>
        <v>333333.91899999999</v>
      </c>
      <c r="I338" s="65">
        <f t="shared" si="45"/>
        <v>322589.989</v>
      </c>
      <c r="J338" s="65">
        <f t="shared" si="45"/>
        <v>348141.90900000004</v>
      </c>
      <c r="K338" s="65">
        <f t="shared" si="45"/>
        <v>336864.07900000003</v>
      </c>
      <c r="L338" s="65">
        <f t="shared" si="45"/>
        <v>348217.79799999989</v>
      </c>
      <c r="M338" s="65">
        <f t="shared" si="45"/>
        <v>348208.842</v>
      </c>
      <c r="N338" s="65">
        <f t="shared" si="45"/>
        <v>336927.97200000001</v>
      </c>
      <c r="O338" s="65">
        <f t="shared" si="45"/>
        <v>348196.01000000007</v>
      </c>
      <c r="P338" s="65">
        <f t="shared" si="45"/>
        <v>322472.98399999994</v>
      </c>
      <c r="Q338" s="65">
        <f t="shared" si="45"/>
        <v>333343.80300000001</v>
      </c>
    </row>
    <row r="339" spans="1:133" ht="62.4" x14ac:dyDescent="0.25">
      <c r="A339" s="35" t="s">
        <v>28</v>
      </c>
      <c r="B339" s="60" t="s">
        <v>199</v>
      </c>
      <c r="C339" s="35" t="s">
        <v>29</v>
      </c>
      <c r="D339" s="35" t="s">
        <v>332</v>
      </c>
      <c r="E339" s="125">
        <f>AVERAGE(F339:Q339)</f>
        <v>364.57788421217577</v>
      </c>
      <c r="F339" s="125">
        <v>375.18790322580639</v>
      </c>
      <c r="G339" s="125">
        <v>375.3952380952382</v>
      </c>
      <c r="H339" s="125">
        <v>375.10080645161298</v>
      </c>
      <c r="I339" s="125">
        <v>374.91235632183913</v>
      </c>
      <c r="J339" s="125">
        <v>375.20725806451605</v>
      </c>
      <c r="K339" s="125">
        <v>333.01277777777784</v>
      </c>
      <c r="L339" s="125">
        <v>333.15295698924723</v>
      </c>
      <c r="M339" s="125">
        <v>333.08763440860218</v>
      </c>
      <c r="N339" s="125">
        <v>374.84555555555556</v>
      </c>
      <c r="O339" s="125">
        <v>375.02983870967739</v>
      </c>
      <c r="P339" s="125">
        <v>375.03750000000002</v>
      </c>
      <c r="Q339" s="125">
        <v>374.96478494623653</v>
      </c>
    </row>
    <row r="340" spans="1:133" ht="62.4" x14ac:dyDescent="0.25">
      <c r="A340" s="35" t="s">
        <v>30</v>
      </c>
      <c r="B340" s="60" t="s">
        <v>199</v>
      </c>
      <c r="C340" s="35" t="s">
        <v>31</v>
      </c>
      <c r="D340" s="35" t="s">
        <v>331</v>
      </c>
      <c r="E340" s="125">
        <f>AVERAGE(F340:Q340)</f>
        <v>17.662005373401367</v>
      </c>
      <c r="F340" s="125">
        <v>17.820161290322581</v>
      </c>
      <c r="G340" s="125">
        <v>17.75178571428571</v>
      </c>
      <c r="H340" s="125">
        <v>17.71397849462366</v>
      </c>
      <c r="I340" s="125">
        <v>18.255459770114943</v>
      </c>
      <c r="J340" s="125">
        <v>17.293548387096774</v>
      </c>
      <c r="K340" s="125">
        <v>17.697500000000005</v>
      </c>
      <c r="L340" s="125">
        <v>17.648924731182795</v>
      </c>
      <c r="M340" s="125">
        <v>17.874731182795699</v>
      </c>
      <c r="N340" s="125">
        <v>17.975555555555552</v>
      </c>
      <c r="O340" s="125">
        <v>17.121505376344086</v>
      </c>
      <c r="P340" s="125">
        <v>17.376666666666665</v>
      </c>
      <c r="Q340" s="125">
        <v>17.414247311827953</v>
      </c>
    </row>
    <row r="341" spans="1:133" ht="62.4" x14ac:dyDescent="0.25">
      <c r="A341" s="35" t="s">
        <v>32</v>
      </c>
      <c r="B341" s="60" t="s">
        <v>200</v>
      </c>
      <c r="C341" s="35" t="s">
        <v>34</v>
      </c>
      <c r="D341" s="35" t="s">
        <v>338</v>
      </c>
      <c r="E341" s="122">
        <f>E339/1000000</f>
        <v>3.645778842121758E-4</v>
      </c>
      <c r="F341" s="120">
        <f>F339/1000000</f>
        <v>3.751879032258064E-4</v>
      </c>
      <c r="G341" s="120">
        <f t="shared" ref="G341:Q342" si="46">G339/1000000</f>
        <v>3.7539523809523818E-4</v>
      </c>
      <c r="H341" s="120">
        <f t="shared" si="46"/>
        <v>3.7510080645161296E-4</v>
      </c>
      <c r="I341" s="120">
        <f t="shared" si="46"/>
        <v>3.7491235632183915E-4</v>
      </c>
      <c r="J341" s="120">
        <f t="shared" si="46"/>
        <v>3.7520725806451606E-4</v>
      </c>
      <c r="K341" s="120">
        <f t="shared" si="46"/>
        <v>3.3301277777777783E-4</v>
      </c>
      <c r="L341" s="120">
        <f t="shared" si="46"/>
        <v>3.331529569892472E-4</v>
      </c>
      <c r="M341" s="120">
        <f t="shared" si="46"/>
        <v>3.3308763440860218E-4</v>
      </c>
      <c r="N341" s="120">
        <f t="shared" si="46"/>
        <v>3.7484555555555556E-4</v>
      </c>
      <c r="O341" s="120">
        <f t="shared" si="46"/>
        <v>3.7502983870967737E-4</v>
      </c>
      <c r="P341" s="120">
        <f t="shared" si="46"/>
        <v>3.750375E-4</v>
      </c>
      <c r="Q341" s="120">
        <f t="shared" si="46"/>
        <v>3.7496478494623652E-4</v>
      </c>
    </row>
    <row r="342" spans="1:133" ht="62.4" x14ac:dyDescent="0.25">
      <c r="A342" s="35" t="s">
        <v>30</v>
      </c>
      <c r="B342" s="60" t="s">
        <v>33</v>
      </c>
      <c r="C342" s="35" t="s">
        <v>35</v>
      </c>
      <c r="D342" s="35" t="s">
        <v>339</v>
      </c>
      <c r="E342" s="122">
        <f>E340/1000000</f>
        <v>1.7662005373401368E-5</v>
      </c>
      <c r="F342" s="120">
        <f>F340/1000000</f>
        <v>1.7820161290322582E-5</v>
      </c>
      <c r="G342" s="120">
        <f t="shared" si="46"/>
        <v>1.7751785714285711E-5</v>
      </c>
      <c r="H342" s="120">
        <f t="shared" si="46"/>
        <v>1.771397849462366E-5</v>
      </c>
      <c r="I342" s="120">
        <f t="shared" si="46"/>
        <v>1.8255459770114942E-5</v>
      </c>
      <c r="J342" s="120">
        <f t="shared" si="46"/>
        <v>1.7293548387096775E-5</v>
      </c>
      <c r="K342" s="120">
        <f t="shared" si="46"/>
        <v>1.7697500000000005E-5</v>
      </c>
      <c r="L342" s="120">
        <f t="shared" si="46"/>
        <v>1.7648924731182796E-5</v>
      </c>
      <c r="M342" s="120">
        <f t="shared" si="46"/>
        <v>1.7874731182795698E-5</v>
      </c>
      <c r="N342" s="120">
        <f t="shared" si="46"/>
        <v>1.7975555555555552E-5</v>
      </c>
      <c r="O342" s="120">
        <f t="shared" si="46"/>
        <v>1.7121505376344086E-5</v>
      </c>
      <c r="P342" s="120">
        <f t="shared" si="46"/>
        <v>1.7376666666666666E-5</v>
      </c>
      <c r="Q342" s="120">
        <f t="shared" si="46"/>
        <v>1.7414247311827955E-5</v>
      </c>
    </row>
    <row r="343" spans="1:133" ht="46.8" x14ac:dyDescent="0.25">
      <c r="A343" s="63" t="s">
        <v>36</v>
      </c>
      <c r="B343" s="25" t="s">
        <v>201</v>
      </c>
      <c r="C343" s="35" t="s">
        <v>38</v>
      </c>
      <c r="D343" s="35" t="s">
        <v>368</v>
      </c>
      <c r="E343" s="68">
        <f>(1-(E344/E345))</f>
        <v>0.94834192896586289</v>
      </c>
      <c r="F343" s="68">
        <f>E343</f>
        <v>0.94834192896586289</v>
      </c>
      <c r="G343" s="68">
        <f>E343</f>
        <v>0.94834192896586289</v>
      </c>
      <c r="H343" s="68">
        <f>E343</f>
        <v>0.94834192896586289</v>
      </c>
      <c r="I343" s="68">
        <f>E343</f>
        <v>0.94834192896586289</v>
      </c>
      <c r="J343" s="68">
        <f>E343</f>
        <v>0.94834192896586289</v>
      </c>
      <c r="K343" s="68">
        <f>E343</f>
        <v>0.94834192896586289</v>
      </c>
      <c r="L343" s="68">
        <f>E343</f>
        <v>0.94834192896586289</v>
      </c>
      <c r="M343" s="68">
        <f>E343</f>
        <v>0.94834192896586289</v>
      </c>
      <c r="N343" s="68">
        <f>E343</f>
        <v>0.94834192896586289</v>
      </c>
      <c r="O343" s="68">
        <f>E343</f>
        <v>0.94834192896586289</v>
      </c>
      <c r="P343" s="68">
        <f>E343</f>
        <v>0.94834192896586289</v>
      </c>
      <c r="Q343" s="68">
        <f>E343</f>
        <v>0.94834192896586289</v>
      </c>
    </row>
    <row r="344" spans="1:133" ht="31.2" x14ac:dyDescent="0.25">
      <c r="A344" s="35" t="s">
        <v>39</v>
      </c>
      <c r="B344" s="25" t="s">
        <v>196</v>
      </c>
      <c r="C344" s="35" t="s">
        <v>40</v>
      </c>
      <c r="D344" s="35" t="s">
        <v>351</v>
      </c>
      <c r="E344" s="52">
        <f>SUM(F344:Q344)</f>
        <v>75.21865833999999</v>
      </c>
      <c r="F344" s="52">
        <v>6.3884339959999989</v>
      </c>
      <c r="G344" s="52">
        <v>5.7701984480000004</v>
      </c>
      <c r="H344" s="52">
        <v>6.3884339959999989</v>
      </c>
      <c r="I344" s="52">
        <v>6.18235548</v>
      </c>
      <c r="J344" s="52">
        <v>6.3884339959999989</v>
      </c>
      <c r="K344" s="52">
        <v>6.18235548</v>
      </c>
      <c r="L344" s="52">
        <v>6.3884339959999989</v>
      </c>
      <c r="M344" s="52">
        <v>6.3884339959999989</v>
      </c>
      <c r="N344" s="52">
        <v>6.18235548</v>
      </c>
      <c r="O344" s="52">
        <v>6.3884339959999989</v>
      </c>
      <c r="P344" s="52">
        <v>6.18235548</v>
      </c>
      <c r="Q344" s="52">
        <v>6.3884339959999989</v>
      </c>
    </row>
    <row r="345" spans="1:133" ht="31.2" x14ac:dyDescent="0.25">
      <c r="A345" s="63" t="s">
        <v>41</v>
      </c>
      <c r="B345" s="25" t="s">
        <v>24</v>
      </c>
      <c r="C345" s="35" t="s">
        <v>42</v>
      </c>
      <c r="D345" s="35" t="s">
        <v>351</v>
      </c>
      <c r="E345" s="52">
        <f>SUM(F345:Q345)</f>
        <v>1456.0872451140001</v>
      </c>
      <c r="F345" s="52">
        <v>123.66768383160002</v>
      </c>
      <c r="G345" s="52">
        <v>111.69984346080001</v>
      </c>
      <c r="H345" s="52">
        <v>123.66768383160002</v>
      </c>
      <c r="I345" s="52">
        <v>119.67840370799999</v>
      </c>
      <c r="J345" s="52">
        <v>123.66768383160002</v>
      </c>
      <c r="K345" s="52">
        <v>119.67840370799999</v>
      </c>
      <c r="L345" s="52">
        <v>123.66768383160002</v>
      </c>
      <c r="M345" s="52">
        <v>123.66768383160002</v>
      </c>
      <c r="N345" s="52">
        <v>119.67840370799999</v>
      </c>
      <c r="O345" s="52">
        <v>123.66768383160002</v>
      </c>
      <c r="P345" s="52">
        <v>119.67840370799999</v>
      </c>
      <c r="Q345" s="52">
        <v>123.66768383160002</v>
      </c>
    </row>
    <row r="346" spans="1:133" ht="31.2" x14ac:dyDescent="0.25">
      <c r="A346" s="53" t="s">
        <v>43</v>
      </c>
      <c r="B346" s="25" t="s">
        <v>201</v>
      </c>
      <c r="C346" s="53" t="s">
        <v>44</v>
      </c>
      <c r="D346" s="35" t="s">
        <v>372</v>
      </c>
      <c r="E346" s="191">
        <f>E347*E348*0.89</f>
        <v>0.58957636446901696</v>
      </c>
      <c r="F346" s="191"/>
      <c r="G346" s="191"/>
      <c r="H346" s="191"/>
      <c r="I346" s="191"/>
      <c r="J346" s="191"/>
      <c r="K346" s="191"/>
      <c r="L346" s="191"/>
      <c r="M346" s="191"/>
      <c r="N346" s="191"/>
      <c r="O346" s="191"/>
      <c r="P346" s="191"/>
      <c r="Q346" s="191"/>
    </row>
    <row r="347" spans="1:133" ht="31.2" x14ac:dyDescent="0.25">
      <c r="A347" s="70" t="s">
        <v>45</v>
      </c>
      <c r="B347" s="25" t="s">
        <v>201</v>
      </c>
      <c r="C347" s="53" t="s">
        <v>46</v>
      </c>
      <c r="D347" s="35" t="s">
        <v>373</v>
      </c>
      <c r="E347" s="162">
        <v>0.7</v>
      </c>
      <c r="F347" s="163"/>
      <c r="G347" s="163"/>
      <c r="H347" s="163"/>
      <c r="I347" s="163"/>
      <c r="J347" s="163"/>
      <c r="K347" s="163"/>
      <c r="L347" s="163"/>
      <c r="M347" s="163"/>
      <c r="N347" s="163"/>
      <c r="O347" s="163"/>
      <c r="P347" s="163"/>
      <c r="Q347" s="164"/>
    </row>
    <row r="348" spans="1:133" ht="36" customHeight="1" x14ac:dyDescent="0.25">
      <c r="A348" s="70" t="s">
        <v>47</v>
      </c>
      <c r="B348" s="25" t="s">
        <v>37</v>
      </c>
      <c r="C348" s="53" t="s">
        <v>48</v>
      </c>
      <c r="D348" s="35" t="s">
        <v>374</v>
      </c>
      <c r="E348" s="159">
        <f>(F349*F354+G349*G354+H349*H354+I349*I354+J349*J354+K349*K354+L349*L354+M349*M354+N349*N354+O349*O354+P349*P354+Q349*Q354)/(F343*F338*F341+G343*G341*G338+H343*H338*H341+I343*I341*I338+J343*J341*J338+K343*K341*K338+L343*L341*L338+M343*M341*M338+N343*N341*N338+O343*O338*O341+P343*P341*P338+Q343*Q341*Q338)</f>
        <v>0.94635050476567728</v>
      </c>
      <c r="F348" s="160"/>
      <c r="G348" s="160"/>
      <c r="H348" s="160"/>
      <c r="I348" s="160"/>
      <c r="J348" s="160"/>
      <c r="K348" s="160"/>
      <c r="L348" s="160"/>
      <c r="M348" s="160"/>
      <c r="N348" s="160"/>
      <c r="O348" s="160"/>
      <c r="P348" s="160"/>
      <c r="Q348" s="161"/>
    </row>
    <row r="349" spans="1:133" s="9" customFormat="1" ht="46.8" x14ac:dyDescent="0.4">
      <c r="A349" s="71" t="s">
        <v>49</v>
      </c>
      <c r="B349" s="25" t="s">
        <v>37</v>
      </c>
      <c r="C349" s="53" t="s">
        <v>50</v>
      </c>
      <c r="D349" s="53" t="s">
        <v>375</v>
      </c>
      <c r="E349" s="72">
        <f>AVERAGE(F349:Q349)</f>
        <v>0.64054421729664701</v>
      </c>
      <c r="F349" s="72">
        <f>IF(F353&lt;283,0,IF(F353&gt;303,1,EXP(($E$350*(F353-$E$351))/($E$352*$E$351*F353))))</f>
        <v>0.25708890533410012</v>
      </c>
      <c r="G349" s="72">
        <f t="shared" ref="G349:Q349" si="47">IF(G353&lt;283,0,IF(G353&gt;303,1,EXP(($E$350*(G353-$E$351))/($E$352*$E$351*G353))))</f>
        <v>0.37002059672690846</v>
      </c>
      <c r="H349" s="72">
        <f t="shared" si="47"/>
        <v>0.44226396815696317</v>
      </c>
      <c r="I349" s="72">
        <f t="shared" si="47"/>
        <v>0.57531644493802248</v>
      </c>
      <c r="J349" s="72">
        <f t="shared" si="47"/>
        <v>0.88152221926734242</v>
      </c>
      <c r="K349" s="72">
        <f t="shared" si="47"/>
        <v>0.88152221926734242</v>
      </c>
      <c r="L349" s="72">
        <f t="shared" si="47"/>
        <v>0.95843738031531212</v>
      </c>
      <c r="M349" s="72">
        <f t="shared" si="47"/>
        <v>0.91923925774048054</v>
      </c>
      <c r="N349" s="72">
        <f t="shared" si="47"/>
        <v>1</v>
      </c>
      <c r="O349" s="72">
        <f t="shared" si="47"/>
        <v>0.65487347206548807</v>
      </c>
      <c r="P349" s="72">
        <f t="shared" si="47"/>
        <v>0.42307437878932203</v>
      </c>
      <c r="Q349" s="72">
        <f t="shared" si="47"/>
        <v>0.32317176495848171</v>
      </c>
      <c r="R349" s="78"/>
      <c r="S349" s="78"/>
      <c r="T349" s="78"/>
      <c r="U349" s="78"/>
      <c r="V349" s="78"/>
      <c r="W349" s="78"/>
      <c r="X349" s="78"/>
      <c r="Y349" s="78"/>
      <c r="Z349" s="78"/>
      <c r="AA349" s="78"/>
      <c r="AB349" s="78"/>
      <c r="AC349" s="78"/>
      <c r="AD349" s="78"/>
      <c r="AE349" s="78"/>
      <c r="AF349" s="78"/>
      <c r="AG349" s="78"/>
      <c r="AH349" s="78"/>
      <c r="AI349" s="78"/>
      <c r="AJ349" s="78"/>
      <c r="AK349" s="78"/>
      <c r="AL349" s="78"/>
      <c r="AM349" s="78"/>
      <c r="AN349" s="78"/>
      <c r="AO349" s="78"/>
      <c r="AP349" s="78"/>
      <c r="AQ349" s="78"/>
      <c r="AR349" s="78"/>
      <c r="AS349" s="78"/>
      <c r="AT349" s="78"/>
      <c r="AU349" s="78"/>
      <c r="AV349" s="78"/>
      <c r="AW349" s="78"/>
      <c r="AX349" s="78"/>
      <c r="AY349" s="78"/>
      <c r="AZ349" s="78"/>
      <c r="BA349" s="78"/>
      <c r="BB349" s="78"/>
      <c r="BC349" s="78"/>
      <c r="BD349" s="78"/>
      <c r="BE349" s="78"/>
      <c r="BF349" s="78"/>
      <c r="BG349" s="78"/>
      <c r="BH349" s="78"/>
      <c r="BI349" s="78"/>
      <c r="BJ349" s="78"/>
      <c r="BK349" s="78"/>
      <c r="BL349" s="78"/>
      <c r="BM349" s="78"/>
      <c r="BN349" s="78"/>
      <c r="BO349" s="78"/>
      <c r="BP349" s="78"/>
      <c r="BQ349" s="78"/>
      <c r="BR349" s="78"/>
      <c r="BS349" s="78"/>
      <c r="BT349" s="78"/>
      <c r="BU349" s="78"/>
      <c r="BV349" s="78"/>
      <c r="BW349" s="78"/>
      <c r="BX349" s="78"/>
      <c r="BY349" s="78"/>
      <c r="BZ349" s="78"/>
      <c r="CA349" s="78"/>
      <c r="CB349" s="78"/>
      <c r="CC349" s="78"/>
      <c r="CD349" s="78"/>
      <c r="CE349" s="78"/>
      <c r="CF349" s="78"/>
      <c r="CG349" s="78"/>
      <c r="CH349" s="78"/>
      <c r="CI349" s="78"/>
      <c r="CJ349" s="78"/>
      <c r="CK349" s="78"/>
      <c r="CL349" s="78"/>
      <c r="CM349" s="78"/>
      <c r="CN349" s="78"/>
      <c r="CO349" s="78"/>
      <c r="CP349" s="78"/>
      <c r="CQ349" s="78"/>
      <c r="CR349" s="78"/>
      <c r="CS349" s="78"/>
      <c r="CT349" s="78"/>
      <c r="CU349" s="78"/>
      <c r="CV349" s="78"/>
      <c r="CW349" s="78"/>
      <c r="CX349" s="78"/>
      <c r="CY349" s="78"/>
      <c r="CZ349" s="78"/>
      <c r="DA349" s="78"/>
      <c r="DB349" s="78"/>
      <c r="DC349" s="78"/>
      <c r="DD349" s="78"/>
      <c r="DE349" s="78"/>
      <c r="DF349" s="78"/>
      <c r="DG349" s="78"/>
      <c r="DH349" s="78"/>
      <c r="DI349" s="78"/>
      <c r="DJ349" s="78"/>
      <c r="DK349" s="78"/>
      <c r="DL349" s="78"/>
      <c r="DM349" s="78"/>
      <c r="DN349" s="78"/>
      <c r="DO349" s="78"/>
      <c r="DP349" s="78"/>
      <c r="DQ349" s="78"/>
      <c r="DR349" s="78"/>
      <c r="DS349" s="78"/>
      <c r="DT349" s="78"/>
      <c r="DU349" s="78"/>
      <c r="DV349" s="78"/>
      <c r="DW349" s="78"/>
      <c r="DX349" s="78"/>
      <c r="DY349" s="78"/>
      <c r="DZ349" s="78"/>
      <c r="EA349" s="78"/>
      <c r="EB349" s="78"/>
      <c r="EC349" s="78"/>
    </row>
    <row r="350" spans="1:133" s="9" customFormat="1" x14ac:dyDescent="0.25">
      <c r="A350" s="73" t="s">
        <v>51</v>
      </c>
      <c r="B350" s="60" t="s">
        <v>202</v>
      </c>
      <c r="C350" s="53" t="s">
        <v>53</v>
      </c>
      <c r="D350" s="53" t="s">
        <v>376</v>
      </c>
      <c r="E350" s="162">
        <v>15175</v>
      </c>
      <c r="F350" s="163"/>
      <c r="G350" s="163"/>
      <c r="H350" s="163"/>
      <c r="I350" s="163"/>
      <c r="J350" s="163"/>
      <c r="K350" s="163"/>
      <c r="L350" s="163"/>
      <c r="M350" s="163"/>
      <c r="N350" s="163"/>
      <c r="O350" s="163"/>
      <c r="P350" s="163"/>
      <c r="Q350" s="164"/>
      <c r="R350" s="78"/>
      <c r="S350" s="78"/>
      <c r="T350" s="78"/>
      <c r="U350" s="78"/>
      <c r="V350" s="78"/>
      <c r="W350" s="78"/>
      <c r="X350" s="78"/>
      <c r="Y350" s="78"/>
      <c r="Z350" s="78"/>
      <c r="AA350" s="78"/>
      <c r="AB350" s="78"/>
      <c r="AC350" s="78"/>
      <c r="AD350" s="78"/>
      <c r="AE350" s="78"/>
      <c r="AF350" s="78"/>
      <c r="AG350" s="78"/>
      <c r="AH350" s="78"/>
      <c r="AI350" s="78"/>
      <c r="AJ350" s="78"/>
      <c r="AK350" s="78"/>
      <c r="AL350" s="78"/>
      <c r="AM350" s="78"/>
      <c r="AN350" s="78"/>
      <c r="AO350" s="78"/>
      <c r="AP350" s="78"/>
      <c r="AQ350" s="78"/>
      <c r="AR350" s="78"/>
      <c r="AS350" s="78"/>
      <c r="AT350" s="78"/>
      <c r="AU350" s="78"/>
      <c r="AV350" s="78"/>
      <c r="AW350" s="78"/>
      <c r="AX350" s="78"/>
      <c r="AY350" s="78"/>
      <c r="AZ350" s="78"/>
      <c r="BA350" s="78"/>
      <c r="BB350" s="78"/>
      <c r="BC350" s="78"/>
      <c r="BD350" s="78"/>
      <c r="BE350" s="78"/>
      <c r="BF350" s="78"/>
      <c r="BG350" s="78"/>
      <c r="BH350" s="78"/>
      <c r="BI350" s="78"/>
      <c r="BJ350" s="78"/>
      <c r="BK350" s="78"/>
      <c r="BL350" s="78"/>
      <c r="BM350" s="78"/>
      <c r="BN350" s="78"/>
      <c r="BO350" s="78"/>
      <c r="BP350" s="78"/>
      <c r="BQ350" s="78"/>
      <c r="BR350" s="78"/>
      <c r="BS350" s="78"/>
      <c r="BT350" s="78"/>
      <c r="BU350" s="78"/>
      <c r="BV350" s="78"/>
      <c r="BW350" s="78"/>
      <c r="BX350" s="78"/>
      <c r="BY350" s="78"/>
      <c r="BZ350" s="78"/>
      <c r="CA350" s="78"/>
      <c r="CB350" s="78"/>
      <c r="CC350" s="78"/>
      <c r="CD350" s="78"/>
      <c r="CE350" s="78"/>
      <c r="CF350" s="78"/>
      <c r="CG350" s="78"/>
      <c r="CH350" s="78"/>
      <c r="CI350" s="78"/>
      <c r="CJ350" s="78"/>
      <c r="CK350" s="78"/>
      <c r="CL350" s="78"/>
      <c r="CM350" s="78"/>
      <c r="CN350" s="78"/>
      <c r="CO350" s="78"/>
      <c r="CP350" s="78"/>
      <c r="CQ350" s="78"/>
      <c r="CR350" s="78"/>
      <c r="CS350" s="78"/>
      <c r="CT350" s="78"/>
      <c r="CU350" s="78"/>
      <c r="CV350" s="78"/>
      <c r="CW350" s="78"/>
      <c r="CX350" s="78"/>
      <c r="CY350" s="78"/>
      <c r="CZ350" s="78"/>
      <c r="DA350" s="78"/>
      <c r="DB350" s="78"/>
      <c r="DC350" s="78"/>
      <c r="DD350" s="78"/>
      <c r="DE350" s="78"/>
      <c r="DF350" s="78"/>
      <c r="DG350" s="78"/>
      <c r="DH350" s="78"/>
      <c r="DI350" s="78"/>
      <c r="DJ350" s="78"/>
      <c r="DK350" s="78"/>
      <c r="DL350" s="78"/>
      <c r="DM350" s="78"/>
      <c r="DN350" s="78"/>
      <c r="DO350" s="78"/>
      <c r="DP350" s="78"/>
      <c r="DQ350" s="78"/>
      <c r="DR350" s="78"/>
      <c r="DS350" s="78"/>
      <c r="DT350" s="78"/>
      <c r="DU350" s="78"/>
      <c r="DV350" s="78"/>
      <c r="DW350" s="78"/>
      <c r="DX350" s="78"/>
      <c r="DY350" s="78"/>
      <c r="DZ350" s="78"/>
      <c r="EA350" s="78"/>
      <c r="EB350" s="78"/>
      <c r="EC350" s="78"/>
    </row>
    <row r="351" spans="1:133" s="9" customFormat="1" ht="18" x14ac:dyDescent="0.25">
      <c r="A351" s="73" t="s">
        <v>54</v>
      </c>
      <c r="B351" s="60" t="s">
        <v>203</v>
      </c>
      <c r="C351" s="53" t="s">
        <v>56</v>
      </c>
      <c r="D351" s="53" t="s">
        <v>376</v>
      </c>
      <c r="E351" s="162">
        <v>303.16000000000003</v>
      </c>
      <c r="F351" s="163"/>
      <c r="G351" s="163"/>
      <c r="H351" s="163"/>
      <c r="I351" s="163"/>
      <c r="J351" s="163"/>
      <c r="K351" s="163"/>
      <c r="L351" s="163"/>
      <c r="M351" s="163"/>
      <c r="N351" s="163"/>
      <c r="O351" s="163"/>
      <c r="P351" s="163"/>
      <c r="Q351" s="164"/>
      <c r="R351" s="78"/>
      <c r="S351" s="78"/>
      <c r="T351" s="78"/>
      <c r="U351" s="78"/>
      <c r="V351" s="78"/>
      <c r="W351" s="78"/>
      <c r="X351" s="78"/>
      <c r="Y351" s="78"/>
      <c r="Z351" s="78"/>
      <c r="AA351" s="78"/>
      <c r="AB351" s="78"/>
      <c r="AC351" s="78"/>
      <c r="AD351" s="78"/>
      <c r="AE351" s="78"/>
      <c r="AF351" s="78"/>
      <c r="AG351" s="78"/>
      <c r="AH351" s="78"/>
      <c r="AI351" s="78"/>
      <c r="AJ351" s="78"/>
      <c r="AK351" s="78"/>
      <c r="AL351" s="78"/>
      <c r="AM351" s="78"/>
      <c r="AN351" s="78"/>
      <c r="AO351" s="78"/>
      <c r="AP351" s="78"/>
      <c r="AQ351" s="78"/>
      <c r="AR351" s="78"/>
      <c r="AS351" s="78"/>
      <c r="AT351" s="78"/>
      <c r="AU351" s="78"/>
      <c r="AV351" s="78"/>
      <c r="AW351" s="78"/>
      <c r="AX351" s="78"/>
      <c r="AY351" s="78"/>
      <c r="AZ351" s="78"/>
      <c r="BA351" s="78"/>
      <c r="BB351" s="78"/>
      <c r="BC351" s="78"/>
      <c r="BD351" s="78"/>
      <c r="BE351" s="78"/>
      <c r="BF351" s="78"/>
      <c r="BG351" s="78"/>
      <c r="BH351" s="78"/>
      <c r="BI351" s="78"/>
      <c r="BJ351" s="78"/>
      <c r="BK351" s="78"/>
      <c r="BL351" s="78"/>
      <c r="BM351" s="78"/>
      <c r="BN351" s="78"/>
      <c r="BO351" s="78"/>
      <c r="BP351" s="78"/>
      <c r="BQ351" s="78"/>
      <c r="BR351" s="78"/>
      <c r="BS351" s="78"/>
      <c r="BT351" s="78"/>
      <c r="BU351" s="78"/>
      <c r="BV351" s="78"/>
      <c r="BW351" s="78"/>
      <c r="BX351" s="78"/>
      <c r="BY351" s="78"/>
      <c r="BZ351" s="78"/>
      <c r="CA351" s="78"/>
      <c r="CB351" s="78"/>
      <c r="CC351" s="78"/>
      <c r="CD351" s="78"/>
      <c r="CE351" s="78"/>
      <c r="CF351" s="78"/>
      <c r="CG351" s="78"/>
      <c r="CH351" s="78"/>
      <c r="CI351" s="78"/>
      <c r="CJ351" s="78"/>
      <c r="CK351" s="78"/>
      <c r="CL351" s="78"/>
      <c r="CM351" s="78"/>
      <c r="CN351" s="78"/>
      <c r="CO351" s="78"/>
      <c r="CP351" s="78"/>
      <c r="CQ351" s="78"/>
      <c r="CR351" s="78"/>
      <c r="CS351" s="78"/>
      <c r="CT351" s="78"/>
      <c r="CU351" s="78"/>
      <c r="CV351" s="78"/>
      <c r="CW351" s="78"/>
      <c r="CX351" s="78"/>
      <c r="CY351" s="78"/>
      <c r="CZ351" s="78"/>
      <c r="DA351" s="78"/>
      <c r="DB351" s="78"/>
      <c r="DC351" s="78"/>
      <c r="DD351" s="78"/>
      <c r="DE351" s="78"/>
      <c r="DF351" s="78"/>
      <c r="DG351" s="78"/>
      <c r="DH351" s="78"/>
      <c r="DI351" s="78"/>
      <c r="DJ351" s="78"/>
      <c r="DK351" s="78"/>
      <c r="DL351" s="78"/>
      <c r="DM351" s="78"/>
      <c r="DN351" s="78"/>
      <c r="DO351" s="78"/>
      <c r="DP351" s="78"/>
      <c r="DQ351" s="78"/>
      <c r="DR351" s="78"/>
      <c r="DS351" s="78"/>
      <c r="DT351" s="78"/>
      <c r="DU351" s="78"/>
      <c r="DV351" s="78"/>
      <c r="DW351" s="78"/>
      <c r="DX351" s="78"/>
      <c r="DY351" s="78"/>
      <c r="DZ351" s="78"/>
      <c r="EA351" s="78"/>
      <c r="EB351" s="78"/>
      <c r="EC351" s="78"/>
    </row>
    <row r="352" spans="1:133" s="9" customFormat="1" x14ac:dyDescent="0.25">
      <c r="A352" s="73" t="s">
        <v>57</v>
      </c>
      <c r="B352" s="60" t="s">
        <v>204</v>
      </c>
      <c r="C352" s="53" t="s">
        <v>59</v>
      </c>
      <c r="D352" s="53" t="s">
        <v>376</v>
      </c>
      <c r="E352" s="162">
        <v>1.9870000000000001</v>
      </c>
      <c r="F352" s="163"/>
      <c r="G352" s="163"/>
      <c r="H352" s="163"/>
      <c r="I352" s="163"/>
      <c r="J352" s="163"/>
      <c r="K352" s="163"/>
      <c r="L352" s="163"/>
      <c r="M352" s="163"/>
      <c r="N352" s="163"/>
      <c r="O352" s="163"/>
      <c r="P352" s="163"/>
      <c r="Q352" s="164"/>
      <c r="R352" s="78"/>
      <c r="S352" s="78"/>
      <c r="T352" s="78"/>
      <c r="U352" s="78"/>
      <c r="V352" s="78"/>
      <c r="W352" s="78"/>
      <c r="X352" s="78"/>
      <c r="Y352" s="78"/>
      <c r="Z352" s="78"/>
      <c r="AA352" s="78"/>
      <c r="AB352" s="78"/>
      <c r="AC352" s="78"/>
      <c r="AD352" s="78"/>
      <c r="AE352" s="78"/>
      <c r="AF352" s="78"/>
      <c r="AG352" s="78"/>
      <c r="AH352" s="78"/>
      <c r="AI352" s="78"/>
      <c r="AJ352" s="78"/>
      <c r="AK352" s="78"/>
      <c r="AL352" s="78"/>
      <c r="AM352" s="78"/>
      <c r="AN352" s="78"/>
      <c r="AO352" s="78"/>
      <c r="AP352" s="78"/>
      <c r="AQ352" s="78"/>
      <c r="AR352" s="78"/>
      <c r="AS352" s="78"/>
      <c r="AT352" s="78"/>
      <c r="AU352" s="78"/>
      <c r="AV352" s="78"/>
      <c r="AW352" s="78"/>
      <c r="AX352" s="78"/>
      <c r="AY352" s="78"/>
      <c r="AZ352" s="78"/>
      <c r="BA352" s="78"/>
      <c r="BB352" s="78"/>
      <c r="BC352" s="78"/>
      <c r="BD352" s="78"/>
      <c r="BE352" s="78"/>
      <c r="BF352" s="78"/>
      <c r="BG352" s="78"/>
      <c r="BH352" s="78"/>
      <c r="BI352" s="78"/>
      <c r="BJ352" s="78"/>
      <c r="BK352" s="78"/>
      <c r="BL352" s="78"/>
      <c r="BM352" s="78"/>
      <c r="BN352" s="78"/>
      <c r="BO352" s="78"/>
      <c r="BP352" s="78"/>
      <c r="BQ352" s="78"/>
      <c r="BR352" s="78"/>
      <c r="BS352" s="78"/>
      <c r="BT352" s="78"/>
      <c r="BU352" s="78"/>
      <c r="BV352" s="78"/>
      <c r="BW352" s="78"/>
      <c r="BX352" s="78"/>
      <c r="BY352" s="78"/>
      <c r="BZ352" s="78"/>
      <c r="CA352" s="78"/>
      <c r="CB352" s="78"/>
      <c r="CC352" s="78"/>
      <c r="CD352" s="78"/>
      <c r="CE352" s="78"/>
      <c r="CF352" s="78"/>
      <c r="CG352" s="78"/>
      <c r="CH352" s="78"/>
      <c r="CI352" s="78"/>
      <c r="CJ352" s="78"/>
      <c r="CK352" s="78"/>
      <c r="CL352" s="78"/>
      <c r="CM352" s="78"/>
      <c r="CN352" s="78"/>
      <c r="CO352" s="78"/>
      <c r="CP352" s="78"/>
      <c r="CQ352" s="78"/>
      <c r="CR352" s="78"/>
      <c r="CS352" s="78"/>
      <c r="CT352" s="78"/>
      <c r="CU352" s="78"/>
      <c r="CV352" s="78"/>
      <c r="CW352" s="78"/>
      <c r="CX352" s="78"/>
      <c r="CY352" s="78"/>
      <c r="CZ352" s="78"/>
      <c r="DA352" s="78"/>
      <c r="DB352" s="78"/>
      <c r="DC352" s="78"/>
      <c r="DD352" s="78"/>
      <c r="DE352" s="78"/>
      <c r="DF352" s="78"/>
      <c r="DG352" s="78"/>
      <c r="DH352" s="78"/>
      <c r="DI352" s="78"/>
      <c r="DJ352" s="78"/>
      <c r="DK352" s="78"/>
      <c r="DL352" s="78"/>
      <c r="DM352" s="78"/>
      <c r="DN352" s="78"/>
      <c r="DO352" s="78"/>
      <c r="DP352" s="78"/>
      <c r="DQ352" s="78"/>
      <c r="DR352" s="78"/>
      <c r="DS352" s="78"/>
      <c r="DT352" s="78"/>
      <c r="DU352" s="78"/>
      <c r="DV352" s="78"/>
      <c r="DW352" s="78"/>
      <c r="DX352" s="78"/>
      <c r="DY352" s="78"/>
      <c r="DZ352" s="78"/>
      <c r="EA352" s="78"/>
      <c r="EB352" s="78"/>
      <c r="EC352" s="78"/>
    </row>
    <row r="353" spans="1:133" s="9" customFormat="1" ht="31.2" x14ac:dyDescent="0.25">
      <c r="A353" s="73" t="s">
        <v>60</v>
      </c>
      <c r="B353" s="60" t="s">
        <v>203</v>
      </c>
      <c r="C353" s="53" t="s">
        <v>61</v>
      </c>
      <c r="D353" s="143" t="s">
        <v>363</v>
      </c>
      <c r="E353" s="98">
        <f>AVERAGE(F353:Q353)</f>
        <v>296.85833333333341</v>
      </c>
      <c r="F353" s="60">
        <v>287.64999999999998</v>
      </c>
      <c r="G353" s="60">
        <v>291.64999999999998</v>
      </c>
      <c r="H353" s="60">
        <v>293.64999999999998</v>
      </c>
      <c r="I353" s="60">
        <v>296.64999999999998</v>
      </c>
      <c r="J353" s="60">
        <v>301.64999999999998</v>
      </c>
      <c r="K353" s="60">
        <v>301.64999999999998</v>
      </c>
      <c r="L353" s="60">
        <v>302.64999999999998</v>
      </c>
      <c r="M353" s="60">
        <v>302.14999999999998</v>
      </c>
      <c r="N353" s="60">
        <v>303.14999999999998</v>
      </c>
      <c r="O353" s="60">
        <v>298.14999999999998</v>
      </c>
      <c r="P353" s="60">
        <v>293.14999999999998</v>
      </c>
      <c r="Q353" s="60">
        <v>290.14999999999998</v>
      </c>
      <c r="R353" s="78"/>
      <c r="S353" s="78"/>
      <c r="T353" s="78"/>
      <c r="U353" s="78"/>
      <c r="V353" s="78"/>
      <c r="W353" s="78"/>
      <c r="X353" s="78"/>
      <c r="Y353" s="78"/>
      <c r="Z353" s="78"/>
      <c r="AA353" s="78"/>
      <c r="AB353" s="78"/>
      <c r="AC353" s="78"/>
      <c r="AD353" s="78"/>
      <c r="AE353" s="78"/>
      <c r="AF353" s="78"/>
      <c r="AG353" s="78"/>
      <c r="AH353" s="78"/>
      <c r="AI353" s="78"/>
      <c r="AJ353" s="78"/>
      <c r="AK353" s="78"/>
      <c r="AL353" s="78"/>
      <c r="AM353" s="78"/>
      <c r="AN353" s="78"/>
      <c r="AO353" s="78"/>
      <c r="AP353" s="78"/>
      <c r="AQ353" s="78"/>
      <c r="AR353" s="78"/>
      <c r="AS353" s="78"/>
      <c r="AT353" s="78"/>
      <c r="AU353" s="78"/>
      <c r="AV353" s="78"/>
      <c r="AW353" s="78"/>
      <c r="AX353" s="78"/>
      <c r="AY353" s="78"/>
      <c r="AZ353" s="78"/>
      <c r="BA353" s="78"/>
      <c r="BB353" s="78"/>
      <c r="BC353" s="78"/>
      <c r="BD353" s="78"/>
      <c r="BE353" s="78"/>
      <c r="BF353" s="78"/>
      <c r="BG353" s="78"/>
      <c r="BH353" s="78"/>
      <c r="BI353" s="78"/>
      <c r="BJ353" s="78"/>
      <c r="BK353" s="78"/>
      <c r="BL353" s="78"/>
      <c r="BM353" s="78"/>
      <c r="BN353" s="78"/>
      <c r="BO353" s="78"/>
      <c r="BP353" s="78"/>
      <c r="BQ353" s="78"/>
      <c r="BR353" s="78"/>
      <c r="BS353" s="78"/>
      <c r="BT353" s="78"/>
      <c r="BU353" s="78"/>
      <c r="BV353" s="78"/>
      <c r="BW353" s="78"/>
      <c r="BX353" s="78"/>
      <c r="BY353" s="78"/>
      <c r="BZ353" s="78"/>
      <c r="CA353" s="78"/>
      <c r="CB353" s="78"/>
      <c r="CC353" s="78"/>
      <c r="CD353" s="78"/>
      <c r="CE353" s="78"/>
      <c r="CF353" s="78"/>
      <c r="CG353" s="78"/>
      <c r="CH353" s="78"/>
      <c r="CI353" s="78"/>
      <c r="CJ353" s="78"/>
      <c r="CK353" s="78"/>
      <c r="CL353" s="78"/>
      <c r="CM353" s="78"/>
      <c r="CN353" s="78"/>
      <c r="CO353" s="78"/>
      <c r="CP353" s="78"/>
      <c r="CQ353" s="78"/>
      <c r="CR353" s="78"/>
      <c r="CS353" s="78"/>
      <c r="CT353" s="78"/>
      <c r="CU353" s="78"/>
      <c r="CV353" s="78"/>
      <c r="CW353" s="78"/>
      <c r="CX353" s="78"/>
      <c r="CY353" s="78"/>
      <c r="CZ353" s="78"/>
      <c r="DA353" s="78"/>
      <c r="DB353" s="78"/>
      <c r="DC353" s="78"/>
      <c r="DD353" s="78"/>
      <c r="DE353" s="78"/>
      <c r="DF353" s="78"/>
      <c r="DG353" s="78"/>
      <c r="DH353" s="78"/>
      <c r="DI353" s="78"/>
      <c r="DJ353" s="78"/>
      <c r="DK353" s="78"/>
      <c r="DL353" s="78"/>
      <c r="DM353" s="78"/>
      <c r="DN353" s="78"/>
      <c r="DO353" s="78"/>
      <c r="DP353" s="78"/>
      <c r="DQ353" s="78"/>
      <c r="DR353" s="78"/>
      <c r="DS353" s="78"/>
      <c r="DT353" s="78"/>
      <c r="DU353" s="78"/>
      <c r="DV353" s="78"/>
      <c r="DW353" s="78"/>
      <c r="DX353" s="78"/>
      <c r="DY353" s="78"/>
      <c r="DZ353" s="78"/>
      <c r="EA353" s="78"/>
      <c r="EB353" s="78"/>
      <c r="EC353" s="78"/>
    </row>
    <row r="354" spans="1:133" s="9" customFormat="1" ht="31.2" x14ac:dyDescent="0.4">
      <c r="A354" s="71" t="s">
        <v>62</v>
      </c>
      <c r="B354" s="60" t="s">
        <v>196</v>
      </c>
      <c r="C354" s="53" t="s">
        <v>63</v>
      </c>
      <c r="D354" s="53" t="s">
        <v>377</v>
      </c>
      <c r="E354" s="74">
        <f>SUM(F354:Q354)</f>
        <v>2380.6262320529863</v>
      </c>
      <c r="F354" s="74">
        <f>F343*F338*F341+(1-F349)*'Baseline Emissions 2020'!Q354</f>
        <v>299.69738954062257</v>
      </c>
      <c r="G354" s="74">
        <f t="shared" ref="G354:Q354" si="48">G343*G338*G341+(1-G349)*F354</f>
        <v>295.96019897233123</v>
      </c>
      <c r="H354" s="74">
        <f t="shared" si="48"/>
        <v>283.64248274288008</v>
      </c>
      <c r="I354" s="74">
        <f t="shared" si="48"/>
        <v>235.15359015443585</v>
      </c>
      <c r="J354" s="74">
        <f t="shared" si="48"/>
        <v>151.73799188725584</v>
      </c>
      <c r="K354" s="74">
        <f t="shared" si="48"/>
        <v>124.36261859952954</v>
      </c>
      <c r="L354" s="74">
        <f t="shared" si="48"/>
        <v>115.18578337487938</v>
      </c>
      <c r="M354" s="74">
        <f t="shared" si="48"/>
        <v>119.29503604252579</v>
      </c>
      <c r="N354" s="74">
        <f>N343*N338*N341+(1-N349)*0</f>
        <v>119.77174754307573</v>
      </c>
      <c r="O354" s="74">
        <f t="shared" si="48"/>
        <v>165.17458879907434</v>
      </c>
      <c r="P354" s="74">
        <f t="shared" si="48"/>
        <v>209.98541468278916</v>
      </c>
      <c r="Q354" s="74">
        <f t="shared" si="48"/>
        <v>260.65938971358662</v>
      </c>
      <c r="R354" s="78"/>
      <c r="S354" s="78"/>
      <c r="T354" s="78"/>
      <c r="U354" s="78"/>
      <c r="V354" s="78"/>
      <c r="W354" s="78"/>
      <c r="X354" s="78"/>
      <c r="Y354" s="78"/>
      <c r="Z354" s="78"/>
      <c r="AA354" s="78"/>
      <c r="AB354" s="78"/>
      <c r="AC354" s="78"/>
      <c r="AD354" s="78"/>
      <c r="AE354" s="78"/>
      <c r="AF354" s="78"/>
      <c r="AG354" s="78"/>
      <c r="AH354" s="78"/>
      <c r="AI354" s="78"/>
      <c r="AJ354" s="78"/>
      <c r="AK354" s="78"/>
      <c r="AL354" s="78"/>
      <c r="AM354" s="78"/>
      <c r="AN354" s="78"/>
      <c r="AO354" s="78"/>
      <c r="AP354" s="78"/>
      <c r="AQ354" s="78"/>
      <c r="AR354" s="78"/>
      <c r="AS354" s="78"/>
      <c r="AT354" s="78"/>
      <c r="AU354" s="78"/>
      <c r="AV354" s="78"/>
      <c r="AW354" s="78"/>
      <c r="AX354" s="78"/>
      <c r="AY354" s="78"/>
      <c r="AZ354" s="78"/>
      <c r="BA354" s="78"/>
      <c r="BB354" s="78"/>
      <c r="BC354" s="78"/>
      <c r="BD354" s="78"/>
      <c r="BE354" s="78"/>
      <c r="BF354" s="78"/>
      <c r="BG354" s="78"/>
      <c r="BH354" s="78"/>
      <c r="BI354" s="78"/>
      <c r="BJ354" s="78"/>
      <c r="BK354" s="78"/>
      <c r="BL354" s="78"/>
      <c r="BM354" s="78"/>
      <c r="BN354" s="78"/>
      <c r="BO354" s="78"/>
      <c r="BP354" s="78"/>
      <c r="BQ354" s="78"/>
      <c r="BR354" s="78"/>
      <c r="BS354" s="78"/>
      <c r="BT354" s="78"/>
      <c r="BU354" s="78"/>
      <c r="BV354" s="78"/>
      <c r="BW354" s="78"/>
      <c r="BX354" s="78"/>
      <c r="BY354" s="78"/>
      <c r="BZ354" s="78"/>
      <c r="CA354" s="78"/>
      <c r="CB354" s="78"/>
      <c r="CC354" s="78"/>
      <c r="CD354" s="78"/>
      <c r="CE354" s="78"/>
      <c r="CF354" s="78"/>
      <c r="CG354" s="78"/>
      <c r="CH354" s="78"/>
      <c r="CI354" s="78"/>
      <c r="CJ354" s="78"/>
      <c r="CK354" s="78"/>
      <c r="CL354" s="78"/>
      <c r="CM354" s="78"/>
      <c r="CN354" s="78"/>
      <c r="CO354" s="78"/>
      <c r="CP354" s="78"/>
      <c r="CQ354" s="78"/>
      <c r="CR354" s="78"/>
      <c r="CS354" s="78"/>
      <c r="CT354" s="78"/>
      <c r="CU354" s="78"/>
      <c r="CV354" s="78"/>
      <c r="CW354" s="78"/>
      <c r="CX354" s="78"/>
      <c r="CY354" s="78"/>
      <c r="CZ354" s="78"/>
      <c r="DA354" s="78"/>
      <c r="DB354" s="78"/>
      <c r="DC354" s="78"/>
      <c r="DD354" s="78"/>
      <c r="DE354" s="78"/>
      <c r="DF354" s="78"/>
      <c r="DG354" s="78"/>
      <c r="DH354" s="78"/>
      <c r="DI354" s="78"/>
      <c r="DJ354" s="78"/>
      <c r="DK354" s="78"/>
      <c r="DL354" s="78"/>
      <c r="DM354" s="78"/>
      <c r="DN354" s="78"/>
      <c r="DO354" s="78"/>
      <c r="DP354" s="78"/>
      <c r="DQ354" s="78"/>
      <c r="DR354" s="78"/>
      <c r="DS354" s="78"/>
      <c r="DT354" s="78"/>
      <c r="DU354" s="78"/>
      <c r="DV354" s="78"/>
      <c r="DW354" s="78"/>
      <c r="DX354" s="78"/>
      <c r="DY354" s="78"/>
      <c r="DZ354" s="78"/>
      <c r="EA354" s="78"/>
      <c r="EB354" s="78"/>
      <c r="EC354" s="78"/>
    </row>
    <row r="356" spans="1:133" x14ac:dyDescent="0.25">
      <c r="A356" s="158" t="s">
        <v>64</v>
      </c>
      <c r="B356" s="158"/>
      <c r="C356" s="158"/>
      <c r="D356" s="158"/>
      <c r="E356" s="158"/>
    </row>
    <row r="357" spans="1:133" x14ac:dyDescent="0.25">
      <c r="A357" s="57" t="s">
        <v>8</v>
      </c>
      <c r="B357" s="58" t="s">
        <v>9</v>
      </c>
      <c r="C357" s="34" t="s">
        <v>10</v>
      </c>
      <c r="D357" s="34" t="s">
        <v>340</v>
      </c>
      <c r="E357" s="16" t="s">
        <v>65</v>
      </c>
    </row>
    <row r="358" spans="1:133" ht="46.8" x14ac:dyDescent="0.25">
      <c r="A358" s="59" t="s">
        <v>66</v>
      </c>
      <c r="B358" s="60" t="s">
        <v>14</v>
      </c>
      <c r="C358" s="53" t="s">
        <v>67</v>
      </c>
      <c r="D358" s="53" t="s">
        <v>68</v>
      </c>
      <c r="E358" s="75">
        <v>0</v>
      </c>
    </row>
    <row r="359" spans="1:133" ht="46.8" x14ac:dyDescent="0.25">
      <c r="A359" s="63" t="s">
        <v>69</v>
      </c>
      <c r="B359" s="25" t="s">
        <v>70</v>
      </c>
      <c r="C359" s="35" t="s">
        <v>71</v>
      </c>
      <c r="D359" s="53" t="str">
        <f>D365</f>
        <v>Historical data on site in the FSR (It was calculated with conservative value)</v>
      </c>
      <c r="E359" s="74">
        <f>E365</f>
        <v>748.50700145892415</v>
      </c>
    </row>
    <row r="361" spans="1:133" x14ac:dyDescent="0.25">
      <c r="A361" s="174" t="s">
        <v>72</v>
      </c>
      <c r="B361" s="174"/>
      <c r="C361" s="175"/>
      <c r="D361" s="175"/>
      <c r="E361" s="174"/>
    </row>
    <row r="362" spans="1:133" x14ac:dyDescent="0.25">
      <c r="A362" s="59" t="s">
        <v>8</v>
      </c>
      <c r="B362" s="16" t="s">
        <v>9</v>
      </c>
      <c r="C362" s="38" t="s">
        <v>10</v>
      </c>
      <c r="D362" s="38" t="s">
        <v>340</v>
      </c>
      <c r="E362" s="16" t="s">
        <v>65</v>
      </c>
    </row>
    <row r="363" spans="1:133" ht="33.6" x14ac:dyDescent="0.4">
      <c r="A363" s="76" t="s">
        <v>73</v>
      </c>
      <c r="B363" s="25" t="s">
        <v>74</v>
      </c>
      <c r="C363" s="35" t="s">
        <v>75</v>
      </c>
      <c r="D363" s="35" t="s">
        <v>378</v>
      </c>
      <c r="E363" s="50">
        <f>E364*E367*E368*E369*E370*E371</f>
        <v>3.0402340729199024</v>
      </c>
    </row>
    <row r="364" spans="1:133" ht="46.8" x14ac:dyDescent="0.4">
      <c r="A364" s="77" t="s">
        <v>207</v>
      </c>
      <c r="B364" s="25" t="s">
        <v>76</v>
      </c>
      <c r="C364" s="35" t="s">
        <v>77</v>
      </c>
      <c r="D364" s="35" t="s">
        <v>379</v>
      </c>
      <c r="E364" s="52">
        <f>E365/E366</f>
        <v>149.70140029178484</v>
      </c>
    </row>
    <row r="365" spans="1:133" ht="46.8" x14ac:dyDescent="0.25">
      <c r="A365" s="63" t="s">
        <v>208</v>
      </c>
      <c r="B365" s="25" t="s">
        <v>78</v>
      </c>
      <c r="C365" s="35" t="s">
        <v>79</v>
      </c>
      <c r="D365" s="53" t="s">
        <v>352</v>
      </c>
      <c r="E365" s="52">
        <f>E338*0.000186539759501062</f>
        <v>748.50700145892415</v>
      </c>
    </row>
    <row r="366" spans="1:133" ht="31.2" x14ac:dyDescent="0.25">
      <c r="A366" s="63" t="s">
        <v>209</v>
      </c>
      <c r="B366" s="25" t="s">
        <v>80</v>
      </c>
      <c r="C366" s="35" t="s">
        <v>81</v>
      </c>
      <c r="D366" s="35" t="s">
        <v>353</v>
      </c>
      <c r="E366" s="25">
        <f>5</f>
        <v>5</v>
      </c>
    </row>
    <row r="367" spans="1:133" ht="62.4" x14ac:dyDescent="0.25">
      <c r="A367" s="63" t="s">
        <v>210</v>
      </c>
      <c r="B367" s="25" t="s">
        <v>82</v>
      </c>
      <c r="C367" s="35" t="s">
        <v>83</v>
      </c>
      <c r="D367" s="53" t="s">
        <v>354</v>
      </c>
      <c r="E367" s="25">
        <f>15*2</f>
        <v>30</v>
      </c>
    </row>
    <row r="368" spans="1:133" s="13" customFormat="1" ht="172.2" x14ac:dyDescent="0.25">
      <c r="A368" s="63" t="s">
        <v>211</v>
      </c>
      <c r="B368" s="25" t="s">
        <v>84</v>
      </c>
      <c r="C368" s="35" t="s">
        <v>85</v>
      </c>
      <c r="D368" s="35" t="s">
        <v>355</v>
      </c>
      <c r="E368" s="25">
        <f>25.1/100</f>
        <v>0.251</v>
      </c>
      <c r="R368" s="14"/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F368" s="14"/>
      <c r="AG368" s="14"/>
      <c r="AH368" s="14"/>
      <c r="AI368" s="14"/>
      <c r="AJ368" s="14"/>
      <c r="AK368" s="14"/>
      <c r="AL368" s="14"/>
      <c r="AM368" s="14"/>
      <c r="AN368" s="14"/>
      <c r="AO368" s="14"/>
      <c r="AP368" s="14"/>
      <c r="AQ368" s="14"/>
      <c r="AR368" s="14"/>
      <c r="AS368" s="14"/>
      <c r="AT368" s="14"/>
      <c r="AU368" s="14"/>
      <c r="AV368" s="14"/>
      <c r="AW368" s="14"/>
      <c r="AX368" s="14"/>
      <c r="AY368" s="14"/>
      <c r="AZ368" s="14"/>
      <c r="BA368" s="14"/>
      <c r="BB368" s="14"/>
      <c r="BC368" s="14"/>
      <c r="BD368" s="14"/>
      <c r="BE368" s="14"/>
      <c r="BF368" s="14"/>
      <c r="BG368" s="14"/>
      <c r="BH368" s="14"/>
      <c r="BI368" s="14"/>
      <c r="BJ368" s="14"/>
      <c r="BK368" s="14"/>
      <c r="BL368" s="14"/>
      <c r="BM368" s="14"/>
      <c r="BN368" s="14"/>
      <c r="BO368" s="14"/>
      <c r="BP368" s="14"/>
      <c r="BQ368" s="14"/>
      <c r="BR368" s="14"/>
      <c r="BS368" s="14"/>
      <c r="BT368" s="14"/>
      <c r="BU368" s="14"/>
      <c r="BV368" s="14"/>
      <c r="BW368" s="14"/>
      <c r="BX368" s="14"/>
      <c r="BY368" s="14"/>
      <c r="BZ368" s="14"/>
      <c r="CA368" s="14"/>
      <c r="CB368" s="14"/>
      <c r="CC368" s="14"/>
      <c r="CD368" s="14"/>
      <c r="CE368" s="14"/>
      <c r="CF368" s="14"/>
      <c r="CG368" s="14"/>
      <c r="CH368" s="14"/>
      <c r="CI368" s="14"/>
      <c r="CJ368" s="14"/>
      <c r="CK368" s="14"/>
      <c r="CL368" s="14"/>
      <c r="CM368" s="14"/>
      <c r="CN368" s="14"/>
      <c r="CO368" s="14"/>
      <c r="CP368" s="14"/>
      <c r="CQ368" s="14"/>
      <c r="CR368" s="14"/>
      <c r="CS368" s="14"/>
      <c r="CT368" s="14"/>
      <c r="CU368" s="14"/>
      <c r="CV368" s="14"/>
      <c r="CW368" s="14"/>
      <c r="CX368" s="14"/>
      <c r="CY368" s="14"/>
      <c r="CZ368" s="14"/>
      <c r="DA368" s="14"/>
      <c r="DB368" s="14"/>
      <c r="DC368" s="14"/>
      <c r="DD368" s="14"/>
      <c r="DE368" s="14"/>
      <c r="DF368" s="14"/>
      <c r="DG368" s="14"/>
      <c r="DH368" s="14"/>
      <c r="DI368" s="14"/>
      <c r="DJ368" s="14"/>
      <c r="DK368" s="14"/>
      <c r="DL368" s="14"/>
      <c r="DM368" s="14"/>
      <c r="DN368" s="14"/>
      <c r="DO368" s="14"/>
      <c r="DP368" s="14"/>
      <c r="DQ368" s="14"/>
      <c r="DR368" s="14"/>
      <c r="DS368" s="14"/>
      <c r="DT368" s="14"/>
      <c r="DU368" s="14"/>
      <c r="DV368" s="14"/>
      <c r="DW368" s="14"/>
      <c r="DX368" s="14"/>
      <c r="DY368" s="14"/>
      <c r="DZ368" s="14"/>
      <c r="EA368" s="14"/>
      <c r="EB368" s="14"/>
      <c r="EC368" s="14"/>
    </row>
    <row r="369" spans="1:133" s="13" customFormat="1" ht="140.4" x14ac:dyDescent="0.25">
      <c r="A369" s="63" t="s">
        <v>212</v>
      </c>
      <c r="B369" s="25" t="s">
        <v>87</v>
      </c>
      <c r="C369" s="35" t="s">
        <v>86</v>
      </c>
      <c r="D369" s="35" t="s">
        <v>356</v>
      </c>
      <c r="E369" s="25">
        <f>0.84/1000</f>
        <v>8.3999999999999993E-4</v>
      </c>
      <c r="R369" s="14"/>
      <c r="S369" s="14"/>
      <c r="T369" s="14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F369" s="14"/>
      <c r="AG369" s="14"/>
      <c r="AH369" s="14"/>
      <c r="AI369" s="14"/>
      <c r="AJ369" s="14"/>
      <c r="AK369" s="14"/>
      <c r="AL369" s="14"/>
      <c r="AM369" s="14"/>
      <c r="AN369" s="14"/>
      <c r="AO369" s="14"/>
      <c r="AP369" s="14"/>
      <c r="AQ369" s="14"/>
      <c r="AR369" s="14"/>
      <c r="AS369" s="14"/>
      <c r="AT369" s="14"/>
      <c r="AU369" s="14"/>
      <c r="AV369" s="14"/>
      <c r="AW369" s="14"/>
      <c r="AX369" s="14"/>
      <c r="AY369" s="14"/>
      <c r="AZ369" s="14"/>
      <c r="BA369" s="14"/>
      <c r="BB369" s="14"/>
      <c r="BC369" s="14"/>
      <c r="BD369" s="14"/>
      <c r="BE369" s="14"/>
      <c r="BF369" s="14"/>
      <c r="BG369" s="14"/>
      <c r="BH369" s="14"/>
      <c r="BI369" s="14"/>
      <c r="BJ369" s="14"/>
      <c r="BK369" s="14"/>
      <c r="BL369" s="14"/>
      <c r="BM369" s="14"/>
      <c r="BN369" s="14"/>
      <c r="BO369" s="14"/>
      <c r="BP369" s="14"/>
      <c r="BQ369" s="14"/>
      <c r="BR369" s="14"/>
      <c r="BS369" s="14"/>
      <c r="BT369" s="14"/>
      <c r="BU369" s="14"/>
      <c r="BV369" s="14"/>
      <c r="BW369" s="14"/>
      <c r="BX369" s="14"/>
      <c r="BY369" s="14"/>
      <c r="BZ369" s="14"/>
      <c r="CA369" s="14"/>
      <c r="CB369" s="14"/>
      <c r="CC369" s="14"/>
      <c r="CD369" s="14"/>
      <c r="CE369" s="14"/>
      <c r="CF369" s="14"/>
      <c r="CG369" s="14"/>
      <c r="CH369" s="14"/>
      <c r="CI369" s="14"/>
      <c r="CJ369" s="14"/>
      <c r="CK369" s="14"/>
      <c r="CL369" s="14"/>
      <c r="CM369" s="14"/>
      <c r="CN369" s="14"/>
      <c r="CO369" s="14"/>
      <c r="CP369" s="14"/>
      <c r="CQ369" s="14"/>
      <c r="CR369" s="14"/>
      <c r="CS369" s="14"/>
      <c r="CT369" s="14"/>
      <c r="CU369" s="14"/>
      <c r="CV369" s="14"/>
      <c r="CW369" s="14"/>
      <c r="CX369" s="14"/>
      <c r="CY369" s="14"/>
      <c r="CZ369" s="14"/>
      <c r="DA369" s="14"/>
      <c r="DB369" s="14"/>
      <c r="DC369" s="14"/>
      <c r="DD369" s="14"/>
      <c r="DE369" s="14"/>
      <c r="DF369" s="14"/>
      <c r="DG369" s="14"/>
      <c r="DH369" s="14"/>
      <c r="DI369" s="14"/>
      <c r="DJ369" s="14"/>
      <c r="DK369" s="14"/>
      <c r="DL369" s="14"/>
      <c r="DM369" s="14"/>
      <c r="DN369" s="14"/>
      <c r="DO369" s="14"/>
      <c r="DP369" s="14"/>
      <c r="DQ369" s="14"/>
      <c r="DR369" s="14"/>
      <c r="DS369" s="14"/>
      <c r="DT369" s="14"/>
      <c r="DU369" s="14"/>
      <c r="DV369" s="14"/>
      <c r="DW369" s="14"/>
      <c r="DX369" s="14"/>
      <c r="DY369" s="14"/>
      <c r="DZ369" s="14"/>
      <c r="EA369" s="14"/>
      <c r="EB369" s="14"/>
      <c r="EC369" s="14"/>
    </row>
    <row r="370" spans="1:133" s="13" customFormat="1" ht="140.4" x14ac:dyDescent="0.25">
      <c r="A370" s="63" t="s">
        <v>213</v>
      </c>
      <c r="B370" s="25" t="s">
        <v>88</v>
      </c>
      <c r="C370" s="35" t="s">
        <v>89</v>
      </c>
      <c r="D370" s="35" t="s">
        <v>357</v>
      </c>
      <c r="E370" s="25">
        <f>43.33/1000</f>
        <v>4.333E-2</v>
      </c>
      <c r="R370" s="14"/>
      <c r="S370" s="14"/>
      <c r="T370" s="14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F370" s="14"/>
      <c r="AG370" s="14"/>
      <c r="AH370" s="14"/>
      <c r="AI370" s="14"/>
      <c r="AJ370" s="14"/>
      <c r="AK370" s="14"/>
      <c r="AL370" s="14"/>
      <c r="AM370" s="14"/>
      <c r="AN370" s="14"/>
      <c r="AO370" s="14"/>
      <c r="AP370" s="14"/>
      <c r="AQ370" s="14"/>
      <c r="AR370" s="14"/>
      <c r="AS370" s="14"/>
      <c r="AT370" s="14"/>
      <c r="AU370" s="14"/>
      <c r="AV370" s="14"/>
      <c r="AW370" s="14"/>
      <c r="AX370" s="14"/>
      <c r="AY370" s="14"/>
      <c r="AZ370" s="14"/>
      <c r="BA370" s="14"/>
      <c r="BB370" s="14"/>
      <c r="BC370" s="14"/>
      <c r="BD370" s="14"/>
      <c r="BE370" s="14"/>
      <c r="BF370" s="14"/>
      <c r="BG370" s="14"/>
      <c r="BH370" s="14"/>
      <c r="BI370" s="14"/>
      <c r="BJ370" s="14"/>
      <c r="BK370" s="14"/>
      <c r="BL370" s="14"/>
      <c r="BM370" s="14"/>
      <c r="BN370" s="14"/>
      <c r="BO370" s="14"/>
      <c r="BP370" s="14"/>
      <c r="BQ370" s="14"/>
      <c r="BR370" s="14"/>
      <c r="BS370" s="14"/>
      <c r="BT370" s="14"/>
      <c r="BU370" s="14"/>
      <c r="BV370" s="14"/>
      <c r="BW370" s="14"/>
      <c r="BX370" s="14"/>
      <c r="BY370" s="14"/>
      <c r="BZ370" s="14"/>
      <c r="CA370" s="14"/>
      <c r="CB370" s="14"/>
      <c r="CC370" s="14"/>
      <c r="CD370" s="14"/>
      <c r="CE370" s="14"/>
      <c r="CF370" s="14"/>
      <c r="CG370" s="14"/>
      <c r="CH370" s="14"/>
      <c r="CI370" s="14"/>
      <c r="CJ370" s="14"/>
      <c r="CK370" s="14"/>
      <c r="CL370" s="14"/>
      <c r="CM370" s="14"/>
      <c r="CN370" s="14"/>
      <c r="CO370" s="14"/>
      <c r="CP370" s="14"/>
      <c r="CQ370" s="14"/>
      <c r="CR370" s="14"/>
      <c r="CS370" s="14"/>
      <c r="CT370" s="14"/>
      <c r="CU370" s="14"/>
      <c r="CV370" s="14"/>
      <c r="CW370" s="14"/>
      <c r="CX370" s="14"/>
      <c r="CY370" s="14"/>
      <c r="CZ370" s="14"/>
      <c r="DA370" s="14"/>
      <c r="DB370" s="14"/>
      <c r="DC370" s="14"/>
      <c r="DD370" s="14"/>
      <c r="DE370" s="14"/>
      <c r="DF370" s="14"/>
      <c r="DG370" s="14"/>
      <c r="DH370" s="14"/>
      <c r="DI370" s="14"/>
      <c r="DJ370" s="14"/>
      <c r="DK370" s="14"/>
      <c r="DL370" s="14"/>
      <c r="DM370" s="14"/>
      <c r="DN370" s="14"/>
      <c r="DO370" s="14"/>
      <c r="DP370" s="14"/>
      <c r="DQ370" s="14"/>
      <c r="DR370" s="14"/>
      <c r="DS370" s="14"/>
      <c r="DT370" s="14"/>
      <c r="DU370" s="14"/>
      <c r="DV370" s="14"/>
      <c r="DW370" s="14"/>
      <c r="DX370" s="14"/>
      <c r="DY370" s="14"/>
      <c r="DZ370" s="14"/>
      <c r="EA370" s="14"/>
      <c r="EB370" s="14"/>
      <c r="EC370" s="14"/>
    </row>
    <row r="371" spans="1:133" s="13" customFormat="1" ht="62.4" x14ac:dyDescent="0.25">
      <c r="A371" s="63" t="s">
        <v>214</v>
      </c>
      <c r="B371" s="25" t="s">
        <v>90</v>
      </c>
      <c r="C371" s="35" t="s">
        <v>91</v>
      </c>
      <c r="D371" s="35" t="s">
        <v>358</v>
      </c>
      <c r="E371" s="25">
        <v>74.099999999999994</v>
      </c>
      <c r="R371" s="14"/>
      <c r="S371" s="14"/>
      <c r="T371" s="14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F371" s="14"/>
      <c r="AG371" s="14"/>
      <c r="AH371" s="14"/>
      <c r="AI371" s="14"/>
      <c r="AJ371" s="14"/>
      <c r="AK371" s="14"/>
      <c r="AL371" s="14"/>
      <c r="AM371" s="14"/>
      <c r="AN371" s="14"/>
      <c r="AO371" s="14"/>
      <c r="AP371" s="14"/>
      <c r="AQ371" s="14"/>
      <c r="AR371" s="14"/>
      <c r="AS371" s="14"/>
      <c r="AT371" s="14"/>
      <c r="AU371" s="14"/>
      <c r="AV371" s="14"/>
      <c r="AW371" s="14"/>
      <c r="AX371" s="14"/>
      <c r="AY371" s="14"/>
      <c r="AZ371" s="14"/>
      <c r="BA371" s="14"/>
      <c r="BB371" s="14"/>
      <c r="BC371" s="14"/>
      <c r="BD371" s="14"/>
      <c r="BE371" s="14"/>
      <c r="BF371" s="14"/>
      <c r="BG371" s="14"/>
      <c r="BH371" s="14"/>
      <c r="BI371" s="14"/>
      <c r="BJ371" s="14"/>
      <c r="BK371" s="14"/>
      <c r="BL371" s="14"/>
      <c r="BM371" s="14"/>
      <c r="BN371" s="14"/>
      <c r="BO371" s="14"/>
      <c r="BP371" s="14"/>
      <c r="BQ371" s="14"/>
      <c r="BR371" s="14"/>
      <c r="BS371" s="14"/>
      <c r="BT371" s="14"/>
      <c r="BU371" s="14"/>
      <c r="BV371" s="14"/>
      <c r="BW371" s="14"/>
      <c r="BX371" s="14"/>
      <c r="BY371" s="14"/>
      <c r="BZ371" s="14"/>
      <c r="CA371" s="14"/>
      <c r="CB371" s="14"/>
      <c r="CC371" s="14"/>
      <c r="CD371" s="14"/>
      <c r="CE371" s="14"/>
      <c r="CF371" s="14"/>
      <c r="CG371" s="14"/>
      <c r="CH371" s="14"/>
      <c r="CI371" s="14"/>
      <c r="CJ371" s="14"/>
      <c r="CK371" s="14"/>
      <c r="CL371" s="14"/>
      <c r="CM371" s="14"/>
      <c r="CN371" s="14"/>
      <c r="CO371" s="14"/>
      <c r="CP371" s="14"/>
      <c r="CQ371" s="14"/>
      <c r="CR371" s="14"/>
      <c r="CS371" s="14"/>
      <c r="CT371" s="14"/>
      <c r="CU371" s="14"/>
      <c r="CV371" s="14"/>
      <c r="CW371" s="14"/>
      <c r="CX371" s="14"/>
      <c r="CY371" s="14"/>
      <c r="CZ371" s="14"/>
      <c r="DA371" s="14"/>
      <c r="DB371" s="14"/>
      <c r="DC371" s="14"/>
      <c r="DD371" s="14"/>
      <c r="DE371" s="14"/>
      <c r="DF371" s="14"/>
      <c r="DG371" s="14"/>
      <c r="DH371" s="14"/>
      <c r="DI371" s="14"/>
      <c r="DJ371" s="14"/>
      <c r="DK371" s="14"/>
      <c r="DL371" s="14"/>
      <c r="DM371" s="14"/>
      <c r="DN371" s="14"/>
      <c r="DO371" s="14"/>
      <c r="DP371" s="14"/>
      <c r="DQ371" s="14"/>
      <c r="DR371" s="14"/>
      <c r="DS371" s="14"/>
      <c r="DT371" s="14"/>
      <c r="DU371" s="14"/>
      <c r="DV371" s="14"/>
      <c r="DW371" s="14"/>
      <c r="DX371" s="14"/>
      <c r="DY371" s="14"/>
      <c r="DZ371" s="14"/>
      <c r="EA371" s="14"/>
      <c r="EB371" s="14"/>
      <c r="EC371" s="14"/>
    </row>
    <row r="373" spans="1:133" s="13" customFormat="1" x14ac:dyDescent="0.25">
      <c r="A373" s="158" t="s">
        <v>93</v>
      </c>
      <c r="B373" s="158"/>
      <c r="C373" s="158"/>
      <c r="D373" s="158"/>
      <c r="E373" s="158"/>
      <c r="R373" s="14"/>
      <c r="S373" s="14"/>
      <c r="T373" s="14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F373" s="14"/>
      <c r="AG373" s="14"/>
      <c r="AH373" s="14"/>
      <c r="AI373" s="14"/>
      <c r="AJ373" s="14"/>
      <c r="AK373" s="14"/>
      <c r="AL373" s="14"/>
      <c r="AM373" s="14"/>
      <c r="AN373" s="14"/>
      <c r="AO373" s="14"/>
      <c r="AP373" s="14"/>
      <c r="AQ373" s="14"/>
      <c r="AR373" s="14"/>
      <c r="AS373" s="14"/>
      <c r="AT373" s="14"/>
      <c r="AU373" s="14"/>
      <c r="AV373" s="14"/>
      <c r="AW373" s="14"/>
      <c r="AX373" s="14"/>
      <c r="AY373" s="14"/>
      <c r="AZ373" s="14"/>
      <c r="BA373" s="14"/>
      <c r="BB373" s="14"/>
      <c r="BC373" s="14"/>
      <c r="BD373" s="14"/>
      <c r="BE373" s="14"/>
      <c r="BF373" s="14"/>
      <c r="BG373" s="14"/>
      <c r="BH373" s="14"/>
      <c r="BI373" s="14"/>
      <c r="BJ373" s="14"/>
      <c r="BK373" s="14"/>
      <c r="BL373" s="14"/>
      <c r="BM373" s="14"/>
      <c r="BN373" s="14"/>
      <c r="BO373" s="14"/>
      <c r="BP373" s="14"/>
      <c r="BQ373" s="14"/>
      <c r="BR373" s="14"/>
      <c r="BS373" s="14"/>
      <c r="BT373" s="14"/>
      <c r="BU373" s="14"/>
      <c r="BV373" s="14"/>
      <c r="BW373" s="14"/>
      <c r="BX373" s="14"/>
      <c r="BY373" s="14"/>
      <c r="BZ373" s="14"/>
      <c r="CA373" s="14"/>
      <c r="CB373" s="14"/>
      <c r="CC373" s="14"/>
      <c r="CD373" s="14"/>
      <c r="CE373" s="14"/>
      <c r="CF373" s="14"/>
      <c r="CG373" s="14"/>
      <c r="CH373" s="14"/>
      <c r="CI373" s="14"/>
      <c r="CJ373" s="14"/>
      <c r="CK373" s="14"/>
      <c r="CL373" s="14"/>
      <c r="CM373" s="14"/>
      <c r="CN373" s="14"/>
      <c r="CO373" s="14"/>
      <c r="CP373" s="14"/>
      <c r="CQ373" s="14"/>
      <c r="CR373" s="14"/>
      <c r="CS373" s="14"/>
      <c r="CT373" s="14"/>
      <c r="CU373" s="14"/>
      <c r="CV373" s="14"/>
      <c r="CW373" s="14"/>
      <c r="CX373" s="14"/>
      <c r="CY373" s="14"/>
      <c r="CZ373" s="14"/>
      <c r="DA373" s="14"/>
      <c r="DB373" s="14"/>
      <c r="DC373" s="14"/>
      <c r="DD373" s="14"/>
      <c r="DE373" s="14"/>
      <c r="DF373" s="14"/>
      <c r="DG373" s="14"/>
      <c r="DH373" s="14"/>
      <c r="DI373" s="14"/>
      <c r="DJ373" s="14"/>
      <c r="DK373" s="14"/>
      <c r="DL373" s="14"/>
      <c r="DM373" s="14"/>
      <c r="DN373" s="14"/>
      <c r="DO373" s="14"/>
      <c r="DP373" s="14"/>
      <c r="DQ373" s="14"/>
      <c r="DR373" s="14"/>
      <c r="DS373" s="14"/>
      <c r="DT373" s="14"/>
      <c r="DU373" s="14"/>
      <c r="DV373" s="14"/>
      <c r="DW373" s="14"/>
      <c r="DX373" s="14"/>
      <c r="DY373" s="14"/>
      <c r="DZ373" s="14"/>
      <c r="EA373" s="14"/>
      <c r="EB373" s="14"/>
      <c r="EC373" s="14"/>
    </row>
    <row r="374" spans="1:133" s="13" customFormat="1" x14ac:dyDescent="0.25">
      <c r="A374" s="57" t="s">
        <v>8</v>
      </c>
      <c r="B374" s="58" t="s">
        <v>9</v>
      </c>
      <c r="C374" s="34" t="s">
        <v>10</v>
      </c>
      <c r="D374" s="34" t="s">
        <v>340</v>
      </c>
      <c r="E374" s="16" t="s">
        <v>65</v>
      </c>
      <c r="R374" s="14"/>
      <c r="S374" s="14"/>
      <c r="T374" s="14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F374" s="14"/>
      <c r="AG374" s="14"/>
      <c r="AH374" s="14"/>
      <c r="AI374" s="14"/>
      <c r="AJ374" s="14"/>
      <c r="AK374" s="14"/>
      <c r="AL374" s="14"/>
      <c r="AM374" s="14"/>
      <c r="AN374" s="14"/>
      <c r="AO374" s="14"/>
      <c r="AP374" s="14"/>
      <c r="AQ374" s="14"/>
      <c r="AR374" s="14"/>
      <c r="AS374" s="14"/>
      <c r="AT374" s="14"/>
      <c r="AU374" s="14"/>
      <c r="AV374" s="14"/>
      <c r="AW374" s="14"/>
      <c r="AX374" s="14"/>
      <c r="AY374" s="14"/>
      <c r="AZ374" s="14"/>
      <c r="BA374" s="14"/>
      <c r="BB374" s="14"/>
      <c r="BC374" s="14"/>
      <c r="BD374" s="14"/>
      <c r="BE374" s="14"/>
      <c r="BF374" s="14"/>
      <c r="BG374" s="14"/>
      <c r="BH374" s="14"/>
      <c r="BI374" s="14"/>
      <c r="BJ374" s="14"/>
      <c r="BK374" s="14"/>
      <c r="BL374" s="14"/>
      <c r="BM374" s="14"/>
      <c r="BN374" s="14"/>
      <c r="BO374" s="14"/>
      <c r="BP374" s="14"/>
      <c r="BQ374" s="14"/>
      <c r="BR374" s="14"/>
      <c r="BS374" s="14"/>
      <c r="BT374" s="14"/>
      <c r="BU374" s="14"/>
      <c r="BV374" s="14"/>
      <c r="BW374" s="14"/>
      <c r="BX374" s="14"/>
      <c r="BY374" s="14"/>
      <c r="BZ374" s="14"/>
      <c r="CA374" s="14"/>
      <c r="CB374" s="14"/>
      <c r="CC374" s="14"/>
      <c r="CD374" s="14"/>
      <c r="CE374" s="14"/>
      <c r="CF374" s="14"/>
      <c r="CG374" s="14"/>
      <c r="CH374" s="14"/>
      <c r="CI374" s="14"/>
      <c r="CJ374" s="14"/>
      <c r="CK374" s="14"/>
      <c r="CL374" s="14"/>
      <c r="CM374" s="14"/>
      <c r="CN374" s="14"/>
      <c r="CO374" s="14"/>
      <c r="CP374" s="14"/>
      <c r="CQ374" s="14"/>
      <c r="CR374" s="14"/>
      <c r="CS374" s="14"/>
      <c r="CT374" s="14"/>
      <c r="CU374" s="14"/>
      <c r="CV374" s="14"/>
      <c r="CW374" s="14"/>
      <c r="CX374" s="14"/>
      <c r="CY374" s="14"/>
      <c r="CZ374" s="14"/>
      <c r="DA374" s="14"/>
      <c r="DB374" s="14"/>
      <c r="DC374" s="14"/>
      <c r="DD374" s="14"/>
      <c r="DE374" s="14"/>
      <c r="DF374" s="14"/>
      <c r="DG374" s="14"/>
      <c r="DH374" s="14"/>
      <c r="DI374" s="14"/>
      <c r="DJ374" s="14"/>
      <c r="DK374" s="14"/>
      <c r="DL374" s="14"/>
      <c r="DM374" s="14"/>
      <c r="DN374" s="14"/>
      <c r="DO374" s="14"/>
      <c r="DP374" s="14"/>
      <c r="DQ374" s="14"/>
      <c r="DR374" s="14"/>
      <c r="DS374" s="14"/>
      <c r="DT374" s="14"/>
      <c r="DU374" s="14"/>
      <c r="DV374" s="14"/>
      <c r="DW374" s="14"/>
      <c r="DX374" s="14"/>
      <c r="DY374" s="14"/>
      <c r="DZ374" s="14"/>
      <c r="EA374" s="14"/>
      <c r="EB374" s="14"/>
      <c r="EC374" s="14"/>
    </row>
    <row r="375" spans="1:133" s="13" customFormat="1" ht="64.8" x14ac:dyDescent="0.25">
      <c r="A375" s="15" t="s">
        <v>94</v>
      </c>
      <c r="B375" s="25" t="s">
        <v>95</v>
      </c>
      <c r="C375" s="35" t="s">
        <v>96</v>
      </c>
      <c r="D375" s="35" t="s">
        <v>97</v>
      </c>
      <c r="E375" s="16">
        <v>0</v>
      </c>
      <c r="R375" s="14"/>
      <c r="S375" s="14"/>
      <c r="T375" s="14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F375" s="14"/>
      <c r="AG375" s="14"/>
      <c r="AH375" s="14"/>
      <c r="AI375" s="14"/>
      <c r="AJ375" s="14"/>
      <c r="AK375" s="14"/>
      <c r="AL375" s="14"/>
      <c r="AM375" s="14"/>
      <c r="AN375" s="14"/>
      <c r="AO375" s="14"/>
      <c r="AP375" s="14"/>
      <c r="AQ375" s="14"/>
      <c r="AR375" s="14"/>
      <c r="AS375" s="14"/>
      <c r="AT375" s="14"/>
      <c r="AU375" s="14"/>
      <c r="AV375" s="14"/>
      <c r="AW375" s="14"/>
      <c r="AX375" s="14"/>
      <c r="AY375" s="14"/>
      <c r="AZ375" s="14"/>
      <c r="BA375" s="14"/>
      <c r="BB375" s="14"/>
      <c r="BC375" s="14"/>
      <c r="BD375" s="14"/>
      <c r="BE375" s="14"/>
      <c r="BF375" s="14"/>
      <c r="BG375" s="14"/>
      <c r="BH375" s="14"/>
      <c r="BI375" s="14"/>
      <c r="BJ375" s="14"/>
      <c r="BK375" s="14"/>
      <c r="BL375" s="14"/>
      <c r="BM375" s="14"/>
      <c r="BN375" s="14"/>
      <c r="BO375" s="14"/>
      <c r="BP375" s="14"/>
      <c r="BQ375" s="14"/>
      <c r="BR375" s="14"/>
      <c r="BS375" s="14"/>
      <c r="BT375" s="14"/>
      <c r="BU375" s="14"/>
      <c r="BV375" s="14"/>
      <c r="BW375" s="14"/>
      <c r="BX375" s="14"/>
      <c r="BY375" s="14"/>
      <c r="BZ375" s="14"/>
      <c r="CA375" s="14"/>
      <c r="CB375" s="14"/>
      <c r="CC375" s="14"/>
      <c r="CD375" s="14"/>
      <c r="CE375" s="14"/>
      <c r="CF375" s="14"/>
      <c r="CG375" s="14"/>
      <c r="CH375" s="14"/>
      <c r="CI375" s="14"/>
      <c r="CJ375" s="14"/>
      <c r="CK375" s="14"/>
      <c r="CL375" s="14"/>
      <c r="CM375" s="14"/>
      <c r="CN375" s="14"/>
      <c r="CO375" s="14"/>
      <c r="CP375" s="14"/>
      <c r="CQ375" s="14"/>
      <c r="CR375" s="14"/>
      <c r="CS375" s="14"/>
      <c r="CT375" s="14"/>
      <c r="CU375" s="14"/>
      <c r="CV375" s="14"/>
      <c r="CW375" s="14"/>
      <c r="CX375" s="14"/>
      <c r="CY375" s="14"/>
      <c r="CZ375" s="14"/>
      <c r="DA375" s="14"/>
      <c r="DB375" s="14"/>
      <c r="DC375" s="14"/>
      <c r="DD375" s="14"/>
      <c r="DE375" s="14"/>
      <c r="DF375" s="14"/>
      <c r="DG375" s="14"/>
      <c r="DH375" s="14"/>
      <c r="DI375" s="14"/>
      <c r="DJ375" s="14"/>
      <c r="DK375" s="14"/>
      <c r="DL375" s="14"/>
      <c r="DM375" s="14"/>
      <c r="DN375" s="14"/>
      <c r="DO375" s="14"/>
      <c r="DP375" s="14"/>
      <c r="DQ375" s="14"/>
      <c r="DR375" s="14"/>
      <c r="DS375" s="14"/>
      <c r="DT375" s="14"/>
      <c r="DU375" s="14"/>
      <c r="DV375" s="14"/>
      <c r="DW375" s="14"/>
      <c r="DX375" s="14"/>
      <c r="DY375" s="14"/>
      <c r="DZ375" s="14"/>
      <c r="EA375" s="14"/>
      <c r="EB375" s="14"/>
      <c r="EC375" s="14"/>
    </row>
    <row r="377" spans="1:133" s="13" customFormat="1" x14ac:dyDescent="0.25">
      <c r="A377" s="158" t="s">
        <v>98</v>
      </c>
      <c r="B377" s="158"/>
      <c r="C377" s="158"/>
      <c r="D377" s="158"/>
      <c r="E377" s="158"/>
      <c r="R377" s="14"/>
      <c r="S377" s="14"/>
      <c r="T377" s="14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F377" s="14"/>
      <c r="AG377" s="14"/>
      <c r="AH377" s="14"/>
      <c r="AI377" s="14"/>
      <c r="AJ377" s="14"/>
      <c r="AK377" s="14"/>
      <c r="AL377" s="14"/>
      <c r="AM377" s="14"/>
      <c r="AN377" s="14"/>
      <c r="AO377" s="14"/>
      <c r="AP377" s="14"/>
      <c r="AQ377" s="14"/>
      <c r="AR377" s="14"/>
      <c r="AS377" s="14"/>
      <c r="AT377" s="14"/>
      <c r="AU377" s="14"/>
      <c r="AV377" s="14"/>
      <c r="AW377" s="14"/>
      <c r="AX377" s="14"/>
      <c r="AY377" s="14"/>
      <c r="AZ377" s="14"/>
      <c r="BA377" s="14"/>
      <c r="BB377" s="14"/>
      <c r="BC377" s="14"/>
      <c r="BD377" s="14"/>
      <c r="BE377" s="14"/>
      <c r="BF377" s="14"/>
      <c r="BG377" s="14"/>
      <c r="BH377" s="14"/>
      <c r="BI377" s="14"/>
      <c r="BJ377" s="14"/>
      <c r="BK377" s="14"/>
      <c r="BL377" s="14"/>
      <c r="BM377" s="14"/>
      <c r="BN377" s="14"/>
      <c r="BO377" s="14"/>
      <c r="BP377" s="14"/>
      <c r="BQ377" s="14"/>
      <c r="BR377" s="14"/>
      <c r="BS377" s="14"/>
      <c r="BT377" s="14"/>
      <c r="BU377" s="14"/>
      <c r="BV377" s="14"/>
      <c r="BW377" s="14"/>
      <c r="BX377" s="14"/>
      <c r="BY377" s="14"/>
      <c r="BZ377" s="14"/>
      <c r="CA377" s="14"/>
      <c r="CB377" s="14"/>
      <c r="CC377" s="14"/>
      <c r="CD377" s="14"/>
      <c r="CE377" s="14"/>
      <c r="CF377" s="14"/>
      <c r="CG377" s="14"/>
      <c r="CH377" s="14"/>
      <c r="CI377" s="14"/>
      <c r="CJ377" s="14"/>
      <c r="CK377" s="14"/>
      <c r="CL377" s="14"/>
      <c r="CM377" s="14"/>
      <c r="CN377" s="14"/>
      <c r="CO377" s="14"/>
      <c r="CP377" s="14"/>
      <c r="CQ377" s="14"/>
      <c r="CR377" s="14"/>
      <c r="CS377" s="14"/>
      <c r="CT377" s="14"/>
      <c r="CU377" s="14"/>
      <c r="CV377" s="14"/>
      <c r="CW377" s="14"/>
      <c r="CX377" s="14"/>
      <c r="CY377" s="14"/>
      <c r="CZ377" s="14"/>
      <c r="DA377" s="14"/>
      <c r="DB377" s="14"/>
      <c r="DC377" s="14"/>
      <c r="DD377" s="14"/>
      <c r="DE377" s="14"/>
      <c r="DF377" s="14"/>
      <c r="DG377" s="14"/>
      <c r="DH377" s="14"/>
      <c r="DI377" s="14"/>
      <c r="DJ377" s="14"/>
      <c r="DK377" s="14"/>
      <c r="DL377" s="14"/>
      <c r="DM377" s="14"/>
      <c r="DN377" s="14"/>
      <c r="DO377" s="14"/>
      <c r="DP377" s="14"/>
      <c r="DQ377" s="14"/>
      <c r="DR377" s="14"/>
      <c r="DS377" s="14"/>
      <c r="DT377" s="14"/>
      <c r="DU377" s="14"/>
      <c r="DV377" s="14"/>
      <c r="DW377" s="14"/>
      <c r="DX377" s="14"/>
      <c r="DY377" s="14"/>
      <c r="DZ377" s="14"/>
      <c r="EA377" s="14"/>
      <c r="EB377" s="14"/>
      <c r="EC377" s="14"/>
    </row>
    <row r="378" spans="1:133" s="13" customFormat="1" x14ac:dyDescent="0.25">
      <c r="A378" s="57" t="s">
        <v>8</v>
      </c>
      <c r="B378" s="58" t="s">
        <v>9</v>
      </c>
      <c r="C378" s="34" t="s">
        <v>10</v>
      </c>
      <c r="D378" s="34" t="s">
        <v>340</v>
      </c>
      <c r="E378" s="16" t="s">
        <v>65</v>
      </c>
      <c r="R378" s="14"/>
      <c r="S378" s="14"/>
      <c r="T378" s="14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F378" s="14"/>
      <c r="AG378" s="14"/>
      <c r="AH378" s="14"/>
      <c r="AI378" s="14"/>
      <c r="AJ378" s="14"/>
      <c r="AK378" s="14"/>
      <c r="AL378" s="14"/>
      <c r="AM378" s="14"/>
      <c r="AN378" s="14"/>
      <c r="AO378" s="14"/>
      <c r="AP378" s="14"/>
      <c r="AQ378" s="14"/>
      <c r="AR378" s="14"/>
      <c r="AS378" s="14"/>
      <c r="AT378" s="14"/>
      <c r="AU378" s="14"/>
      <c r="AV378" s="14"/>
      <c r="AW378" s="14"/>
      <c r="AX378" s="14"/>
      <c r="AY378" s="14"/>
      <c r="AZ378" s="14"/>
      <c r="BA378" s="14"/>
      <c r="BB378" s="14"/>
      <c r="BC378" s="14"/>
      <c r="BD378" s="14"/>
      <c r="BE378" s="14"/>
      <c r="BF378" s="14"/>
      <c r="BG378" s="14"/>
      <c r="BH378" s="14"/>
      <c r="BI378" s="14"/>
      <c r="BJ378" s="14"/>
      <c r="BK378" s="14"/>
      <c r="BL378" s="14"/>
      <c r="BM378" s="14"/>
      <c r="BN378" s="14"/>
      <c r="BO378" s="14"/>
      <c r="BP378" s="14"/>
      <c r="BQ378" s="14"/>
      <c r="BR378" s="14"/>
      <c r="BS378" s="14"/>
      <c r="BT378" s="14"/>
      <c r="BU378" s="14"/>
      <c r="BV378" s="14"/>
      <c r="BW378" s="14"/>
      <c r="BX378" s="14"/>
      <c r="BY378" s="14"/>
      <c r="BZ378" s="14"/>
      <c r="CA378" s="14"/>
      <c r="CB378" s="14"/>
      <c r="CC378" s="14"/>
      <c r="CD378" s="14"/>
      <c r="CE378" s="14"/>
      <c r="CF378" s="14"/>
      <c r="CG378" s="14"/>
      <c r="CH378" s="14"/>
      <c r="CI378" s="14"/>
      <c r="CJ378" s="14"/>
      <c r="CK378" s="14"/>
      <c r="CL378" s="14"/>
      <c r="CM378" s="14"/>
      <c r="CN378" s="14"/>
      <c r="CO378" s="14"/>
      <c r="CP378" s="14"/>
      <c r="CQ378" s="14"/>
      <c r="CR378" s="14"/>
      <c r="CS378" s="14"/>
      <c r="CT378" s="14"/>
      <c r="CU378" s="14"/>
      <c r="CV378" s="14"/>
      <c r="CW378" s="14"/>
      <c r="CX378" s="14"/>
      <c r="CY378" s="14"/>
      <c r="CZ378" s="14"/>
      <c r="DA378" s="14"/>
      <c r="DB378" s="14"/>
      <c r="DC378" s="14"/>
      <c r="DD378" s="14"/>
      <c r="DE378" s="14"/>
      <c r="DF378" s="14"/>
      <c r="DG378" s="14"/>
      <c r="DH378" s="14"/>
      <c r="DI378" s="14"/>
      <c r="DJ378" s="14"/>
      <c r="DK378" s="14"/>
      <c r="DL378" s="14"/>
      <c r="DM378" s="14"/>
      <c r="DN378" s="14"/>
      <c r="DO378" s="14"/>
      <c r="DP378" s="14"/>
      <c r="DQ378" s="14"/>
      <c r="DR378" s="14"/>
      <c r="DS378" s="14"/>
      <c r="DT378" s="14"/>
      <c r="DU378" s="14"/>
      <c r="DV378" s="14"/>
      <c r="DW378" s="14"/>
      <c r="DX378" s="14"/>
      <c r="DY378" s="14"/>
      <c r="DZ378" s="14"/>
      <c r="EA378" s="14"/>
      <c r="EB378" s="14"/>
      <c r="EC378" s="14"/>
    </row>
    <row r="379" spans="1:133" s="13" customFormat="1" ht="49.2" x14ac:dyDescent="0.25">
      <c r="A379" s="15" t="s">
        <v>99</v>
      </c>
      <c r="B379" s="25" t="s">
        <v>95</v>
      </c>
      <c r="C379" s="35" t="s">
        <v>100</v>
      </c>
      <c r="D379" s="35" t="s">
        <v>101</v>
      </c>
      <c r="E379" s="16">
        <v>0</v>
      </c>
      <c r="R379" s="14"/>
      <c r="S379" s="14"/>
      <c r="T379" s="14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F379" s="14"/>
      <c r="AG379" s="14"/>
      <c r="AH379" s="14"/>
      <c r="AI379" s="14"/>
      <c r="AJ379" s="14"/>
      <c r="AK379" s="14"/>
      <c r="AL379" s="14"/>
      <c r="AM379" s="14"/>
      <c r="AN379" s="14"/>
      <c r="AO379" s="14"/>
      <c r="AP379" s="14"/>
      <c r="AQ379" s="14"/>
      <c r="AR379" s="14"/>
      <c r="AS379" s="14"/>
      <c r="AT379" s="14"/>
      <c r="AU379" s="14"/>
      <c r="AV379" s="14"/>
      <c r="AW379" s="14"/>
      <c r="AX379" s="14"/>
      <c r="AY379" s="14"/>
      <c r="AZ379" s="14"/>
      <c r="BA379" s="14"/>
      <c r="BB379" s="14"/>
      <c r="BC379" s="14"/>
      <c r="BD379" s="14"/>
      <c r="BE379" s="14"/>
      <c r="BF379" s="14"/>
      <c r="BG379" s="14"/>
      <c r="BH379" s="14"/>
      <c r="BI379" s="14"/>
      <c r="BJ379" s="14"/>
      <c r="BK379" s="14"/>
      <c r="BL379" s="14"/>
      <c r="BM379" s="14"/>
      <c r="BN379" s="14"/>
      <c r="BO379" s="14"/>
      <c r="BP379" s="14"/>
      <c r="BQ379" s="14"/>
      <c r="BR379" s="14"/>
      <c r="BS379" s="14"/>
      <c r="BT379" s="14"/>
      <c r="BU379" s="14"/>
      <c r="BV379" s="14"/>
      <c r="BW379" s="14"/>
      <c r="BX379" s="14"/>
      <c r="BY379" s="14"/>
      <c r="BZ379" s="14"/>
      <c r="CA379" s="14"/>
      <c r="CB379" s="14"/>
      <c r="CC379" s="14"/>
      <c r="CD379" s="14"/>
      <c r="CE379" s="14"/>
      <c r="CF379" s="14"/>
      <c r="CG379" s="14"/>
      <c r="CH379" s="14"/>
      <c r="CI379" s="14"/>
      <c r="CJ379" s="14"/>
      <c r="CK379" s="14"/>
      <c r="CL379" s="14"/>
      <c r="CM379" s="14"/>
      <c r="CN379" s="14"/>
      <c r="CO379" s="14"/>
      <c r="CP379" s="14"/>
      <c r="CQ379" s="14"/>
      <c r="CR379" s="14"/>
      <c r="CS379" s="14"/>
      <c r="CT379" s="14"/>
      <c r="CU379" s="14"/>
      <c r="CV379" s="14"/>
      <c r="CW379" s="14"/>
      <c r="CX379" s="14"/>
      <c r="CY379" s="14"/>
      <c r="CZ379" s="14"/>
      <c r="DA379" s="14"/>
      <c r="DB379" s="14"/>
      <c r="DC379" s="14"/>
      <c r="DD379" s="14"/>
      <c r="DE379" s="14"/>
      <c r="DF379" s="14"/>
      <c r="DG379" s="14"/>
      <c r="DH379" s="14"/>
      <c r="DI379" s="14"/>
      <c r="DJ379" s="14"/>
      <c r="DK379" s="14"/>
      <c r="DL379" s="14"/>
      <c r="DM379" s="14"/>
      <c r="DN379" s="14"/>
      <c r="DO379" s="14"/>
      <c r="DP379" s="14"/>
      <c r="DQ379" s="14"/>
      <c r="DR379" s="14"/>
      <c r="DS379" s="14"/>
      <c r="DT379" s="14"/>
      <c r="DU379" s="14"/>
      <c r="DV379" s="14"/>
      <c r="DW379" s="14"/>
      <c r="DX379" s="14"/>
      <c r="DY379" s="14"/>
      <c r="DZ379" s="14"/>
      <c r="EA379" s="14"/>
      <c r="EB379" s="14"/>
      <c r="EC379" s="14"/>
    </row>
    <row r="381" spans="1:133" s="13" customFormat="1" x14ac:dyDescent="0.25">
      <c r="A381" s="57" t="s">
        <v>8</v>
      </c>
      <c r="B381" s="58" t="s">
        <v>9</v>
      </c>
      <c r="C381" s="34" t="s">
        <v>10</v>
      </c>
      <c r="D381" s="34" t="s">
        <v>340</v>
      </c>
      <c r="E381" s="16" t="s">
        <v>65</v>
      </c>
      <c r="R381" s="14"/>
      <c r="S381" s="14"/>
      <c r="T381" s="1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F381" s="14"/>
      <c r="AG381" s="14"/>
      <c r="AH381" s="14"/>
      <c r="AI381" s="14"/>
      <c r="AJ381" s="14"/>
      <c r="AK381" s="14"/>
      <c r="AL381" s="14"/>
      <c r="AM381" s="14"/>
      <c r="AN381" s="14"/>
      <c r="AO381" s="14"/>
      <c r="AP381" s="14"/>
      <c r="AQ381" s="14"/>
      <c r="AR381" s="14"/>
      <c r="AS381" s="14"/>
      <c r="AT381" s="14"/>
      <c r="AU381" s="14"/>
      <c r="AV381" s="14"/>
      <c r="AW381" s="14"/>
      <c r="AX381" s="14"/>
      <c r="AY381" s="14"/>
      <c r="AZ381" s="14"/>
      <c r="BA381" s="14"/>
      <c r="BB381" s="14"/>
      <c r="BC381" s="14"/>
      <c r="BD381" s="14"/>
      <c r="BE381" s="14"/>
      <c r="BF381" s="14"/>
      <c r="BG381" s="14"/>
      <c r="BH381" s="14"/>
      <c r="BI381" s="14"/>
      <c r="BJ381" s="14"/>
      <c r="BK381" s="14"/>
      <c r="BL381" s="14"/>
      <c r="BM381" s="14"/>
      <c r="BN381" s="14"/>
      <c r="BO381" s="14"/>
      <c r="BP381" s="14"/>
      <c r="BQ381" s="14"/>
      <c r="BR381" s="14"/>
      <c r="BS381" s="14"/>
      <c r="BT381" s="14"/>
      <c r="BU381" s="14"/>
      <c r="BV381" s="14"/>
      <c r="BW381" s="14"/>
      <c r="BX381" s="14"/>
      <c r="BY381" s="14"/>
      <c r="BZ381" s="14"/>
      <c r="CA381" s="14"/>
      <c r="CB381" s="14"/>
      <c r="CC381" s="14"/>
      <c r="CD381" s="14"/>
      <c r="CE381" s="14"/>
      <c r="CF381" s="14"/>
      <c r="CG381" s="14"/>
      <c r="CH381" s="14"/>
      <c r="CI381" s="14"/>
      <c r="CJ381" s="14"/>
      <c r="CK381" s="14"/>
      <c r="CL381" s="14"/>
      <c r="CM381" s="14"/>
      <c r="CN381" s="14"/>
      <c r="CO381" s="14"/>
      <c r="CP381" s="14"/>
      <c r="CQ381" s="14"/>
      <c r="CR381" s="14"/>
      <c r="CS381" s="14"/>
      <c r="CT381" s="14"/>
      <c r="CU381" s="14"/>
      <c r="CV381" s="14"/>
      <c r="CW381" s="14"/>
      <c r="CX381" s="14"/>
      <c r="CY381" s="14"/>
      <c r="CZ381" s="14"/>
      <c r="DA381" s="14"/>
      <c r="DB381" s="14"/>
      <c r="DC381" s="14"/>
      <c r="DD381" s="14"/>
      <c r="DE381" s="14"/>
      <c r="DF381" s="14"/>
      <c r="DG381" s="14"/>
      <c r="DH381" s="14"/>
      <c r="DI381" s="14"/>
      <c r="DJ381" s="14"/>
      <c r="DK381" s="14"/>
      <c r="DL381" s="14"/>
      <c r="DM381" s="14"/>
      <c r="DN381" s="14"/>
      <c r="DO381" s="14"/>
      <c r="DP381" s="14"/>
      <c r="DQ381" s="14"/>
      <c r="DR381" s="14"/>
      <c r="DS381" s="14"/>
      <c r="DT381" s="14"/>
      <c r="DU381" s="14"/>
      <c r="DV381" s="14"/>
      <c r="DW381" s="14"/>
      <c r="DX381" s="14"/>
      <c r="DY381" s="14"/>
      <c r="DZ381" s="14"/>
      <c r="EA381" s="14"/>
      <c r="EB381" s="14"/>
      <c r="EC381" s="14"/>
    </row>
    <row r="382" spans="1:133" s="13" customFormat="1" ht="18" x14ac:dyDescent="0.25">
      <c r="A382" s="59" t="s">
        <v>102</v>
      </c>
      <c r="B382" s="25" t="s">
        <v>103</v>
      </c>
      <c r="C382" s="35" t="s">
        <v>104</v>
      </c>
      <c r="D382" s="53" t="s">
        <v>380</v>
      </c>
      <c r="E382" s="18">
        <f>ROUNDDOWN(E332+E363+E358+E375+E379,0)</f>
        <v>4808</v>
      </c>
      <c r="R382" s="14"/>
      <c r="S382" s="14"/>
      <c r="T382" s="14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F382" s="14"/>
      <c r="AG382" s="14"/>
      <c r="AH382" s="14"/>
      <c r="AI382" s="14"/>
      <c r="AJ382" s="14"/>
      <c r="AK382" s="14"/>
      <c r="AL382" s="14"/>
      <c r="AM382" s="14"/>
      <c r="AN382" s="14"/>
      <c r="AO382" s="14"/>
      <c r="AP382" s="14"/>
      <c r="AQ382" s="14"/>
      <c r="AR382" s="14"/>
      <c r="AS382" s="14"/>
      <c r="AT382" s="14"/>
      <c r="AU382" s="14"/>
      <c r="AV382" s="14"/>
      <c r="AW382" s="14"/>
      <c r="AX382" s="14"/>
      <c r="AY382" s="14"/>
      <c r="AZ382" s="14"/>
      <c r="BA382" s="14"/>
      <c r="BB382" s="14"/>
      <c r="BC382" s="14"/>
      <c r="BD382" s="14"/>
      <c r="BE382" s="14"/>
      <c r="BF382" s="14"/>
      <c r="BG382" s="14"/>
      <c r="BH382" s="14"/>
      <c r="BI382" s="14"/>
      <c r="BJ382" s="14"/>
      <c r="BK382" s="14"/>
      <c r="BL382" s="14"/>
      <c r="BM382" s="14"/>
      <c r="BN382" s="14"/>
      <c r="BO382" s="14"/>
      <c r="BP382" s="14"/>
      <c r="BQ382" s="14"/>
      <c r="BR382" s="14"/>
      <c r="BS382" s="14"/>
      <c r="BT382" s="14"/>
      <c r="BU382" s="14"/>
      <c r="BV382" s="14"/>
      <c r="BW382" s="14"/>
      <c r="BX382" s="14"/>
      <c r="BY382" s="14"/>
      <c r="BZ382" s="14"/>
      <c r="CA382" s="14"/>
      <c r="CB382" s="14"/>
      <c r="CC382" s="14"/>
      <c r="CD382" s="14"/>
      <c r="CE382" s="14"/>
      <c r="CF382" s="14"/>
      <c r="CG382" s="14"/>
      <c r="CH382" s="14"/>
      <c r="CI382" s="14"/>
      <c r="CJ382" s="14"/>
      <c r="CK382" s="14"/>
      <c r="CL382" s="14"/>
      <c r="CM382" s="14"/>
      <c r="CN382" s="14"/>
      <c r="CO382" s="14"/>
      <c r="CP382" s="14"/>
      <c r="CQ382" s="14"/>
      <c r="CR382" s="14"/>
      <c r="CS382" s="14"/>
      <c r="CT382" s="14"/>
      <c r="CU382" s="14"/>
      <c r="CV382" s="14"/>
      <c r="CW382" s="14"/>
      <c r="CX382" s="14"/>
      <c r="CY382" s="14"/>
      <c r="CZ382" s="14"/>
      <c r="DA382" s="14"/>
      <c r="DB382" s="14"/>
      <c r="DC382" s="14"/>
      <c r="DD382" s="14"/>
      <c r="DE382" s="14"/>
      <c r="DF382" s="14"/>
      <c r="DG382" s="14"/>
      <c r="DH382" s="14"/>
      <c r="DI382" s="14"/>
      <c r="DJ382" s="14"/>
      <c r="DK382" s="14"/>
      <c r="DL382" s="14"/>
      <c r="DM382" s="14"/>
      <c r="DN382" s="14"/>
      <c r="DO382" s="14"/>
      <c r="DP382" s="14"/>
      <c r="DQ382" s="14"/>
      <c r="DR382" s="14"/>
      <c r="DS382" s="14"/>
      <c r="DT382" s="14"/>
      <c r="DU382" s="14"/>
      <c r="DV382" s="14"/>
      <c r="DW382" s="14"/>
      <c r="DX382" s="14"/>
      <c r="DY382" s="14"/>
      <c r="DZ382" s="14"/>
      <c r="EA382" s="14"/>
      <c r="EB382" s="14"/>
      <c r="EC382" s="14"/>
    </row>
    <row r="383" spans="1:133" s="167" customFormat="1" ht="43.2" customHeight="1" x14ac:dyDescent="0.25">
      <c r="A383" s="167" t="s">
        <v>235</v>
      </c>
    </row>
    <row r="384" spans="1:133" s="56" customFormat="1" ht="31.2" x14ac:dyDescent="0.25">
      <c r="A384" s="92" t="s">
        <v>8</v>
      </c>
      <c r="B384" s="93" t="s">
        <v>9</v>
      </c>
      <c r="C384" s="94" t="s">
        <v>10</v>
      </c>
      <c r="D384" s="93" t="s">
        <v>341</v>
      </c>
      <c r="E384" s="93" t="s">
        <v>11</v>
      </c>
      <c r="F384" s="16" t="s">
        <v>312</v>
      </c>
      <c r="G384" s="16" t="s">
        <v>313</v>
      </c>
      <c r="H384" s="16" t="s">
        <v>314</v>
      </c>
      <c r="I384" s="16" t="s">
        <v>315</v>
      </c>
      <c r="J384" s="16" t="s">
        <v>316</v>
      </c>
      <c r="K384" s="16" t="s">
        <v>317</v>
      </c>
      <c r="L384" s="16" t="s">
        <v>318</v>
      </c>
      <c r="M384" s="16" t="s">
        <v>319</v>
      </c>
      <c r="N384" s="16" t="s">
        <v>320</v>
      </c>
      <c r="O384" s="16" t="s">
        <v>293</v>
      </c>
      <c r="P384" s="16" t="s">
        <v>294</v>
      </c>
      <c r="Q384" s="16" t="s">
        <v>295</v>
      </c>
      <c r="R384" s="54"/>
      <c r="S384" s="54"/>
      <c r="T384" s="54"/>
      <c r="U384" s="54"/>
      <c r="V384" s="54"/>
      <c r="W384" s="54"/>
      <c r="X384" s="54"/>
      <c r="Y384" s="54"/>
      <c r="Z384" s="54"/>
      <c r="AA384" s="54"/>
      <c r="AB384" s="54"/>
      <c r="AC384" s="54"/>
      <c r="AD384" s="54"/>
      <c r="AE384" s="54"/>
      <c r="AF384" s="54"/>
      <c r="AG384" s="54"/>
      <c r="AH384" s="54"/>
      <c r="AI384" s="54"/>
      <c r="AJ384" s="54"/>
      <c r="AK384" s="54"/>
      <c r="AL384" s="54"/>
      <c r="AM384" s="54"/>
      <c r="AN384" s="54"/>
      <c r="AO384" s="54"/>
      <c r="AP384" s="54"/>
      <c r="AQ384" s="54"/>
      <c r="AR384" s="54"/>
      <c r="AS384" s="54"/>
      <c r="AT384" s="54"/>
      <c r="AU384" s="54"/>
      <c r="AV384" s="54"/>
      <c r="AW384" s="54"/>
      <c r="AX384" s="54"/>
      <c r="AY384" s="54"/>
      <c r="AZ384" s="54"/>
      <c r="BA384" s="54"/>
      <c r="BB384" s="54"/>
      <c r="BC384" s="54"/>
      <c r="BD384" s="54"/>
      <c r="BE384" s="54"/>
      <c r="BF384" s="54"/>
      <c r="BG384" s="54"/>
      <c r="BH384" s="54"/>
      <c r="BI384" s="54"/>
      <c r="BJ384" s="54"/>
      <c r="BK384" s="54"/>
      <c r="BL384" s="54"/>
      <c r="BM384" s="54"/>
      <c r="BN384" s="54"/>
      <c r="BO384" s="54"/>
      <c r="BP384" s="54"/>
      <c r="BQ384" s="54"/>
      <c r="BR384" s="54"/>
      <c r="BS384" s="54"/>
      <c r="BT384" s="54"/>
      <c r="BU384" s="54"/>
      <c r="BV384" s="54"/>
      <c r="BW384" s="54"/>
      <c r="BX384" s="54"/>
      <c r="BY384" s="54"/>
      <c r="BZ384" s="54"/>
      <c r="CA384" s="54"/>
      <c r="CB384" s="54"/>
      <c r="CC384" s="54"/>
      <c r="CD384" s="54"/>
      <c r="CE384" s="54"/>
      <c r="CF384" s="54"/>
      <c r="CG384" s="54"/>
      <c r="CH384" s="54"/>
      <c r="CI384" s="54"/>
      <c r="CJ384" s="54"/>
      <c r="CK384" s="54"/>
      <c r="CL384" s="54"/>
      <c r="CM384" s="54"/>
      <c r="CN384" s="54"/>
      <c r="CO384" s="54"/>
      <c r="CP384" s="54"/>
      <c r="CQ384" s="54"/>
      <c r="CR384" s="54"/>
      <c r="CS384" s="54"/>
      <c r="CT384" s="54"/>
      <c r="CU384" s="54"/>
      <c r="CV384" s="54"/>
      <c r="CW384" s="54"/>
      <c r="CX384" s="54"/>
      <c r="CY384" s="54"/>
      <c r="CZ384" s="54"/>
      <c r="DA384" s="54"/>
      <c r="DB384" s="54"/>
      <c r="DC384" s="54"/>
      <c r="DD384" s="54"/>
      <c r="DE384" s="54"/>
      <c r="DF384" s="54"/>
      <c r="DG384" s="54"/>
      <c r="DH384" s="54"/>
      <c r="DI384" s="54"/>
      <c r="DJ384" s="54"/>
      <c r="DK384" s="54"/>
      <c r="DL384" s="54"/>
      <c r="DM384" s="54"/>
      <c r="DN384" s="54"/>
      <c r="DO384" s="54"/>
      <c r="DP384" s="54"/>
      <c r="DQ384" s="54"/>
      <c r="DR384" s="54"/>
      <c r="DS384" s="54"/>
      <c r="DT384" s="54"/>
      <c r="DU384" s="54"/>
      <c r="DV384" s="54"/>
      <c r="DW384" s="54"/>
      <c r="DX384" s="54"/>
      <c r="DY384" s="54"/>
      <c r="DZ384" s="54"/>
      <c r="EA384" s="54"/>
      <c r="EB384" s="54"/>
      <c r="EC384" s="54"/>
    </row>
    <row r="385" spans="1:133" s="56" customFormat="1" x14ac:dyDescent="0.25">
      <c r="A385" s="178" t="s">
        <v>12</v>
      </c>
      <c r="B385" s="178"/>
      <c r="C385" s="179"/>
      <c r="D385" s="179"/>
      <c r="E385" s="178"/>
      <c r="F385" s="16">
        <v>31</v>
      </c>
      <c r="G385" s="16">
        <v>28</v>
      </c>
      <c r="H385" s="16">
        <v>31</v>
      </c>
      <c r="I385" s="16">
        <v>30</v>
      </c>
      <c r="J385" s="16">
        <v>31</v>
      </c>
      <c r="K385" s="16">
        <v>30</v>
      </c>
      <c r="L385" s="16">
        <v>31</v>
      </c>
      <c r="M385" s="16">
        <v>31</v>
      </c>
      <c r="N385" s="16">
        <v>30</v>
      </c>
      <c r="O385" s="16">
        <v>31</v>
      </c>
      <c r="P385" s="16">
        <v>30</v>
      </c>
      <c r="Q385" s="16">
        <v>31</v>
      </c>
      <c r="R385" s="54"/>
      <c r="S385" s="54"/>
      <c r="T385" s="54"/>
      <c r="U385" s="54"/>
      <c r="V385" s="54"/>
      <c r="W385" s="54"/>
      <c r="X385" s="54"/>
      <c r="Y385" s="54"/>
      <c r="Z385" s="54"/>
      <c r="AA385" s="54"/>
      <c r="AB385" s="54"/>
      <c r="AC385" s="54"/>
      <c r="AD385" s="54"/>
      <c r="AE385" s="54"/>
      <c r="AF385" s="54"/>
      <c r="AG385" s="54"/>
      <c r="AH385" s="54"/>
      <c r="AI385" s="54"/>
      <c r="AJ385" s="54"/>
      <c r="AK385" s="54"/>
      <c r="AL385" s="54"/>
      <c r="AM385" s="54"/>
      <c r="AN385" s="54"/>
      <c r="AO385" s="54"/>
      <c r="AP385" s="54"/>
      <c r="AQ385" s="54"/>
      <c r="AR385" s="54"/>
      <c r="AS385" s="54"/>
      <c r="AT385" s="54"/>
      <c r="AU385" s="54"/>
      <c r="AV385" s="54"/>
      <c r="AW385" s="54"/>
      <c r="AX385" s="54"/>
      <c r="AY385" s="54"/>
      <c r="AZ385" s="54"/>
      <c r="BA385" s="54"/>
      <c r="BB385" s="54"/>
      <c r="BC385" s="54"/>
      <c r="BD385" s="54"/>
      <c r="BE385" s="54"/>
      <c r="BF385" s="54"/>
      <c r="BG385" s="54"/>
      <c r="BH385" s="54"/>
      <c r="BI385" s="54"/>
      <c r="BJ385" s="54"/>
      <c r="BK385" s="54"/>
      <c r="BL385" s="54"/>
      <c r="BM385" s="54"/>
      <c r="BN385" s="54"/>
      <c r="BO385" s="54"/>
      <c r="BP385" s="54"/>
      <c r="BQ385" s="54"/>
      <c r="BR385" s="54"/>
      <c r="BS385" s="54"/>
      <c r="BT385" s="54"/>
      <c r="BU385" s="54"/>
      <c r="BV385" s="54"/>
      <c r="BW385" s="54"/>
      <c r="BX385" s="54"/>
      <c r="BY385" s="54"/>
      <c r="BZ385" s="54"/>
      <c r="CA385" s="54"/>
      <c r="CB385" s="54"/>
      <c r="CC385" s="54"/>
      <c r="CD385" s="54"/>
      <c r="CE385" s="54"/>
      <c r="CF385" s="54"/>
      <c r="CG385" s="54"/>
      <c r="CH385" s="54"/>
      <c r="CI385" s="54"/>
      <c r="CJ385" s="54"/>
      <c r="CK385" s="54"/>
      <c r="CL385" s="54"/>
      <c r="CM385" s="54"/>
      <c r="CN385" s="54"/>
      <c r="CO385" s="54"/>
      <c r="CP385" s="54"/>
      <c r="CQ385" s="54"/>
      <c r="CR385" s="54"/>
      <c r="CS385" s="54"/>
      <c r="CT385" s="54"/>
      <c r="CU385" s="54"/>
      <c r="CV385" s="54"/>
      <c r="CW385" s="54"/>
      <c r="CX385" s="54"/>
      <c r="CY385" s="54"/>
      <c r="CZ385" s="54"/>
      <c r="DA385" s="54"/>
      <c r="DB385" s="54"/>
      <c r="DC385" s="54"/>
      <c r="DD385" s="54"/>
      <c r="DE385" s="54"/>
      <c r="DF385" s="54"/>
      <c r="DG385" s="54"/>
      <c r="DH385" s="54"/>
      <c r="DI385" s="54"/>
      <c r="DJ385" s="54"/>
      <c r="DK385" s="54"/>
      <c r="DL385" s="54"/>
      <c r="DM385" s="54"/>
      <c r="DN385" s="54"/>
      <c r="DO385" s="54"/>
      <c r="DP385" s="54"/>
      <c r="DQ385" s="54"/>
      <c r="DR385" s="54"/>
      <c r="DS385" s="54"/>
      <c r="DT385" s="54"/>
      <c r="DU385" s="54"/>
      <c r="DV385" s="54"/>
      <c r="DW385" s="54"/>
      <c r="DX385" s="54"/>
      <c r="DY385" s="54"/>
      <c r="DZ385" s="54"/>
      <c r="EA385" s="54"/>
      <c r="EB385" s="54"/>
      <c r="EC385" s="54"/>
    </row>
    <row r="386" spans="1:133" ht="46.8" x14ac:dyDescent="0.25">
      <c r="A386" s="59" t="s">
        <v>13</v>
      </c>
      <c r="B386" s="60" t="s">
        <v>14</v>
      </c>
      <c r="C386" s="53" t="s">
        <v>15</v>
      </c>
      <c r="D386" s="53" t="s">
        <v>369</v>
      </c>
      <c r="E386" s="61">
        <f>SUM(F386:Q386)</f>
        <v>3020.4016765849697</v>
      </c>
      <c r="F386" s="62">
        <f>$E$387*$E$388*F389*$E$400</f>
        <v>243.6482593770416</v>
      </c>
      <c r="G386" s="62">
        <f t="shared" ref="G386:Q386" si="49">$E$387*$E$388*G389*$E$400</f>
        <v>220.33495931833357</v>
      </c>
      <c r="H386" s="62">
        <f t="shared" si="49"/>
        <v>243.89286290115822</v>
      </c>
      <c r="I386" s="62">
        <f t="shared" si="49"/>
        <v>235.54384549491306</v>
      </c>
      <c r="J386" s="62">
        <f t="shared" si="49"/>
        <v>274.90251773828453</v>
      </c>
      <c r="K386" s="62">
        <f t="shared" si="49"/>
        <v>254.69406412817034</v>
      </c>
      <c r="L386" s="62">
        <f t="shared" si="49"/>
        <v>263.34760589962724</v>
      </c>
      <c r="M386" s="62">
        <f t="shared" si="49"/>
        <v>262.94318280648628</v>
      </c>
      <c r="N386" s="62">
        <f t="shared" si="49"/>
        <v>266.44344058133561</v>
      </c>
      <c r="O386" s="62">
        <f t="shared" si="49"/>
        <v>275.19999407534607</v>
      </c>
      <c r="P386" s="62">
        <f t="shared" si="49"/>
        <v>235.74799949515091</v>
      </c>
      <c r="Q386" s="62">
        <f t="shared" si="49"/>
        <v>243.70294476912184</v>
      </c>
    </row>
    <row r="387" spans="1:133" ht="31.2" x14ac:dyDescent="0.25">
      <c r="A387" s="63" t="s">
        <v>16</v>
      </c>
      <c r="B387" s="60" t="s">
        <v>193</v>
      </c>
      <c r="C387" s="35" t="s">
        <v>17</v>
      </c>
      <c r="D387" s="35" t="s">
        <v>205</v>
      </c>
      <c r="E387" s="176">
        <v>28</v>
      </c>
      <c r="F387" s="176"/>
      <c r="G387" s="176"/>
      <c r="H387" s="176"/>
      <c r="I387" s="176"/>
      <c r="J387" s="176"/>
      <c r="K387" s="176"/>
      <c r="L387" s="176"/>
      <c r="M387" s="176"/>
      <c r="N387" s="176"/>
      <c r="O387" s="176"/>
      <c r="P387" s="176"/>
      <c r="Q387" s="176"/>
    </row>
    <row r="388" spans="1:133" ht="64.8" x14ac:dyDescent="0.25">
      <c r="A388" s="63" t="s">
        <v>18</v>
      </c>
      <c r="B388" s="25" t="s">
        <v>194</v>
      </c>
      <c r="C388" s="35" t="s">
        <v>20</v>
      </c>
      <c r="D388" s="35" t="s">
        <v>394</v>
      </c>
      <c r="E388" s="176">
        <v>0.21</v>
      </c>
      <c r="F388" s="176"/>
      <c r="G388" s="176"/>
      <c r="H388" s="176"/>
      <c r="I388" s="176"/>
      <c r="J388" s="176"/>
      <c r="K388" s="176"/>
      <c r="L388" s="176"/>
      <c r="M388" s="176"/>
      <c r="N388" s="176"/>
      <c r="O388" s="176"/>
      <c r="P388" s="176"/>
      <c r="Q388" s="176"/>
    </row>
    <row r="389" spans="1:133" ht="46.8" x14ac:dyDescent="0.25">
      <c r="A389" s="35" t="s">
        <v>21</v>
      </c>
      <c r="B389" s="25" t="s">
        <v>195</v>
      </c>
      <c r="C389" s="53" t="s">
        <v>22</v>
      </c>
      <c r="D389" s="53" t="s">
        <v>370</v>
      </c>
      <c r="E389" s="64">
        <f t="shared" ref="E389:Q389" si="50">E397*E390</f>
        <v>866.0100689336781</v>
      </c>
      <c r="F389" s="64">
        <f t="shared" si="50"/>
        <v>69.858869280344408</v>
      </c>
      <c r="G389" s="64">
        <f t="shared" si="50"/>
        <v>63.174476026483994</v>
      </c>
      <c r="H389" s="64">
        <f t="shared" si="50"/>
        <v>69.929002043289088</v>
      </c>
      <c r="I389" s="64">
        <f t="shared" si="50"/>
        <v>67.535170389849583</v>
      </c>
      <c r="J389" s="64">
        <f t="shared" si="50"/>
        <v>78.820095413847909</v>
      </c>
      <c r="K389" s="64">
        <f t="shared" si="50"/>
        <v>73.025924247936842</v>
      </c>
      <c r="L389" s="64">
        <f t="shared" si="50"/>
        <v>75.507069177803601</v>
      </c>
      <c r="M389" s="64">
        <f t="shared" si="50"/>
        <v>75.391112921559781</v>
      </c>
      <c r="N389" s="64">
        <f t="shared" si="50"/>
        <v>76.394707410459091</v>
      </c>
      <c r="O389" s="64">
        <f t="shared" si="50"/>
        <v>78.90538787847666</v>
      </c>
      <c r="P389" s="64">
        <f t="shared" si="50"/>
        <v>67.59370545860871</v>
      </c>
      <c r="Q389" s="64">
        <f t="shared" si="50"/>
        <v>69.874548685018368</v>
      </c>
    </row>
    <row r="390" spans="1:133" ht="46.8" x14ac:dyDescent="0.25">
      <c r="A390" s="35" t="s">
        <v>23</v>
      </c>
      <c r="B390" s="25" t="s">
        <v>197</v>
      </c>
      <c r="C390" s="35" t="s">
        <v>191</v>
      </c>
      <c r="D390" s="35" t="s">
        <v>371</v>
      </c>
      <c r="E390" s="20">
        <f>SUM(F390:Q390)</f>
        <v>912.20379390672599</v>
      </c>
      <c r="F390" s="20">
        <f>F392*F395</f>
        <v>73.585201698670446</v>
      </c>
      <c r="G390" s="20">
        <f t="shared" ref="G390:Q390" si="51">G392*G395</f>
        <v>66.544257135931232</v>
      </c>
      <c r="H390" s="20">
        <f t="shared" si="51"/>
        <v>73.659075403758052</v>
      </c>
      <c r="I390" s="20">
        <f t="shared" si="51"/>
        <v>71.137554702583898</v>
      </c>
      <c r="J390" s="20">
        <f t="shared" si="51"/>
        <v>83.024427373151639</v>
      </c>
      <c r="K390" s="20">
        <f t="shared" si="51"/>
        <v>76.921190113338881</v>
      </c>
      <c r="L390" s="20">
        <f t="shared" si="51"/>
        <v>79.534681456509659</v>
      </c>
      <c r="M390" s="20">
        <f t="shared" si="51"/>
        <v>79.412539993416658</v>
      </c>
      <c r="N390" s="20">
        <f t="shared" si="51"/>
        <v>80.469667079069438</v>
      </c>
      <c r="O390" s="20">
        <f t="shared" si="51"/>
        <v>83.114269411503216</v>
      </c>
      <c r="P390" s="20">
        <f t="shared" si="51"/>
        <v>71.199212082462182</v>
      </c>
      <c r="Q390" s="20">
        <f t="shared" si="51"/>
        <v>73.601717456330633</v>
      </c>
    </row>
    <row r="391" spans="1:133" ht="62.4" x14ac:dyDescent="0.25">
      <c r="A391" s="17" t="s">
        <v>335</v>
      </c>
      <c r="B391" s="60" t="s">
        <v>192</v>
      </c>
      <c r="C391" s="35" t="s">
        <v>25</v>
      </c>
      <c r="D391" s="35" t="s">
        <v>333</v>
      </c>
      <c r="E391" s="121">
        <f>AVERAGE(F391:Q391)</f>
        <v>5932.8552762992831</v>
      </c>
      <c r="F391" s="121">
        <v>5573.4155483870982</v>
      </c>
      <c r="G391" s="121">
        <v>5573.9872500000001</v>
      </c>
      <c r="H391" s="121">
        <v>5575.0591612903227</v>
      </c>
      <c r="I391" s="121">
        <v>5572.5737333333345</v>
      </c>
      <c r="J391" s="121">
        <v>6291.4928709677442</v>
      </c>
      <c r="K391" s="121">
        <v>6291.4871666666668</v>
      </c>
      <c r="L391" s="121">
        <v>6291.9357096774183</v>
      </c>
      <c r="M391" s="121">
        <v>6291.2566129032266</v>
      </c>
      <c r="N391" s="121">
        <v>6293.1251666666667</v>
      </c>
      <c r="O391" s="121">
        <v>6292.4200645161281</v>
      </c>
      <c r="P391" s="121">
        <v>5573.7019666666647</v>
      </c>
      <c r="Q391" s="121">
        <v>5573.8080645161281</v>
      </c>
    </row>
    <row r="392" spans="1:133" ht="46.8" x14ac:dyDescent="0.25">
      <c r="A392" s="35" t="s">
        <v>26</v>
      </c>
      <c r="B392" s="60" t="s">
        <v>198</v>
      </c>
      <c r="C392" s="35" t="s">
        <v>27</v>
      </c>
      <c r="D392" s="35" t="s">
        <v>206</v>
      </c>
      <c r="E392" s="65">
        <f>SUM(F392:Q392)</f>
        <v>2166569.3130000001</v>
      </c>
      <c r="F392" s="65">
        <f>F391*F385</f>
        <v>172775.88200000004</v>
      </c>
      <c r="G392" s="65">
        <f t="shared" ref="G392:Q392" si="52">G391*G385</f>
        <v>156071.64300000001</v>
      </c>
      <c r="H392" s="65">
        <f t="shared" si="52"/>
        <v>172826.834</v>
      </c>
      <c r="I392" s="65">
        <f t="shared" si="52"/>
        <v>167177.21200000003</v>
      </c>
      <c r="J392" s="65">
        <f t="shared" si="52"/>
        <v>195036.27900000007</v>
      </c>
      <c r="K392" s="65">
        <f t="shared" si="52"/>
        <v>188744.61499999999</v>
      </c>
      <c r="L392" s="65">
        <f t="shared" si="52"/>
        <v>195050.00699999998</v>
      </c>
      <c r="M392" s="65">
        <f t="shared" si="52"/>
        <v>195028.95500000002</v>
      </c>
      <c r="N392" s="65">
        <f t="shared" si="52"/>
        <v>188793.755</v>
      </c>
      <c r="O392" s="65">
        <f t="shared" si="52"/>
        <v>195065.02199999997</v>
      </c>
      <c r="P392" s="65">
        <f t="shared" si="52"/>
        <v>167211.05899999995</v>
      </c>
      <c r="Q392" s="65">
        <f t="shared" si="52"/>
        <v>172788.04999999996</v>
      </c>
    </row>
    <row r="393" spans="1:133" ht="62.4" x14ac:dyDescent="0.25">
      <c r="A393" s="35" t="s">
        <v>28</v>
      </c>
      <c r="B393" s="60" t="s">
        <v>199</v>
      </c>
      <c r="C393" s="35" t="s">
        <v>29</v>
      </c>
      <c r="D393" s="35" t="s">
        <v>332</v>
      </c>
      <c r="E393" s="125">
        <f>AVERAGE(F393:Q393)</f>
        <v>421.35462708969686</v>
      </c>
      <c r="F393" s="125">
        <v>425.89973118279573</v>
      </c>
      <c r="G393" s="125">
        <v>426.36994047619038</v>
      </c>
      <c r="H393" s="125">
        <v>426.20161290322568</v>
      </c>
      <c r="I393" s="125">
        <v>425.5218390804597</v>
      </c>
      <c r="J393" s="125">
        <v>425.68709677419355</v>
      </c>
      <c r="K393" s="125">
        <v>407.54111111111109</v>
      </c>
      <c r="L393" s="125">
        <v>407.76559139784939</v>
      </c>
      <c r="M393" s="125">
        <v>407.18333333333322</v>
      </c>
      <c r="N393" s="125">
        <v>426.23055555555555</v>
      </c>
      <c r="O393" s="125">
        <v>426.08494623655912</v>
      </c>
      <c r="P393" s="125">
        <v>425.80444444444436</v>
      </c>
      <c r="Q393" s="125">
        <v>425.96532258064519</v>
      </c>
    </row>
    <row r="394" spans="1:133" ht="62.4" x14ac:dyDescent="0.25">
      <c r="A394" s="35" t="s">
        <v>30</v>
      </c>
      <c r="B394" s="60" t="s">
        <v>199</v>
      </c>
      <c r="C394" s="35" t="s">
        <v>31</v>
      </c>
      <c r="D394" s="35" t="s">
        <v>331</v>
      </c>
      <c r="E394" s="125">
        <f>AVERAGE(F394:Q394)</f>
        <v>19.910299945633305</v>
      </c>
      <c r="F394" s="125">
        <v>20.029301075268815</v>
      </c>
      <c r="G394" s="125">
        <v>19.981845238095243</v>
      </c>
      <c r="H394" s="125">
        <v>19.911021505376343</v>
      </c>
      <c r="I394" s="125">
        <v>19.878160919540235</v>
      </c>
      <c r="J394" s="125">
        <v>20.347580645161287</v>
      </c>
      <c r="K394" s="125">
        <v>20.004722222222213</v>
      </c>
      <c r="L394" s="125">
        <v>19.77741935483871</v>
      </c>
      <c r="M394" s="125">
        <v>20.309946236559135</v>
      </c>
      <c r="N394" s="125">
        <v>19.878888888888891</v>
      </c>
      <c r="O394" s="125">
        <v>19.773655913978494</v>
      </c>
      <c r="P394" s="125">
        <v>19.504444444444445</v>
      </c>
      <c r="Q394" s="125">
        <v>19.5266129032258</v>
      </c>
    </row>
    <row r="395" spans="1:133" ht="62.4" x14ac:dyDescent="0.25">
      <c r="A395" s="35" t="s">
        <v>32</v>
      </c>
      <c r="B395" s="60" t="s">
        <v>200</v>
      </c>
      <c r="C395" s="35" t="s">
        <v>34</v>
      </c>
      <c r="D395" s="35" t="s">
        <v>338</v>
      </c>
      <c r="E395" s="122">
        <f>E393/1000000</f>
        <v>4.2135462708969688E-4</v>
      </c>
      <c r="F395" s="120">
        <f>F393/1000000</f>
        <v>4.2589973118279572E-4</v>
      </c>
      <c r="G395" s="120">
        <f t="shared" ref="G395:Q396" si="53">G393/1000000</f>
        <v>4.2636994047619037E-4</v>
      </c>
      <c r="H395" s="120">
        <f t="shared" si="53"/>
        <v>4.262016129032257E-4</v>
      </c>
      <c r="I395" s="120">
        <f t="shared" si="53"/>
        <v>4.2552183908045968E-4</v>
      </c>
      <c r="J395" s="120">
        <f t="shared" si="53"/>
        <v>4.2568709677419354E-4</v>
      </c>
      <c r="K395" s="120">
        <f t="shared" si="53"/>
        <v>4.0754111111111107E-4</v>
      </c>
      <c r="L395" s="120">
        <f t="shared" si="53"/>
        <v>4.077655913978494E-4</v>
      </c>
      <c r="M395" s="120">
        <f t="shared" si="53"/>
        <v>4.0718333333333325E-4</v>
      </c>
      <c r="N395" s="120">
        <f t="shared" si="53"/>
        <v>4.2623055555555554E-4</v>
      </c>
      <c r="O395" s="120">
        <f t="shared" si="53"/>
        <v>4.2608494623655913E-4</v>
      </c>
      <c r="P395" s="120">
        <f t="shared" si="53"/>
        <v>4.2580444444444436E-4</v>
      </c>
      <c r="Q395" s="120">
        <f t="shared" si="53"/>
        <v>4.2596532258064518E-4</v>
      </c>
    </row>
    <row r="396" spans="1:133" ht="62.4" x14ac:dyDescent="0.25">
      <c r="A396" s="35" t="s">
        <v>30</v>
      </c>
      <c r="B396" s="60" t="s">
        <v>33</v>
      </c>
      <c r="C396" s="35" t="s">
        <v>35</v>
      </c>
      <c r="D396" s="35" t="s">
        <v>339</v>
      </c>
      <c r="E396" s="122">
        <f>E394/1000000</f>
        <v>1.9910299945633304E-5</v>
      </c>
      <c r="F396" s="120">
        <f>F394/1000000</f>
        <v>2.0029301075268816E-5</v>
      </c>
      <c r="G396" s="120">
        <f t="shared" si="53"/>
        <v>1.9981845238095244E-5</v>
      </c>
      <c r="H396" s="120">
        <f t="shared" si="53"/>
        <v>1.9911021505376344E-5</v>
      </c>
      <c r="I396" s="120">
        <f t="shared" si="53"/>
        <v>1.9878160919540234E-5</v>
      </c>
      <c r="J396" s="120">
        <f t="shared" si="53"/>
        <v>2.0347580645161286E-5</v>
      </c>
      <c r="K396" s="120">
        <f t="shared" si="53"/>
        <v>2.0004722222222213E-5</v>
      </c>
      <c r="L396" s="120">
        <f t="shared" si="53"/>
        <v>1.977741935483871E-5</v>
      </c>
      <c r="M396" s="120">
        <f t="shared" si="53"/>
        <v>2.0309946236559134E-5</v>
      </c>
      <c r="N396" s="120">
        <f t="shared" si="53"/>
        <v>1.9878888888888891E-5</v>
      </c>
      <c r="O396" s="120">
        <f t="shared" si="53"/>
        <v>1.9773655913978495E-5</v>
      </c>
      <c r="P396" s="120">
        <f t="shared" si="53"/>
        <v>1.9504444444444445E-5</v>
      </c>
      <c r="Q396" s="120">
        <f t="shared" si="53"/>
        <v>1.9526612903225801E-5</v>
      </c>
    </row>
    <row r="397" spans="1:133" ht="46.8" x14ac:dyDescent="0.25">
      <c r="A397" s="63" t="s">
        <v>36</v>
      </c>
      <c r="B397" s="25" t="s">
        <v>201</v>
      </c>
      <c r="C397" s="35" t="s">
        <v>38</v>
      </c>
      <c r="D397" s="35" t="s">
        <v>368</v>
      </c>
      <c r="E397" s="68">
        <f>(1-(E398/E399))</f>
        <v>0.94936030163258533</v>
      </c>
      <c r="F397" s="68">
        <f>E397</f>
        <v>0.94936030163258533</v>
      </c>
      <c r="G397" s="68">
        <f>E397</f>
        <v>0.94936030163258533</v>
      </c>
      <c r="H397" s="68">
        <f>E397</f>
        <v>0.94936030163258533</v>
      </c>
      <c r="I397" s="68">
        <f>E397</f>
        <v>0.94936030163258533</v>
      </c>
      <c r="J397" s="68">
        <f>E397</f>
        <v>0.94936030163258533</v>
      </c>
      <c r="K397" s="68">
        <f>E397</f>
        <v>0.94936030163258533</v>
      </c>
      <c r="L397" s="68">
        <f>E397</f>
        <v>0.94936030163258533</v>
      </c>
      <c r="M397" s="68">
        <f>E397</f>
        <v>0.94936030163258533</v>
      </c>
      <c r="N397" s="68">
        <f>E397</f>
        <v>0.94936030163258533</v>
      </c>
      <c r="O397" s="68">
        <f>E397</f>
        <v>0.94936030163258533</v>
      </c>
      <c r="P397" s="68">
        <f>E397</f>
        <v>0.94936030163258533</v>
      </c>
      <c r="Q397" s="68">
        <f>E397</f>
        <v>0.94936030163258533</v>
      </c>
    </row>
    <row r="398" spans="1:133" ht="31.2" x14ac:dyDescent="0.25">
      <c r="A398" s="35" t="s">
        <v>39</v>
      </c>
      <c r="B398" s="25" t="s">
        <v>196</v>
      </c>
      <c r="C398" s="35" t="s">
        <v>40</v>
      </c>
      <c r="D398" s="35" t="s">
        <v>351</v>
      </c>
      <c r="E398" s="52">
        <f>SUM(F398:Q398)</f>
        <v>43.395043449999996</v>
      </c>
      <c r="F398" s="52">
        <v>3.68560643</v>
      </c>
      <c r="G398" s="52">
        <v>3.3289348400000001</v>
      </c>
      <c r="H398" s="52">
        <v>3.68560643</v>
      </c>
      <c r="I398" s="52">
        <v>3.5667158999999993</v>
      </c>
      <c r="J398" s="52">
        <v>3.68560643</v>
      </c>
      <c r="K398" s="52">
        <v>3.5667158999999993</v>
      </c>
      <c r="L398" s="52">
        <v>3.68560643</v>
      </c>
      <c r="M398" s="52">
        <v>3.68560643</v>
      </c>
      <c r="N398" s="52">
        <v>3.5667158999999993</v>
      </c>
      <c r="O398" s="52">
        <v>3.68560643</v>
      </c>
      <c r="P398" s="52">
        <v>3.5667158999999993</v>
      </c>
      <c r="Q398" s="52">
        <v>3.68560643</v>
      </c>
    </row>
    <row r="399" spans="1:133" ht="31.2" x14ac:dyDescent="0.25">
      <c r="A399" s="63" t="s">
        <v>41</v>
      </c>
      <c r="B399" s="25" t="s">
        <v>24</v>
      </c>
      <c r="C399" s="35" t="s">
        <v>42</v>
      </c>
      <c r="D399" s="35" t="s">
        <v>351</v>
      </c>
      <c r="E399" s="52">
        <f>SUM(F399:Q399)</f>
        <v>856.93724190749981</v>
      </c>
      <c r="F399" s="52">
        <v>72.780971230500001</v>
      </c>
      <c r="G399" s="52">
        <v>65.737651434</v>
      </c>
      <c r="H399" s="52">
        <v>72.780971230499986</v>
      </c>
      <c r="I399" s="52">
        <v>70.433197965000005</v>
      </c>
      <c r="J399" s="52">
        <v>72.780971230499986</v>
      </c>
      <c r="K399" s="52">
        <v>70.433197965000005</v>
      </c>
      <c r="L399" s="52">
        <v>72.780971230499986</v>
      </c>
      <c r="M399" s="52">
        <v>72.780971230499986</v>
      </c>
      <c r="N399" s="52">
        <v>70.433197965000005</v>
      </c>
      <c r="O399" s="52">
        <v>72.780971230499986</v>
      </c>
      <c r="P399" s="52">
        <v>70.433197965000005</v>
      </c>
      <c r="Q399" s="52">
        <v>72.780971230499986</v>
      </c>
    </row>
    <row r="400" spans="1:133" ht="31.2" x14ac:dyDescent="0.25">
      <c r="A400" s="53" t="s">
        <v>43</v>
      </c>
      <c r="B400" s="25" t="s">
        <v>201</v>
      </c>
      <c r="C400" s="53" t="s">
        <v>44</v>
      </c>
      <c r="D400" s="35" t="s">
        <v>372</v>
      </c>
      <c r="E400" s="191">
        <f>E401*E402*0.89</f>
        <v>0.59314986389678126</v>
      </c>
      <c r="F400" s="191"/>
      <c r="G400" s="191"/>
      <c r="H400" s="191"/>
      <c r="I400" s="191"/>
      <c r="J400" s="191"/>
      <c r="K400" s="191"/>
      <c r="L400" s="191"/>
      <c r="M400" s="191"/>
      <c r="N400" s="191"/>
      <c r="O400" s="191"/>
      <c r="P400" s="191"/>
      <c r="Q400" s="191"/>
    </row>
    <row r="401" spans="1:133" ht="31.2" x14ac:dyDescent="0.25">
      <c r="A401" s="70" t="s">
        <v>45</v>
      </c>
      <c r="B401" s="25" t="s">
        <v>201</v>
      </c>
      <c r="C401" s="53" t="s">
        <v>46</v>
      </c>
      <c r="D401" s="35" t="s">
        <v>373</v>
      </c>
      <c r="E401" s="162">
        <v>0.7</v>
      </c>
      <c r="F401" s="163"/>
      <c r="G401" s="163"/>
      <c r="H401" s="163"/>
      <c r="I401" s="163"/>
      <c r="J401" s="163"/>
      <c r="K401" s="163"/>
      <c r="L401" s="163"/>
      <c r="M401" s="163"/>
      <c r="N401" s="163"/>
      <c r="O401" s="163"/>
      <c r="P401" s="163"/>
      <c r="Q401" s="164"/>
    </row>
    <row r="402" spans="1:133" ht="36" customHeight="1" x14ac:dyDescent="0.25">
      <c r="A402" s="70" t="s">
        <v>47</v>
      </c>
      <c r="B402" s="25" t="s">
        <v>37</v>
      </c>
      <c r="C402" s="53" t="s">
        <v>48</v>
      </c>
      <c r="D402" s="35" t="s">
        <v>374</v>
      </c>
      <c r="E402" s="159">
        <f>(F403*F408+G403*G408+H403*H408+I403*I408+J403*J408+K403*K408+L403*L408+M403*M408+N403*N408+O403*O408+P403*P408+Q403*Q408)/(F397*F392*F395+G397*G395*G392+H397*H392*H395+I397*I395*I392+J397*J395*J392+K397*K395*K392+L397*L395*L392+M397*M395*M392+N397*N395*N392+O397*O392*O395+P397*P395*P392+Q397*Q395*Q392)</f>
        <v>0.95208645890334065</v>
      </c>
      <c r="F402" s="160"/>
      <c r="G402" s="160"/>
      <c r="H402" s="160"/>
      <c r="I402" s="160"/>
      <c r="J402" s="160"/>
      <c r="K402" s="160"/>
      <c r="L402" s="160"/>
      <c r="M402" s="160"/>
      <c r="N402" s="160"/>
      <c r="O402" s="160"/>
      <c r="P402" s="160"/>
      <c r="Q402" s="161"/>
    </row>
    <row r="403" spans="1:133" s="9" customFormat="1" ht="46.8" x14ac:dyDescent="0.4">
      <c r="A403" s="71" t="s">
        <v>49</v>
      </c>
      <c r="B403" s="25" t="s">
        <v>37</v>
      </c>
      <c r="C403" s="53" t="s">
        <v>50</v>
      </c>
      <c r="D403" s="53" t="s">
        <v>375</v>
      </c>
      <c r="E403" s="72">
        <f>AVERAGE(F403:Q403)</f>
        <v>0.64054421729664701</v>
      </c>
      <c r="F403" s="72">
        <f>IF(F407&lt;283,0,IF(F407&gt;303,1,EXP(($E$404*(F407-$E$405))/($E$406*$E$405*F407))))</f>
        <v>0.25708890533410012</v>
      </c>
      <c r="G403" s="72">
        <f t="shared" ref="G403:Q403" si="54">IF(G407&lt;283,0,IF(G407&gt;303,1,EXP(($E$404*(G407-$E$405))/($E$406*$E$405*G407))))</f>
        <v>0.37002059672690846</v>
      </c>
      <c r="H403" s="72">
        <f t="shared" si="54"/>
        <v>0.44226396815696317</v>
      </c>
      <c r="I403" s="72">
        <f t="shared" si="54"/>
        <v>0.57531644493802248</v>
      </c>
      <c r="J403" s="72">
        <f t="shared" si="54"/>
        <v>0.88152221926734242</v>
      </c>
      <c r="K403" s="72">
        <f t="shared" si="54"/>
        <v>0.88152221926734242</v>
      </c>
      <c r="L403" s="72">
        <f t="shared" si="54"/>
        <v>0.95843738031531212</v>
      </c>
      <c r="M403" s="72">
        <f t="shared" si="54"/>
        <v>0.91923925774048054</v>
      </c>
      <c r="N403" s="72">
        <f t="shared" si="54"/>
        <v>1</v>
      </c>
      <c r="O403" s="72">
        <f t="shared" si="54"/>
        <v>0.65487347206548807</v>
      </c>
      <c r="P403" s="72">
        <f t="shared" si="54"/>
        <v>0.42307437878932203</v>
      </c>
      <c r="Q403" s="72">
        <f t="shared" si="54"/>
        <v>0.32317176495848171</v>
      </c>
      <c r="R403" s="78"/>
      <c r="S403" s="78"/>
      <c r="T403" s="78"/>
      <c r="U403" s="78"/>
      <c r="V403" s="78"/>
      <c r="W403" s="78"/>
      <c r="X403" s="78"/>
      <c r="Y403" s="78"/>
      <c r="Z403" s="78"/>
      <c r="AA403" s="78"/>
      <c r="AB403" s="78"/>
      <c r="AC403" s="78"/>
      <c r="AD403" s="78"/>
      <c r="AE403" s="78"/>
      <c r="AF403" s="78"/>
      <c r="AG403" s="78"/>
      <c r="AH403" s="78"/>
      <c r="AI403" s="78"/>
      <c r="AJ403" s="78"/>
      <c r="AK403" s="78"/>
      <c r="AL403" s="78"/>
      <c r="AM403" s="78"/>
      <c r="AN403" s="78"/>
      <c r="AO403" s="78"/>
      <c r="AP403" s="78"/>
      <c r="AQ403" s="78"/>
      <c r="AR403" s="78"/>
      <c r="AS403" s="78"/>
      <c r="AT403" s="78"/>
      <c r="AU403" s="78"/>
      <c r="AV403" s="78"/>
      <c r="AW403" s="78"/>
      <c r="AX403" s="78"/>
      <c r="AY403" s="78"/>
      <c r="AZ403" s="78"/>
      <c r="BA403" s="78"/>
      <c r="BB403" s="78"/>
      <c r="BC403" s="78"/>
      <c r="BD403" s="78"/>
      <c r="BE403" s="78"/>
      <c r="BF403" s="78"/>
      <c r="BG403" s="78"/>
      <c r="BH403" s="78"/>
      <c r="BI403" s="78"/>
      <c r="BJ403" s="78"/>
      <c r="BK403" s="78"/>
      <c r="BL403" s="78"/>
      <c r="BM403" s="78"/>
      <c r="BN403" s="78"/>
      <c r="BO403" s="78"/>
      <c r="BP403" s="78"/>
      <c r="BQ403" s="78"/>
      <c r="BR403" s="78"/>
      <c r="BS403" s="78"/>
      <c r="BT403" s="78"/>
      <c r="BU403" s="78"/>
      <c r="BV403" s="78"/>
      <c r="BW403" s="78"/>
      <c r="BX403" s="78"/>
      <c r="BY403" s="78"/>
      <c r="BZ403" s="78"/>
      <c r="CA403" s="78"/>
      <c r="CB403" s="78"/>
      <c r="CC403" s="78"/>
      <c r="CD403" s="78"/>
      <c r="CE403" s="78"/>
      <c r="CF403" s="78"/>
      <c r="CG403" s="78"/>
      <c r="CH403" s="78"/>
      <c r="CI403" s="78"/>
      <c r="CJ403" s="78"/>
      <c r="CK403" s="78"/>
      <c r="CL403" s="78"/>
      <c r="CM403" s="78"/>
      <c r="CN403" s="78"/>
      <c r="CO403" s="78"/>
      <c r="CP403" s="78"/>
      <c r="CQ403" s="78"/>
      <c r="CR403" s="78"/>
      <c r="CS403" s="78"/>
      <c r="CT403" s="78"/>
      <c r="CU403" s="78"/>
      <c r="CV403" s="78"/>
      <c r="CW403" s="78"/>
      <c r="CX403" s="78"/>
      <c r="CY403" s="78"/>
      <c r="CZ403" s="78"/>
      <c r="DA403" s="78"/>
      <c r="DB403" s="78"/>
      <c r="DC403" s="78"/>
      <c r="DD403" s="78"/>
      <c r="DE403" s="78"/>
      <c r="DF403" s="78"/>
      <c r="DG403" s="78"/>
      <c r="DH403" s="78"/>
      <c r="DI403" s="78"/>
      <c r="DJ403" s="78"/>
      <c r="DK403" s="78"/>
      <c r="DL403" s="78"/>
      <c r="DM403" s="78"/>
      <c r="DN403" s="78"/>
      <c r="DO403" s="78"/>
      <c r="DP403" s="78"/>
      <c r="DQ403" s="78"/>
      <c r="DR403" s="78"/>
      <c r="DS403" s="78"/>
      <c r="DT403" s="78"/>
      <c r="DU403" s="78"/>
      <c r="DV403" s="78"/>
      <c r="DW403" s="78"/>
      <c r="DX403" s="78"/>
      <c r="DY403" s="78"/>
      <c r="DZ403" s="78"/>
      <c r="EA403" s="78"/>
      <c r="EB403" s="78"/>
      <c r="EC403" s="78"/>
    </row>
    <row r="404" spans="1:133" s="9" customFormat="1" x14ac:dyDescent="0.25">
      <c r="A404" s="73" t="s">
        <v>51</v>
      </c>
      <c r="B404" s="60" t="s">
        <v>202</v>
      </c>
      <c r="C404" s="53" t="s">
        <v>53</v>
      </c>
      <c r="D404" s="53" t="s">
        <v>376</v>
      </c>
      <c r="E404" s="162">
        <v>15175</v>
      </c>
      <c r="F404" s="163"/>
      <c r="G404" s="163"/>
      <c r="H404" s="163"/>
      <c r="I404" s="163"/>
      <c r="J404" s="163"/>
      <c r="K404" s="163"/>
      <c r="L404" s="163"/>
      <c r="M404" s="163"/>
      <c r="N404" s="163"/>
      <c r="O404" s="163"/>
      <c r="P404" s="163"/>
      <c r="Q404" s="164"/>
      <c r="R404" s="78"/>
      <c r="S404" s="78"/>
      <c r="T404" s="78"/>
      <c r="U404" s="78"/>
      <c r="V404" s="78"/>
      <c r="W404" s="78"/>
      <c r="X404" s="78"/>
      <c r="Y404" s="78"/>
      <c r="Z404" s="78"/>
      <c r="AA404" s="78"/>
      <c r="AB404" s="78"/>
      <c r="AC404" s="78"/>
      <c r="AD404" s="78"/>
      <c r="AE404" s="78"/>
      <c r="AF404" s="78"/>
      <c r="AG404" s="78"/>
      <c r="AH404" s="78"/>
      <c r="AI404" s="78"/>
      <c r="AJ404" s="78"/>
      <c r="AK404" s="78"/>
      <c r="AL404" s="78"/>
      <c r="AM404" s="78"/>
      <c r="AN404" s="78"/>
      <c r="AO404" s="78"/>
      <c r="AP404" s="78"/>
      <c r="AQ404" s="78"/>
      <c r="AR404" s="78"/>
      <c r="AS404" s="78"/>
      <c r="AT404" s="78"/>
      <c r="AU404" s="78"/>
      <c r="AV404" s="78"/>
      <c r="AW404" s="78"/>
      <c r="AX404" s="78"/>
      <c r="AY404" s="78"/>
      <c r="AZ404" s="78"/>
      <c r="BA404" s="78"/>
      <c r="BB404" s="78"/>
      <c r="BC404" s="78"/>
      <c r="BD404" s="78"/>
      <c r="BE404" s="78"/>
      <c r="BF404" s="78"/>
      <c r="BG404" s="78"/>
      <c r="BH404" s="78"/>
      <c r="BI404" s="78"/>
      <c r="BJ404" s="78"/>
      <c r="BK404" s="78"/>
      <c r="BL404" s="78"/>
      <c r="BM404" s="78"/>
      <c r="BN404" s="78"/>
      <c r="BO404" s="78"/>
      <c r="BP404" s="78"/>
      <c r="BQ404" s="78"/>
      <c r="BR404" s="78"/>
      <c r="BS404" s="78"/>
      <c r="BT404" s="78"/>
      <c r="BU404" s="78"/>
      <c r="BV404" s="78"/>
      <c r="BW404" s="78"/>
      <c r="BX404" s="78"/>
      <c r="BY404" s="78"/>
      <c r="BZ404" s="78"/>
      <c r="CA404" s="78"/>
      <c r="CB404" s="78"/>
      <c r="CC404" s="78"/>
      <c r="CD404" s="78"/>
      <c r="CE404" s="78"/>
      <c r="CF404" s="78"/>
      <c r="CG404" s="78"/>
      <c r="CH404" s="78"/>
      <c r="CI404" s="78"/>
      <c r="CJ404" s="78"/>
      <c r="CK404" s="78"/>
      <c r="CL404" s="78"/>
      <c r="CM404" s="78"/>
      <c r="CN404" s="78"/>
      <c r="CO404" s="78"/>
      <c r="CP404" s="78"/>
      <c r="CQ404" s="78"/>
      <c r="CR404" s="78"/>
      <c r="CS404" s="78"/>
      <c r="CT404" s="78"/>
      <c r="CU404" s="78"/>
      <c r="CV404" s="78"/>
      <c r="CW404" s="78"/>
      <c r="CX404" s="78"/>
      <c r="CY404" s="78"/>
      <c r="CZ404" s="78"/>
      <c r="DA404" s="78"/>
      <c r="DB404" s="78"/>
      <c r="DC404" s="78"/>
      <c r="DD404" s="78"/>
      <c r="DE404" s="78"/>
      <c r="DF404" s="78"/>
      <c r="DG404" s="78"/>
      <c r="DH404" s="78"/>
      <c r="DI404" s="78"/>
      <c r="DJ404" s="78"/>
      <c r="DK404" s="78"/>
      <c r="DL404" s="78"/>
      <c r="DM404" s="78"/>
      <c r="DN404" s="78"/>
      <c r="DO404" s="78"/>
      <c r="DP404" s="78"/>
      <c r="DQ404" s="78"/>
      <c r="DR404" s="78"/>
      <c r="DS404" s="78"/>
      <c r="DT404" s="78"/>
      <c r="DU404" s="78"/>
      <c r="DV404" s="78"/>
      <c r="DW404" s="78"/>
      <c r="DX404" s="78"/>
      <c r="DY404" s="78"/>
      <c r="DZ404" s="78"/>
      <c r="EA404" s="78"/>
      <c r="EB404" s="78"/>
      <c r="EC404" s="78"/>
    </row>
    <row r="405" spans="1:133" s="9" customFormat="1" ht="18" x14ac:dyDescent="0.25">
      <c r="A405" s="73" t="s">
        <v>54</v>
      </c>
      <c r="B405" s="60" t="s">
        <v>203</v>
      </c>
      <c r="C405" s="53" t="s">
        <v>56</v>
      </c>
      <c r="D405" s="53" t="s">
        <v>376</v>
      </c>
      <c r="E405" s="162">
        <v>303.16000000000003</v>
      </c>
      <c r="F405" s="163"/>
      <c r="G405" s="163"/>
      <c r="H405" s="163"/>
      <c r="I405" s="163"/>
      <c r="J405" s="163"/>
      <c r="K405" s="163"/>
      <c r="L405" s="163"/>
      <c r="M405" s="163"/>
      <c r="N405" s="163"/>
      <c r="O405" s="163"/>
      <c r="P405" s="163"/>
      <c r="Q405" s="164"/>
      <c r="R405" s="78"/>
      <c r="S405" s="78"/>
      <c r="T405" s="78"/>
      <c r="U405" s="78"/>
      <c r="V405" s="78"/>
      <c r="W405" s="78"/>
      <c r="X405" s="78"/>
      <c r="Y405" s="78"/>
      <c r="Z405" s="78"/>
      <c r="AA405" s="78"/>
      <c r="AB405" s="78"/>
      <c r="AC405" s="78"/>
      <c r="AD405" s="78"/>
      <c r="AE405" s="78"/>
      <c r="AF405" s="78"/>
      <c r="AG405" s="78"/>
      <c r="AH405" s="78"/>
      <c r="AI405" s="78"/>
      <c r="AJ405" s="78"/>
      <c r="AK405" s="78"/>
      <c r="AL405" s="78"/>
      <c r="AM405" s="78"/>
      <c r="AN405" s="78"/>
      <c r="AO405" s="78"/>
      <c r="AP405" s="78"/>
      <c r="AQ405" s="78"/>
      <c r="AR405" s="78"/>
      <c r="AS405" s="78"/>
      <c r="AT405" s="78"/>
      <c r="AU405" s="78"/>
      <c r="AV405" s="78"/>
      <c r="AW405" s="78"/>
      <c r="AX405" s="78"/>
      <c r="AY405" s="78"/>
      <c r="AZ405" s="78"/>
      <c r="BA405" s="78"/>
      <c r="BB405" s="78"/>
      <c r="BC405" s="78"/>
      <c r="BD405" s="78"/>
      <c r="BE405" s="78"/>
      <c r="BF405" s="78"/>
      <c r="BG405" s="78"/>
      <c r="BH405" s="78"/>
      <c r="BI405" s="78"/>
      <c r="BJ405" s="78"/>
      <c r="BK405" s="78"/>
      <c r="BL405" s="78"/>
      <c r="BM405" s="78"/>
      <c r="BN405" s="78"/>
      <c r="BO405" s="78"/>
      <c r="BP405" s="78"/>
      <c r="BQ405" s="78"/>
      <c r="BR405" s="78"/>
      <c r="BS405" s="78"/>
      <c r="BT405" s="78"/>
      <c r="BU405" s="78"/>
      <c r="BV405" s="78"/>
      <c r="BW405" s="78"/>
      <c r="BX405" s="78"/>
      <c r="BY405" s="78"/>
      <c r="BZ405" s="78"/>
      <c r="CA405" s="78"/>
      <c r="CB405" s="78"/>
      <c r="CC405" s="78"/>
      <c r="CD405" s="78"/>
      <c r="CE405" s="78"/>
      <c r="CF405" s="78"/>
      <c r="CG405" s="78"/>
      <c r="CH405" s="78"/>
      <c r="CI405" s="78"/>
      <c r="CJ405" s="78"/>
      <c r="CK405" s="78"/>
      <c r="CL405" s="78"/>
      <c r="CM405" s="78"/>
      <c r="CN405" s="78"/>
      <c r="CO405" s="78"/>
      <c r="CP405" s="78"/>
      <c r="CQ405" s="78"/>
      <c r="CR405" s="78"/>
      <c r="CS405" s="78"/>
      <c r="CT405" s="78"/>
      <c r="CU405" s="78"/>
      <c r="CV405" s="78"/>
      <c r="CW405" s="78"/>
      <c r="CX405" s="78"/>
      <c r="CY405" s="78"/>
      <c r="CZ405" s="78"/>
      <c r="DA405" s="78"/>
      <c r="DB405" s="78"/>
      <c r="DC405" s="78"/>
      <c r="DD405" s="78"/>
      <c r="DE405" s="78"/>
      <c r="DF405" s="78"/>
      <c r="DG405" s="78"/>
      <c r="DH405" s="78"/>
      <c r="DI405" s="78"/>
      <c r="DJ405" s="78"/>
      <c r="DK405" s="78"/>
      <c r="DL405" s="78"/>
      <c r="DM405" s="78"/>
      <c r="DN405" s="78"/>
      <c r="DO405" s="78"/>
      <c r="DP405" s="78"/>
      <c r="DQ405" s="78"/>
      <c r="DR405" s="78"/>
      <c r="DS405" s="78"/>
      <c r="DT405" s="78"/>
      <c r="DU405" s="78"/>
      <c r="DV405" s="78"/>
      <c r="DW405" s="78"/>
      <c r="DX405" s="78"/>
      <c r="DY405" s="78"/>
      <c r="DZ405" s="78"/>
      <c r="EA405" s="78"/>
      <c r="EB405" s="78"/>
      <c r="EC405" s="78"/>
    </row>
    <row r="406" spans="1:133" s="9" customFormat="1" x14ac:dyDescent="0.25">
      <c r="A406" s="73" t="s">
        <v>57</v>
      </c>
      <c r="B406" s="60" t="s">
        <v>204</v>
      </c>
      <c r="C406" s="53" t="s">
        <v>59</v>
      </c>
      <c r="D406" s="53" t="s">
        <v>376</v>
      </c>
      <c r="E406" s="162">
        <v>1.9870000000000001</v>
      </c>
      <c r="F406" s="163"/>
      <c r="G406" s="163"/>
      <c r="H406" s="163"/>
      <c r="I406" s="163"/>
      <c r="J406" s="163"/>
      <c r="K406" s="163"/>
      <c r="L406" s="163"/>
      <c r="M406" s="163"/>
      <c r="N406" s="163"/>
      <c r="O406" s="163"/>
      <c r="P406" s="163"/>
      <c r="Q406" s="164"/>
      <c r="R406" s="78"/>
      <c r="S406" s="78"/>
      <c r="T406" s="78"/>
      <c r="U406" s="78"/>
      <c r="V406" s="78"/>
      <c r="W406" s="78"/>
      <c r="X406" s="78"/>
      <c r="Y406" s="78"/>
      <c r="Z406" s="78"/>
      <c r="AA406" s="78"/>
      <c r="AB406" s="78"/>
      <c r="AC406" s="78"/>
      <c r="AD406" s="78"/>
      <c r="AE406" s="78"/>
      <c r="AF406" s="78"/>
      <c r="AG406" s="78"/>
      <c r="AH406" s="78"/>
      <c r="AI406" s="78"/>
      <c r="AJ406" s="78"/>
      <c r="AK406" s="78"/>
      <c r="AL406" s="78"/>
      <c r="AM406" s="78"/>
      <c r="AN406" s="78"/>
      <c r="AO406" s="78"/>
      <c r="AP406" s="78"/>
      <c r="AQ406" s="78"/>
      <c r="AR406" s="78"/>
      <c r="AS406" s="78"/>
      <c r="AT406" s="78"/>
      <c r="AU406" s="78"/>
      <c r="AV406" s="78"/>
      <c r="AW406" s="78"/>
      <c r="AX406" s="78"/>
      <c r="AY406" s="78"/>
      <c r="AZ406" s="78"/>
      <c r="BA406" s="78"/>
      <c r="BB406" s="78"/>
      <c r="BC406" s="78"/>
      <c r="BD406" s="78"/>
      <c r="BE406" s="78"/>
      <c r="BF406" s="78"/>
      <c r="BG406" s="78"/>
      <c r="BH406" s="78"/>
      <c r="BI406" s="78"/>
      <c r="BJ406" s="78"/>
      <c r="BK406" s="78"/>
      <c r="BL406" s="78"/>
      <c r="BM406" s="78"/>
      <c r="BN406" s="78"/>
      <c r="BO406" s="78"/>
      <c r="BP406" s="78"/>
      <c r="BQ406" s="78"/>
      <c r="BR406" s="78"/>
      <c r="BS406" s="78"/>
      <c r="BT406" s="78"/>
      <c r="BU406" s="78"/>
      <c r="BV406" s="78"/>
      <c r="BW406" s="78"/>
      <c r="BX406" s="78"/>
      <c r="BY406" s="78"/>
      <c r="BZ406" s="78"/>
      <c r="CA406" s="78"/>
      <c r="CB406" s="78"/>
      <c r="CC406" s="78"/>
      <c r="CD406" s="78"/>
      <c r="CE406" s="78"/>
      <c r="CF406" s="78"/>
      <c r="CG406" s="78"/>
      <c r="CH406" s="78"/>
      <c r="CI406" s="78"/>
      <c r="CJ406" s="78"/>
      <c r="CK406" s="78"/>
      <c r="CL406" s="78"/>
      <c r="CM406" s="78"/>
      <c r="CN406" s="78"/>
      <c r="CO406" s="78"/>
      <c r="CP406" s="78"/>
      <c r="CQ406" s="78"/>
      <c r="CR406" s="78"/>
      <c r="CS406" s="78"/>
      <c r="CT406" s="78"/>
      <c r="CU406" s="78"/>
      <c r="CV406" s="78"/>
      <c r="CW406" s="78"/>
      <c r="CX406" s="78"/>
      <c r="CY406" s="78"/>
      <c r="CZ406" s="78"/>
      <c r="DA406" s="78"/>
      <c r="DB406" s="78"/>
      <c r="DC406" s="78"/>
      <c r="DD406" s="78"/>
      <c r="DE406" s="78"/>
      <c r="DF406" s="78"/>
      <c r="DG406" s="78"/>
      <c r="DH406" s="78"/>
      <c r="DI406" s="78"/>
      <c r="DJ406" s="78"/>
      <c r="DK406" s="78"/>
      <c r="DL406" s="78"/>
      <c r="DM406" s="78"/>
      <c r="DN406" s="78"/>
      <c r="DO406" s="78"/>
      <c r="DP406" s="78"/>
      <c r="DQ406" s="78"/>
      <c r="DR406" s="78"/>
      <c r="DS406" s="78"/>
      <c r="DT406" s="78"/>
      <c r="DU406" s="78"/>
      <c r="DV406" s="78"/>
      <c r="DW406" s="78"/>
      <c r="DX406" s="78"/>
      <c r="DY406" s="78"/>
      <c r="DZ406" s="78"/>
      <c r="EA406" s="78"/>
      <c r="EB406" s="78"/>
      <c r="EC406" s="78"/>
    </row>
    <row r="407" spans="1:133" s="9" customFormat="1" ht="31.2" x14ac:dyDescent="0.25">
      <c r="A407" s="73" t="s">
        <v>60</v>
      </c>
      <c r="B407" s="60" t="s">
        <v>203</v>
      </c>
      <c r="C407" s="53" t="s">
        <v>61</v>
      </c>
      <c r="D407" s="143" t="s">
        <v>363</v>
      </c>
      <c r="E407" s="98">
        <f>AVERAGE(F407:Q407)</f>
        <v>296.85833333333341</v>
      </c>
      <c r="F407" s="60">
        <v>287.64999999999998</v>
      </c>
      <c r="G407" s="60">
        <v>291.64999999999998</v>
      </c>
      <c r="H407" s="60">
        <v>293.64999999999998</v>
      </c>
      <c r="I407" s="60">
        <v>296.64999999999998</v>
      </c>
      <c r="J407" s="60">
        <v>301.64999999999998</v>
      </c>
      <c r="K407" s="60">
        <v>301.64999999999998</v>
      </c>
      <c r="L407" s="60">
        <v>302.64999999999998</v>
      </c>
      <c r="M407" s="60">
        <v>302.14999999999998</v>
      </c>
      <c r="N407" s="60">
        <v>303.14999999999998</v>
      </c>
      <c r="O407" s="60">
        <v>298.14999999999998</v>
      </c>
      <c r="P407" s="60">
        <v>293.14999999999998</v>
      </c>
      <c r="Q407" s="60">
        <v>290.14999999999998</v>
      </c>
      <c r="R407" s="78"/>
      <c r="S407" s="78"/>
      <c r="T407" s="78"/>
      <c r="U407" s="78"/>
      <c r="V407" s="78"/>
      <c r="W407" s="78"/>
      <c r="X407" s="78"/>
      <c r="Y407" s="78"/>
      <c r="Z407" s="78"/>
      <c r="AA407" s="78"/>
      <c r="AB407" s="78"/>
      <c r="AC407" s="78"/>
      <c r="AD407" s="78"/>
      <c r="AE407" s="78"/>
      <c r="AF407" s="78"/>
      <c r="AG407" s="78"/>
      <c r="AH407" s="78"/>
      <c r="AI407" s="78"/>
      <c r="AJ407" s="78"/>
      <c r="AK407" s="78"/>
      <c r="AL407" s="78"/>
      <c r="AM407" s="78"/>
      <c r="AN407" s="78"/>
      <c r="AO407" s="78"/>
      <c r="AP407" s="78"/>
      <c r="AQ407" s="78"/>
      <c r="AR407" s="78"/>
      <c r="AS407" s="78"/>
      <c r="AT407" s="78"/>
      <c r="AU407" s="78"/>
      <c r="AV407" s="78"/>
      <c r="AW407" s="78"/>
      <c r="AX407" s="78"/>
      <c r="AY407" s="78"/>
      <c r="AZ407" s="78"/>
      <c r="BA407" s="78"/>
      <c r="BB407" s="78"/>
      <c r="BC407" s="78"/>
      <c r="BD407" s="78"/>
      <c r="BE407" s="78"/>
      <c r="BF407" s="78"/>
      <c r="BG407" s="78"/>
      <c r="BH407" s="78"/>
      <c r="BI407" s="78"/>
      <c r="BJ407" s="78"/>
      <c r="BK407" s="78"/>
      <c r="BL407" s="78"/>
      <c r="BM407" s="78"/>
      <c r="BN407" s="78"/>
      <c r="BO407" s="78"/>
      <c r="BP407" s="78"/>
      <c r="BQ407" s="78"/>
      <c r="BR407" s="78"/>
      <c r="BS407" s="78"/>
      <c r="BT407" s="78"/>
      <c r="BU407" s="78"/>
      <c r="BV407" s="78"/>
      <c r="BW407" s="78"/>
      <c r="BX407" s="78"/>
      <c r="BY407" s="78"/>
      <c r="BZ407" s="78"/>
      <c r="CA407" s="78"/>
      <c r="CB407" s="78"/>
      <c r="CC407" s="78"/>
      <c r="CD407" s="78"/>
      <c r="CE407" s="78"/>
      <c r="CF407" s="78"/>
      <c r="CG407" s="78"/>
      <c r="CH407" s="78"/>
      <c r="CI407" s="78"/>
      <c r="CJ407" s="78"/>
      <c r="CK407" s="78"/>
      <c r="CL407" s="78"/>
      <c r="CM407" s="78"/>
      <c r="CN407" s="78"/>
      <c r="CO407" s="78"/>
      <c r="CP407" s="78"/>
      <c r="CQ407" s="78"/>
      <c r="CR407" s="78"/>
      <c r="CS407" s="78"/>
      <c r="CT407" s="78"/>
      <c r="CU407" s="78"/>
      <c r="CV407" s="78"/>
      <c r="CW407" s="78"/>
      <c r="CX407" s="78"/>
      <c r="CY407" s="78"/>
      <c r="CZ407" s="78"/>
      <c r="DA407" s="78"/>
      <c r="DB407" s="78"/>
      <c r="DC407" s="78"/>
      <c r="DD407" s="78"/>
      <c r="DE407" s="78"/>
      <c r="DF407" s="78"/>
      <c r="DG407" s="78"/>
      <c r="DH407" s="78"/>
      <c r="DI407" s="78"/>
      <c r="DJ407" s="78"/>
      <c r="DK407" s="78"/>
      <c r="DL407" s="78"/>
      <c r="DM407" s="78"/>
      <c r="DN407" s="78"/>
      <c r="DO407" s="78"/>
      <c r="DP407" s="78"/>
      <c r="DQ407" s="78"/>
      <c r="DR407" s="78"/>
      <c r="DS407" s="78"/>
      <c r="DT407" s="78"/>
      <c r="DU407" s="78"/>
      <c r="DV407" s="78"/>
      <c r="DW407" s="78"/>
      <c r="DX407" s="78"/>
      <c r="DY407" s="78"/>
      <c r="DZ407" s="78"/>
      <c r="EA407" s="78"/>
      <c r="EB407" s="78"/>
      <c r="EC407" s="78"/>
    </row>
    <row r="408" spans="1:133" s="9" customFormat="1" ht="31.2" x14ac:dyDescent="0.4">
      <c r="A408" s="71" t="s">
        <v>62</v>
      </c>
      <c r="B408" s="60" t="s">
        <v>196</v>
      </c>
      <c r="C408" s="53" t="s">
        <v>63</v>
      </c>
      <c r="D408" s="53" t="s">
        <v>377</v>
      </c>
      <c r="E408" s="74">
        <f>SUM(F408:Q408)</f>
        <v>1468.0513795394979</v>
      </c>
      <c r="F408" s="74">
        <f>F397*F392*F395+(1-F403)*'Baseline Emissions 2020'!Q408</f>
        <v>178.55732751945771</v>
      </c>
      <c r="G408" s="74">
        <f t="shared" ref="G408:Q408" si="55">G397*G392*G395+(1-G403)*F408</f>
        <v>175.66191466722995</v>
      </c>
      <c r="H408" s="74">
        <f t="shared" si="55"/>
        <v>167.90198127574007</v>
      </c>
      <c r="I408" s="74">
        <f t="shared" si="55"/>
        <v>138.84038069998047</v>
      </c>
      <c r="J408" s="74">
        <f t="shared" si="55"/>
        <v>95.26959559525892</v>
      </c>
      <c r="K408" s="74">
        <f t="shared" si="55"/>
        <v>84.313254505360874</v>
      </c>
      <c r="L408" s="74">
        <f t="shared" si="55"/>
        <v>79.011348909188214</v>
      </c>
      <c r="M408" s="74">
        <f t="shared" si="55"/>
        <v>81.77212810639169</v>
      </c>
      <c r="N408" s="74">
        <f>N397*N392*N395+(1-N403)*0</f>
        <v>76.394707410459091</v>
      </c>
      <c r="O408" s="74">
        <f t="shared" si="55"/>
        <v>105.27122799962132</v>
      </c>
      <c r="P408" s="74">
        <f t="shared" si="55"/>
        <v>128.32737406790113</v>
      </c>
      <c r="Q408" s="74">
        <f t="shared" si="55"/>
        <v>156.7301387829086</v>
      </c>
      <c r="R408" s="78"/>
      <c r="S408" s="78"/>
      <c r="T408" s="78"/>
      <c r="U408" s="78"/>
      <c r="V408" s="78"/>
      <c r="W408" s="78"/>
      <c r="X408" s="78"/>
      <c r="Y408" s="78"/>
      <c r="Z408" s="78"/>
      <c r="AA408" s="78"/>
      <c r="AB408" s="78"/>
      <c r="AC408" s="78"/>
      <c r="AD408" s="78"/>
      <c r="AE408" s="78"/>
      <c r="AF408" s="78"/>
      <c r="AG408" s="78"/>
      <c r="AH408" s="78"/>
      <c r="AI408" s="78"/>
      <c r="AJ408" s="78"/>
      <c r="AK408" s="78"/>
      <c r="AL408" s="78"/>
      <c r="AM408" s="78"/>
      <c r="AN408" s="78"/>
      <c r="AO408" s="78"/>
      <c r="AP408" s="78"/>
      <c r="AQ408" s="78"/>
      <c r="AR408" s="78"/>
      <c r="AS408" s="78"/>
      <c r="AT408" s="78"/>
      <c r="AU408" s="78"/>
      <c r="AV408" s="78"/>
      <c r="AW408" s="78"/>
      <c r="AX408" s="78"/>
      <c r="AY408" s="78"/>
      <c r="AZ408" s="78"/>
      <c r="BA408" s="78"/>
      <c r="BB408" s="78"/>
      <c r="BC408" s="78"/>
      <c r="BD408" s="78"/>
      <c r="BE408" s="78"/>
      <c r="BF408" s="78"/>
      <c r="BG408" s="78"/>
      <c r="BH408" s="78"/>
      <c r="BI408" s="78"/>
      <c r="BJ408" s="78"/>
      <c r="BK408" s="78"/>
      <c r="BL408" s="78"/>
      <c r="BM408" s="78"/>
      <c r="BN408" s="78"/>
      <c r="BO408" s="78"/>
      <c r="BP408" s="78"/>
      <c r="BQ408" s="78"/>
      <c r="BR408" s="78"/>
      <c r="BS408" s="78"/>
      <c r="BT408" s="78"/>
      <c r="BU408" s="78"/>
      <c r="BV408" s="78"/>
      <c r="BW408" s="78"/>
      <c r="BX408" s="78"/>
      <c r="BY408" s="78"/>
      <c r="BZ408" s="78"/>
      <c r="CA408" s="78"/>
      <c r="CB408" s="78"/>
      <c r="CC408" s="78"/>
      <c r="CD408" s="78"/>
      <c r="CE408" s="78"/>
      <c r="CF408" s="78"/>
      <c r="CG408" s="78"/>
      <c r="CH408" s="78"/>
      <c r="CI408" s="78"/>
      <c r="CJ408" s="78"/>
      <c r="CK408" s="78"/>
      <c r="CL408" s="78"/>
      <c r="CM408" s="78"/>
      <c r="CN408" s="78"/>
      <c r="CO408" s="78"/>
      <c r="CP408" s="78"/>
      <c r="CQ408" s="78"/>
      <c r="CR408" s="78"/>
      <c r="CS408" s="78"/>
      <c r="CT408" s="78"/>
      <c r="CU408" s="78"/>
      <c r="CV408" s="78"/>
      <c r="CW408" s="78"/>
      <c r="CX408" s="78"/>
      <c r="CY408" s="78"/>
      <c r="CZ408" s="78"/>
      <c r="DA408" s="78"/>
      <c r="DB408" s="78"/>
      <c r="DC408" s="78"/>
      <c r="DD408" s="78"/>
      <c r="DE408" s="78"/>
      <c r="DF408" s="78"/>
      <c r="DG408" s="78"/>
      <c r="DH408" s="78"/>
      <c r="DI408" s="78"/>
      <c r="DJ408" s="78"/>
      <c r="DK408" s="78"/>
      <c r="DL408" s="78"/>
      <c r="DM408" s="78"/>
      <c r="DN408" s="78"/>
      <c r="DO408" s="78"/>
      <c r="DP408" s="78"/>
      <c r="DQ408" s="78"/>
      <c r="DR408" s="78"/>
      <c r="DS408" s="78"/>
      <c r="DT408" s="78"/>
      <c r="DU408" s="78"/>
      <c r="DV408" s="78"/>
      <c r="DW408" s="78"/>
      <c r="DX408" s="78"/>
      <c r="DY408" s="78"/>
      <c r="DZ408" s="78"/>
      <c r="EA408" s="78"/>
      <c r="EB408" s="78"/>
      <c r="EC408" s="78"/>
    </row>
    <row r="410" spans="1:133" x14ac:dyDescent="0.25">
      <c r="A410" s="158" t="s">
        <v>64</v>
      </c>
      <c r="B410" s="158"/>
      <c r="C410" s="158"/>
      <c r="D410" s="158"/>
      <c r="E410" s="158"/>
    </row>
    <row r="411" spans="1:133" x14ac:dyDescent="0.25">
      <c r="A411" s="57" t="s">
        <v>8</v>
      </c>
      <c r="B411" s="58" t="s">
        <v>9</v>
      </c>
      <c r="C411" s="34" t="s">
        <v>10</v>
      </c>
      <c r="D411" s="34" t="s">
        <v>340</v>
      </c>
      <c r="E411" s="16" t="s">
        <v>65</v>
      </c>
    </row>
    <row r="412" spans="1:133" ht="46.8" x14ac:dyDescent="0.25">
      <c r="A412" s="59" t="s">
        <v>66</v>
      </c>
      <c r="B412" s="60" t="s">
        <v>14</v>
      </c>
      <c r="C412" s="53" t="s">
        <v>67</v>
      </c>
      <c r="D412" s="53" t="s">
        <v>68</v>
      </c>
      <c r="E412" s="75">
        <v>0</v>
      </c>
    </row>
    <row r="413" spans="1:133" ht="46.8" x14ac:dyDescent="0.25">
      <c r="A413" s="63" t="s">
        <v>69</v>
      </c>
      <c r="B413" s="25" t="s">
        <v>70</v>
      </c>
      <c r="C413" s="35" t="s">
        <v>71</v>
      </c>
      <c r="D413" s="53" t="str">
        <f>D419</f>
        <v>Historical data on site in the FSR (It was calculated with conservative value)</v>
      </c>
      <c r="E413" s="74">
        <f>E419</f>
        <v>403.29920349672869</v>
      </c>
    </row>
    <row r="415" spans="1:133" x14ac:dyDescent="0.25">
      <c r="A415" s="174" t="s">
        <v>72</v>
      </c>
      <c r="B415" s="174"/>
      <c r="C415" s="175"/>
      <c r="D415" s="175"/>
      <c r="E415" s="174"/>
    </row>
    <row r="416" spans="1:133" s="13" customFormat="1" x14ac:dyDescent="0.25">
      <c r="A416" s="59" t="s">
        <v>8</v>
      </c>
      <c r="B416" s="16" t="s">
        <v>9</v>
      </c>
      <c r="C416" s="38" t="s">
        <v>10</v>
      </c>
      <c r="D416" s="38" t="s">
        <v>340</v>
      </c>
      <c r="E416" s="16" t="s">
        <v>65</v>
      </c>
      <c r="R416" s="14"/>
      <c r="S416" s="14"/>
      <c r="T416" s="1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F416" s="14"/>
      <c r="AG416" s="14"/>
      <c r="AH416" s="14"/>
      <c r="AI416" s="14"/>
      <c r="AJ416" s="14"/>
      <c r="AK416" s="14"/>
      <c r="AL416" s="14"/>
      <c r="AM416" s="14"/>
      <c r="AN416" s="14"/>
      <c r="AO416" s="14"/>
      <c r="AP416" s="14"/>
      <c r="AQ416" s="14"/>
      <c r="AR416" s="14"/>
      <c r="AS416" s="14"/>
      <c r="AT416" s="14"/>
      <c r="AU416" s="14"/>
      <c r="AV416" s="14"/>
      <c r="AW416" s="14"/>
      <c r="AX416" s="14"/>
      <c r="AY416" s="14"/>
      <c r="AZ416" s="14"/>
      <c r="BA416" s="14"/>
      <c r="BB416" s="14"/>
      <c r="BC416" s="14"/>
      <c r="BD416" s="14"/>
      <c r="BE416" s="14"/>
      <c r="BF416" s="14"/>
      <c r="BG416" s="14"/>
      <c r="BH416" s="14"/>
      <c r="BI416" s="14"/>
      <c r="BJ416" s="14"/>
      <c r="BK416" s="14"/>
      <c r="BL416" s="14"/>
      <c r="BM416" s="14"/>
      <c r="BN416" s="14"/>
      <c r="BO416" s="14"/>
      <c r="BP416" s="14"/>
      <c r="BQ416" s="14"/>
      <c r="BR416" s="14"/>
      <c r="BS416" s="14"/>
      <c r="BT416" s="14"/>
      <c r="BU416" s="14"/>
      <c r="BV416" s="14"/>
      <c r="BW416" s="14"/>
      <c r="BX416" s="14"/>
      <c r="BY416" s="14"/>
      <c r="BZ416" s="14"/>
      <c r="CA416" s="14"/>
      <c r="CB416" s="14"/>
      <c r="CC416" s="14"/>
      <c r="CD416" s="14"/>
      <c r="CE416" s="14"/>
      <c r="CF416" s="14"/>
      <c r="CG416" s="14"/>
      <c r="CH416" s="14"/>
      <c r="CI416" s="14"/>
      <c r="CJ416" s="14"/>
      <c r="CK416" s="14"/>
      <c r="CL416" s="14"/>
      <c r="CM416" s="14"/>
      <c r="CN416" s="14"/>
      <c r="CO416" s="14"/>
      <c r="CP416" s="14"/>
      <c r="CQ416" s="14"/>
      <c r="CR416" s="14"/>
      <c r="CS416" s="14"/>
      <c r="CT416" s="14"/>
      <c r="CU416" s="14"/>
      <c r="CV416" s="14"/>
      <c r="CW416" s="14"/>
      <c r="CX416" s="14"/>
      <c r="CY416" s="14"/>
      <c r="CZ416" s="14"/>
      <c r="DA416" s="14"/>
      <c r="DB416" s="14"/>
      <c r="DC416" s="14"/>
      <c r="DD416" s="14"/>
      <c r="DE416" s="14"/>
      <c r="DF416" s="14"/>
      <c r="DG416" s="14"/>
      <c r="DH416" s="14"/>
      <c r="DI416" s="14"/>
      <c r="DJ416" s="14"/>
      <c r="DK416" s="14"/>
      <c r="DL416" s="14"/>
      <c r="DM416" s="14"/>
      <c r="DN416" s="14"/>
      <c r="DO416" s="14"/>
      <c r="DP416" s="14"/>
      <c r="DQ416" s="14"/>
      <c r="DR416" s="14"/>
      <c r="DS416" s="14"/>
      <c r="DT416" s="14"/>
      <c r="DU416" s="14"/>
      <c r="DV416" s="14"/>
      <c r="DW416" s="14"/>
      <c r="DX416" s="14"/>
      <c r="DY416" s="14"/>
      <c r="DZ416" s="14"/>
      <c r="EA416" s="14"/>
      <c r="EB416" s="14"/>
      <c r="EC416" s="14"/>
    </row>
    <row r="417" spans="1:133" s="13" customFormat="1" ht="33.6" x14ac:dyDescent="0.4">
      <c r="A417" s="76" t="s">
        <v>73</v>
      </c>
      <c r="B417" s="25" t="s">
        <v>74</v>
      </c>
      <c r="C417" s="35" t="s">
        <v>75</v>
      </c>
      <c r="D417" s="35" t="s">
        <v>378</v>
      </c>
      <c r="E417" s="50">
        <f>E418*E421*E422*E423*E424*E425</f>
        <v>1.638092867083887</v>
      </c>
      <c r="R417" s="14"/>
      <c r="S417" s="14"/>
      <c r="T417" s="14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F417" s="14"/>
      <c r="AG417" s="14"/>
      <c r="AH417" s="14"/>
      <c r="AI417" s="14"/>
      <c r="AJ417" s="14"/>
      <c r="AK417" s="14"/>
      <c r="AL417" s="14"/>
      <c r="AM417" s="14"/>
      <c r="AN417" s="14"/>
      <c r="AO417" s="14"/>
      <c r="AP417" s="14"/>
      <c r="AQ417" s="14"/>
      <c r="AR417" s="14"/>
      <c r="AS417" s="14"/>
      <c r="AT417" s="14"/>
      <c r="AU417" s="14"/>
      <c r="AV417" s="14"/>
      <c r="AW417" s="14"/>
      <c r="AX417" s="14"/>
      <c r="AY417" s="14"/>
      <c r="AZ417" s="14"/>
      <c r="BA417" s="14"/>
      <c r="BB417" s="14"/>
      <c r="BC417" s="14"/>
      <c r="BD417" s="14"/>
      <c r="BE417" s="14"/>
      <c r="BF417" s="14"/>
      <c r="BG417" s="14"/>
      <c r="BH417" s="14"/>
      <c r="BI417" s="14"/>
      <c r="BJ417" s="14"/>
      <c r="BK417" s="14"/>
      <c r="BL417" s="14"/>
      <c r="BM417" s="14"/>
      <c r="BN417" s="14"/>
      <c r="BO417" s="14"/>
      <c r="BP417" s="14"/>
      <c r="BQ417" s="14"/>
      <c r="BR417" s="14"/>
      <c r="BS417" s="14"/>
      <c r="BT417" s="14"/>
      <c r="BU417" s="14"/>
      <c r="BV417" s="14"/>
      <c r="BW417" s="14"/>
      <c r="BX417" s="14"/>
      <c r="BY417" s="14"/>
      <c r="BZ417" s="14"/>
      <c r="CA417" s="14"/>
      <c r="CB417" s="14"/>
      <c r="CC417" s="14"/>
      <c r="CD417" s="14"/>
      <c r="CE417" s="14"/>
      <c r="CF417" s="14"/>
      <c r="CG417" s="14"/>
      <c r="CH417" s="14"/>
      <c r="CI417" s="14"/>
      <c r="CJ417" s="14"/>
      <c r="CK417" s="14"/>
      <c r="CL417" s="14"/>
      <c r="CM417" s="14"/>
      <c r="CN417" s="14"/>
      <c r="CO417" s="14"/>
      <c r="CP417" s="14"/>
      <c r="CQ417" s="14"/>
      <c r="CR417" s="14"/>
      <c r="CS417" s="14"/>
      <c r="CT417" s="14"/>
      <c r="CU417" s="14"/>
      <c r="CV417" s="14"/>
      <c r="CW417" s="14"/>
      <c r="CX417" s="14"/>
      <c r="CY417" s="14"/>
      <c r="CZ417" s="14"/>
      <c r="DA417" s="14"/>
      <c r="DB417" s="14"/>
      <c r="DC417" s="14"/>
      <c r="DD417" s="14"/>
      <c r="DE417" s="14"/>
      <c r="DF417" s="14"/>
      <c r="DG417" s="14"/>
      <c r="DH417" s="14"/>
      <c r="DI417" s="14"/>
      <c r="DJ417" s="14"/>
      <c r="DK417" s="14"/>
      <c r="DL417" s="14"/>
      <c r="DM417" s="14"/>
      <c r="DN417" s="14"/>
      <c r="DO417" s="14"/>
      <c r="DP417" s="14"/>
      <c r="DQ417" s="14"/>
      <c r="DR417" s="14"/>
      <c r="DS417" s="14"/>
      <c r="DT417" s="14"/>
      <c r="DU417" s="14"/>
      <c r="DV417" s="14"/>
      <c r="DW417" s="14"/>
      <c r="DX417" s="14"/>
      <c r="DY417" s="14"/>
      <c r="DZ417" s="14"/>
      <c r="EA417" s="14"/>
      <c r="EB417" s="14"/>
      <c r="EC417" s="14"/>
    </row>
    <row r="418" spans="1:133" s="13" customFormat="1" ht="46.8" x14ac:dyDescent="0.4">
      <c r="A418" s="77" t="s">
        <v>207</v>
      </c>
      <c r="B418" s="25" t="s">
        <v>76</v>
      </c>
      <c r="C418" s="35" t="s">
        <v>77</v>
      </c>
      <c r="D418" s="35" t="s">
        <v>379</v>
      </c>
      <c r="E418" s="52">
        <f>E419/E420</f>
        <v>80.659840699345736</v>
      </c>
      <c r="R418" s="14"/>
      <c r="S418" s="14"/>
      <c r="T418" s="14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F418" s="14"/>
      <c r="AG418" s="14"/>
      <c r="AH418" s="14"/>
      <c r="AI418" s="14"/>
      <c r="AJ418" s="14"/>
      <c r="AK418" s="14"/>
      <c r="AL418" s="14"/>
      <c r="AM418" s="14"/>
      <c r="AN418" s="14"/>
      <c r="AO418" s="14"/>
      <c r="AP418" s="14"/>
      <c r="AQ418" s="14"/>
      <c r="AR418" s="14"/>
      <c r="AS418" s="14"/>
      <c r="AT418" s="14"/>
      <c r="AU418" s="14"/>
      <c r="AV418" s="14"/>
      <c r="AW418" s="14"/>
      <c r="AX418" s="14"/>
      <c r="AY418" s="14"/>
      <c r="AZ418" s="14"/>
      <c r="BA418" s="14"/>
      <c r="BB418" s="14"/>
      <c r="BC418" s="14"/>
      <c r="BD418" s="14"/>
      <c r="BE418" s="14"/>
      <c r="BF418" s="14"/>
      <c r="BG418" s="14"/>
      <c r="BH418" s="14"/>
      <c r="BI418" s="14"/>
      <c r="BJ418" s="14"/>
      <c r="BK418" s="14"/>
      <c r="BL418" s="14"/>
      <c r="BM418" s="14"/>
      <c r="BN418" s="14"/>
      <c r="BO418" s="14"/>
      <c r="BP418" s="14"/>
      <c r="BQ418" s="14"/>
      <c r="BR418" s="14"/>
      <c r="BS418" s="14"/>
      <c r="BT418" s="14"/>
      <c r="BU418" s="14"/>
      <c r="BV418" s="14"/>
      <c r="BW418" s="14"/>
      <c r="BX418" s="14"/>
      <c r="BY418" s="14"/>
      <c r="BZ418" s="14"/>
      <c r="CA418" s="14"/>
      <c r="CB418" s="14"/>
      <c r="CC418" s="14"/>
      <c r="CD418" s="14"/>
      <c r="CE418" s="14"/>
      <c r="CF418" s="14"/>
      <c r="CG418" s="14"/>
      <c r="CH418" s="14"/>
      <c r="CI418" s="14"/>
      <c r="CJ418" s="14"/>
      <c r="CK418" s="14"/>
      <c r="CL418" s="14"/>
      <c r="CM418" s="14"/>
      <c r="CN418" s="14"/>
      <c r="CO418" s="14"/>
      <c r="CP418" s="14"/>
      <c r="CQ418" s="14"/>
      <c r="CR418" s="14"/>
      <c r="CS418" s="14"/>
      <c r="CT418" s="14"/>
      <c r="CU418" s="14"/>
      <c r="CV418" s="14"/>
      <c r="CW418" s="14"/>
      <c r="CX418" s="14"/>
      <c r="CY418" s="14"/>
      <c r="CZ418" s="14"/>
      <c r="DA418" s="14"/>
      <c r="DB418" s="14"/>
      <c r="DC418" s="14"/>
      <c r="DD418" s="14"/>
      <c r="DE418" s="14"/>
      <c r="DF418" s="14"/>
      <c r="DG418" s="14"/>
      <c r="DH418" s="14"/>
      <c r="DI418" s="14"/>
      <c r="DJ418" s="14"/>
      <c r="DK418" s="14"/>
      <c r="DL418" s="14"/>
      <c r="DM418" s="14"/>
      <c r="DN418" s="14"/>
      <c r="DO418" s="14"/>
      <c r="DP418" s="14"/>
      <c r="DQ418" s="14"/>
      <c r="DR418" s="14"/>
      <c r="DS418" s="14"/>
      <c r="DT418" s="14"/>
      <c r="DU418" s="14"/>
      <c r="DV418" s="14"/>
      <c r="DW418" s="14"/>
      <c r="DX418" s="14"/>
      <c r="DY418" s="14"/>
      <c r="DZ418" s="14"/>
      <c r="EA418" s="14"/>
      <c r="EB418" s="14"/>
      <c r="EC418" s="14"/>
    </row>
    <row r="419" spans="1:133" s="13" customFormat="1" ht="46.8" x14ac:dyDescent="0.25">
      <c r="A419" s="63" t="s">
        <v>208</v>
      </c>
      <c r="B419" s="25" t="s">
        <v>78</v>
      </c>
      <c r="C419" s="35" t="s">
        <v>79</v>
      </c>
      <c r="D419" s="53" t="s">
        <v>352</v>
      </c>
      <c r="E419" s="52">
        <f>0.000186146457940129*E392</f>
        <v>403.29920349672869</v>
      </c>
      <c r="R419" s="14"/>
      <c r="S419" s="14"/>
      <c r="T419" s="14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F419" s="14"/>
      <c r="AG419" s="14"/>
      <c r="AH419" s="14"/>
      <c r="AI419" s="14"/>
      <c r="AJ419" s="14"/>
      <c r="AK419" s="14"/>
      <c r="AL419" s="14"/>
      <c r="AM419" s="14"/>
      <c r="AN419" s="14"/>
      <c r="AO419" s="14"/>
      <c r="AP419" s="14"/>
      <c r="AQ419" s="14"/>
      <c r="AR419" s="14"/>
      <c r="AS419" s="14"/>
      <c r="AT419" s="14"/>
      <c r="AU419" s="14"/>
      <c r="AV419" s="14"/>
      <c r="AW419" s="14"/>
      <c r="AX419" s="14"/>
      <c r="AY419" s="14"/>
      <c r="AZ419" s="14"/>
      <c r="BA419" s="14"/>
      <c r="BB419" s="14"/>
      <c r="BC419" s="14"/>
      <c r="BD419" s="14"/>
      <c r="BE419" s="14"/>
      <c r="BF419" s="14"/>
      <c r="BG419" s="14"/>
      <c r="BH419" s="14"/>
      <c r="BI419" s="14"/>
      <c r="BJ419" s="14"/>
      <c r="BK419" s="14"/>
      <c r="BL419" s="14"/>
      <c r="BM419" s="14"/>
      <c r="BN419" s="14"/>
      <c r="BO419" s="14"/>
      <c r="BP419" s="14"/>
      <c r="BQ419" s="14"/>
      <c r="BR419" s="14"/>
      <c r="BS419" s="14"/>
      <c r="BT419" s="14"/>
      <c r="BU419" s="14"/>
      <c r="BV419" s="14"/>
      <c r="BW419" s="14"/>
      <c r="BX419" s="14"/>
      <c r="BY419" s="14"/>
      <c r="BZ419" s="14"/>
      <c r="CA419" s="14"/>
      <c r="CB419" s="14"/>
      <c r="CC419" s="14"/>
      <c r="CD419" s="14"/>
      <c r="CE419" s="14"/>
      <c r="CF419" s="14"/>
      <c r="CG419" s="14"/>
      <c r="CH419" s="14"/>
      <c r="CI419" s="14"/>
      <c r="CJ419" s="14"/>
      <c r="CK419" s="14"/>
      <c r="CL419" s="14"/>
      <c r="CM419" s="14"/>
      <c r="CN419" s="14"/>
      <c r="CO419" s="14"/>
      <c r="CP419" s="14"/>
      <c r="CQ419" s="14"/>
      <c r="CR419" s="14"/>
      <c r="CS419" s="14"/>
      <c r="CT419" s="14"/>
      <c r="CU419" s="14"/>
      <c r="CV419" s="14"/>
      <c r="CW419" s="14"/>
      <c r="CX419" s="14"/>
      <c r="CY419" s="14"/>
      <c r="CZ419" s="14"/>
      <c r="DA419" s="14"/>
      <c r="DB419" s="14"/>
      <c r="DC419" s="14"/>
      <c r="DD419" s="14"/>
      <c r="DE419" s="14"/>
      <c r="DF419" s="14"/>
      <c r="DG419" s="14"/>
      <c r="DH419" s="14"/>
      <c r="DI419" s="14"/>
      <c r="DJ419" s="14"/>
      <c r="DK419" s="14"/>
      <c r="DL419" s="14"/>
      <c r="DM419" s="14"/>
      <c r="DN419" s="14"/>
      <c r="DO419" s="14"/>
      <c r="DP419" s="14"/>
      <c r="DQ419" s="14"/>
      <c r="DR419" s="14"/>
      <c r="DS419" s="14"/>
      <c r="DT419" s="14"/>
      <c r="DU419" s="14"/>
      <c r="DV419" s="14"/>
      <c r="DW419" s="14"/>
      <c r="DX419" s="14"/>
      <c r="DY419" s="14"/>
      <c r="DZ419" s="14"/>
      <c r="EA419" s="14"/>
      <c r="EB419" s="14"/>
      <c r="EC419" s="14"/>
    </row>
    <row r="420" spans="1:133" s="13" customFormat="1" ht="31.2" x14ac:dyDescent="0.25">
      <c r="A420" s="63" t="s">
        <v>209</v>
      </c>
      <c r="B420" s="25" t="s">
        <v>80</v>
      </c>
      <c r="C420" s="35" t="s">
        <v>81</v>
      </c>
      <c r="D420" s="35" t="s">
        <v>353</v>
      </c>
      <c r="E420" s="25">
        <f>5</f>
        <v>5</v>
      </c>
      <c r="R420" s="14"/>
      <c r="S420" s="14"/>
      <c r="T420" s="14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F420" s="14"/>
      <c r="AG420" s="14"/>
      <c r="AH420" s="14"/>
      <c r="AI420" s="14"/>
      <c r="AJ420" s="14"/>
      <c r="AK420" s="14"/>
      <c r="AL420" s="14"/>
      <c r="AM420" s="14"/>
      <c r="AN420" s="14"/>
      <c r="AO420" s="14"/>
      <c r="AP420" s="14"/>
      <c r="AQ420" s="14"/>
      <c r="AR420" s="14"/>
      <c r="AS420" s="14"/>
      <c r="AT420" s="14"/>
      <c r="AU420" s="14"/>
      <c r="AV420" s="14"/>
      <c r="AW420" s="14"/>
      <c r="AX420" s="14"/>
      <c r="AY420" s="14"/>
      <c r="AZ420" s="14"/>
      <c r="BA420" s="14"/>
      <c r="BB420" s="14"/>
      <c r="BC420" s="14"/>
      <c r="BD420" s="14"/>
      <c r="BE420" s="14"/>
      <c r="BF420" s="14"/>
      <c r="BG420" s="14"/>
      <c r="BH420" s="14"/>
      <c r="BI420" s="14"/>
      <c r="BJ420" s="14"/>
      <c r="BK420" s="14"/>
      <c r="BL420" s="14"/>
      <c r="BM420" s="14"/>
      <c r="BN420" s="14"/>
      <c r="BO420" s="14"/>
      <c r="BP420" s="14"/>
      <c r="BQ420" s="14"/>
      <c r="BR420" s="14"/>
      <c r="BS420" s="14"/>
      <c r="BT420" s="14"/>
      <c r="BU420" s="14"/>
      <c r="BV420" s="14"/>
      <c r="BW420" s="14"/>
      <c r="BX420" s="14"/>
      <c r="BY420" s="14"/>
      <c r="BZ420" s="14"/>
      <c r="CA420" s="14"/>
      <c r="CB420" s="14"/>
      <c r="CC420" s="14"/>
      <c r="CD420" s="14"/>
      <c r="CE420" s="14"/>
      <c r="CF420" s="14"/>
      <c r="CG420" s="14"/>
      <c r="CH420" s="14"/>
      <c r="CI420" s="14"/>
      <c r="CJ420" s="14"/>
      <c r="CK420" s="14"/>
      <c r="CL420" s="14"/>
      <c r="CM420" s="14"/>
      <c r="CN420" s="14"/>
      <c r="CO420" s="14"/>
      <c r="CP420" s="14"/>
      <c r="CQ420" s="14"/>
      <c r="CR420" s="14"/>
      <c r="CS420" s="14"/>
      <c r="CT420" s="14"/>
      <c r="CU420" s="14"/>
      <c r="CV420" s="14"/>
      <c r="CW420" s="14"/>
      <c r="CX420" s="14"/>
      <c r="CY420" s="14"/>
      <c r="CZ420" s="14"/>
      <c r="DA420" s="14"/>
      <c r="DB420" s="14"/>
      <c r="DC420" s="14"/>
      <c r="DD420" s="14"/>
      <c r="DE420" s="14"/>
      <c r="DF420" s="14"/>
      <c r="DG420" s="14"/>
      <c r="DH420" s="14"/>
      <c r="DI420" s="14"/>
      <c r="DJ420" s="14"/>
      <c r="DK420" s="14"/>
      <c r="DL420" s="14"/>
      <c r="DM420" s="14"/>
      <c r="DN420" s="14"/>
      <c r="DO420" s="14"/>
      <c r="DP420" s="14"/>
      <c r="DQ420" s="14"/>
      <c r="DR420" s="14"/>
      <c r="DS420" s="14"/>
      <c r="DT420" s="14"/>
      <c r="DU420" s="14"/>
      <c r="DV420" s="14"/>
      <c r="DW420" s="14"/>
      <c r="DX420" s="14"/>
      <c r="DY420" s="14"/>
      <c r="DZ420" s="14"/>
      <c r="EA420" s="14"/>
      <c r="EB420" s="14"/>
      <c r="EC420" s="14"/>
    </row>
    <row r="421" spans="1:133" s="13" customFormat="1" ht="62.4" x14ac:dyDescent="0.25">
      <c r="A421" s="63" t="s">
        <v>210</v>
      </c>
      <c r="B421" s="25" t="s">
        <v>82</v>
      </c>
      <c r="C421" s="35" t="s">
        <v>83</v>
      </c>
      <c r="D421" s="53" t="s">
        <v>354</v>
      </c>
      <c r="E421" s="25">
        <f>15*2</f>
        <v>30</v>
      </c>
      <c r="R421" s="14"/>
      <c r="S421" s="14"/>
      <c r="T421" s="14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F421" s="14"/>
      <c r="AG421" s="14"/>
      <c r="AH421" s="14"/>
      <c r="AI421" s="14"/>
      <c r="AJ421" s="14"/>
      <c r="AK421" s="14"/>
      <c r="AL421" s="14"/>
      <c r="AM421" s="14"/>
      <c r="AN421" s="14"/>
      <c r="AO421" s="14"/>
      <c r="AP421" s="14"/>
      <c r="AQ421" s="14"/>
      <c r="AR421" s="14"/>
      <c r="AS421" s="14"/>
      <c r="AT421" s="14"/>
      <c r="AU421" s="14"/>
      <c r="AV421" s="14"/>
      <c r="AW421" s="14"/>
      <c r="AX421" s="14"/>
      <c r="AY421" s="14"/>
      <c r="AZ421" s="14"/>
      <c r="BA421" s="14"/>
      <c r="BB421" s="14"/>
      <c r="BC421" s="14"/>
      <c r="BD421" s="14"/>
      <c r="BE421" s="14"/>
      <c r="BF421" s="14"/>
      <c r="BG421" s="14"/>
      <c r="BH421" s="14"/>
      <c r="BI421" s="14"/>
      <c r="BJ421" s="14"/>
      <c r="BK421" s="14"/>
      <c r="BL421" s="14"/>
      <c r="BM421" s="14"/>
      <c r="BN421" s="14"/>
      <c r="BO421" s="14"/>
      <c r="BP421" s="14"/>
      <c r="BQ421" s="14"/>
      <c r="BR421" s="14"/>
      <c r="BS421" s="14"/>
      <c r="BT421" s="14"/>
      <c r="BU421" s="14"/>
      <c r="BV421" s="14"/>
      <c r="BW421" s="14"/>
      <c r="BX421" s="14"/>
      <c r="BY421" s="14"/>
      <c r="BZ421" s="14"/>
      <c r="CA421" s="14"/>
      <c r="CB421" s="14"/>
      <c r="CC421" s="14"/>
      <c r="CD421" s="14"/>
      <c r="CE421" s="14"/>
      <c r="CF421" s="14"/>
      <c r="CG421" s="14"/>
      <c r="CH421" s="14"/>
      <c r="CI421" s="14"/>
      <c r="CJ421" s="14"/>
      <c r="CK421" s="14"/>
      <c r="CL421" s="14"/>
      <c r="CM421" s="14"/>
      <c r="CN421" s="14"/>
      <c r="CO421" s="14"/>
      <c r="CP421" s="14"/>
      <c r="CQ421" s="14"/>
      <c r="CR421" s="14"/>
      <c r="CS421" s="14"/>
      <c r="CT421" s="14"/>
      <c r="CU421" s="14"/>
      <c r="CV421" s="14"/>
      <c r="CW421" s="14"/>
      <c r="CX421" s="14"/>
      <c r="CY421" s="14"/>
      <c r="CZ421" s="14"/>
      <c r="DA421" s="14"/>
      <c r="DB421" s="14"/>
      <c r="DC421" s="14"/>
      <c r="DD421" s="14"/>
      <c r="DE421" s="14"/>
      <c r="DF421" s="14"/>
      <c r="DG421" s="14"/>
      <c r="DH421" s="14"/>
      <c r="DI421" s="14"/>
      <c r="DJ421" s="14"/>
      <c r="DK421" s="14"/>
      <c r="DL421" s="14"/>
      <c r="DM421" s="14"/>
      <c r="DN421" s="14"/>
      <c r="DO421" s="14"/>
      <c r="DP421" s="14"/>
      <c r="DQ421" s="14"/>
      <c r="DR421" s="14"/>
      <c r="DS421" s="14"/>
      <c r="DT421" s="14"/>
      <c r="DU421" s="14"/>
      <c r="DV421" s="14"/>
      <c r="DW421" s="14"/>
      <c r="DX421" s="14"/>
      <c r="DY421" s="14"/>
      <c r="DZ421" s="14"/>
      <c r="EA421" s="14"/>
      <c r="EB421" s="14"/>
      <c r="EC421" s="14"/>
    </row>
    <row r="422" spans="1:133" s="13" customFormat="1" ht="172.2" x14ac:dyDescent="0.25">
      <c r="A422" s="63" t="s">
        <v>211</v>
      </c>
      <c r="B422" s="25" t="s">
        <v>84</v>
      </c>
      <c r="C422" s="35" t="s">
        <v>85</v>
      </c>
      <c r="D422" s="35" t="s">
        <v>355</v>
      </c>
      <c r="E422" s="25">
        <f>25.1/100</f>
        <v>0.251</v>
      </c>
      <c r="R422" s="14"/>
      <c r="S422" s="14"/>
      <c r="T422" s="14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F422" s="14"/>
      <c r="AG422" s="14"/>
      <c r="AH422" s="14"/>
      <c r="AI422" s="14"/>
      <c r="AJ422" s="14"/>
      <c r="AK422" s="14"/>
      <c r="AL422" s="14"/>
      <c r="AM422" s="14"/>
      <c r="AN422" s="14"/>
      <c r="AO422" s="14"/>
      <c r="AP422" s="14"/>
      <c r="AQ422" s="14"/>
      <c r="AR422" s="14"/>
      <c r="AS422" s="14"/>
      <c r="AT422" s="14"/>
      <c r="AU422" s="14"/>
      <c r="AV422" s="14"/>
      <c r="AW422" s="14"/>
      <c r="AX422" s="14"/>
      <c r="AY422" s="14"/>
      <c r="AZ422" s="14"/>
      <c r="BA422" s="14"/>
      <c r="BB422" s="14"/>
      <c r="BC422" s="14"/>
      <c r="BD422" s="14"/>
      <c r="BE422" s="14"/>
      <c r="BF422" s="14"/>
      <c r="BG422" s="14"/>
      <c r="BH422" s="14"/>
      <c r="BI422" s="14"/>
      <c r="BJ422" s="14"/>
      <c r="BK422" s="14"/>
      <c r="BL422" s="14"/>
      <c r="BM422" s="14"/>
      <c r="BN422" s="14"/>
      <c r="BO422" s="14"/>
      <c r="BP422" s="14"/>
      <c r="BQ422" s="14"/>
      <c r="BR422" s="14"/>
      <c r="BS422" s="14"/>
      <c r="BT422" s="14"/>
      <c r="BU422" s="14"/>
      <c r="BV422" s="14"/>
      <c r="BW422" s="14"/>
      <c r="BX422" s="14"/>
      <c r="BY422" s="14"/>
      <c r="BZ422" s="14"/>
      <c r="CA422" s="14"/>
      <c r="CB422" s="14"/>
      <c r="CC422" s="14"/>
      <c r="CD422" s="14"/>
      <c r="CE422" s="14"/>
      <c r="CF422" s="14"/>
      <c r="CG422" s="14"/>
      <c r="CH422" s="14"/>
      <c r="CI422" s="14"/>
      <c r="CJ422" s="14"/>
      <c r="CK422" s="14"/>
      <c r="CL422" s="14"/>
      <c r="CM422" s="14"/>
      <c r="CN422" s="14"/>
      <c r="CO422" s="14"/>
      <c r="CP422" s="14"/>
      <c r="CQ422" s="14"/>
      <c r="CR422" s="14"/>
      <c r="CS422" s="14"/>
      <c r="CT422" s="14"/>
      <c r="CU422" s="14"/>
      <c r="CV422" s="14"/>
      <c r="CW422" s="14"/>
      <c r="CX422" s="14"/>
      <c r="CY422" s="14"/>
      <c r="CZ422" s="14"/>
      <c r="DA422" s="14"/>
      <c r="DB422" s="14"/>
      <c r="DC422" s="14"/>
      <c r="DD422" s="14"/>
      <c r="DE422" s="14"/>
      <c r="DF422" s="14"/>
      <c r="DG422" s="14"/>
      <c r="DH422" s="14"/>
      <c r="DI422" s="14"/>
      <c r="DJ422" s="14"/>
      <c r="DK422" s="14"/>
      <c r="DL422" s="14"/>
      <c r="DM422" s="14"/>
      <c r="DN422" s="14"/>
      <c r="DO422" s="14"/>
      <c r="DP422" s="14"/>
      <c r="DQ422" s="14"/>
      <c r="DR422" s="14"/>
      <c r="DS422" s="14"/>
      <c r="DT422" s="14"/>
      <c r="DU422" s="14"/>
      <c r="DV422" s="14"/>
      <c r="DW422" s="14"/>
      <c r="DX422" s="14"/>
      <c r="DY422" s="14"/>
      <c r="DZ422" s="14"/>
      <c r="EA422" s="14"/>
      <c r="EB422" s="14"/>
      <c r="EC422" s="14"/>
    </row>
    <row r="423" spans="1:133" s="13" customFormat="1" ht="140.4" x14ac:dyDescent="0.25">
      <c r="A423" s="63" t="s">
        <v>212</v>
      </c>
      <c r="B423" s="25" t="s">
        <v>87</v>
      </c>
      <c r="C423" s="35" t="s">
        <v>86</v>
      </c>
      <c r="D423" s="35" t="s">
        <v>356</v>
      </c>
      <c r="E423" s="25">
        <f>0.84/1000</f>
        <v>8.3999999999999993E-4</v>
      </c>
      <c r="R423" s="14"/>
      <c r="S423" s="14"/>
      <c r="T423" s="14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F423" s="14"/>
      <c r="AG423" s="14"/>
      <c r="AH423" s="14"/>
      <c r="AI423" s="14"/>
      <c r="AJ423" s="14"/>
      <c r="AK423" s="14"/>
      <c r="AL423" s="14"/>
      <c r="AM423" s="14"/>
      <c r="AN423" s="14"/>
      <c r="AO423" s="14"/>
      <c r="AP423" s="14"/>
      <c r="AQ423" s="14"/>
      <c r="AR423" s="14"/>
      <c r="AS423" s="14"/>
      <c r="AT423" s="14"/>
      <c r="AU423" s="14"/>
      <c r="AV423" s="14"/>
      <c r="AW423" s="14"/>
      <c r="AX423" s="14"/>
      <c r="AY423" s="14"/>
      <c r="AZ423" s="14"/>
      <c r="BA423" s="14"/>
      <c r="BB423" s="14"/>
      <c r="BC423" s="14"/>
      <c r="BD423" s="14"/>
      <c r="BE423" s="14"/>
      <c r="BF423" s="14"/>
      <c r="BG423" s="14"/>
      <c r="BH423" s="14"/>
      <c r="BI423" s="14"/>
      <c r="BJ423" s="14"/>
      <c r="BK423" s="14"/>
      <c r="BL423" s="14"/>
      <c r="BM423" s="14"/>
      <c r="BN423" s="14"/>
      <c r="BO423" s="14"/>
      <c r="BP423" s="14"/>
      <c r="BQ423" s="14"/>
      <c r="BR423" s="14"/>
      <c r="BS423" s="14"/>
      <c r="BT423" s="14"/>
      <c r="BU423" s="14"/>
      <c r="BV423" s="14"/>
      <c r="BW423" s="14"/>
      <c r="BX423" s="14"/>
      <c r="BY423" s="14"/>
      <c r="BZ423" s="14"/>
      <c r="CA423" s="14"/>
      <c r="CB423" s="14"/>
      <c r="CC423" s="14"/>
      <c r="CD423" s="14"/>
      <c r="CE423" s="14"/>
      <c r="CF423" s="14"/>
      <c r="CG423" s="14"/>
      <c r="CH423" s="14"/>
      <c r="CI423" s="14"/>
      <c r="CJ423" s="14"/>
      <c r="CK423" s="14"/>
      <c r="CL423" s="14"/>
      <c r="CM423" s="14"/>
      <c r="CN423" s="14"/>
      <c r="CO423" s="14"/>
      <c r="CP423" s="14"/>
      <c r="CQ423" s="14"/>
      <c r="CR423" s="14"/>
      <c r="CS423" s="14"/>
      <c r="CT423" s="14"/>
      <c r="CU423" s="14"/>
      <c r="CV423" s="14"/>
      <c r="CW423" s="14"/>
      <c r="CX423" s="14"/>
      <c r="CY423" s="14"/>
      <c r="CZ423" s="14"/>
      <c r="DA423" s="14"/>
      <c r="DB423" s="14"/>
      <c r="DC423" s="14"/>
      <c r="DD423" s="14"/>
      <c r="DE423" s="14"/>
      <c r="DF423" s="14"/>
      <c r="DG423" s="14"/>
      <c r="DH423" s="14"/>
      <c r="DI423" s="14"/>
      <c r="DJ423" s="14"/>
      <c r="DK423" s="14"/>
      <c r="DL423" s="14"/>
      <c r="DM423" s="14"/>
      <c r="DN423" s="14"/>
      <c r="DO423" s="14"/>
      <c r="DP423" s="14"/>
      <c r="DQ423" s="14"/>
      <c r="DR423" s="14"/>
      <c r="DS423" s="14"/>
      <c r="DT423" s="14"/>
      <c r="DU423" s="14"/>
      <c r="DV423" s="14"/>
      <c r="DW423" s="14"/>
      <c r="DX423" s="14"/>
      <c r="DY423" s="14"/>
      <c r="DZ423" s="14"/>
      <c r="EA423" s="14"/>
      <c r="EB423" s="14"/>
      <c r="EC423" s="14"/>
    </row>
    <row r="424" spans="1:133" s="13" customFormat="1" ht="140.4" x14ac:dyDescent="0.25">
      <c r="A424" s="63" t="s">
        <v>213</v>
      </c>
      <c r="B424" s="25" t="s">
        <v>88</v>
      </c>
      <c r="C424" s="35" t="s">
        <v>89</v>
      </c>
      <c r="D424" s="35" t="s">
        <v>357</v>
      </c>
      <c r="E424" s="25">
        <f>43.33/1000</f>
        <v>4.333E-2</v>
      </c>
      <c r="R424" s="14"/>
      <c r="S424" s="14"/>
      <c r="T424" s="14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F424" s="14"/>
      <c r="AG424" s="14"/>
      <c r="AH424" s="14"/>
      <c r="AI424" s="14"/>
      <c r="AJ424" s="14"/>
      <c r="AK424" s="14"/>
      <c r="AL424" s="14"/>
      <c r="AM424" s="14"/>
      <c r="AN424" s="14"/>
      <c r="AO424" s="14"/>
      <c r="AP424" s="14"/>
      <c r="AQ424" s="14"/>
      <c r="AR424" s="14"/>
      <c r="AS424" s="14"/>
      <c r="AT424" s="14"/>
      <c r="AU424" s="14"/>
      <c r="AV424" s="14"/>
      <c r="AW424" s="14"/>
      <c r="AX424" s="14"/>
      <c r="AY424" s="14"/>
      <c r="AZ424" s="14"/>
      <c r="BA424" s="14"/>
      <c r="BB424" s="14"/>
      <c r="BC424" s="14"/>
      <c r="BD424" s="14"/>
      <c r="BE424" s="14"/>
      <c r="BF424" s="14"/>
      <c r="BG424" s="14"/>
      <c r="BH424" s="14"/>
      <c r="BI424" s="14"/>
      <c r="BJ424" s="14"/>
      <c r="BK424" s="14"/>
      <c r="BL424" s="14"/>
      <c r="BM424" s="14"/>
      <c r="BN424" s="14"/>
      <c r="BO424" s="14"/>
      <c r="BP424" s="14"/>
      <c r="BQ424" s="14"/>
      <c r="BR424" s="14"/>
      <c r="BS424" s="14"/>
      <c r="BT424" s="14"/>
      <c r="BU424" s="14"/>
      <c r="BV424" s="14"/>
      <c r="BW424" s="14"/>
      <c r="BX424" s="14"/>
      <c r="BY424" s="14"/>
      <c r="BZ424" s="14"/>
      <c r="CA424" s="14"/>
      <c r="CB424" s="14"/>
      <c r="CC424" s="14"/>
      <c r="CD424" s="14"/>
      <c r="CE424" s="14"/>
      <c r="CF424" s="14"/>
      <c r="CG424" s="14"/>
      <c r="CH424" s="14"/>
      <c r="CI424" s="14"/>
      <c r="CJ424" s="14"/>
      <c r="CK424" s="14"/>
      <c r="CL424" s="14"/>
      <c r="CM424" s="14"/>
      <c r="CN424" s="14"/>
      <c r="CO424" s="14"/>
      <c r="CP424" s="14"/>
      <c r="CQ424" s="14"/>
      <c r="CR424" s="14"/>
      <c r="CS424" s="14"/>
      <c r="CT424" s="14"/>
      <c r="CU424" s="14"/>
      <c r="CV424" s="14"/>
      <c r="CW424" s="14"/>
      <c r="CX424" s="14"/>
      <c r="CY424" s="14"/>
      <c r="CZ424" s="14"/>
      <c r="DA424" s="14"/>
      <c r="DB424" s="14"/>
      <c r="DC424" s="14"/>
      <c r="DD424" s="14"/>
      <c r="DE424" s="14"/>
      <c r="DF424" s="14"/>
      <c r="DG424" s="14"/>
      <c r="DH424" s="14"/>
      <c r="DI424" s="14"/>
      <c r="DJ424" s="14"/>
      <c r="DK424" s="14"/>
      <c r="DL424" s="14"/>
      <c r="DM424" s="14"/>
      <c r="DN424" s="14"/>
      <c r="DO424" s="14"/>
      <c r="DP424" s="14"/>
      <c r="DQ424" s="14"/>
      <c r="DR424" s="14"/>
      <c r="DS424" s="14"/>
      <c r="DT424" s="14"/>
      <c r="DU424" s="14"/>
      <c r="DV424" s="14"/>
      <c r="DW424" s="14"/>
      <c r="DX424" s="14"/>
      <c r="DY424" s="14"/>
      <c r="DZ424" s="14"/>
      <c r="EA424" s="14"/>
      <c r="EB424" s="14"/>
      <c r="EC424" s="14"/>
    </row>
    <row r="425" spans="1:133" s="13" customFormat="1" ht="62.4" x14ac:dyDescent="0.25">
      <c r="A425" s="63" t="s">
        <v>214</v>
      </c>
      <c r="B425" s="25" t="s">
        <v>90</v>
      </c>
      <c r="C425" s="35" t="s">
        <v>91</v>
      </c>
      <c r="D425" s="35" t="s">
        <v>358</v>
      </c>
      <c r="E425" s="25">
        <v>74.099999999999994</v>
      </c>
      <c r="R425" s="14"/>
      <c r="S425" s="14"/>
      <c r="T425" s="14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F425" s="14"/>
      <c r="AG425" s="14"/>
      <c r="AH425" s="14"/>
      <c r="AI425" s="14"/>
      <c r="AJ425" s="14"/>
      <c r="AK425" s="14"/>
      <c r="AL425" s="14"/>
      <c r="AM425" s="14"/>
      <c r="AN425" s="14"/>
      <c r="AO425" s="14"/>
      <c r="AP425" s="14"/>
      <c r="AQ425" s="14"/>
      <c r="AR425" s="14"/>
      <c r="AS425" s="14"/>
      <c r="AT425" s="14"/>
      <c r="AU425" s="14"/>
      <c r="AV425" s="14"/>
      <c r="AW425" s="14"/>
      <c r="AX425" s="14"/>
      <c r="AY425" s="14"/>
      <c r="AZ425" s="14"/>
      <c r="BA425" s="14"/>
      <c r="BB425" s="14"/>
      <c r="BC425" s="14"/>
      <c r="BD425" s="14"/>
      <c r="BE425" s="14"/>
      <c r="BF425" s="14"/>
      <c r="BG425" s="14"/>
      <c r="BH425" s="14"/>
      <c r="BI425" s="14"/>
      <c r="BJ425" s="14"/>
      <c r="BK425" s="14"/>
      <c r="BL425" s="14"/>
      <c r="BM425" s="14"/>
      <c r="BN425" s="14"/>
      <c r="BO425" s="14"/>
      <c r="BP425" s="14"/>
      <c r="BQ425" s="14"/>
      <c r="BR425" s="14"/>
      <c r="BS425" s="14"/>
      <c r="BT425" s="14"/>
      <c r="BU425" s="14"/>
      <c r="BV425" s="14"/>
      <c r="BW425" s="14"/>
      <c r="BX425" s="14"/>
      <c r="BY425" s="14"/>
      <c r="BZ425" s="14"/>
      <c r="CA425" s="14"/>
      <c r="CB425" s="14"/>
      <c r="CC425" s="14"/>
      <c r="CD425" s="14"/>
      <c r="CE425" s="14"/>
      <c r="CF425" s="14"/>
      <c r="CG425" s="14"/>
      <c r="CH425" s="14"/>
      <c r="CI425" s="14"/>
      <c r="CJ425" s="14"/>
      <c r="CK425" s="14"/>
      <c r="CL425" s="14"/>
      <c r="CM425" s="14"/>
      <c r="CN425" s="14"/>
      <c r="CO425" s="14"/>
      <c r="CP425" s="14"/>
      <c r="CQ425" s="14"/>
      <c r="CR425" s="14"/>
      <c r="CS425" s="14"/>
      <c r="CT425" s="14"/>
      <c r="CU425" s="14"/>
      <c r="CV425" s="14"/>
      <c r="CW425" s="14"/>
      <c r="CX425" s="14"/>
      <c r="CY425" s="14"/>
      <c r="CZ425" s="14"/>
      <c r="DA425" s="14"/>
      <c r="DB425" s="14"/>
      <c r="DC425" s="14"/>
      <c r="DD425" s="14"/>
      <c r="DE425" s="14"/>
      <c r="DF425" s="14"/>
      <c r="DG425" s="14"/>
      <c r="DH425" s="14"/>
      <c r="DI425" s="14"/>
      <c r="DJ425" s="14"/>
      <c r="DK425" s="14"/>
      <c r="DL425" s="14"/>
      <c r="DM425" s="14"/>
      <c r="DN425" s="14"/>
      <c r="DO425" s="14"/>
      <c r="DP425" s="14"/>
      <c r="DQ425" s="14"/>
      <c r="DR425" s="14"/>
      <c r="DS425" s="14"/>
      <c r="DT425" s="14"/>
      <c r="DU425" s="14"/>
      <c r="DV425" s="14"/>
      <c r="DW425" s="14"/>
      <c r="DX425" s="14"/>
      <c r="DY425" s="14"/>
      <c r="DZ425" s="14"/>
      <c r="EA425" s="14"/>
      <c r="EB425" s="14"/>
      <c r="EC425" s="14"/>
    </row>
    <row r="427" spans="1:133" s="13" customFormat="1" x14ac:dyDescent="0.25">
      <c r="A427" s="158" t="s">
        <v>93</v>
      </c>
      <c r="B427" s="158"/>
      <c r="C427" s="158"/>
      <c r="D427" s="158"/>
      <c r="E427" s="158"/>
      <c r="R427" s="14"/>
      <c r="S427" s="14"/>
      <c r="T427" s="14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F427" s="14"/>
      <c r="AG427" s="14"/>
      <c r="AH427" s="14"/>
      <c r="AI427" s="14"/>
      <c r="AJ427" s="14"/>
      <c r="AK427" s="14"/>
      <c r="AL427" s="14"/>
      <c r="AM427" s="14"/>
      <c r="AN427" s="14"/>
      <c r="AO427" s="14"/>
      <c r="AP427" s="14"/>
      <c r="AQ427" s="14"/>
      <c r="AR427" s="14"/>
      <c r="AS427" s="14"/>
      <c r="AT427" s="14"/>
      <c r="AU427" s="14"/>
      <c r="AV427" s="14"/>
      <c r="AW427" s="14"/>
      <c r="AX427" s="14"/>
      <c r="AY427" s="14"/>
      <c r="AZ427" s="14"/>
      <c r="BA427" s="14"/>
      <c r="BB427" s="14"/>
      <c r="BC427" s="14"/>
      <c r="BD427" s="14"/>
      <c r="BE427" s="14"/>
      <c r="BF427" s="14"/>
      <c r="BG427" s="14"/>
      <c r="BH427" s="14"/>
      <c r="BI427" s="14"/>
      <c r="BJ427" s="14"/>
      <c r="BK427" s="14"/>
      <c r="BL427" s="14"/>
      <c r="BM427" s="14"/>
      <c r="BN427" s="14"/>
      <c r="BO427" s="14"/>
      <c r="BP427" s="14"/>
      <c r="BQ427" s="14"/>
      <c r="BR427" s="14"/>
      <c r="BS427" s="14"/>
      <c r="BT427" s="14"/>
      <c r="BU427" s="14"/>
      <c r="BV427" s="14"/>
      <c r="BW427" s="14"/>
      <c r="BX427" s="14"/>
      <c r="BY427" s="14"/>
      <c r="BZ427" s="14"/>
      <c r="CA427" s="14"/>
      <c r="CB427" s="14"/>
      <c r="CC427" s="14"/>
      <c r="CD427" s="14"/>
      <c r="CE427" s="14"/>
      <c r="CF427" s="14"/>
      <c r="CG427" s="14"/>
      <c r="CH427" s="14"/>
      <c r="CI427" s="14"/>
      <c r="CJ427" s="14"/>
      <c r="CK427" s="14"/>
      <c r="CL427" s="14"/>
      <c r="CM427" s="14"/>
      <c r="CN427" s="14"/>
      <c r="CO427" s="14"/>
      <c r="CP427" s="14"/>
      <c r="CQ427" s="14"/>
      <c r="CR427" s="14"/>
      <c r="CS427" s="14"/>
      <c r="CT427" s="14"/>
      <c r="CU427" s="14"/>
      <c r="CV427" s="14"/>
      <c r="CW427" s="14"/>
      <c r="CX427" s="14"/>
      <c r="CY427" s="14"/>
      <c r="CZ427" s="14"/>
      <c r="DA427" s="14"/>
      <c r="DB427" s="14"/>
      <c r="DC427" s="14"/>
      <c r="DD427" s="14"/>
      <c r="DE427" s="14"/>
      <c r="DF427" s="14"/>
      <c r="DG427" s="14"/>
      <c r="DH427" s="14"/>
      <c r="DI427" s="14"/>
      <c r="DJ427" s="14"/>
      <c r="DK427" s="14"/>
      <c r="DL427" s="14"/>
      <c r="DM427" s="14"/>
      <c r="DN427" s="14"/>
      <c r="DO427" s="14"/>
      <c r="DP427" s="14"/>
      <c r="DQ427" s="14"/>
      <c r="DR427" s="14"/>
      <c r="DS427" s="14"/>
      <c r="DT427" s="14"/>
      <c r="DU427" s="14"/>
      <c r="DV427" s="14"/>
      <c r="DW427" s="14"/>
      <c r="DX427" s="14"/>
      <c r="DY427" s="14"/>
      <c r="DZ427" s="14"/>
      <c r="EA427" s="14"/>
      <c r="EB427" s="14"/>
      <c r="EC427" s="14"/>
    </row>
    <row r="428" spans="1:133" s="13" customFormat="1" x14ac:dyDescent="0.25">
      <c r="A428" s="57" t="s">
        <v>8</v>
      </c>
      <c r="B428" s="58" t="s">
        <v>9</v>
      </c>
      <c r="C428" s="34" t="s">
        <v>10</v>
      </c>
      <c r="D428" s="34" t="s">
        <v>340</v>
      </c>
      <c r="E428" s="16" t="s">
        <v>65</v>
      </c>
      <c r="R428" s="14"/>
      <c r="S428" s="14"/>
      <c r="T428" s="14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F428" s="14"/>
      <c r="AG428" s="14"/>
      <c r="AH428" s="14"/>
      <c r="AI428" s="14"/>
      <c r="AJ428" s="14"/>
      <c r="AK428" s="14"/>
      <c r="AL428" s="14"/>
      <c r="AM428" s="14"/>
      <c r="AN428" s="14"/>
      <c r="AO428" s="14"/>
      <c r="AP428" s="14"/>
      <c r="AQ428" s="14"/>
      <c r="AR428" s="14"/>
      <c r="AS428" s="14"/>
      <c r="AT428" s="14"/>
      <c r="AU428" s="14"/>
      <c r="AV428" s="14"/>
      <c r="AW428" s="14"/>
      <c r="AX428" s="14"/>
      <c r="AY428" s="14"/>
      <c r="AZ428" s="14"/>
      <c r="BA428" s="14"/>
      <c r="BB428" s="14"/>
      <c r="BC428" s="14"/>
      <c r="BD428" s="14"/>
      <c r="BE428" s="14"/>
      <c r="BF428" s="14"/>
      <c r="BG428" s="14"/>
      <c r="BH428" s="14"/>
      <c r="BI428" s="14"/>
      <c r="BJ428" s="14"/>
      <c r="BK428" s="14"/>
      <c r="BL428" s="14"/>
      <c r="BM428" s="14"/>
      <c r="BN428" s="14"/>
      <c r="BO428" s="14"/>
      <c r="BP428" s="14"/>
      <c r="BQ428" s="14"/>
      <c r="BR428" s="14"/>
      <c r="BS428" s="14"/>
      <c r="BT428" s="14"/>
      <c r="BU428" s="14"/>
      <c r="BV428" s="14"/>
      <c r="BW428" s="14"/>
      <c r="BX428" s="14"/>
      <c r="BY428" s="14"/>
      <c r="BZ428" s="14"/>
      <c r="CA428" s="14"/>
      <c r="CB428" s="14"/>
      <c r="CC428" s="14"/>
      <c r="CD428" s="14"/>
      <c r="CE428" s="14"/>
      <c r="CF428" s="14"/>
      <c r="CG428" s="14"/>
      <c r="CH428" s="14"/>
      <c r="CI428" s="14"/>
      <c r="CJ428" s="14"/>
      <c r="CK428" s="14"/>
      <c r="CL428" s="14"/>
      <c r="CM428" s="14"/>
      <c r="CN428" s="14"/>
      <c r="CO428" s="14"/>
      <c r="CP428" s="14"/>
      <c r="CQ428" s="14"/>
      <c r="CR428" s="14"/>
      <c r="CS428" s="14"/>
      <c r="CT428" s="14"/>
      <c r="CU428" s="14"/>
      <c r="CV428" s="14"/>
      <c r="CW428" s="14"/>
      <c r="CX428" s="14"/>
      <c r="CY428" s="14"/>
      <c r="CZ428" s="14"/>
      <c r="DA428" s="14"/>
      <c r="DB428" s="14"/>
      <c r="DC428" s="14"/>
      <c r="DD428" s="14"/>
      <c r="DE428" s="14"/>
      <c r="DF428" s="14"/>
      <c r="DG428" s="14"/>
      <c r="DH428" s="14"/>
      <c r="DI428" s="14"/>
      <c r="DJ428" s="14"/>
      <c r="DK428" s="14"/>
      <c r="DL428" s="14"/>
      <c r="DM428" s="14"/>
      <c r="DN428" s="14"/>
      <c r="DO428" s="14"/>
      <c r="DP428" s="14"/>
      <c r="DQ428" s="14"/>
      <c r="DR428" s="14"/>
      <c r="DS428" s="14"/>
      <c r="DT428" s="14"/>
      <c r="DU428" s="14"/>
      <c r="DV428" s="14"/>
      <c r="DW428" s="14"/>
      <c r="DX428" s="14"/>
      <c r="DY428" s="14"/>
      <c r="DZ428" s="14"/>
      <c r="EA428" s="14"/>
      <c r="EB428" s="14"/>
      <c r="EC428" s="14"/>
    </row>
    <row r="429" spans="1:133" s="13" customFormat="1" ht="64.8" x14ac:dyDescent="0.25">
      <c r="A429" s="15" t="s">
        <v>94</v>
      </c>
      <c r="B429" s="25" t="s">
        <v>95</v>
      </c>
      <c r="C429" s="35" t="s">
        <v>96</v>
      </c>
      <c r="D429" s="35" t="s">
        <v>97</v>
      </c>
      <c r="E429" s="16">
        <v>0</v>
      </c>
      <c r="R429" s="14"/>
      <c r="S429" s="14"/>
      <c r="T429" s="14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F429" s="14"/>
      <c r="AG429" s="14"/>
      <c r="AH429" s="14"/>
      <c r="AI429" s="14"/>
      <c r="AJ429" s="14"/>
      <c r="AK429" s="14"/>
      <c r="AL429" s="14"/>
      <c r="AM429" s="14"/>
      <c r="AN429" s="14"/>
      <c r="AO429" s="14"/>
      <c r="AP429" s="14"/>
      <c r="AQ429" s="14"/>
      <c r="AR429" s="14"/>
      <c r="AS429" s="14"/>
      <c r="AT429" s="14"/>
      <c r="AU429" s="14"/>
      <c r="AV429" s="14"/>
      <c r="AW429" s="14"/>
      <c r="AX429" s="14"/>
      <c r="AY429" s="14"/>
      <c r="AZ429" s="14"/>
      <c r="BA429" s="14"/>
      <c r="BB429" s="14"/>
      <c r="BC429" s="14"/>
      <c r="BD429" s="14"/>
      <c r="BE429" s="14"/>
      <c r="BF429" s="14"/>
      <c r="BG429" s="14"/>
      <c r="BH429" s="14"/>
      <c r="BI429" s="14"/>
      <c r="BJ429" s="14"/>
      <c r="BK429" s="14"/>
      <c r="BL429" s="14"/>
      <c r="BM429" s="14"/>
      <c r="BN429" s="14"/>
      <c r="BO429" s="14"/>
      <c r="BP429" s="14"/>
      <c r="BQ429" s="14"/>
      <c r="BR429" s="14"/>
      <c r="BS429" s="14"/>
      <c r="BT429" s="14"/>
      <c r="BU429" s="14"/>
      <c r="BV429" s="14"/>
      <c r="BW429" s="14"/>
      <c r="BX429" s="14"/>
      <c r="BY429" s="14"/>
      <c r="BZ429" s="14"/>
      <c r="CA429" s="14"/>
      <c r="CB429" s="14"/>
      <c r="CC429" s="14"/>
      <c r="CD429" s="14"/>
      <c r="CE429" s="14"/>
      <c r="CF429" s="14"/>
      <c r="CG429" s="14"/>
      <c r="CH429" s="14"/>
      <c r="CI429" s="14"/>
      <c r="CJ429" s="14"/>
      <c r="CK429" s="14"/>
      <c r="CL429" s="14"/>
      <c r="CM429" s="14"/>
      <c r="CN429" s="14"/>
      <c r="CO429" s="14"/>
      <c r="CP429" s="14"/>
      <c r="CQ429" s="14"/>
      <c r="CR429" s="14"/>
      <c r="CS429" s="14"/>
      <c r="CT429" s="14"/>
      <c r="CU429" s="14"/>
      <c r="CV429" s="14"/>
      <c r="CW429" s="14"/>
      <c r="CX429" s="14"/>
      <c r="CY429" s="14"/>
      <c r="CZ429" s="14"/>
      <c r="DA429" s="14"/>
      <c r="DB429" s="14"/>
      <c r="DC429" s="14"/>
      <c r="DD429" s="14"/>
      <c r="DE429" s="14"/>
      <c r="DF429" s="14"/>
      <c r="DG429" s="14"/>
      <c r="DH429" s="14"/>
      <c r="DI429" s="14"/>
      <c r="DJ429" s="14"/>
      <c r="DK429" s="14"/>
      <c r="DL429" s="14"/>
      <c r="DM429" s="14"/>
      <c r="DN429" s="14"/>
      <c r="DO429" s="14"/>
      <c r="DP429" s="14"/>
      <c r="DQ429" s="14"/>
      <c r="DR429" s="14"/>
      <c r="DS429" s="14"/>
      <c r="DT429" s="14"/>
      <c r="DU429" s="14"/>
      <c r="DV429" s="14"/>
      <c r="DW429" s="14"/>
      <c r="DX429" s="14"/>
      <c r="DY429" s="14"/>
      <c r="DZ429" s="14"/>
      <c r="EA429" s="14"/>
      <c r="EB429" s="14"/>
      <c r="EC429" s="14"/>
    </row>
    <row r="431" spans="1:133" s="13" customFormat="1" x14ac:dyDescent="0.25">
      <c r="A431" s="158" t="s">
        <v>98</v>
      </c>
      <c r="B431" s="158"/>
      <c r="C431" s="158"/>
      <c r="D431" s="158"/>
      <c r="E431" s="158"/>
      <c r="R431" s="14"/>
      <c r="S431" s="14"/>
      <c r="T431" s="14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F431" s="14"/>
      <c r="AG431" s="14"/>
      <c r="AH431" s="14"/>
      <c r="AI431" s="14"/>
      <c r="AJ431" s="14"/>
      <c r="AK431" s="14"/>
      <c r="AL431" s="14"/>
      <c r="AM431" s="14"/>
      <c r="AN431" s="14"/>
      <c r="AO431" s="14"/>
      <c r="AP431" s="14"/>
      <c r="AQ431" s="14"/>
      <c r="AR431" s="14"/>
      <c r="AS431" s="14"/>
      <c r="AT431" s="14"/>
      <c r="AU431" s="14"/>
      <c r="AV431" s="14"/>
      <c r="AW431" s="14"/>
      <c r="AX431" s="14"/>
      <c r="AY431" s="14"/>
      <c r="AZ431" s="14"/>
      <c r="BA431" s="14"/>
      <c r="BB431" s="14"/>
      <c r="BC431" s="14"/>
      <c r="BD431" s="14"/>
      <c r="BE431" s="14"/>
      <c r="BF431" s="14"/>
      <c r="BG431" s="14"/>
      <c r="BH431" s="14"/>
      <c r="BI431" s="14"/>
      <c r="BJ431" s="14"/>
      <c r="BK431" s="14"/>
      <c r="BL431" s="14"/>
      <c r="BM431" s="14"/>
      <c r="BN431" s="14"/>
      <c r="BO431" s="14"/>
      <c r="BP431" s="14"/>
      <c r="BQ431" s="14"/>
      <c r="BR431" s="14"/>
      <c r="BS431" s="14"/>
      <c r="BT431" s="14"/>
      <c r="BU431" s="14"/>
      <c r="BV431" s="14"/>
      <c r="BW431" s="14"/>
      <c r="BX431" s="14"/>
      <c r="BY431" s="14"/>
      <c r="BZ431" s="14"/>
      <c r="CA431" s="14"/>
      <c r="CB431" s="14"/>
      <c r="CC431" s="14"/>
      <c r="CD431" s="14"/>
      <c r="CE431" s="14"/>
      <c r="CF431" s="14"/>
      <c r="CG431" s="14"/>
      <c r="CH431" s="14"/>
      <c r="CI431" s="14"/>
      <c r="CJ431" s="14"/>
      <c r="CK431" s="14"/>
      <c r="CL431" s="14"/>
      <c r="CM431" s="14"/>
      <c r="CN431" s="14"/>
      <c r="CO431" s="14"/>
      <c r="CP431" s="14"/>
      <c r="CQ431" s="14"/>
      <c r="CR431" s="14"/>
      <c r="CS431" s="14"/>
      <c r="CT431" s="14"/>
      <c r="CU431" s="14"/>
      <c r="CV431" s="14"/>
      <c r="CW431" s="14"/>
      <c r="CX431" s="14"/>
      <c r="CY431" s="14"/>
      <c r="CZ431" s="14"/>
      <c r="DA431" s="14"/>
      <c r="DB431" s="14"/>
      <c r="DC431" s="14"/>
      <c r="DD431" s="14"/>
      <c r="DE431" s="14"/>
      <c r="DF431" s="14"/>
      <c r="DG431" s="14"/>
      <c r="DH431" s="14"/>
      <c r="DI431" s="14"/>
      <c r="DJ431" s="14"/>
      <c r="DK431" s="14"/>
      <c r="DL431" s="14"/>
      <c r="DM431" s="14"/>
      <c r="DN431" s="14"/>
      <c r="DO431" s="14"/>
      <c r="DP431" s="14"/>
      <c r="DQ431" s="14"/>
      <c r="DR431" s="14"/>
      <c r="DS431" s="14"/>
      <c r="DT431" s="14"/>
      <c r="DU431" s="14"/>
      <c r="DV431" s="14"/>
      <c r="DW431" s="14"/>
      <c r="DX431" s="14"/>
      <c r="DY431" s="14"/>
      <c r="DZ431" s="14"/>
      <c r="EA431" s="14"/>
      <c r="EB431" s="14"/>
      <c r="EC431" s="14"/>
    </row>
    <row r="432" spans="1:133" x14ac:dyDescent="0.25">
      <c r="A432" s="57" t="s">
        <v>8</v>
      </c>
      <c r="B432" s="58" t="s">
        <v>9</v>
      </c>
      <c r="C432" s="34" t="s">
        <v>10</v>
      </c>
      <c r="D432" s="34" t="s">
        <v>340</v>
      </c>
      <c r="E432" s="16" t="s">
        <v>65</v>
      </c>
    </row>
    <row r="433" spans="1:133" ht="49.2" x14ac:dyDescent="0.25">
      <c r="A433" s="15" t="s">
        <v>99</v>
      </c>
      <c r="B433" s="25" t="s">
        <v>95</v>
      </c>
      <c r="C433" s="35" t="s">
        <v>100</v>
      </c>
      <c r="D433" s="35" t="s">
        <v>101</v>
      </c>
      <c r="E433" s="16">
        <v>0</v>
      </c>
    </row>
    <row r="435" spans="1:133" x14ac:dyDescent="0.25">
      <c r="A435" s="57" t="s">
        <v>8</v>
      </c>
      <c r="B435" s="58" t="s">
        <v>9</v>
      </c>
      <c r="C435" s="34" t="s">
        <v>10</v>
      </c>
      <c r="D435" s="34" t="s">
        <v>340</v>
      </c>
      <c r="E435" s="16" t="s">
        <v>65</v>
      </c>
    </row>
    <row r="436" spans="1:133" ht="18" x14ac:dyDescent="0.25">
      <c r="A436" s="59" t="s">
        <v>102</v>
      </c>
      <c r="B436" s="25" t="s">
        <v>103</v>
      </c>
      <c r="C436" s="35" t="s">
        <v>104</v>
      </c>
      <c r="D436" s="53" t="s">
        <v>380</v>
      </c>
      <c r="E436" s="18">
        <f>ROUNDDOWN(E386+E417+E412+E429+E433,0)</f>
        <v>3022</v>
      </c>
    </row>
    <row r="437" spans="1:133" ht="15" customHeight="1" x14ac:dyDescent="0.25"/>
    <row r="438" spans="1:133" s="166" customFormat="1" ht="38.4" customHeight="1" x14ac:dyDescent="0.25">
      <c r="A438" s="165" t="s">
        <v>226</v>
      </c>
    </row>
    <row r="439" spans="1:133" s="56" customFormat="1" ht="31.2" x14ac:dyDescent="0.25">
      <c r="A439" s="92" t="s">
        <v>8</v>
      </c>
      <c r="B439" s="93" t="s">
        <v>9</v>
      </c>
      <c r="C439" s="94" t="s">
        <v>10</v>
      </c>
      <c r="D439" s="93" t="s">
        <v>341</v>
      </c>
      <c r="E439" s="93" t="s">
        <v>11</v>
      </c>
      <c r="F439" s="16" t="s">
        <v>312</v>
      </c>
      <c r="G439" s="16" t="s">
        <v>313</v>
      </c>
      <c r="H439" s="16" t="s">
        <v>314</v>
      </c>
      <c r="I439" s="16" t="s">
        <v>315</v>
      </c>
      <c r="J439" s="16" t="s">
        <v>316</v>
      </c>
      <c r="K439" s="16" t="s">
        <v>317</v>
      </c>
      <c r="L439" s="16" t="s">
        <v>318</v>
      </c>
      <c r="M439" s="16" t="s">
        <v>319</v>
      </c>
      <c r="N439" s="16" t="s">
        <v>320</v>
      </c>
      <c r="O439" s="16" t="s">
        <v>293</v>
      </c>
      <c r="P439" s="16" t="s">
        <v>294</v>
      </c>
      <c r="Q439" s="16" t="s">
        <v>295</v>
      </c>
      <c r="R439" s="54"/>
      <c r="S439" s="54"/>
      <c r="T439" s="54"/>
      <c r="U439" s="54"/>
      <c r="V439" s="54"/>
      <c r="W439" s="54"/>
      <c r="X439" s="54"/>
      <c r="Y439" s="54"/>
      <c r="Z439" s="54"/>
      <c r="AA439" s="54"/>
      <c r="AB439" s="54"/>
      <c r="AC439" s="54"/>
      <c r="AD439" s="54"/>
      <c r="AE439" s="54"/>
      <c r="AF439" s="54"/>
      <c r="AG439" s="54"/>
      <c r="AH439" s="54"/>
      <c r="AI439" s="54"/>
      <c r="AJ439" s="54"/>
      <c r="AK439" s="54"/>
      <c r="AL439" s="54"/>
      <c r="AM439" s="54"/>
      <c r="AN439" s="54"/>
      <c r="AO439" s="54"/>
      <c r="AP439" s="54"/>
      <c r="AQ439" s="54"/>
      <c r="AR439" s="54"/>
      <c r="AS439" s="54"/>
      <c r="AT439" s="54"/>
      <c r="AU439" s="54"/>
      <c r="AV439" s="54"/>
      <c r="AW439" s="54"/>
      <c r="AX439" s="54"/>
      <c r="AY439" s="54"/>
      <c r="AZ439" s="54"/>
      <c r="BA439" s="54"/>
      <c r="BB439" s="54"/>
      <c r="BC439" s="54"/>
      <c r="BD439" s="54"/>
      <c r="BE439" s="54"/>
      <c r="BF439" s="54"/>
      <c r="BG439" s="54"/>
      <c r="BH439" s="54"/>
      <c r="BI439" s="54"/>
      <c r="BJ439" s="54"/>
      <c r="BK439" s="54"/>
      <c r="BL439" s="54"/>
      <c r="BM439" s="54"/>
      <c r="BN439" s="54"/>
      <c r="BO439" s="54"/>
      <c r="BP439" s="54"/>
      <c r="BQ439" s="54"/>
      <c r="BR439" s="54"/>
      <c r="BS439" s="54"/>
      <c r="BT439" s="54"/>
      <c r="BU439" s="54"/>
      <c r="BV439" s="54"/>
      <c r="BW439" s="54"/>
      <c r="BX439" s="54"/>
      <c r="BY439" s="54"/>
      <c r="BZ439" s="54"/>
      <c r="CA439" s="54"/>
      <c r="CB439" s="54"/>
      <c r="CC439" s="54"/>
      <c r="CD439" s="54"/>
      <c r="CE439" s="54"/>
      <c r="CF439" s="54"/>
      <c r="CG439" s="54"/>
      <c r="CH439" s="54"/>
      <c r="CI439" s="54"/>
      <c r="CJ439" s="54"/>
      <c r="CK439" s="54"/>
      <c r="CL439" s="54"/>
      <c r="CM439" s="54"/>
      <c r="CN439" s="54"/>
      <c r="CO439" s="54"/>
      <c r="CP439" s="54"/>
      <c r="CQ439" s="54"/>
      <c r="CR439" s="54"/>
      <c r="CS439" s="54"/>
      <c r="CT439" s="54"/>
      <c r="CU439" s="54"/>
      <c r="CV439" s="54"/>
      <c r="CW439" s="54"/>
      <c r="CX439" s="54"/>
      <c r="CY439" s="54"/>
      <c r="CZ439" s="54"/>
      <c r="DA439" s="54"/>
      <c r="DB439" s="54"/>
      <c r="DC439" s="54"/>
      <c r="DD439" s="54"/>
      <c r="DE439" s="54"/>
      <c r="DF439" s="54"/>
      <c r="DG439" s="54"/>
      <c r="DH439" s="54"/>
      <c r="DI439" s="54"/>
      <c r="DJ439" s="54"/>
      <c r="DK439" s="54"/>
      <c r="DL439" s="54"/>
      <c r="DM439" s="54"/>
      <c r="DN439" s="54"/>
      <c r="DO439" s="54"/>
      <c r="DP439" s="54"/>
      <c r="DQ439" s="54"/>
      <c r="DR439" s="54"/>
      <c r="DS439" s="54"/>
      <c r="DT439" s="54"/>
      <c r="DU439" s="54"/>
      <c r="DV439" s="54"/>
      <c r="DW439" s="54"/>
      <c r="DX439" s="54"/>
      <c r="DY439" s="54"/>
      <c r="DZ439" s="54"/>
      <c r="EA439" s="54"/>
      <c r="EB439" s="54"/>
      <c r="EC439" s="54"/>
    </row>
    <row r="440" spans="1:133" s="56" customFormat="1" x14ac:dyDescent="0.25">
      <c r="A440" s="178" t="s">
        <v>12</v>
      </c>
      <c r="B440" s="178"/>
      <c r="C440" s="179"/>
      <c r="D440" s="179"/>
      <c r="E440" s="178"/>
      <c r="F440" s="16">
        <v>31</v>
      </c>
      <c r="G440" s="16">
        <v>28</v>
      </c>
      <c r="H440" s="16">
        <v>31</v>
      </c>
      <c r="I440" s="16">
        <v>30</v>
      </c>
      <c r="J440" s="16">
        <v>31</v>
      </c>
      <c r="K440" s="16">
        <v>30</v>
      </c>
      <c r="L440" s="16">
        <v>31</v>
      </c>
      <c r="M440" s="16">
        <v>31</v>
      </c>
      <c r="N440" s="16">
        <v>30</v>
      </c>
      <c r="O440" s="16">
        <v>31</v>
      </c>
      <c r="P440" s="16">
        <v>30</v>
      </c>
      <c r="Q440" s="16">
        <v>31</v>
      </c>
      <c r="R440" s="54"/>
      <c r="S440" s="54"/>
      <c r="T440" s="54"/>
      <c r="U440" s="54"/>
      <c r="V440" s="54"/>
      <c r="W440" s="54"/>
      <c r="X440" s="54"/>
      <c r="Y440" s="54"/>
      <c r="Z440" s="54"/>
      <c r="AA440" s="54"/>
      <c r="AB440" s="54"/>
      <c r="AC440" s="54"/>
      <c r="AD440" s="54"/>
      <c r="AE440" s="54"/>
      <c r="AF440" s="54"/>
      <c r="AG440" s="54"/>
      <c r="AH440" s="54"/>
      <c r="AI440" s="54"/>
      <c r="AJ440" s="54"/>
      <c r="AK440" s="54"/>
      <c r="AL440" s="54"/>
      <c r="AM440" s="54"/>
      <c r="AN440" s="54"/>
      <c r="AO440" s="54"/>
      <c r="AP440" s="54"/>
      <c r="AQ440" s="54"/>
      <c r="AR440" s="54"/>
      <c r="AS440" s="54"/>
      <c r="AT440" s="54"/>
      <c r="AU440" s="54"/>
      <c r="AV440" s="54"/>
      <c r="AW440" s="54"/>
      <c r="AX440" s="54"/>
      <c r="AY440" s="54"/>
      <c r="AZ440" s="54"/>
      <c r="BA440" s="54"/>
      <c r="BB440" s="54"/>
      <c r="BC440" s="54"/>
      <c r="BD440" s="54"/>
      <c r="BE440" s="54"/>
      <c r="BF440" s="54"/>
      <c r="BG440" s="54"/>
      <c r="BH440" s="54"/>
      <c r="BI440" s="54"/>
      <c r="BJ440" s="54"/>
      <c r="BK440" s="54"/>
      <c r="BL440" s="54"/>
      <c r="BM440" s="54"/>
      <c r="BN440" s="54"/>
      <c r="BO440" s="54"/>
      <c r="BP440" s="54"/>
      <c r="BQ440" s="54"/>
      <c r="BR440" s="54"/>
      <c r="BS440" s="54"/>
      <c r="BT440" s="54"/>
      <c r="BU440" s="54"/>
      <c r="BV440" s="54"/>
      <c r="BW440" s="54"/>
      <c r="BX440" s="54"/>
      <c r="BY440" s="54"/>
      <c r="BZ440" s="54"/>
      <c r="CA440" s="54"/>
      <c r="CB440" s="54"/>
      <c r="CC440" s="54"/>
      <c r="CD440" s="54"/>
      <c r="CE440" s="54"/>
      <c r="CF440" s="54"/>
      <c r="CG440" s="54"/>
      <c r="CH440" s="54"/>
      <c r="CI440" s="54"/>
      <c r="CJ440" s="54"/>
      <c r="CK440" s="54"/>
      <c r="CL440" s="54"/>
      <c r="CM440" s="54"/>
      <c r="CN440" s="54"/>
      <c r="CO440" s="54"/>
      <c r="CP440" s="54"/>
      <c r="CQ440" s="54"/>
      <c r="CR440" s="54"/>
      <c r="CS440" s="54"/>
      <c r="CT440" s="54"/>
      <c r="CU440" s="54"/>
      <c r="CV440" s="54"/>
      <c r="CW440" s="54"/>
      <c r="CX440" s="54"/>
      <c r="CY440" s="54"/>
      <c r="CZ440" s="54"/>
      <c r="DA440" s="54"/>
      <c r="DB440" s="54"/>
      <c r="DC440" s="54"/>
      <c r="DD440" s="54"/>
      <c r="DE440" s="54"/>
      <c r="DF440" s="54"/>
      <c r="DG440" s="54"/>
      <c r="DH440" s="54"/>
      <c r="DI440" s="54"/>
      <c r="DJ440" s="54"/>
      <c r="DK440" s="54"/>
      <c r="DL440" s="54"/>
      <c r="DM440" s="54"/>
      <c r="DN440" s="54"/>
      <c r="DO440" s="54"/>
      <c r="DP440" s="54"/>
      <c r="DQ440" s="54"/>
      <c r="DR440" s="54"/>
      <c r="DS440" s="54"/>
      <c r="DT440" s="54"/>
      <c r="DU440" s="54"/>
      <c r="DV440" s="54"/>
      <c r="DW440" s="54"/>
      <c r="DX440" s="54"/>
      <c r="DY440" s="54"/>
      <c r="DZ440" s="54"/>
      <c r="EA440" s="54"/>
      <c r="EB440" s="54"/>
      <c r="EC440" s="54"/>
    </row>
    <row r="441" spans="1:133" ht="46.8" x14ac:dyDescent="0.25">
      <c r="A441" s="59" t="s">
        <v>13</v>
      </c>
      <c r="B441" s="60" t="s">
        <v>14</v>
      </c>
      <c r="C441" s="53" t="s">
        <v>15</v>
      </c>
      <c r="D441" s="53" t="s">
        <v>369</v>
      </c>
      <c r="E441" s="61">
        <f>SUM(F441:Q441)</f>
        <v>10456.768213663707</v>
      </c>
      <c r="F441" s="62">
        <f>$E$442*$E$443*F444*$E$455</f>
        <v>893.10966702042992</v>
      </c>
      <c r="G441" s="62">
        <f t="shared" ref="G441:Q441" si="56">$E$442*$E$443*G444*$E$455</f>
        <v>807.25817325907303</v>
      </c>
      <c r="H441" s="62">
        <f t="shared" si="56"/>
        <v>892.47965292224376</v>
      </c>
      <c r="I441" s="62">
        <f t="shared" si="56"/>
        <v>863.88664457549862</v>
      </c>
      <c r="J441" s="62">
        <f t="shared" si="56"/>
        <v>933.35028944737007</v>
      </c>
      <c r="K441" s="62">
        <f t="shared" si="56"/>
        <v>805.55801205952923</v>
      </c>
      <c r="L441" s="62">
        <f t="shared" si="56"/>
        <v>832.95796787790732</v>
      </c>
      <c r="M441" s="62">
        <f t="shared" si="56"/>
        <v>834.00922629512741</v>
      </c>
      <c r="N441" s="62">
        <f t="shared" si="56"/>
        <v>903.83024148823233</v>
      </c>
      <c r="O441" s="62">
        <f t="shared" si="56"/>
        <v>933.83897732427454</v>
      </c>
      <c r="P441" s="62">
        <f t="shared" si="56"/>
        <v>863.70777405110982</v>
      </c>
      <c r="Q441" s="62">
        <f t="shared" si="56"/>
        <v>892.78158734290992</v>
      </c>
    </row>
    <row r="442" spans="1:133" ht="31.2" x14ac:dyDescent="0.25">
      <c r="A442" s="63" t="s">
        <v>16</v>
      </c>
      <c r="B442" s="60" t="s">
        <v>193</v>
      </c>
      <c r="C442" s="35" t="s">
        <v>17</v>
      </c>
      <c r="D442" s="35" t="s">
        <v>205</v>
      </c>
      <c r="E442" s="176">
        <v>28</v>
      </c>
      <c r="F442" s="176"/>
      <c r="G442" s="176"/>
      <c r="H442" s="176"/>
      <c r="I442" s="176"/>
      <c r="J442" s="176"/>
      <c r="K442" s="176"/>
      <c r="L442" s="176"/>
      <c r="M442" s="176"/>
      <c r="N442" s="176"/>
      <c r="O442" s="176"/>
      <c r="P442" s="176"/>
      <c r="Q442" s="176"/>
    </row>
    <row r="443" spans="1:133" ht="64.8" x14ac:dyDescent="0.25">
      <c r="A443" s="63" t="s">
        <v>18</v>
      </c>
      <c r="B443" s="25" t="s">
        <v>194</v>
      </c>
      <c r="C443" s="35" t="s">
        <v>20</v>
      </c>
      <c r="D443" s="35" t="s">
        <v>394</v>
      </c>
      <c r="E443" s="176">
        <v>0.21</v>
      </c>
      <c r="F443" s="176"/>
      <c r="G443" s="176"/>
      <c r="H443" s="176"/>
      <c r="I443" s="176"/>
      <c r="J443" s="176"/>
      <c r="K443" s="176"/>
      <c r="L443" s="176"/>
      <c r="M443" s="176"/>
      <c r="N443" s="176"/>
      <c r="O443" s="176"/>
      <c r="P443" s="176"/>
      <c r="Q443" s="176"/>
    </row>
    <row r="444" spans="1:133" ht="46.8" x14ac:dyDescent="0.25">
      <c r="A444" s="35" t="s">
        <v>21</v>
      </c>
      <c r="B444" s="25" t="s">
        <v>195</v>
      </c>
      <c r="C444" s="53" t="s">
        <v>22</v>
      </c>
      <c r="D444" s="53" t="s">
        <v>370</v>
      </c>
      <c r="E444" s="64">
        <f t="shared" ref="E444:Q444" si="57">E452*E445</f>
        <v>3058.39577426605</v>
      </c>
      <c r="F444" s="64">
        <f t="shared" si="57"/>
        <v>261.21673310136612</v>
      </c>
      <c r="G444" s="64">
        <f t="shared" si="57"/>
        <v>236.10688650544861</v>
      </c>
      <c r="H444" s="64">
        <f t="shared" si="57"/>
        <v>261.03246656544894</v>
      </c>
      <c r="I444" s="64">
        <f t="shared" si="57"/>
        <v>252.66958291780617</v>
      </c>
      <c r="J444" s="64">
        <f t="shared" si="57"/>
        <v>272.986311145907</v>
      </c>
      <c r="K444" s="64">
        <f t="shared" si="57"/>
        <v>235.60962332412828</v>
      </c>
      <c r="L444" s="64">
        <f t="shared" si="57"/>
        <v>243.62356294464163</v>
      </c>
      <c r="M444" s="64">
        <f t="shared" si="57"/>
        <v>243.93103502733408</v>
      </c>
      <c r="N444" s="64">
        <f t="shared" si="57"/>
        <v>264.35228693406827</v>
      </c>
      <c r="O444" s="64">
        <f t="shared" si="57"/>
        <v>273.12924258582427</v>
      </c>
      <c r="P444" s="64">
        <f t="shared" si="57"/>
        <v>252.61726686328973</v>
      </c>
      <c r="Q444" s="64">
        <f t="shared" si="57"/>
        <v>261.12077635078629</v>
      </c>
    </row>
    <row r="445" spans="1:133" ht="46.8" x14ac:dyDescent="0.25">
      <c r="A445" s="35" t="s">
        <v>23</v>
      </c>
      <c r="B445" s="25" t="s">
        <v>197</v>
      </c>
      <c r="C445" s="35" t="s">
        <v>191</v>
      </c>
      <c r="D445" s="35" t="s">
        <v>371</v>
      </c>
      <c r="E445" s="20">
        <f>SUM(F445:Q445)</f>
        <v>3219.2021572429835</v>
      </c>
      <c r="F445" s="20">
        <f>F447*F450</f>
        <v>274.95116158067634</v>
      </c>
      <c r="G445" s="20">
        <f t="shared" ref="G445:Q445" si="58">G447*G450</f>
        <v>248.52107264000733</v>
      </c>
      <c r="H445" s="20">
        <f t="shared" si="58"/>
        <v>274.75720655532501</v>
      </c>
      <c r="I445" s="20">
        <f t="shared" si="58"/>
        <v>265.95461360584829</v>
      </c>
      <c r="J445" s="20">
        <f t="shared" si="58"/>
        <v>287.3395683884637</v>
      </c>
      <c r="K445" s="20">
        <f t="shared" si="58"/>
        <v>247.99766402183786</v>
      </c>
      <c r="L445" s="20">
        <f t="shared" si="58"/>
        <v>256.43296593123927</v>
      </c>
      <c r="M445" s="20">
        <f t="shared" si="58"/>
        <v>256.75660448718548</v>
      </c>
      <c r="N445" s="20">
        <f t="shared" si="58"/>
        <v>278.25157866446881</v>
      </c>
      <c r="O445" s="20">
        <f t="shared" si="58"/>
        <v>287.49001497343193</v>
      </c>
      <c r="P445" s="20">
        <f t="shared" si="58"/>
        <v>265.89954684275148</v>
      </c>
      <c r="Q445" s="20">
        <f t="shared" si="58"/>
        <v>274.85015955174737</v>
      </c>
    </row>
    <row r="446" spans="1:133" ht="62.4" x14ac:dyDescent="0.25">
      <c r="A446" s="17" t="s">
        <v>335</v>
      </c>
      <c r="B446" s="60" t="s">
        <v>192</v>
      </c>
      <c r="C446" s="35" t="s">
        <v>25</v>
      </c>
      <c r="D446" s="35" t="s">
        <v>333</v>
      </c>
      <c r="E446" s="121">
        <f>AVERAGE(F446:Q446)</f>
        <v>19366.933656611622</v>
      </c>
      <c r="F446" s="121">
        <v>18932.911870967739</v>
      </c>
      <c r="G446" s="121">
        <v>18931.032464285709</v>
      </c>
      <c r="H446" s="121">
        <v>18926.029000000002</v>
      </c>
      <c r="I446" s="121">
        <v>18936.392533333332</v>
      </c>
      <c r="J446" s="121">
        <v>19798.487129032255</v>
      </c>
      <c r="K446" s="121">
        <v>19806.590866666666</v>
      </c>
      <c r="L446" s="121">
        <v>19804.84483870968</v>
      </c>
      <c r="M446" s="121">
        <v>19804.971709677418</v>
      </c>
      <c r="N446" s="121">
        <v>19800.108066666671</v>
      </c>
      <c r="O446" s="121">
        <v>19806.73796774193</v>
      </c>
      <c r="P446" s="121">
        <v>18927.10939999999</v>
      </c>
      <c r="Q446" s="121">
        <v>18927.988032258065</v>
      </c>
    </row>
    <row r="447" spans="1:133" ht="46.8" x14ac:dyDescent="0.25">
      <c r="A447" s="35" t="s">
        <v>26</v>
      </c>
      <c r="B447" s="60" t="s">
        <v>198</v>
      </c>
      <c r="C447" s="35" t="s">
        <v>27</v>
      </c>
      <c r="D447" s="35" t="s">
        <v>206</v>
      </c>
      <c r="E447" s="65">
        <f>SUM(F447:Q447)</f>
        <v>7070236.0219999989</v>
      </c>
      <c r="F447" s="65">
        <f>F446*F440</f>
        <v>586920.26799999992</v>
      </c>
      <c r="G447" s="65">
        <f t="shared" ref="G447:Q447" si="59">G446*G440</f>
        <v>530068.90899999987</v>
      </c>
      <c r="H447" s="65">
        <f t="shared" si="59"/>
        <v>586706.89900000009</v>
      </c>
      <c r="I447" s="65">
        <f t="shared" si="59"/>
        <v>568091.77599999995</v>
      </c>
      <c r="J447" s="65">
        <f t="shared" si="59"/>
        <v>613753.10099999991</v>
      </c>
      <c r="K447" s="65">
        <f t="shared" si="59"/>
        <v>594197.72600000002</v>
      </c>
      <c r="L447" s="65">
        <f t="shared" si="59"/>
        <v>613950.19000000006</v>
      </c>
      <c r="M447" s="65">
        <f t="shared" si="59"/>
        <v>613954.12300000002</v>
      </c>
      <c r="N447" s="65">
        <f t="shared" si="59"/>
        <v>594003.24200000009</v>
      </c>
      <c r="O447" s="65">
        <f t="shared" si="59"/>
        <v>614008.87699999986</v>
      </c>
      <c r="P447" s="65">
        <f t="shared" si="59"/>
        <v>567813.28199999966</v>
      </c>
      <c r="Q447" s="65">
        <f t="shared" si="59"/>
        <v>586767.62899999996</v>
      </c>
    </row>
    <row r="448" spans="1:133" ht="62.4" x14ac:dyDescent="0.25">
      <c r="A448" s="35" t="s">
        <v>28</v>
      </c>
      <c r="B448" s="60" t="s">
        <v>199</v>
      </c>
      <c r="C448" s="35" t="s">
        <v>29</v>
      </c>
      <c r="D448" s="35" t="s">
        <v>332</v>
      </c>
      <c r="E448" s="125">
        <f>AVERAGE(F448:Q448)</f>
        <v>455.71125199920834</v>
      </c>
      <c r="F448" s="125">
        <v>468.46424731182805</v>
      </c>
      <c r="G448" s="125">
        <v>468.84672619047609</v>
      </c>
      <c r="H448" s="125">
        <v>468.30403225806452</v>
      </c>
      <c r="I448" s="125">
        <v>468.15431034482759</v>
      </c>
      <c r="J448" s="125">
        <v>468.16801075268819</v>
      </c>
      <c r="K448" s="125">
        <v>417.36555555555566</v>
      </c>
      <c r="L448" s="125">
        <v>417.67715053763442</v>
      </c>
      <c r="M448" s="125">
        <v>418.20161290322579</v>
      </c>
      <c r="N448" s="125">
        <v>468.43444444444424</v>
      </c>
      <c r="O448" s="125">
        <v>468.2180107526882</v>
      </c>
      <c r="P448" s="125">
        <v>468.28694444444443</v>
      </c>
      <c r="Q448" s="125">
        <v>468.41397849462373</v>
      </c>
    </row>
    <row r="449" spans="1:133" ht="62.4" x14ac:dyDescent="0.25">
      <c r="A449" s="35" t="s">
        <v>30</v>
      </c>
      <c r="B449" s="60" t="s">
        <v>199</v>
      </c>
      <c r="C449" s="35" t="s">
        <v>31</v>
      </c>
      <c r="D449" s="35" t="s">
        <v>331</v>
      </c>
      <c r="E449" s="125">
        <f>AVERAGE(F449:Q449)</f>
        <v>21.699708078788305</v>
      </c>
      <c r="F449" s="125">
        <v>21.579569892473117</v>
      </c>
      <c r="G449" s="125">
        <v>21.898214285714285</v>
      </c>
      <c r="H449" s="125">
        <v>22.585752688172043</v>
      </c>
      <c r="I449" s="125">
        <v>21.801436781609201</v>
      </c>
      <c r="J449" s="125">
        <v>22.59220430107527</v>
      </c>
      <c r="K449" s="125">
        <v>20.147222222222222</v>
      </c>
      <c r="L449" s="125">
        <v>20.614247311827953</v>
      </c>
      <c r="M449" s="125">
        <v>20.415322580645164</v>
      </c>
      <c r="N449" s="125">
        <v>22.186666666666667</v>
      </c>
      <c r="O449" s="125">
        <v>22.581989247311832</v>
      </c>
      <c r="P449" s="125">
        <v>22.09333333333333</v>
      </c>
      <c r="Q449" s="125">
        <v>21.900537634408604</v>
      </c>
    </row>
    <row r="450" spans="1:133" ht="62.4" x14ac:dyDescent="0.25">
      <c r="A450" s="35" t="s">
        <v>32</v>
      </c>
      <c r="B450" s="60" t="s">
        <v>200</v>
      </c>
      <c r="C450" s="35" t="s">
        <v>34</v>
      </c>
      <c r="D450" s="35" t="s">
        <v>338</v>
      </c>
      <c r="E450" s="122">
        <f>E448/1000000</f>
        <v>4.5571125199920837E-4</v>
      </c>
      <c r="F450" s="120">
        <f>F448/1000000</f>
        <v>4.6846424731182806E-4</v>
      </c>
      <c r="G450" s="120">
        <f t="shared" ref="G450:Q451" si="60">G448/1000000</f>
        <v>4.6884672619047611E-4</v>
      </c>
      <c r="H450" s="120">
        <f t="shared" si="60"/>
        <v>4.683040322580645E-4</v>
      </c>
      <c r="I450" s="120">
        <f t="shared" si="60"/>
        <v>4.6815431034482761E-4</v>
      </c>
      <c r="J450" s="120">
        <f t="shared" si="60"/>
        <v>4.6816801075268822E-4</v>
      </c>
      <c r="K450" s="120">
        <f t="shared" si="60"/>
        <v>4.1736555555555566E-4</v>
      </c>
      <c r="L450" s="120">
        <f t="shared" si="60"/>
        <v>4.1767715053763442E-4</v>
      </c>
      <c r="M450" s="120">
        <f t="shared" si="60"/>
        <v>4.1820161290322577E-4</v>
      </c>
      <c r="N450" s="120">
        <f t="shared" si="60"/>
        <v>4.6843444444444424E-4</v>
      </c>
      <c r="O450" s="120">
        <f t="shared" si="60"/>
        <v>4.6821801075268819E-4</v>
      </c>
      <c r="P450" s="120">
        <f t="shared" si="60"/>
        <v>4.6828694444444441E-4</v>
      </c>
      <c r="Q450" s="120">
        <f t="shared" si="60"/>
        <v>4.6841397849462375E-4</v>
      </c>
    </row>
    <row r="451" spans="1:133" ht="62.4" x14ac:dyDescent="0.25">
      <c r="A451" s="35" t="s">
        <v>30</v>
      </c>
      <c r="B451" s="60" t="s">
        <v>33</v>
      </c>
      <c r="C451" s="35" t="s">
        <v>35</v>
      </c>
      <c r="D451" s="35" t="s">
        <v>339</v>
      </c>
      <c r="E451" s="122">
        <f>E449/1000000</f>
        <v>2.1699708078788305E-5</v>
      </c>
      <c r="F451" s="120">
        <f>F449/1000000</f>
        <v>2.1579569892473118E-5</v>
      </c>
      <c r="G451" s="120">
        <f t="shared" si="60"/>
        <v>2.1898214285714284E-5</v>
      </c>
      <c r="H451" s="120">
        <f t="shared" si="60"/>
        <v>2.2585752688172042E-5</v>
      </c>
      <c r="I451" s="120">
        <f t="shared" si="60"/>
        <v>2.1801436781609203E-5</v>
      </c>
      <c r="J451" s="120">
        <f t="shared" si="60"/>
        <v>2.259220430107527E-5</v>
      </c>
      <c r="K451" s="120">
        <f t="shared" si="60"/>
        <v>2.0147222222222224E-5</v>
      </c>
      <c r="L451" s="120">
        <f t="shared" si="60"/>
        <v>2.0614247311827951E-5</v>
      </c>
      <c r="M451" s="120">
        <f t="shared" si="60"/>
        <v>2.0415322580645162E-5</v>
      </c>
      <c r="N451" s="120">
        <f t="shared" si="60"/>
        <v>2.2186666666666669E-5</v>
      </c>
      <c r="O451" s="120">
        <f t="shared" si="60"/>
        <v>2.2581989247311833E-5</v>
      </c>
      <c r="P451" s="120">
        <f t="shared" si="60"/>
        <v>2.2093333333333331E-5</v>
      </c>
      <c r="Q451" s="120">
        <f t="shared" si="60"/>
        <v>2.1900537634408605E-5</v>
      </c>
    </row>
    <row r="452" spans="1:133" ht="46.8" x14ac:dyDescent="0.25">
      <c r="A452" s="63" t="s">
        <v>36</v>
      </c>
      <c r="B452" s="25" t="s">
        <v>201</v>
      </c>
      <c r="C452" s="35" t="s">
        <v>38</v>
      </c>
      <c r="D452" s="35" t="s">
        <v>368</v>
      </c>
      <c r="E452" s="68">
        <f>(1-(E453/E454))</f>
        <v>0.95004775247956075</v>
      </c>
      <c r="F452" s="68">
        <f>E452</f>
        <v>0.95004775247956075</v>
      </c>
      <c r="G452" s="68">
        <f>E452</f>
        <v>0.95004775247956075</v>
      </c>
      <c r="H452" s="68">
        <f>E452</f>
        <v>0.95004775247956075</v>
      </c>
      <c r="I452" s="68">
        <f>E452</f>
        <v>0.95004775247956075</v>
      </c>
      <c r="J452" s="68">
        <f>E452</f>
        <v>0.95004775247956075</v>
      </c>
      <c r="K452" s="68">
        <f>E452</f>
        <v>0.95004775247956075</v>
      </c>
      <c r="L452" s="68">
        <f>E452</f>
        <v>0.95004775247956075</v>
      </c>
      <c r="M452" s="68">
        <f>E452</f>
        <v>0.95004775247956075</v>
      </c>
      <c r="N452" s="68">
        <f>E452</f>
        <v>0.95004775247956075</v>
      </c>
      <c r="O452" s="68">
        <f>E452</f>
        <v>0.95004775247956075</v>
      </c>
      <c r="P452" s="68">
        <f>E452</f>
        <v>0.95004775247956075</v>
      </c>
      <c r="Q452" s="68">
        <f>E452</f>
        <v>0.95004775247956075</v>
      </c>
    </row>
    <row r="453" spans="1:133" ht="31.2" x14ac:dyDescent="0.25">
      <c r="A453" s="35" t="s">
        <v>39</v>
      </c>
      <c r="B453" s="25" t="s">
        <v>196</v>
      </c>
      <c r="C453" s="35" t="s">
        <v>40</v>
      </c>
      <c r="D453" s="35" t="s">
        <v>351</v>
      </c>
      <c r="E453" s="52">
        <f>SUM(F453:Q453)</f>
        <v>159.936049524</v>
      </c>
      <c r="F453" s="52">
        <v>13.583609685599999</v>
      </c>
      <c r="G453" s="52">
        <v>12.2690668128</v>
      </c>
      <c r="H453" s="52">
        <v>13.583609685599999</v>
      </c>
      <c r="I453" s="52">
        <v>13.145428728000001</v>
      </c>
      <c r="J453" s="52">
        <v>13.583609685599999</v>
      </c>
      <c r="K453" s="52">
        <v>13.145428728000001</v>
      </c>
      <c r="L453" s="52">
        <v>13.583609685599999</v>
      </c>
      <c r="M453" s="52">
        <v>13.583609685599999</v>
      </c>
      <c r="N453" s="52">
        <v>13.145428728000001</v>
      </c>
      <c r="O453" s="52">
        <v>13.583609685599999</v>
      </c>
      <c r="P453" s="52">
        <v>13.145428728000001</v>
      </c>
      <c r="Q453" s="52">
        <v>13.583609685599999</v>
      </c>
    </row>
    <row r="454" spans="1:133" ht="31.2" x14ac:dyDescent="0.25">
      <c r="A454" s="63" t="s">
        <v>41</v>
      </c>
      <c r="B454" s="25" t="s">
        <v>24</v>
      </c>
      <c r="C454" s="35" t="s">
        <v>42</v>
      </c>
      <c r="D454" s="35" t="s">
        <v>351</v>
      </c>
      <c r="E454" s="52">
        <f>SUM(F454:Q454)</f>
        <v>3201.7788480599997</v>
      </c>
      <c r="F454" s="52">
        <v>271.93190216399995</v>
      </c>
      <c r="G454" s="52">
        <v>245.61591163200001</v>
      </c>
      <c r="H454" s="52">
        <v>271.93190216399995</v>
      </c>
      <c r="I454" s="52">
        <v>263.15990532000001</v>
      </c>
      <c r="J454" s="52">
        <v>271.93190216399995</v>
      </c>
      <c r="K454" s="52">
        <v>263.15990532000001</v>
      </c>
      <c r="L454" s="52">
        <v>271.93190216399995</v>
      </c>
      <c r="M454" s="52">
        <v>271.93190216399995</v>
      </c>
      <c r="N454" s="52">
        <v>263.15990532000001</v>
      </c>
      <c r="O454" s="52">
        <v>271.93190216399995</v>
      </c>
      <c r="P454" s="52">
        <v>263.15990532000001</v>
      </c>
      <c r="Q454" s="52">
        <v>271.93190216399995</v>
      </c>
    </row>
    <row r="455" spans="1:133" ht="31.2" x14ac:dyDescent="0.25">
      <c r="A455" s="53" t="s">
        <v>43</v>
      </c>
      <c r="B455" s="25" t="s">
        <v>201</v>
      </c>
      <c r="C455" s="53" t="s">
        <v>44</v>
      </c>
      <c r="D455" s="35" t="s">
        <v>372</v>
      </c>
      <c r="E455" s="191">
        <f>E456*E457*0.89</f>
        <v>0.5814688720350587</v>
      </c>
      <c r="F455" s="191"/>
      <c r="G455" s="191"/>
      <c r="H455" s="191"/>
      <c r="I455" s="191"/>
      <c r="J455" s="191"/>
      <c r="K455" s="191"/>
      <c r="L455" s="191"/>
      <c r="M455" s="191"/>
      <c r="N455" s="191"/>
      <c r="O455" s="191"/>
      <c r="P455" s="191"/>
      <c r="Q455" s="191"/>
    </row>
    <row r="456" spans="1:133" ht="31.2" x14ac:dyDescent="0.25">
      <c r="A456" s="70" t="s">
        <v>45</v>
      </c>
      <c r="B456" s="25" t="s">
        <v>201</v>
      </c>
      <c r="C456" s="53" t="s">
        <v>46</v>
      </c>
      <c r="D456" s="35" t="s">
        <v>373</v>
      </c>
      <c r="E456" s="162">
        <v>0.7</v>
      </c>
      <c r="F456" s="163"/>
      <c r="G456" s="163"/>
      <c r="H456" s="163"/>
      <c r="I456" s="163"/>
      <c r="J456" s="163"/>
      <c r="K456" s="163"/>
      <c r="L456" s="163"/>
      <c r="M456" s="163"/>
      <c r="N456" s="163"/>
      <c r="O456" s="163"/>
      <c r="P456" s="163"/>
      <c r="Q456" s="164"/>
    </row>
    <row r="457" spans="1:133" ht="36" customHeight="1" x14ac:dyDescent="0.25">
      <c r="A457" s="70" t="s">
        <v>47</v>
      </c>
      <c r="B457" s="25" t="s">
        <v>37</v>
      </c>
      <c r="C457" s="53" t="s">
        <v>48</v>
      </c>
      <c r="D457" s="35" t="s">
        <v>374</v>
      </c>
      <c r="E457" s="159">
        <f>(F458*F463+G458*G463+H458*H463+I458*I463+J458*J463+K458*K463+L458*L463+M458*M463+N458*N463+O458*O463+P458*P463+Q458*Q463)/(F452*F447*F450+G452*G450*G447+H452*H447*H450+I452*I450*I447+J452*J450*J447+K452*K450*K447+L452*L450*L447+M452*M450*M447+N452*N450*N447+O452*O447*O450+P452*P450*P447+Q452*Q450*Q447)</f>
        <v>0.93333687325049552</v>
      </c>
      <c r="F457" s="160"/>
      <c r="G457" s="160"/>
      <c r="H457" s="160"/>
      <c r="I457" s="160"/>
      <c r="J457" s="160"/>
      <c r="K457" s="160"/>
      <c r="L457" s="160"/>
      <c r="M457" s="160"/>
      <c r="N457" s="160"/>
      <c r="O457" s="160"/>
      <c r="P457" s="160"/>
      <c r="Q457" s="161"/>
    </row>
    <row r="458" spans="1:133" s="9" customFormat="1" ht="46.8" x14ac:dyDescent="0.4">
      <c r="A458" s="71" t="s">
        <v>49</v>
      </c>
      <c r="B458" s="25" t="s">
        <v>37</v>
      </c>
      <c r="C458" s="53" t="s">
        <v>50</v>
      </c>
      <c r="D458" s="53" t="s">
        <v>375</v>
      </c>
      <c r="E458" s="72">
        <f>AVERAGE(F458:Q458)</f>
        <v>0.64479238509433301</v>
      </c>
      <c r="F458" s="72">
        <f>IF(F462&lt;283,0,IF(F462&gt;303,1,EXP(($E$459*(F462-$E$460))/($E$461*$E$460*F462))))</f>
        <v>0.24547412919519337</v>
      </c>
      <c r="G458" s="72">
        <f t="shared" ref="G458:Q458" si="61">IF(G462&lt;283,0,IF(G462&gt;303,1,EXP(($E$459*(G462-$E$460))/($E$461*$E$460*G462))))</f>
        <v>0.38698063689870399</v>
      </c>
      <c r="H458" s="72">
        <f t="shared" si="61"/>
        <v>0.50475941545474445</v>
      </c>
      <c r="I458" s="72">
        <f t="shared" si="61"/>
        <v>0.60078639810878987</v>
      </c>
      <c r="J458" s="72">
        <f t="shared" si="61"/>
        <v>0.91923925774048054</v>
      </c>
      <c r="K458" s="72">
        <f t="shared" si="61"/>
        <v>0.95843738031531212</v>
      </c>
      <c r="L458" s="72">
        <f t="shared" si="61"/>
        <v>1</v>
      </c>
      <c r="M458" s="72">
        <f t="shared" si="61"/>
        <v>0.95843738031531212</v>
      </c>
      <c r="N458" s="72">
        <f t="shared" si="61"/>
        <v>0.91923925774048054</v>
      </c>
      <c r="O458" s="72">
        <f t="shared" si="61"/>
        <v>0.57531644493802248</v>
      </c>
      <c r="P458" s="72">
        <f t="shared" si="61"/>
        <v>0.38698063689870399</v>
      </c>
      <c r="Q458" s="72">
        <f t="shared" si="61"/>
        <v>0.28185768352625201</v>
      </c>
      <c r="R458" s="78"/>
      <c r="S458" s="78"/>
      <c r="T458" s="78"/>
      <c r="U458" s="78"/>
      <c r="V458" s="78"/>
      <c r="W458" s="78"/>
      <c r="X458" s="78"/>
      <c r="Y458" s="78"/>
      <c r="Z458" s="78"/>
      <c r="AA458" s="78"/>
      <c r="AB458" s="78"/>
      <c r="AC458" s="78"/>
      <c r="AD458" s="78"/>
      <c r="AE458" s="78"/>
      <c r="AF458" s="78"/>
      <c r="AG458" s="78"/>
      <c r="AH458" s="78"/>
      <c r="AI458" s="78"/>
      <c r="AJ458" s="78"/>
      <c r="AK458" s="78"/>
      <c r="AL458" s="78"/>
      <c r="AM458" s="78"/>
      <c r="AN458" s="78"/>
      <c r="AO458" s="78"/>
      <c r="AP458" s="78"/>
      <c r="AQ458" s="78"/>
      <c r="AR458" s="78"/>
      <c r="AS458" s="78"/>
      <c r="AT458" s="78"/>
      <c r="AU458" s="78"/>
      <c r="AV458" s="78"/>
      <c r="AW458" s="78"/>
      <c r="AX458" s="78"/>
      <c r="AY458" s="78"/>
      <c r="AZ458" s="78"/>
      <c r="BA458" s="78"/>
      <c r="BB458" s="78"/>
      <c r="BC458" s="78"/>
      <c r="BD458" s="78"/>
      <c r="BE458" s="78"/>
      <c r="BF458" s="78"/>
      <c r="BG458" s="78"/>
      <c r="BH458" s="78"/>
      <c r="BI458" s="78"/>
      <c r="BJ458" s="78"/>
      <c r="BK458" s="78"/>
      <c r="BL458" s="78"/>
      <c r="BM458" s="78"/>
      <c r="BN458" s="78"/>
      <c r="BO458" s="78"/>
      <c r="BP458" s="78"/>
      <c r="BQ458" s="78"/>
      <c r="BR458" s="78"/>
      <c r="BS458" s="78"/>
      <c r="BT458" s="78"/>
      <c r="BU458" s="78"/>
      <c r="BV458" s="78"/>
      <c r="BW458" s="78"/>
      <c r="BX458" s="78"/>
      <c r="BY458" s="78"/>
      <c r="BZ458" s="78"/>
      <c r="CA458" s="78"/>
      <c r="CB458" s="78"/>
      <c r="CC458" s="78"/>
      <c r="CD458" s="78"/>
      <c r="CE458" s="78"/>
      <c r="CF458" s="78"/>
      <c r="CG458" s="78"/>
      <c r="CH458" s="78"/>
      <c r="CI458" s="78"/>
      <c r="CJ458" s="78"/>
      <c r="CK458" s="78"/>
      <c r="CL458" s="78"/>
      <c r="CM458" s="78"/>
      <c r="CN458" s="78"/>
      <c r="CO458" s="78"/>
      <c r="CP458" s="78"/>
      <c r="CQ458" s="78"/>
      <c r="CR458" s="78"/>
      <c r="CS458" s="78"/>
      <c r="CT458" s="78"/>
      <c r="CU458" s="78"/>
      <c r="CV458" s="78"/>
      <c r="CW458" s="78"/>
      <c r="CX458" s="78"/>
      <c r="CY458" s="78"/>
      <c r="CZ458" s="78"/>
      <c r="DA458" s="78"/>
      <c r="DB458" s="78"/>
      <c r="DC458" s="78"/>
      <c r="DD458" s="78"/>
      <c r="DE458" s="78"/>
      <c r="DF458" s="78"/>
      <c r="DG458" s="78"/>
      <c r="DH458" s="78"/>
      <c r="DI458" s="78"/>
      <c r="DJ458" s="78"/>
      <c r="DK458" s="78"/>
      <c r="DL458" s="78"/>
      <c r="DM458" s="78"/>
      <c r="DN458" s="78"/>
      <c r="DO458" s="78"/>
      <c r="DP458" s="78"/>
      <c r="DQ458" s="78"/>
      <c r="DR458" s="78"/>
      <c r="DS458" s="78"/>
      <c r="DT458" s="78"/>
      <c r="DU458" s="78"/>
      <c r="DV458" s="78"/>
      <c r="DW458" s="78"/>
      <c r="DX458" s="78"/>
      <c r="DY458" s="78"/>
      <c r="DZ458" s="78"/>
      <c r="EA458" s="78"/>
      <c r="EB458" s="78"/>
      <c r="EC458" s="78"/>
    </row>
    <row r="459" spans="1:133" s="9" customFormat="1" x14ac:dyDescent="0.25">
      <c r="A459" s="73" t="s">
        <v>51</v>
      </c>
      <c r="B459" s="60" t="s">
        <v>202</v>
      </c>
      <c r="C459" s="53" t="s">
        <v>53</v>
      </c>
      <c r="D459" s="53" t="s">
        <v>376</v>
      </c>
      <c r="E459" s="162">
        <v>15175</v>
      </c>
      <c r="F459" s="163"/>
      <c r="G459" s="163"/>
      <c r="H459" s="163"/>
      <c r="I459" s="163"/>
      <c r="J459" s="163"/>
      <c r="K459" s="163"/>
      <c r="L459" s="163"/>
      <c r="M459" s="163"/>
      <c r="N459" s="163"/>
      <c r="O459" s="163"/>
      <c r="P459" s="163"/>
      <c r="Q459" s="164"/>
      <c r="R459" s="78"/>
      <c r="S459" s="78"/>
      <c r="T459" s="78"/>
      <c r="U459" s="78"/>
      <c r="V459" s="78"/>
      <c r="W459" s="78"/>
      <c r="X459" s="78"/>
      <c r="Y459" s="78"/>
      <c r="Z459" s="78"/>
      <c r="AA459" s="78"/>
      <c r="AB459" s="78"/>
      <c r="AC459" s="78"/>
      <c r="AD459" s="78"/>
      <c r="AE459" s="78"/>
      <c r="AF459" s="78"/>
      <c r="AG459" s="78"/>
      <c r="AH459" s="78"/>
      <c r="AI459" s="78"/>
      <c r="AJ459" s="78"/>
      <c r="AK459" s="78"/>
      <c r="AL459" s="78"/>
      <c r="AM459" s="78"/>
      <c r="AN459" s="78"/>
      <c r="AO459" s="78"/>
      <c r="AP459" s="78"/>
      <c r="AQ459" s="78"/>
      <c r="AR459" s="78"/>
      <c r="AS459" s="78"/>
      <c r="AT459" s="78"/>
      <c r="AU459" s="78"/>
      <c r="AV459" s="78"/>
      <c r="AW459" s="78"/>
      <c r="AX459" s="78"/>
      <c r="AY459" s="78"/>
      <c r="AZ459" s="78"/>
      <c r="BA459" s="78"/>
      <c r="BB459" s="78"/>
      <c r="BC459" s="78"/>
      <c r="BD459" s="78"/>
      <c r="BE459" s="78"/>
      <c r="BF459" s="78"/>
      <c r="BG459" s="78"/>
      <c r="BH459" s="78"/>
      <c r="BI459" s="78"/>
      <c r="BJ459" s="78"/>
      <c r="BK459" s="78"/>
      <c r="BL459" s="78"/>
      <c r="BM459" s="78"/>
      <c r="BN459" s="78"/>
      <c r="BO459" s="78"/>
      <c r="BP459" s="78"/>
      <c r="BQ459" s="78"/>
      <c r="BR459" s="78"/>
      <c r="BS459" s="78"/>
      <c r="BT459" s="78"/>
      <c r="BU459" s="78"/>
      <c r="BV459" s="78"/>
      <c r="BW459" s="78"/>
      <c r="BX459" s="78"/>
      <c r="BY459" s="78"/>
      <c r="BZ459" s="78"/>
      <c r="CA459" s="78"/>
      <c r="CB459" s="78"/>
      <c r="CC459" s="78"/>
      <c r="CD459" s="78"/>
      <c r="CE459" s="78"/>
      <c r="CF459" s="78"/>
      <c r="CG459" s="78"/>
      <c r="CH459" s="78"/>
      <c r="CI459" s="78"/>
      <c r="CJ459" s="78"/>
      <c r="CK459" s="78"/>
      <c r="CL459" s="78"/>
      <c r="CM459" s="78"/>
      <c r="CN459" s="78"/>
      <c r="CO459" s="78"/>
      <c r="CP459" s="78"/>
      <c r="CQ459" s="78"/>
      <c r="CR459" s="78"/>
      <c r="CS459" s="78"/>
      <c r="CT459" s="78"/>
      <c r="CU459" s="78"/>
      <c r="CV459" s="78"/>
      <c r="CW459" s="78"/>
      <c r="CX459" s="78"/>
      <c r="CY459" s="78"/>
      <c r="CZ459" s="78"/>
      <c r="DA459" s="78"/>
      <c r="DB459" s="78"/>
      <c r="DC459" s="78"/>
      <c r="DD459" s="78"/>
      <c r="DE459" s="78"/>
      <c r="DF459" s="78"/>
      <c r="DG459" s="78"/>
      <c r="DH459" s="78"/>
      <c r="DI459" s="78"/>
      <c r="DJ459" s="78"/>
      <c r="DK459" s="78"/>
      <c r="DL459" s="78"/>
      <c r="DM459" s="78"/>
      <c r="DN459" s="78"/>
      <c r="DO459" s="78"/>
      <c r="DP459" s="78"/>
      <c r="DQ459" s="78"/>
      <c r="DR459" s="78"/>
      <c r="DS459" s="78"/>
      <c r="DT459" s="78"/>
      <c r="DU459" s="78"/>
      <c r="DV459" s="78"/>
      <c r="DW459" s="78"/>
      <c r="DX459" s="78"/>
      <c r="DY459" s="78"/>
      <c r="DZ459" s="78"/>
      <c r="EA459" s="78"/>
      <c r="EB459" s="78"/>
      <c r="EC459" s="78"/>
    </row>
    <row r="460" spans="1:133" s="9" customFormat="1" ht="18" x14ac:dyDescent="0.25">
      <c r="A460" s="73" t="s">
        <v>54</v>
      </c>
      <c r="B460" s="60" t="s">
        <v>203</v>
      </c>
      <c r="C460" s="53" t="s">
        <v>56</v>
      </c>
      <c r="D460" s="53" t="s">
        <v>376</v>
      </c>
      <c r="E460" s="162">
        <v>303.16000000000003</v>
      </c>
      <c r="F460" s="163"/>
      <c r="G460" s="163"/>
      <c r="H460" s="163"/>
      <c r="I460" s="163"/>
      <c r="J460" s="163"/>
      <c r="K460" s="163"/>
      <c r="L460" s="163"/>
      <c r="M460" s="163"/>
      <c r="N460" s="163"/>
      <c r="O460" s="163"/>
      <c r="P460" s="163"/>
      <c r="Q460" s="164"/>
      <c r="R460" s="78"/>
      <c r="S460" s="78"/>
      <c r="T460" s="78"/>
      <c r="U460" s="78"/>
      <c r="V460" s="78"/>
      <c r="W460" s="78"/>
      <c r="X460" s="78"/>
      <c r="Y460" s="78"/>
      <c r="Z460" s="78"/>
      <c r="AA460" s="78"/>
      <c r="AB460" s="78"/>
      <c r="AC460" s="78"/>
      <c r="AD460" s="78"/>
      <c r="AE460" s="78"/>
      <c r="AF460" s="78"/>
      <c r="AG460" s="78"/>
      <c r="AH460" s="78"/>
      <c r="AI460" s="78"/>
      <c r="AJ460" s="78"/>
      <c r="AK460" s="78"/>
      <c r="AL460" s="78"/>
      <c r="AM460" s="78"/>
      <c r="AN460" s="78"/>
      <c r="AO460" s="78"/>
      <c r="AP460" s="78"/>
      <c r="AQ460" s="78"/>
      <c r="AR460" s="78"/>
      <c r="AS460" s="78"/>
      <c r="AT460" s="78"/>
      <c r="AU460" s="78"/>
      <c r="AV460" s="78"/>
      <c r="AW460" s="78"/>
      <c r="AX460" s="78"/>
      <c r="AY460" s="78"/>
      <c r="AZ460" s="78"/>
      <c r="BA460" s="78"/>
      <c r="BB460" s="78"/>
      <c r="BC460" s="78"/>
      <c r="BD460" s="78"/>
      <c r="BE460" s="78"/>
      <c r="BF460" s="78"/>
      <c r="BG460" s="78"/>
      <c r="BH460" s="78"/>
      <c r="BI460" s="78"/>
      <c r="BJ460" s="78"/>
      <c r="BK460" s="78"/>
      <c r="BL460" s="78"/>
      <c r="BM460" s="78"/>
      <c r="BN460" s="78"/>
      <c r="BO460" s="78"/>
      <c r="BP460" s="78"/>
      <c r="BQ460" s="78"/>
      <c r="BR460" s="78"/>
      <c r="BS460" s="78"/>
      <c r="BT460" s="78"/>
      <c r="BU460" s="78"/>
      <c r="BV460" s="78"/>
      <c r="BW460" s="78"/>
      <c r="BX460" s="78"/>
      <c r="BY460" s="78"/>
      <c r="BZ460" s="78"/>
      <c r="CA460" s="78"/>
      <c r="CB460" s="78"/>
      <c r="CC460" s="78"/>
      <c r="CD460" s="78"/>
      <c r="CE460" s="78"/>
      <c r="CF460" s="78"/>
      <c r="CG460" s="78"/>
      <c r="CH460" s="78"/>
      <c r="CI460" s="78"/>
      <c r="CJ460" s="78"/>
      <c r="CK460" s="78"/>
      <c r="CL460" s="78"/>
      <c r="CM460" s="78"/>
      <c r="CN460" s="78"/>
      <c r="CO460" s="78"/>
      <c r="CP460" s="78"/>
      <c r="CQ460" s="78"/>
      <c r="CR460" s="78"/>
      <c r="CS460" s="78"/>
      <c r="CT460" s="78"/>
      <c r="CU460" s="78"/>
      <c r="CV460" s="78"/>
      <c r="CW460" s="78"/>
      <c r="CX460" s="78"/>
      <c r="CY460" s="78"/>
      <c r="CZ460" s="78"/>
      <c r="DA460" s="78"/>
      <c r="DB460" s="78"/>
      <c r="DC460" s="78"/>
      <c r="DD460" s="78"/>
      <c r="DE460" s="78"/>
      <c r="DF460" s="78"/>
      <c r="DG460" s="78"/>
      <c r="DH460" s="78"/>
      <c r="DI460" s="78"/>
      <c r="DJ460" s="78"/>
      <c r="DK460" s="78"/>
      <c r="DL460" s="78"/>
      <c r="DM460" s="78"/>
      <c r="DN460" s="78"/>
      <c r="DO460" s="78"/>
      <c r="DP460" s="78"/>
      <c r="DQ460" s="78"/>
      <c r="DR460" s="78"/>
      <c r="DS460" s="78"/>
      <c r="DT460" s="78"/>
      <c r="DU460" s="78"/>
      <c r="DV460" s="78"/>
      <c r="DW460" s="78"/>
      <c r="DX460" s="78"/>
      <c r="DY460" s="78"/>
      <c r="DZ460" s="78"/>
      <c r="EA460" s="78"/>
      <c r="EB460" s="78"/>
      <c r="EC460" s="78"/>
    </row>
    <row r="461" spans="1:133" s="9" customFormat="1" x14ac:dyDescent="0.25">
      <c r="A461" s="73" t="s">
        <v>57</v>
      </c>
      <c r="B461" s="60" t="s">
        <v>204</v>
      </c>
      <c r="C461" s="53" t="s">
        <v>59</v>
      </c>
      <c r="D461" s="53" t="s">
        <v>376</v>
      </c>
      <c r="E461" s="162">
        <v>1.9870000000000001</v>
      </c>
      <c r="F461" s="163"/>
      <c r="G461" s="163"/>
      <c r="H461" s="163"/>
      <c r="I461" s="163"/>
      <c r="J461" s="163"/>
      <c r="K461" s="163"/>
      <c r="L461" s="163"/>
      <c r="M461" s="163"/>
      <c r="N461" s="163"/>
      <c r="O461" s="163"/>
      <c r="P461" s="163"/>
      <c r="Q461" s="164"/>
      <c r="R461" s="78"/>
      <c r="S461" s="78"/>
      <c r="T461" s="78"/>
      <c r="U461" s="78"/>
      <c r="V461" s="78"/>
      <c r="W461" s="78"/>
      <c r="X461" s="78"/>
      <c r="Y461" s="78"/>
      <c r="Z461" s="78"/>
      <c r="AA461" s="78"/>
      <c r="AB461" s="78"/>
      <c r="AC461" s="78"/>
      <c r="AD461" s="78"/>
      <c r="AE461" s="78"/>
      <c r="AF461" s="78"/>
      <c r="AG461" s="78"/>
      <c r="AH461" s="78"/>
      <c r="AI461" s="78"/>
      <c r="AJ461" s="78"/>
      <c r="AK461" s="78"/>
      <c r="AL461" s="78"/>
      <c r="AM461" s="78"/>
      <c r="AN461" s="78"/>
      <c r="AO461" s="78"/>
      <c r="AP461" s="78"/>
      <c r="AQ461" s="78"/>
      <c r="AR461" s="78"/>
      <c r="AS461" s="78"/>
      <c r="AT461" s="78"/>
      <c r="AU461" s="78"/>
      <c r="AV461" s="78"/>
      <c r="AW461" s="78"/>
      <c r="AX461" s="78"/>
      <c r="AY461" s="78"/>
      <c r="AZ461" s="78"/>
      <c r="BA461" s="78"/>
      <c r="BB461" s="78"/>
      <c r="BC461" s="78"/>
      <c r="BD461" s="78"/>
      <c r="BE461" s="78"/>
      <c r="BF461" s="78"/>
      <c r="BG461" s="78"/>
      <c r="BH461" s="78"/>
      <c r="BI461" s="78"/>
      <c r="BJ461" s="78"/>
      <c r="BK461" s="78"/>
      <c r="BL461" s="78"/>
      <c r="BM461" s="78"/>
      <c r="BN461" s="78"/>
      <c r="BO461" s="78"/>
      <c r="BP461" s="78"/>
      <c r="BQ461" s="78"/>
      <c r="BR461" s="78"/>
      <c r="BS461" s="78"/>
      <c r="BT461" s="78"/>
      <c r="BU461" s="78"/>
      <c r="BV461" s="78"/>
      <c r="BW461" s="78"/>
      <c r="BX461" s="78"/>
      <c r="BY461" s="78"/>
      <c r="BZ461" s="78"/>
      <c r="CA461" s="78"/>
      <c r="CB461" s="78"/>
      <c r="CC461" s="78"/>
      <c r="CD461" s="78"/>
      <c r="CE461" s="78"/>
      <c r="CF461" s="78"/>
      <c r="CG461" s="78"/>
      <c r="CH461" s="78"/>
      <c r="CI461" s="78"/>
      <c r="CJ461" s="78"/>
      <c r="CK461" s="78"/>
      <c r="CL461" s="78"/>
      <c r="CM461" s="78"/>
      <c r="CN461" s="78"/>
      <c r="CO461" s="78"/>
      <c r="CP461" s="78"/>
      <c r="CQ461" s="78"/>
      <c r="CR461" s="78"/>
      <c r="CS461" s="78"/>
      <c r="CT461" s="78"/>
      <c r="CU461" s="78"/>
      <c r="CV461" s="78"/>
      <c r="CW461" s="78"/>
      <c r="CX461" s="78"/>
      <c r="CY461" s="78"/>
      <c r="CZ461" s="78"/>
      <c r="DA461" s="78"/>
      <c r="DB461" s="78"/>
      <c r="DC461" s="78"/>
      <c r="DD461" s="78"/>
      <c r="DE461" s="78"/>
      <c r="DF461" s="78"/>
      <c r="DG461" s="78"/>
      <c r="DH461" s="78"/>
      <c r="DI461" s="78"/>
      <c r="DJ461" s="78"/>
      <c r="DK461" s="78"/>
      <c r="DL461" s="78"/>
      <c r="DM461" s="78"/>
      <c r="DN461" s="78"/>
      <c r="DO461" s="78"/>
      <c r="DP461" s="78"/>
      <c r="DQ461" s="78"/>
      <c r="DR461" s="78"/>
      <c r="DS461" s="78"/>
      <c r="DT461" s="78"/>
      <c r="DU461" s="78"/>
      <c r="DV461" s="78"/>
      <c r="DW461" s="78"/>
      <c r="DX461" s="78"/>
      <c r="DY461" s="78"/>
      <c r="DZ461" s="78"/>
      <c r="EA461" s="78"/>
      <c r="EB461" s="78"/>
      <c r="EC461" s="78"/>
    </row>
    <row r="462" spans="1:133" s="9" customFormat="1" ht="31.2" x14ac:dyDescent="0.25">
      <c r="A462" s="73" t="s">
        <v>60</v>
      </c>
      <c r="B462" s="60" t="s">
        <v>203</v>
      </c>
      <c r="C462" s="53" t="s">
        <v>61</v>
      </c>
      <c r="D462" s="143" t="s">
        <v>363</v>
      </c>
      <c r="E462" s="98">
        <f>AVERAGE(F462:Q462)</f>
        <v>296.81666666666672</v>
      </c>
      <c r="F462" s="60">
        <v>287.14999999999998</v>
      </c>
      <c r="G462" s="60">
        <v>292.14999999999998</v>
      </c>
      <c r="H462" s="60">
        <v>295.14999999999998</v>
      </c>
      <c r="I462" s="60">
        <v>297.14999999999998</v>
      </c>
      <c r="J462" s="60">
        <v>302.14999999999998</v>
      </c>
      <c r="K462" s="60">
        <v>302.64999999999998</v>
      </c>
      <c r="L462" s="60">
        <v>303.14999999999998</v>
      </c>
      <c r="M462" s="60">
        <v>302.64999999999998</v>
      </c>
      <c r="N462" s="60">
        <v>302.14999999999998</v>
      </c>
      <c r="O462" s="60">
        <v>296.64999999999998</v>
      </c>
      <c r="P462" s="60">
        <v>292.14999999999998</v>
      </c>
      <c r="Q462" s="60">
        <v>288.64999999999998</v>
      </c>
      <c r="R462" s="78"/>
      <c r="S462" s="78"/>
      <c r="T462" s="78"/>
      <c r="U462" s="78"/>
      <c r="V462" s="78"/>
      <c r="W462" s="78"/>
      <c r="X462" s="78"/>
      <c r="Y462" s="78"/>
      <c r="Z462" s="78"/>
      <c r="AA462" s="78"/>
      <c r="AB462" s="78"/>
      <c r="AC462" s="78"/>
      <c r="AD462" s="78"/>
      <c r="AE462" s="78"/>
      <c r="AF462" s="78"/>
      <c r="AG462" s="78"/>
      <c r="AH462" s="78"/>
      <c r="AI462" s="78"/>
      <c r="AJ462" s="78"/>
      <c r="AK462" s="78"/>
      <c r="AL462" s="78"/>
      <c r="AM462" s="78"/>
      <c r="AN462" s="78"/>
      <c r="AO462" s="78"/>
      <c r="AP462" s="78"/>
      <c r="AQ462" s="78"/>
      <c r="AR462" s="78"/>
      <c r="AS462" s="78"/>
      <c r="AT462" s="78"/>
      <c r="AU462" s="78"/>
      <c r="AV462" s="78"/>
      <c r="AW462" s="78"/>
      <c r="AX462" s="78"/>
      <c r="AY462" s="78"/>
      <c r="AZ462" s="78"/>
      <c r="BA462" s="78"/>
      <c r="BB462" s="78"/>
      <c r="BC462" s="78"/>
      <c r="BD462" s="78"/>
      <c r="BE462" s="78"/>
      <c r="BF462" s="78"/>
      <c r="BG462" s="78"/>
      <c r="BH462" s="78"/>
      <c r="BI462" s="78"/>
      <c r="BJ462" s="78"/>
      <c r="BK462" s="78"/>
      <c r="BL462" s="78"/>
      <c r="BM462" s="78"/>
      <c r="BN462" s="78"/>
      <c r="BO462" s="78"/>
      <c r="BP462" s="78"/>
      <c r="BQ462" s="78"/>
      <c r="BR462" s="78"/>
      <c r="BS462" s="78"/>
      <c r="BT462" s="78"/>
      <c r="BU462" s="78"/>
      <c r="BV462" s="78"/>
      <c r="BW462" s="78"/>
      <c r="BX462" s="78"/>
      <c r="BY462" s="78"/>
      <c r="BZ462" s="78"/>
      <c r="CA462" s="78"/>
      <c r="CB462" s="78"/>
      <c r="CC462" s="78"/>
      <c r="CD462" s="78"/>
      <c r="CE462" s="78"/>
      <c r="CF462" s="78"/>
      <c r="CG462" s="78"/>
      <c r="CH462" s="78"/>
      <c r="CI462" s="78"/>
      <c r="CJ462" s="78"/>
      <c r="CK462" s="78"/>
      <c r="CL462" s="78"/>
      <c r="CM462" s="78"/>
      <c r="CN462" s="78"/>
      <c r="CO462" s="78"/>
      <c r="CP462" s="78"/>
      <c r="CQ462" s="78"/>
      <c r="CR462" s="78"/>
      <c r="CS462" s="78"/>
      <c r="CT462" s="78"/>
      <c r="CU462" s="78"/>
      <c r="CV462" s="78"/>
      <c r="CW462" s="78"/>
      <c r="CX462" s="78"/>
      <c r="CY462" s="78"/>
      <c r="CZ462" s="78"/>
      <c r="DA462" s="78"/>
      <c r="DB462" s="78"/>
      <c r="DC462" s="78"/>
      <c r="DD462" s="78"/>
      <c r="DE462" s="78"/>
      <c r="DF462" s="78"/>
      <c r="DG462" s="78"/>
      <c r="DH462" s="78"/>
      <c r="DI462" s="78"/>
      <c r="DJ462" s="78"/>
      <c r="DK462" s="78"/>
      <c r="DL462" s="78"/>
      <c r="DM462" s="78"/>
      <c r="DN462" s="78"/>
      <c r="DO462" s="78"/>
      <c r="DP462" s="78"/>
      <c r="DQ462" s="78"/>
      <c r="DR462" s="78"/>
      <c r="DS462" s="78"/>
      <c r="DT462" s="78"/>
      <c r="DU462" s="78"/>
      <c r="DV462" s="78"/>
      <c r="DW462" s="78"/>
      <c r="DX462" s="78"/>
      <c r="DY462" s="78"/>
      <c r="DZ462" s="78"/>
      <c r="EA462" s="78"/>
      <c r="EB462" s="78"/>
      <c r="EC462" s="78"/>
    </row>
    <row r="463" spans="1:133" s="9" customFormat="1" ht="31.2" x14ac:dyDescent="0.4">
      <c r="A463" s="71" t="s">
        <v>62</v>
      </c>
      <c r="B463" s="60" t="s">
        <v>196</v>
      </c>
      <c r="C463" s="53" t="s">
        <v>63</v>
      </c>
      <c r="D463" s="53" t="s">
        <v>377</v>
      </c>
      <c r="E463" s="74">
        <f>SUM(F463:Q463)</f>
        <v>5238.6119187694849</v>
      </c>
      <c r="F463" s="74">
        <f>F452*F447*F450+(1-F458)*'Baseline Emissions 2020'!Q463</f>
        <v>692.67289545671986</v>
      </c>
      <c r="G463" s="74">
        <f t="shared" ref="G463:Q463" si="62">G452*G447*G450+(1-G458)*F463</f>
        <v>660.72878371585762</v>
      </c>
      <c r="H463" s="74">
        <f t="shared" si="62"/>
        <v>588.25217563876595</v>
      </c>
      <c r="I463" s="74">
        <f t="shared" si="62"/>
        <v>487.50785277489865</v>
      </c>
      <c r="J463" s="74">
        <f t="shared" si="62"/>
        <v>312.35780719335236</v>
      </c>
      <c r="K463" s="74">
        <f t="shared" si="62"/>
        <v>248.59203207004865</v>
      </c>
      <c r="L463" s="74">
        <f t="shared" si="62"/>
        <v>243.62356294464166</v>
      </c>
      <c r="M463" s="74">
        <f t="shared" si="62"/>
        <v>254.0566685202308</v>
      </c>
      <c r="N463" s="74">
        <f>N452*N447*N450+(1-N458)*0</f>
        <v>264.35228693406827</v>
      </c>
      <c r="O463" s="74">
        <f t="shared" si="62"/>
        <v>385.3953115897483</v>
      </c>
      <c r="P463" s="74">
        <f t="shared" si="62"/>
        <v>488.87205531626273</v>
      </c>
      <c r="Q463" s="74">
        <f t="shared" si="62"/>
        <v>612.20048661488931</v>
      </c>
      <c r="R463" s="78"/>
      <c r="S463" s="78"/>
      <c r="T463" s="78"/>
      <c r="U463" s="78"/>
      <c r="V463" s="78"/>
      <c r="W463" s="78"/>
      <c r="X463" s="78"/>
      <c r="Y463" s="78"/>
      <c r="Z463" s="78"/>
      <c r="AA463" s="78"/>
      <c r="AB463" s="78"/>
      <c r="AC463" s="78"/>
      <c r="AD463" s="78"/>
      <c r="AE463" s="78"/>
      <c r="AF463" s="78"/>
      <c r="AG463" s="78"/>
      <c r="AH463" s="78"/>
      <c r="AI463" s="78"/>
      <c r="AJ463" s="78"/>
      <c r="AK463" s="78"/>
      <c r="AL463" s="78"/>
      <c r="AM463" s="78"/>
      <c r="AN463" s="78"/>
      <c r="AO463" s="78"/>
      <c r="AP463" s="78"/>
      <c r="AQ463" s="78"/>
      <c r="AR463" s="78"/>
      <c r="AS463" s="78"/>
      <c r="AT463" s="78"/>
      <c r="AU463" s="78"/>
      <c r="AV463" s="78"/>
      <c r="AW463" s="78"/>
      <c r="AX463" s="78"/>
      <c r="AY463" s="78"/>
      <c r="AZ463" s="78"/>
      <c r="BA463" s="78"/>
      <c r="BB463" s="78"/>
      <c r="BC463" s="78"/>
      <c r="BD463" s="78"/>
      <c r="BE463" s="78"/>
      <c r="BF463" s="78"/>
      <c r="BG463" s="78"/>
      <c r="BH463" s="78"/>
      <c r="BI463" s="78"/>
      <c r="BJ463" s="78"/>
      <c r="BK463" s="78"/>
      <c r="BL463" s="78"/>
      <c r="BM463" s="78"/>
      <c r="BN463" s="78"/>
      <c r="BO463" s="78"/>
      <c r="BP463" s="78"/>
      <c r="BQ463" s="78"/>
      <c r="BR463" s="78"/>
      <c r="BS463" s="78"/>
      <c r="BT463" s="78"/>
      <c r="BU463" s="78"/>
      <c r="BV463" s="78"/>
      <c r="BW463" s="78"/>
      <c r="BX463" s="78"/>
      <c r="BY463" s="78"/>
      <c r="BZ463" s="78"/>
      <c r="CA463" s="78"/>
      <c r="CB463" s="78"/>
      <c r="CC463" s="78"/>
      <c r="CD463" s="78"/>
      <c r="CE463" s="78"/>
      <c r="CF463" s="78"/>
      <c r="CG463" s="78"/>
      <c r="CH463" s="78"/>
      <c r="CI463" s="78"/>
      <c r="CJ463" s="78"/>
      <c r="CK463" s="78"/>
      <c r="CL463" s="78"/>
      <c r="CM463" s="78"/>
      <c r="CN463" s="78"/>
      <c r="CO463" s="78"/>
      <c r="CP463" s="78"/>
      <c r="CQ463" s="78"/>
      <c r="CR463" s="78"/>
      <c r="CS463" s="78"/>
      <c r="CT463" s="78"/>
      <c r="CU463" s="78"/>
      <c r="CV463" s="78"/>
      <c r="CW463" s="78"/>
      <c r="CX463" s="78"/>
      <c r="CY463" s="78"/>
      <c r="CZ463" s="78"/>
      <c r="DA463" s="78"/>
      <c r="DB463" s="78"/>
      <c r="DC463" s="78"/>
      <c r="DD463" s="78"/>
      <c r="DE463" s="78"/>
      <c r="DF463" s="78"/>
      <c r="DG463" s="78"/>
      <c r="DH463" s="78"/>
      <c r="DI463" s="78"/>
      <c r="DJ463" s="78"/>
      <c r="DK463" s="78"/>
      <c r="DL463" s="78"/>
      <c r="DM463" s="78"/>
      <c r="DN463" s="78"/>
      <c r="DO463" s="78"/>
      <c r="DP463" s="78"/>
      <c r="DQ463" s="78"/>
      <c r="DR463" s="78"/>
      <c r="DS463" s="78"/>
      <c r="DT463" s="78"/>
      <c r="DU463" s="78"/>
      <c r="DV463" s="78"/>
      <c r="DW463" s="78"/>
      <c r="DX463" s="78"/>
      <c r="DY463" s="78"/>
      <c r="DZ463" s="78"/>
      <c r="EA463" s="78"/>
      <c r="EB463" s="78"/>
      <c r="EC463" s="78"/>
    </row>
    <row r="465" spans="1:133" s="13" customFormat="1" x14ac:dyDescent="0.25">
      <c r="A465" s="158" t="s">
        <v>64</v>
      </c>
      <c r="B465" s="158"/>
      <c r="C465" s="158"/>
      <c r="D465" s="158"/>
      <c r="E465" s="158"/>
      <c r="R465" s="14"/>
      <c r="S465" s="14"/>
      <c r="T465" s="14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4"/>
      <c r="AF465" s="14"/>
      <c r="AG465" s="14"/>
      <c r="AH465" s="14"/>
      <c r="AI465" s="14"/>
      <c r="AJ465" s="14"/>
      <c r="AK465" s="14"/>
      <c r="AL465" s="14"/>
      <c r="AM465" s="14"/>
      <c r="AN465" s="14"/>
      <c r="AO465" s="14"/>
      <c r="AP465" s="14"/>
      <c r="AQ465" s="14"/>
      <c r="AR465" s="14"/>
      <c r="AS465" s="14"/>
      <c r="AT465" s="14"/>
      <c r="AU465" s="14"/>
      <c r="AV465" s="14"/>
      <c r="AW465" s="14"/>
      <c r="AX465" s="14"/>
      <c r="AY465" s="14"/>
      <c r="AZ465" s="14"/>
      <c r="BA465" s="14"/>
      <c r="BB465" s="14"/>
      <c r="BC465" s="14"/>
      <c r="BD465" s="14"/>
      <c r="BE465" s="14"/>
      <c r="BF465" s="14"/>
      <c r="BG465" s="14"/>
      <c r="BH465" s="14"/>
      <c r="BI465" s="14"/>
      <c r="BJ465" s="14"/>
      <c r="BK465" s="14"/>
      <c r="BL465" s="14"/>
      <c r="BM465" s="14"/>
      <c r="BN465" s="14"/>
      <c r="BO465" s="14"/>
      <c r="BP465" s="14"/>
      <c r="BQ465" s="14"/>
      <c r="BR465" s="14"/>
      <c r="BS465" s="14"/>
      <c r="BT465" s="14"/>
      <c r="BU465" s="14"/>
      <c r="BV465" s="14"/>
      <c r="BW465" s="14"/>
      <c r="BX465" s="14"/>
      <c r="BY465" s="14"/>
      <c r="BZ465" s="14"/>
      <c r="CA465" s="14"/>
      <c r="CB465" s="14"/>
      <c r="CC465" s="14"/>
      <c r="CD465" s="14"/>
      <c r="CE465" s="14"/>
      <c r="CF465" s="14"/>
      <c r="CG465" s="14"/>
      <c r="CH465" s="14"/>
      <c r="CI465" s="14"/>
      <c r="CJ465" s="14"/>
      <c r="CK465" s="14"/>
      <c r="CL465" s="14"/>
      <c r="CM465" s="14"/>
      <c r="CN465" s="14"/>
      <c r="CO465" s="14"/>
      <c r="CP465" s="14"/>
      <c r="CQ465" s="14"/>
      <c r="CR465" s="14"/>
      <c r="CS465" s="14"/>
      <c r="CT465" s="14"/>
      <c r="CU465" s="14"/>
      <c r="CV465" s="14"/>
      <c r="CW465" s="14"/>
      <c r="CX465" s="14"/>
      <c r="CY465" s="14"/>
      <c r="CZ465" s="14"/>
      <c r="DA465" s="14"/>
      <c r="DB465" s="14"/>
      <c r="DC465" s="14"/>
      <c r="DD465" s="14"/>
      <c r="DE465" s="14"/>
      <c r="DF465" s="14"/>
      <c r="DG465" s="14"/>
      <c r="DH465" s="14"/>
      <c r="DI465" s="14"/>
      <c r="DJ465" s="14"/>
      <c r="DK465" s="14"/>
      <c r="DL465" s="14"/>
      <c r="DM465" s="14"/>
      <c r="DN465" s="14"/>
      <c r="DO465" s="14"/>
      <c r="DP465" s="14"/>
      <c r="DQ465" s="14"/>
      <c r="DR465" s="14"/>
      <c r="DS465" s="14"/>
      <c r="DT465" s="14"/>
      <c r="DU465" s="14"/>
      <c r="DV465" s="14"/>
      <c r="DW465" s="14"/>
      <c r="DX465" s="14"/>
      <c r="DY465" s="14"/>
      <c r="DZ465" s="14"/>
      <c r="EA465" s="14"/>
      <c r="EB465" s="14"/>
      <c r="EC465" s="14"/>
    </row>
    <row r="466" spans="1:133" s="13" customFormat="1" x14ac:dyDescent="0.25">
      <c r="A466" s="57" t="s">
        <v>8</v>
      </c>
      <c r="B466" s="58" t="s">
        <v>9</v>
      </c>
      <c r="C466" s="34" t="s">
        <v>10</v>
      </c>
      <c r="D466" s="34" t="s">
        <v>340</v>
      </c>
      <c r="E466" s="16" t="s">
        <v>65</v>
      </c>
      <c r="R466" s="14"/>
      <c r="S466" s="14"/>
      <c r="T466" s="14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F466" s="14"/>
      <c r="AG466" s="14"/>
      <c r="AH466" s="14"/>
      <c r="AI466" s="14"/>
      <c r="AJ466" s="14"/>
      <c r="AK466" s="14"/>
      <c r="AL466" s="14"/>
      <c r="AM466" s="14"/>
      <c r="AN466" s="14"/>
      <c r="AO466" s="14"/>
      <c r="AP466" s="14"/>
      <c r="AQ466" s="14"/>
      <c r="AR466" s="14"/>
      <c r="AS466" s="14"/>
      <c r="AT466" s="14"/>
      <c r="AU466" s="14"/>
      <c r="AV466" s="14"/>
      <c r="AW466" s="14"/>
      <c r="AX466" s="14"/>
      <c r="AY466" s="14"/>
      <c r="AZ466" s="14"/>
      <c r="BA466" s="14"/>
      <c r="BB466" s="14"/>
      <c r="BC466" s="14"/>
      <c r="BD466" s="14"/>
      <c r="BE466" s="14"/>
      <c r="BF466" s="14"/>
      <c r="BG466" s="14"/>
      <c r="BH466" s="14"/>
      <c r="BI466" s="14"/>
      <c r="BJ466" s="14"/>
      <c r="BK466" s="14"/>
      <c r="BL466" s="14"/>
      <c r="BM466" s="14"/>
      <c r="BN466" s="14"/>
      <c r="BO466" s="14"/>
      <c r="BP466" s="14"/>
      <c r="BQ466" s="14"/>
      <c r="BR466" s="14"/>
      <c r="BS466" s="14"/>
      <c r="BT466" s="14"/>
      <c r="BU466" s="14"/>
      <c r="BV466" s="14"/>
      <c r="BW466" s="14"/>
      <c r="BX466" s="14"/>
      <c r="BY466" s="14"/>
      <c r="BZ466" s="14"/>
      <c r="CA466" s="14"/>
      <c r="CB466" s="14"/>
      <c r="CC466" s="14"/>
      <c r="CD466" s="14"/>
      <c r="CE466" s="14"/>
      <c r="CF466" s="14"/>
      <c r="CG466" s="14"/>
      <c r="CH466" s="14"/>
      <c r="CI466" s="14"/>
      <c r="CJ466" s="14"/>
      <c r="CK466" s="14"/>
      <c r="CL466" s="14"/>
      <c r="CM466" s="14"/>
      <c r="CN466" s="14"/>
      <c r="CO466" s="14"/>
      <c r="CP466" s="14"/>
      <c r="CQ466" s="14"/>
      <c r="CR466" s="14"/>
      <c r="CS466" s="14"/>
      <c r="CT466" s="14"/>
      <c r="CU466" s="14"/>
      <c r="CV466" s="14"/>
      <c r="CW466" s="14"/>
      <c r="CX466" s="14"/>
      <c r="CY466" s="14"/>
      <c r="CZ466" s="14"/>
      <c r="DA466" s="14"/>
      <c r="DB466" s="14"/>
      <c r="DC466" s="14"/>
      <c r="DD466" s="14"/>
      <c r="DE466" s="14"/>
      <c r="DF466" s="14"/>
      <c r="DG466" s="14"/>
      <c r="DH466" s="14"/>
      <c r="DI466" s="14"/>
      <c r="DJ466" s="14"/>
      <c r="DK466" s="14"/>
      <c r="DL466" s="14"/>
      <c r="DM466" s="14"/>
      <c r="DN466" s="14"/>
      <c r="DO466" s="14"/>
      <c r="DP466" s="14"/>
      <c r="DQ466" s="14"/>
      <c r="DR466" s="14"/>
      <c r="DS466" s="14"/>
      <c r="DT466" s="14"/>
      <c r="DU466" s="14"/>
      <c r="DV466" s="14"/>
      <c r="DW466" s="14"/>
      <c r="DX466" s="14"/>
      <c r="DY466" s="14"/>
      <c r="DZ466" s="14"/>
      <c r="EA466" s="14"/>
      <c r="EB466" s="14"/>
      <c r="EC466" s="14"/>
    </row>
    <row r="467" spans="1:133" s="13" customFormat="1" ht="46.8" x14ac:dyDescent="0.25">
      <c r="A467" s="59" t="s">
        <v>66</v>
      </c>
      <c r="B467" s="60" t="s">
        <v>14</v>
      </c>
      <c r="C467" s="53" t="s">
        <v>67</v>
      </c>
      <c r="D467" s="53" t="s">
        <v>68</v>
      </c>
      <c r="E467" s="75">
        <v>0</v>
      </c>
      <c r="R467" s="14"/>
      <c r="S467" s="14"/>
      <c r="T467" s="14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F467" s="14"/>
      <c r="AG467" s="14"/>
      <c r="AH467" s="14"/>
      <c r="AI467" s="14"/>
      <c r="AJ467" s="14"/>
      <c r="AK467" s="14"/>
      <c r="AL467" s="14"/>
      <c r="AM467" s="14"/>
      <c r="AN467" s="14"/>
      <c r="AO467" s="14"/>
      <c r="AP467" s="14"/>
      <c r="AQ467" s="14"/>
      <c r="AR467" s="14"/>
      <c r="AS467" s="14"/>
      <c r="AT467" s="14"/>
      <c r="AU467" s="14"/>
      <c r="AV467" s="14"/>
      <c r="AW467" s="14"/>
      <c r="AX467" s="14"/>
      <c r="AY467" s="14"/>
      <c r="AZ467" s="14"/>
      <c r="BA467" s="14"/>
      <c r="BB467" s="14"/>
      <c r="BC467" s="14"/>
      <c r="BD467" s="14"/>
      <c r="BE467" s="14"/>
      <c r="BF467" s="14"/>
      <c r="BG467" s="14"/>
      <c r="BH467" s="14"/>
      <c r="BI467" s="14"/>
      <c r="BJ467" s="14"/>
      <c r="BK467" s="14"/>
      <c r="BL467" s="14"/>
      <c r="BM467" s="14"/>
      <c r="BN467" s="14"/>
      <c r="BO467" s="14"/>
      <c r="BP467" s="14"/>
      <c r="BQ467" s="14"/>
      <c r="BR467" s="14"/>
      <c r="BS467" s="14"/>
      <c r="BT467" s="14"/>
      <c r="BU467" s="14"/>
      <c r="BV467" s="14"/>
      <c r="BW467" s="14"/>
      <c r="BX467" s="14"/>
      <c r="BY467" s="14"/>
      <c r="BZ467" s="14"/>
      <c r="CA467" s="14"/>
      <c r="CB467" s="14"/>
      <c r="CC467" s="14"/>
      <c r="CD467" s="14"/>
      <c r="CE467" s="14"/>
      <c r="CF467" s="14"/>
      <c r="CG467" s="14"/>
      <c r="CH467" s="14"/>
      <c r="CI467" s="14"/>
      <c r="CJ467" s="14"/>
      <c r="CK467" s="14"/>
      <c r="CL467" s="14"/>
      <c r="CM467" s="14"/>
      <c r="CN467" s="14"/>
      <c r="CO467" s="14"/>
      <c r="CP467" s="14"/>
      <c r="CQ467" s="14"/>
      <c r="CR467" s="14"/>
      <c r="CS467" s="14"/>
      <c r="CT467" s="14"/>
      <c r="CU467" s="14"/>
      <c r="CV467" s="14"/>
      <c r="CW467" s="14"/>
      <c r="CX467" s="14"/>
      <c r="CY467" s="14"/>
      <c r="CZ467" s="14"/>
      <c r="DA467" s="14"/>
      <c r="DB467" s="14"/>
      <c r="DC467" s="14"/>
      <c r="DD467" s="14"/>
      <c r="DE467" s="14"/>
      <c r="DF467" s="14"/>
      <c r="DG467" s="14"/>
      <c r="DH467" s="14"/>
      <c r="DI467" s="14"/>
      <c r="DJ467" s="14"/>
      <c r="DK467" s="14"/>
      <c r="DL467" s="14"/>
      <c r="DM467" s="14"/>
      <c r="DN467" s="14"/>
      <c r="DO467" s="14"/>
      <c r="DP467" s="14"/>
      <c r="DQ467" s="14"/>
      <c r="DR467" s="14"/>
      <c r="DS467" s="14"/>
      <c r="DT467" s="14"/>
      <c r="DU467" s="14"/>
      <c r="DV467" s="14"/>
      <c r="DW467" s="14"/>
      <c r="DX467" s="14"/>
      <c r="DY467" s="14"/>
      <c r="DZ467" s="14"/>
      <c r="EA467" s="14"/>
      <c r="EB467" s="14"/>
      <c r="EC467" s="14"/>
    </row>
    <row r="468" spans="1:133" s="13" customFormat="1" ht="46.8" x14ac:dyDescent="0.25">
      <c r="A468" s="63" t="s">
        <v>69</v>
      </c>
      <c r="B468" s="25" t="s">
        <v>70</v>
      </c>
      <c r="C468" s="35" t="s">
        <v>71</v>
      </c>
      <c r="D468" s="53" t="str">
        <f>D474</f>
        <v>Historical data on site in the FSR (It was calculated with conservative value)</v>
      </c>
      <c r="E468" s="74">
        <f>E474</f>
        <v>1311.8332982268137</v>
      </c>
      <c r="R468" s="14"/>
      <c r="S468" s="14"/>
      <c r="T468" s="14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F468" s="14"/>
      <c r="AG468" s="14"/>
      <c r="AH468" s="14"/>
      <c r="AI468" s="14"/>
      <c r="AJ468" s="14"/>
      <c r="AK468" s="14"/>
      <c r="AL468" s="14"/>
      <c r="AM468" s="14"/>
      <c r="AN468" s="14"/>
      <c r="AO468" s="14"/>
      <c r="AP468" s="14"/>
      <c r="AQ468" s="14"/>
      <c r="AR468" s="14"/>
      <c r="AS468" s="14"/>
      <c r="AT468" s="14"/>
      <c r="AU468" s="14"/>
      <c r="AV468" s="14"/>
      <c r="AW468" s="14"/>
      <c r="AX468" s="14"/>
      <c r="AY468" s="14"/>
      <c r="AZ468" s="14"/>
      <c r="BA468" s="14"/>
      <c r="BB468" s="14"/>
      <c r="BC468" s="14"/>
      <c r="BD468" s="14"/>
      <c r="BE468" s="14"/>
      <c r="BF468" s="14"/>
      <c r="BG468" s="14"/>
      <c r="BH468" s="14"/>
      <c r="BI468" s="14"/>
      <c r="BJ468" s="14"/>
      <c r="BK468" s="14"/>
      <c r="BL468" s="14"/>
      <c r="BM468" s="14"/>
      <c r="BN468" s="14"/>
      <c r="BO468" s="14"/>
      <c r="BP468" s="14"/>
      <c r="BQ468" s="14"/>
      <c r="BR468" s="14"/>
      <c r="BS468" s="14"/>
      <c r="BT468" s="14"/>
      <c r="BU468" s="14"/>
      <c r="BV468" s="14"/>
      <c r="BW468" s="14"/>
      <c r="BX468" s="14"/>
      <c r="BY468" s="14"/>
      <c r="BZ468" s="14"/>
      <c r="CA468" s="14"/>
      <c r="CB468" s="14"/>
      <c r="CC468" s="14"/>
      <c r="CD468" s="14"/>
      <c r="CE468" s="14"/>
      <c r="CF468" s="14"/>
      <c r="CG468" s="14"/>
      <c r="CH468" s="14"/>
      <c r="CI468" s="14"/>
      <c r="CJ468" s="14"/>
      <c r="CK468" s="14"/>
      <c r="CL468" s="14"/>
      <c r="CM468" s="14"/>
      <c r="CN468" s="14"/>
      <c r="CO468" s="14"/>
      <c r="CP468" s="14"/>
      <c r="CQ468" s="14"/>
      <c r="CR468" s="14"/>
      <c r="CS468" s="14"/>
      <c r="CT468" s="14"/>
      <c r="CU468" s="14"/>
      <c r="CV468" s="14"/>
      <c r="CW468" s="14"/>
      <c r="CX468" s="14"/>
      <c r="CY468" s="14"/>
      <c r="CZ468" s="14"/>
      <c r="DA468" s="14"/>
      <c r="DB468" s="14"/>
      <c r="DC468" s="14"/>
      <c r="DD468" s="14"/>
      <c r="DE468" s="14"/>
      <c r="DF468" s="14"/>
      <c r="DG468" s="14"/>
      <c r="DH468" s="14"/>
      <c r="DI468" s="14"/>
      <c r="DJ468" s="14"/>
      <c r="DK468" s="14"/>
      <c r="DL468" s="14"/>
      <c r="DM468" s="14"/>
      <c r="DN468" s="14"/>
      <c r="DO468" s="14"/>
      <c r="DP468" s="14"/>
      <c r="DQ468" s="14"/>
      <c r="DR468" s="14"/>
      <c r="DS468" s="14"/>
      <c r="DT468" s="14"/>
      <c r="DU468" s="14"/>
      <c r="DV468" s="14"/>
      <c r="DW468" s="14"/>
      <c r="DX468" s="14"/>
      <c r="DY468" s="14"/>
      <c r="DZ468" s="14"/>
      <c r="EA468" s="14"/>
      <c r="EB468" s="14"/>
      <c r="EC468" s="14"/>
    </row>
    <row r="469" spans="1:133" s="13" customFormat="1" x14ac:dyDescent="0.25">
      <c r="A469" s="14"/>
      <c r="C469" s="12"/>
      <c r="D469" s="12"/>
      <c r="R469" s="14"/>
      <c r="S469" s="14"/>
      <c r="T469" s="14"/>
      <c r="U469" s="14"/>
      <c r="V469" s="14"/>
      <c r="W469" s="14"/>
      <c r="X469" s="14"/>
      <c r="Y469" s="14"/>
      <c r="Z469" s="14"/>
      <c r="AA469" s="14"/>
      <c r="AB469" s="14"/>
      <c r="AC469" s="14"/>
      <c r="AD469" s="14"/>
      <c r="AE469" s="14"/>
      <c r="AF469" s="14"/>
      <c r="AG469" s="14"/>
      <c r="AH469" s="14"/>
      <c r="AI469" s="14"/>
      <c r="AJ469" s="14"/>
      <c r="AK469" s="14"/>
      <c r="AL469" s="14"/>
      <c r="AM469" s="14"/>
      <c r="AN469" s="14"/>
      <c r="AO469" s="14"/>
      <c r="AP469" s="14"/>
      <c r="AQ469" s="14"/>
      <c r="AR469" s="14"/>
      <c r="AS469" s="14"/>
      <c r="AT469" s="14"/>
      <c r="AU469" s="14"/>
      <c r="AV469" s="14"/>
      <c r="AW469" s="14"/>
      <c r="AX469" s="14"/>
      <c r="AY469" s="14"/>
      <c r="AZ469" s="14"/>
      <c r="BA469" s="14"/>
      <c r="BB469" s="14"/>
      <c r="BC469" s="14"/>
      <c r="BD469" s="14"/>
      <c r="BE469" s="14"/>
      <c r="BF469" s="14"/>
      <c r="BG469" s="14"/>
      <c r="BH469" s="14"/>
      <c r="BI469" s="14"/>
      <c r="BJ469" s="14"/>
      <c r="BK469" s="14"/>
      <c r="BL469" s="14"/>
      <c r="BM469" s="14"/>
      <c r="BN469" s="14"/>
      <c r="BO469" s="14"/>
      <c r="BP469" s="14"/>
      <c r="BQ469" s="14"/>
      <c r="BR469" s="14"/>
      <c r="BS469" s="14"/>
      <c r="BT469" s="14"/>
      <c r="BU469" s="14"/>
      <c r="BV469" s="14"/>
      <c r="BW469" s="14"/>
      <c r="BX469" s="14"/>
      <c r="BY469" s="14"/>
      <c r="BZ469" s="14"/>
      <c r="CA469" s="14"/>
      <c r="CB469" s="14"/>
      <c r="CC469" s="14"/>
      <c r="CD469" s="14"/>
      <c r="CE469" s="14"/>
      <c r="CF469" s="14"/>
      <c r="CG469" s="14"/>
      <c r="CH469" s="14"/>
      <c r="CI469" s="14"/>
      <c r="CJ469" s="14"/>
      <c r="CK469" s="14"/>
      <c r="CL469" s="14"/>
      <c r="CM469" s="14"/>
      <c r="CN469" s="14"/>
      <c r="CO469" s="14"/>
      <c r="CP469" s="14"/>
      <c r="CQ469" s="14"/>
      <c r="CR469" s="14"/>
      <c r="CS469" s="14"/>
      <c r="CT469" s="14"/>
      <c r="CU469" s="14"/>
      <c r="CV469" s="14"/>
      <c r="CW469" s="14"/>
      <c r="CX469" s="14"/>
      <c r="CY469" s="14"/>
      <c r="CZ469" s="14"/>
      <c r="DA469" s="14"/>
      <c r="DB469" s="14"/>
      <c r="DC469" s="14"/>
      <c r="DD469" s="14"/>
      <c r="DE469" s="14"/>
      <c r="DF469" s="14"/>
      <c r="DG469" s="14"/>
      <c r="DH469" s="14"/>
      <c r="DI469" s="14"/>
      <c r="DJ469" s="14"/>
      <c r="DK469" s="14"/>
      <c r="DL469" s="14"/>
      <c r="DM469" s="14"/>
      <c r="DN469" s="14"/>
      <c r="DO469" s="14"/>
      <c r="DP469" s="14"/>
      <c r="DQ469" s="14"/>
      <c r="DR469" s="14"/>
      <c r="DS469" s="14"/>
      <c r="DT469" s="14"/>
      <c r="DU469" s="14"/>
      <c r="DV469" s="14"/>
      <c r="DW469" s="14"/>
      <c r="DX469" s="14"/>
      <c r="DY469" s="14"/>
      <c r="DZ469" s="14"/>
      <c r="EA469" s="14"/>
      <c r="EB469" s="14"/>
      <c r="EC469" s="14"/>
    </row>
    <row r="470" spans="1:133" s="13" customFormat="1" x14ac:dyDescent="0.25">
      <c r="A470" s="174" t="s">
        <v>72</v>
      </c>
      <c r="B470" s="174"/>
      <c r="C470" s="175"/>
      <c r="D470" s="175"/>
      <c r="E470" s="174"/>
      <c r="R470" s="14"/>
      <c r="S470" s="14"/>
      <c r="T470" s="14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  <c r="AE470" s="14"/>
      <c r="AF470" s="14"/>
      <c r="AG470" s="14"/>
      <c r="AH470" s="14"/>
      <c r="AI470" s="14"/>
      <c r="AJ470" s="14"/>
      <c r="AK470" s="14"/>
      <c r="AL470" s="14"/>
      <c r="AM470" s="14"/>
      <c r="AN470" s="14"/>
      <c r="AO470" s="14"/>
      <c r="AP470" s="14"/>
      <c r="AQ470" s="14"/>
      <c r="AR470" s="14"/>
      <c r="AS470" s="14"/>
      <c r="AT470" s="14"/>
      <c r="AU470" s="14"/>
      <c r="AV470" s="14"/>
      <c r="AW470" s="14"/>
      <c r="AX470" s="14"/>
      <c r="AY470" s="14"/>
      <c r="AZ470" s="14"/>
      <c r="BA470" s="14"/>
      <c r="BB470" s="14"/>
      <c r="BC470" s="14"/>
      <c r="BD470" s="14"/>
      <c r="BE470" s="14"/>
      <c r="BF470" s="14"/>
      <c r="BG470" s="14"/>
      <c r="BH470" s="14"/>
      <c r="BI470" s="14"/>
      <c r="BJ470" s="14"/>
      <c r="BK470" s="14"/>
      <c r="BL470" s="14"/>
      <c r="BM470" s="14"/>
      <c r="BN470" s="14"/>
      <c r="BO470" s="14"/>
      <c r="BP470" s="14"/>
      <c r="BQ470" s="14"/>
      <c r="BR470" s="14"/>
      <c r="BS470" s="14"/>
      <c r="BT470" s="14"/>
      <c r="BU470" s="14"/>
      <c r="BV470" s="14"/>
      <c r="BW470" s="14"/>
      <c r="BX470" s="14"/>
      <c r="BY470" s="14"/>
      <c r="BZ470" s="14"/>
      <c r="CA470" s="14"/>
      <c r="CB470" s="14"/>
      <c r="CC470" s="14"/>
      <c r="CD470" s="14"/>
      <c r="CE470" s="14"/>
      <c r="CF470" s="14"/>
      <c r="CG470" s="14"/>
      <c r="CH470" s="14"/>
      <c r="CI470" s="14"/>
      <c r="CJ470" s="14"/>
      <c r="CK470" s="14"/>
      <c r="CL470" s="14"/>
      <c r="CM470" s="14"/>
      <c r="CN470" s="14"/>
      <c r="CO470" s="14"/>
      <c r="CP470" s="14"/>
      <c r="CQ470" s="14"/>
      <c r="CR470" s="14"/>
      <c r="CS470" s="14"/>
      <c r="CT470" s="14"/>
      <c r="CU470" s="14"/>
      <c r="CV470" s="14"/>
      <c r="CW470" s="14"/>
      <c r="CX470" s="14"/>
      <c r="CY470" s="14"/>
      <c r="CZ470" s="14"/>
      <c r="DA470" s="14"/>
      <c r="DB470" s="14"/>
      <c r="DC470" s="14"/>
      <c r="DD470" s="14"/>
      <c r="DE470" s="14"/>
      <c r="DF470" s="14"/>
      <c r="DG470" s="14"/>
      <c r="DH470" s="14"/>
      <c r="DI470" s="14"/>
      <c r="DJ470" s="14"/>
      <c r="DK470" s="14"/>
      <c r="DL470" s="14"/>
      <c r="DM470" s="14"/>
      <c r="DN470" s="14"/>
      <c r="DO470" s="14"/>
      <c r="DP470" s="14"/>
      <c r="DQ470" s="14"/>
      <c r="DR470" s="14"/>
      <c r="DS470" s="14"/>
      <c r="DT470" s="14"/>
      <c r="DU470" s="14"/>
      <c r="DV470" s="14"/>
      <c r="DW470" s="14"/>
      <c r="DX470" s="14"/>
      <c r="DY470" s="14"/>
      <c r="DZ470" s="14"/>
      <c r="EA470" s="14"/>
      <c r="EB470" s="14"/>
      <c r="EC470" s="14"/>
    </row>
    <row r="471" spans="1:133" s="13" customFormat="1" x14ac:dyDescent="0.25">
      <c r="A471" s="59" t="s">
        <v>8</v>
      </c>
      <c r="B471" s="16" t="s">
        <v>9</v>
      </c>
      <c r="C471" s="38" t="s">
        <v>10</v>
      </c>
      <c r="D471" s="38" t="s">
        <v>340</v>
      </c>
      <c r="E471" s="16" t="s">
        <v>65</v>
      </c>
      <c r="R471" s="14"/>
      <c r="S471" s="14"/>
      <c r="T471" s="14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  <c r="AE471" s="14"/>
      <c r="AF471" s="14"/>
      <c r="AG471" s="14"/>
      <c r="AH471" s="14"/>
      <c r="AI471" s="14"/>
      <c r="AJ471" s="14"/>
      <c r="AK471" s="14"/>
      <c r="AL471" s="14"/>
      <c r="AM471" s="14"/>
      <c r="AN471" s="14"/>
      <c r="AO471" s="14"/>
      <c r="AP471" s="14"/>
      <c r="AQ471" s="14"/>
      <c r="AR471" s="14"/>
      <c r="AS471" s="14"/>
      <c r="AT471" s="14"/>
      <c r="AU471" s="14"/>
      <c r="AV471" s="14"/>
      <c r="AW471" s="14"/>
      <c r="AX471" s="14"/>
      <c r="AY471" s="14"/>
      <c r="AZ471" s="14"/>
      <c r="BA471" s="14"/>
      <c r="BB471" s="14"/>
      <c r="BC471" s="14"/>
      <c r="BD471" s="14"/>
      <c r="BE471" s="14"/>
      <c r="BF471" s="14"/>
      <c r="BG471" s="14"/>
      <c r="BH471" s="14"/>
      <c r="BI471" s="14"/>
      <c r="BJ471" s="14"/>
      <c r="BK471" s="14"/>
      <c r="BL471" s="14"/>
      <c r="BM471" s="14"/>
      <c r="BN471" s="14"/>
      <c r="BO471" s="14"/>
      <c r="BP471" s="14"/>
      <c r="BQ471" s="14"/>
      <c r="BR471" s="14"/>
      <c r="BS471" s="14"/>
      <c r="BT471" s="14"/>
      <c r="BU471" s="14"/>
      <c r="BV471" s="14"/>
      <c r="BW471" s="14"/>
      <c r="BX471" s="14"/>
      <c r="BY471" s="14"/>
      <c r="BZ471" s="14"/>
      <c r="CA471" s="14"/>
      <c r="CB471" s="14"/>
      <c r="CC471" s="14"/>
      <c r="CD471" s="14"/>
      <c r="CE471" s="14"/>
      <c r="CF471" s="14"/>
      <c r="CG471" s="14"/>
      <c r="CH471" s="14"/>
      <c r="CI471" s="14"/>
      <c r="CJ471" s="14"/>
      <c r="CK471" s="14"/>
      <c r="CL471" s="14"/>
      <c r="CM471" s="14"/>
      <c r="CN471" s="14"/>
      <c r="CO471" s="14"/>
      <c r="CP471" s="14"/>
      <c r="CQ471" s="14"/>
      <c r="CR471" s="14"/>
      <c r="CS471" s="14"/>
      <c r="CT471" s="14"/>
      <c r="CU471" s="14"/>
      <c r="CV471" s="14"/>
      <c r="CW471" s="14"/>
      <c r="CX471" s="14"/>
      <c r="CY471" s="14"/>
      <c r="CZ471" s="14"/>
      <c r="DA471" s="14"/>
      <c r="DB471" s="14"/>
      <c r="DC471" s="14"/>
      <c r="DD471" s="14"/>
      <c r="DE471" s="14"/>
      <c r="DF471" s="14"/>
      <c r="DG471" s="14"/>
      <c r="DH471" s="14"/>
      <c r="DI471" s="14"/>
      <c r="DJ471" s="14"/>
      <c r="DK471" s="14"/>
      <c r="DL471" s="14"/>
      <c r="DM471" s="14"/>
      <c r="DN471" s="14"/>
      <c r="DO471" s="14"/>
      <c r="DP471" s="14"/>
      <c r="DQ471" s="14"/>
      <c r="DR471" s="14"/>
      <c r="DS471" s="14"/>
      <c r="DT471" s="14"/>
      <c r="DU471" s="14"/>
      <c r="DV471" s="14"/>
      <c r="DW471" s="14"/>
      <c r="DX471" s="14"/>
      <c r="DY471" s="14"/>
      <c r="DZ471" s="14"/>
      <c r="EA471" s="14"/>
      <c r="EB471" s="14"/>
      <c r="EC471" s="14"/>
    </row>
    <row r="472" spans="1:133" s="13" customFormat="1" ht="33.6" x14ac:dyDescent="0.4">
      <c r="A472" s="76" t="s">
        <v>73</v>
      </c>
      <c r="B472" s="25" t="s">
        <v>74</v>
      </c>
      <c r="C472" s="35" t="s">
        <v>75</v>
      </c>
      <c r="D472" s="35" t="s">
        <v>378</v>
      </c>
      <c r="E472" s="50">
        <f>E473*E476*E477*E478*E479*E480</f>
        <v>5.3283139416016807</v>
      </c>
      <c r="R472" s="14"/>
      <c r="S472" s="14"/>
      <c r="T472" s="14"/>
      <c r="U472" s="14"/>
      <c r="V472" s="14"/>
      <c r="W472" s="14"/>
      <c r="X472" s="14"/>
      <c r="Y472" s="14"/>
      <c r="Z472" s="14"/>
      <c r="AA472" s="14"/>
      <c r="AB472" s="14"/>
      <c r="AC472" s="14"/>
      <c r="AD472" s="14"/>
      <c r="AE472" s="14"/>
      <c r="AF472" s="14"/>
      <c r="AG472" s="14"/>
      <c r="AH472" s="14"/>
      <c r="AI472" s="14"/>
      <c r="AJ472" s="14"/>
      <c r="AK472" s="14"/>
      <c r="AL472" s="14"/>
      <c r="AM472" s="14"/>
      <c r="AN472" s="14"/>
      <c r="AO472" s="14"/>
      <c r="AP472" s="14"/>
      <c r="AQ472" s="14"/>
      <c r="AR472" s="14"/>
      <c r="AS472" s="14"/>
      <c r="AT472" s="14"/>
      <c r="AU472" s="14"/>
      <c r="AV472" s="14"/>
      <c r="AW472" s="14"/>
      <c r="AX472" s="14"/>
      <c r="AY472" s="14"/>
      <c r="AZ472" s="14"/>
      <c r="BA472" s="14"/>
      <c r="BB472" s="14"/>
      <c r="BC472" s="14"/>
      <c r="BD472" s="14"/>
      <c r="BE472" s="14"/>
      <c r="BF472" s="14"/>
      <c r="BG472" s="14"/>
      <c r="BH472" s="14"/>
      <c r="BI472" s="14"/>
      <c r="BJ472" s="14"/>
      <c r="BK472" s="14"/>
      <c r="BL472" s="14"/>
      <c r="BM472" s="14"/>
      <c r="BN472" s="14"/>
      <c r="BO472" s="14"/>
      <c r="BP472" s="14"/>
      <c r="BQ472" s="14"/>
      <c r="BR472" s="14"/>
      <c r="BS472" s="14"/>
      <c r="BT472" s="14"/>
      <c r="BU472" s="14"/>
      <c r="BV472" s="14"/>
      <c r="BW472" s="14"/>
      <c r="BX472" s="14"/>
      <c r="BY472" s="14"/>
      <c r="BZ472" s="14"/>
      <c r="CA472" s="14"/>
      <c r="CB472" s="14"/>
      <c r="CC472" s="14"/>
      <c r="CD472" s="14"/>
      <c r="CE472" s="14"/>
      <c r="CF472" s="14"/>
      <c r="CG472" s="14"/>
      <c r="CH472" s="14"/>
      <c r="CI472" s="14"/>
      <c r="CJ472" s="14"/>
      <c r="CK472" s="14"/>
      <c r="CL472" s="14"/>
      <c r="CM472" s="14"/>
      <c r="CN472" s="14"/>
      <c r="CO472" s="14"/>
      <c r="CP472" s="14"/>
      <c r="CQ472" s="14"/>
      <c r="CR472" s="14"/>
      <c r="CS472" s="14"/>
      <c r="CT472" s="14"/>
      <c r="CU472" s="14"/>
      <c r="CV472" s="14"/>
      <c r="CW472" s="14"/>
      <c r="CX472" s="14"/>
      <c r="CY472" s="14"/>
      <c r="CZ472" s="14"/>
      <c r="DA472" s="14"/>
      <c r="DB472" s="14"/>
      <c r="DC472" s="14"/>
      <c r="DD472" s="14"/>
      <c r="DE472" s="14"/>
      <c r="DF472" s="14"/>
      <c r="DG472" s="14"/>
      <c r="DH472" s="14"/>
      <c r="DI472" s="14"/>
      <c r="DJ472" s="14"/>
      <c r="DK472" s="14"/>
      <c r="DL472" s="14"/>
      <c r="DM472" s="14"/>
      <c r="DN472" s="14"/>
      <c r="DO472" s="14"/>
      <c r="DP472" s="14"/>
      <c r="DQ472" s="14"/>
      <c r="DR472" s="14"/>
      <c r="DS472" s="14"/>
      <c r="DT472" s="14"/>
      <c r="DU472" s="14"/>
      <c r="DV472" s="14"/>
      <c r="DW472" s="14"/>
      <c r="DX472" s="14"/>
      <c r="DY472" s="14"/>
      <c r="DZ472" s="14"/>
      <c r="EA472" s="14"/>
      <c r="EB472" s="14"/>
      <c r="EC472" s="14"/>
    </row>
    <row r="473" spans="1:133" s="13" customFormat="1" ht="46.8" x14ac:dyDescent="0.4">
      <c r="A473" s="77" t="s">
        <v>207</v>
      </c>
      <c r="B473" s="25" t="s">
        <v>76</v>
      </c>
      <c r="C473" s="35" t="s">
        <v>77</v>
      </c>
      <c r="D473" s="35" t="s">
        <v>379</v>
      </c>
      <c r="E473" s="52">
        <f>E474/E475</f>
        <v>262.36665964536274</v>
      </c>
      <c r="R473" s="14"/>
      <c r="S473" s="14"/>
      <c r="T473" s="14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F473" s="14"/>
      <c r="AG473" s="14"/>
      <c r="AH473" s="14"/>
      <c r="AI473" s="14"/>
      <c r="AJ473" s="14"/>
      <c r="AK473" s="14"/>
      <c r="AL473" s="14"/>
      <c r="AM473" s="14"/>
      <c r="AN473" s="14"/>
      <c r="AO473" s="14"/>
      <c r="AP473" s="14"/>
      <c r="AQ473" s="14"/>
      <c r="AR473" s="14"/>
      <c r="AS473" s="14"/>
      <c r="AT473" s="14"/>
      <c r="AU473" s="14"/>
      <c r="AV473" s="14"/>
      <c r="AW473" s="14"/>
      <c r="AX473" s="14"/>
      <c r="AY473" s="14"/>
      <c r="AZ473" s="14"/>
      <c r="BA473" s="14"/>
      <c r="BB473" s="14"/>
      <c r="BC473" s="14"/>
      <c r="BD473" s="14"/>
      <c r="BE473" s="14"/>
      <c r="BF473" s="14"/>
      <c r="BG473" s="14"/>
      <c r="BH473" s="14"/>
      <c r="BI473" s="14"/>
      <c r="BJ473" s="14"/>
      <c r="BK473" s="14"/>
      <c r="BL473" s="14"/>
      <c r="BM473" s="14"/>
      <c r="BN473" s="14"/>
      <c r="BO473" s="14"/>
      <c r="BP473" s="14"/>
      <c r="BQ473" s="14"/>
      <c r="BR473" s="14"/>
      <c r="BS473" s="14"/>
      <c r="BT473" s="14"/>
      <c r="BU473" s="14"/>
      <c r="BV473" s="14"/>
      <c r="BW473" s="14"/>
      <c r="BX473" s="14"/>
      <c r="BY473" s="14"/>
      <c r="BZ473" s="14"/>
      <c r="CA473" s="14"/>
      <c r="CB473" s="14"/>
      <c r="CC473" s="14"/>
      <c r="CD473" s="14"/>
      <c r="CE473" s="14"/>
      <c r="CF473" s="14"/>
      <c r="CG473" s="14"/>
      <c r="CH473" s="14"/>
      <c r="CI473" s="14"/>
      <c r="CJ473" s="14"/>
      <c r="CK473" s="14"/>
      <c r="CL473" s="14"/>
      <c r="CM473" s="14"/>
      <c r="CN473" s="14"/>
      <c r="CO473" s="14"/>
      <c r="CP473" s="14"/>
      <c r="CQ473" s="14"/>
      <c r="CR473" s="14"/>
      <c r="CS473" s="14"/>
      <c r="CT473" s="14"/>
      <c r="CU473" s="14"/>
      <c r="CV473" s="14"/>
      <c r="CW473" s="14"/>
      <c r="CX473" s="14"/>
      <c r="CY473" s="14"/>
      <c r="CZ473" s="14"/>
      <c r="DA473" s="14"/>
      <c r="DB473" s="14"/>
      <c r="DC473" s="14"/>
      <c r="DD473" s="14"/>
      <c r="DE473" s="14"/>
      <c r="DF473" s="14"/>
      <c r="DG473" s="14"/>
      <c r="DH473" s="14"/>
      <c r="DI473" s="14"/>
      <c r="DJ473" s="14"/>
      <c r="DK473" s="14"/>
      <c r="DL473" s="14"/>
      <c r="DM473" s="14"/>
      <c r="DN473" s="14"/>
      <c r="DO473" s="14"/>
      <c r="DP473" s="14"/>
      <c r="DQ473" s="14"/>
      <c r="DR473" s="14"/>
      <c r="DS473" s="14"/>
      <c r="DT473" s="14"/>
      <c r="DU473" s="14"/>
      <c r="DV473" s="14"/>
      <c r="DW473" s="14"/>
      <c r="DX473" s="14"/>
      <c r="DY473" s="14"/>
      <c r="DZ473" s="14"/>
      <c r="EA473" s="14"/>
      <c r="EB473" s="14"/>
      <c r="EC473" s="14"/>
    </row>
    <row r="474" spans="1:133" s="13" customFormat="1" ht="46.8" x14ac:dyDescent="0.25">
      <c r="A474" s="63" t="s">
        <v>208</v>
      </c>
      <c r="B474" s="25" t="s">
        <v>78</v>
      </c>
      <c r="C474" s="35" t="s">
        <v>79</v>
      </c>
      <c r="D474" s="53" t="s">
        <v>352</v>
      </c>
      <c r="E474" s="52">
        <f>0.000185543070152802*E447</f>
        <v>1311.8332982268137</v>
      </c>
      <c r="R474" s="14"/>
      <c r="S474" s="14"/>
      <c r="T474" s="14"/>
      <c r="U474" s="14"/>
      <c r="V474" s="14"/>
      <c r="W474" s="14"/>
      <c r="X474" s="14"/>
      <c r="Y474" s="14"/>
      <c r="Z474" s="14"/>
      <c r="AA474" s="14"/>
      <c r="AB474" s="14"/>
      <c r="AC474" s="14"/>
      <c r="AD474" s="14"/>
      <c r="AE474" s="14"/>
      <c r="AF474" s="14"/>
      <c r="AG474" s="14"/>
      <c r="AH474" s="14"/>
      <c r="AI474" s="14"/>
      <c r="AJ474" s="14"/>
      <c r="AK474" s="14"/>
      <c r="AL474" s="14"/>
      <c r="AM474" s="14"/>
      <c r="AN474" s="14"/>
      <c r="AO474" s="14"/>
      <c r="AP474" s="14"/>
      <c r="AQ474" s="14"/>
      <c r="AR474" s="14"/>
      <c r="AS474" s="14"/>
      <c r="AT474" s="14"/>
      <c r="AU474" s="14"/>
      <c r="AV474" s="14"/>
      <c r="AW474" s="14"/>
      <c r="AX474" s="14"/>
      <c r="AY474" s="14"/>
      <c r="AZ474" s="14"/>
      <c r="BA474" s="14"/>
      <c r="BB474" s="14"/>
      <c r="BC474" s="14"/>
      <c r="BD474" s="14"/>
      <c r="BE474" s="14"/>
      <c r="BF474" s="14"/>
      <c r="BG474" s="14"/>
      <c r="BH474" s="14"/>
      <c r="BI474" s="14"/>
      <c r="BJ474" s="14"/>
      <c r="BK474" s="14"/>
      <c r="BL474" s="14"/>
      <c r="BM474" s="14"/>
      <c r="BN474" s="14"/>
      <c r="BO474" s="14"/>
      <c r="BP474" s="14"/>
      <c r="BQ474" s="14"/>
      <c r="BR474" s="14"/>
      <c r="BS474" s="14"/>
      <c r="BT474" s="14"/>
      <c r="BU474" s="14"/>
      <c r="BV474" s="14"/>
      <c r="BW474" s="14"/>
      <c r="BX474" s="14"/>
      <c r="BY474" s="14"/>
      <c r="BZ474" s="14"/>
      <c r="CA474" s="14"/>
      <c r="CB474" s="14"/>
      <c r="CC474" s="14"/>
      <c r="CD474" s="14"/>
      <c r="CE474" s="14"/>
      <c r="CF474" s="14"/>
      <c r="CG474" s="14"/>
      <c r="CH474" s="14"/>
      <c r="CI474" s="14"/>
      <c r="CJ474" s="14"/>
      <c r="CK474" s="14"/>
      <c r="CL474" s="14"/>
      <c r="CM474" s="14"/>
      <c r="CN474" s="14"/>
      <c r="CO474" s="14"/>
      <c r="CP474" s="14"/>
      <c r="CQ474" s="14"/>
      <c r="CR474" s="14"/>
      <c r="CS474" s="14"/>
      <c r="CT474" s="14"/>
      <c r="CU474" s="14"/>
      <c r="CV474" s="14"/>
      <c r="CW474" s="14"/>
      <c r="CX474" s="14"/>
      <c r="CY474" s="14"/>
      <c r="CZ474" s="14"/>
      <c r="DA474" s="14"/>
      <c r="DB474" s="14"/>
      <c r="DC474" s="14"/>
      <c r="DD474" s="14"/>
      <c r="DE474" s="14"/>
      <c r="DF474" s="14"/>
      <c r="DG474" s="14"/>
      <c r="DH474" s="14"/>
      <c r="DI474" s="14"/>
      <c r="DJ474" s="14"/>
      <c r="DK474" s="14"/>
      <c r="DL474" s="14"/>
      <c r="DM474" s="14"/>
      <c r="DN474" s="14"/>
      <c r="DO474" s="14"/>
      <c r="DP474" s="14"/>
      <c r="DQ474" s="14"/>
      <c r="DR474" s="14"/>
      <c r="DS474" s="14"/>
      <c r="DT474" s="14"/>
      <c r="DU474" s="14"/>
      <c r="DV474" s="14"/>
      <c r="DW474" s="14"/>
      <c r="DX474" s="14"/>
      <c r="DY474" s="14"/>
      <c r="DZ474" s="14"/>
      <c r="EA474" s="14"/>
      <c r="EB474" s="14"/>
      <c r="EC474" s="14"/>
    </row>
    <row r="475" spans="1:133" s="13" customFormat="1" ht="31.2" x14ac:dyDescent="0.25">
      <c r="A475" s="63" t="s">
        <v>209</v>
      </c>
      <c r="B475" s="25" t="s">
        <v>80</v>
      </c>
      <c r="C475" s="35" t="s">
        <v>81</v>
      </c>
      <c r="D475" s="35" t="s">
        <v>353</v>
      </c>
      <c r="E475" s="25">
        <f>5</f>
        <v>5</v>
      </c>
      <c r="R475" s="14"/>
      <c r="S475" s="14"/>
      <c r="T475" s="14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  <c r="AF475" s="14"/>
      <c r="AG475" s="14"/>
      <c r="AH475" s="14"/>
      <c r="AI475" s="14"/>
      <c r="AJ475" s="14"/>
      <c r="AK475" s="14"/>
      <c r="AL475" s="14"/>
      <c r="AM475" s="14"/>
      <c r="AN475" s="14"/>
      <c r="AO475" s="14"/>
      <c r="AP475" s="14"/>
      <c r="AQ475" s="14"/>
      <c r="AR475" s="14"/>
      <c r="AS475" s="14"/>
      <c r="AT475" s="14"/>
      <c r="AU475" s="14"/>
      <c r="AV475" s="14"/>
      <c r="AW475" s="14"/>
      <c r="AX475" s="14"/>
      <c r="AY475" s="14"/>
      <c r="AZ475" s="14"/>
      <c r="BA475" s="14"/>
      <c r="BB475" s="14"/>
      <c r="BC475" s="14"/>
      <c r="BD475" s="14"/>
      <c r="BE475" s="14"/>
      <c r="BF475" s="14"/>
      <c r="BG475" s="14"/>
      <c r="BH475" s="14"/>
      <c r="BI475" s="14"/>
      <c r="BJ475" s="14"/>
      <c r="BK475" s="14"/>
      <c r="BL475" s="14"/>
      <c r="BM475" s="14"/>
      <c r="BN475" s="14"/>
      <c r="BO475" s="14"/>
      <c r="BP475" s="14"/>
      <c r="BQ475" s="14"/>
      <c r="BR475" s="14"/>
      <c r="BS475" s="14"/>
      <c r="BT475" s="14"/>
      <c r="BU475" s="14"/>
      <c r="BV475" s="14"/>
      <c r="BW475" s="14"/>
      <c r="BX475" s="14"/>
      <c r="BY475" s="14"/>
      <c r="BZ475" s="14"/>
      <c r="CA475" s="14"/>
      <c r="CB475" s="14"/>
      <c r="CC475" s="14"/>
      <c r="CD475" s="14"/>
      <c r="CE475" s="14"/>
      <c r="CF475" s="14"/>
      <c r="CG475" s="14"/>
      <c r="CH475" s="14"/>
      <c r="CI475" s="14"/>
      <c r="CJ475" s="14"/>
      <c r="CK475" s="14"/>
      <c r="CL475" s="14"/>
      <c r="CM475" s="14"/>
      <c r="CN475" s="14"/>
      <c r="CO475" s="14"/>
      <c r="CP475" s="14"/>
      <c r="CQ475" s="14"/>
      <c r="CR475" s="14"/>
      <c r="CS475" s="14"/>
      <c r="CT475" s="14"/>
      <c r="CU475" s="14"/>
      <c r="CV475" s="14"/>
      <c r="CW475" s="14"/>
      <c r="CX475" s="14"/>
      <c r="CY475" s="14"/>
      <c r="CZ475" s="14"/>
      <c r="DA475" s="14"/>
      <c r="DB475" s="14"/>
      <c r="DC475" s="14"/>
      <c r="DD475" s="14"/>
      <c r="DE475" s="14"/>
      <c r="DF475" s="14"/>
      <c r="DG475" s="14"/>
      <c r="DH475" s="14"/>
      <c r="DI475" s="14"/>
      <c r="DJ475" s="14"/>
      <c r="DK475" s="14"/>
      <c r="DL475" s="14"/>
      <c r="DM475" s="14"/>
      <c r="DN475" s="14"/>
      <c r="DO475" s="14"/>
      <c r="DP475" s="14"/>
      <c r="DQ475" s="14"/>
      <c r="DR475" s="14"/>
      <c r="DS475" s="14"/>
      <c r="DT475" s="14"/>
      <c r="DU475" s="14"/>
      <c r="DV475" s="14"/>
      <c r="DW475" s="14"/>
      <c r="DX475" s="14"/>
      <c r="DY475" s="14"/>
      <c r="DZ475" s="14"/>
      <c r="EA475" s="14"/>
      <c r="EB475" s="14"/>
      <c r="EC475" s="14"/>
    </row>
    <row r="476" spans="1:133" s="13" customFormat="1" ht="62.4" x14ac:dyDescent="0.25">
      <c r="A476" s="63" t="s">
        <v>210</v>
      </c>
      <c r="B476" s="25" t="s">
        <v>82</v>
      </c>
      <c r="C476" s="35" t="s">
        <v>83</v>
      </c>
      <c r="D476" s="53" t="s">
        <v>354</v>
      </c>
      <c r="E476" s="25">
        <f>15*2</f>
        <v>30</v>
      </c>
      <c r="R476" s="14"/>
      <c r="S476" s="14"/>
      <c r="T476" s="14"/>
      <c r="U476" s="14"/>
      <c r="V476" s="14"/>
      <c r="W476" s="14"/>
      <c r="X476" s="14"/>
      <c r="Y476" s="14"/>
      <c r="Z476" s="14"/>
      <c r="AA476" s="14"/>
      <c r="AB476" s="14"/>
      <c r="AC476" s="14"/>
      <c r="AD476" s="14"/>
      <c r="AE476" s="14"/>
      <c r="AF476" s="14"/>
      <c r="AG476" s="14"/>
      <c r="AH476" s="14"/>
      <c r="AI476" s="14"/>
      <c r="AJ476" s="14"/>
      <c r="AK476" s="14"/>
      <c r="AL476" s="14"/>
      <c r="AM476" s="14"/>
      <c r="AN476" s="14"/>
      <c r="AO476" s="14"/>
      <c r="AP476" s="14"/>
      <c r="AQ476" s="14"/>
      <c r="AR476" s="14"/>
      <c r="AS476" s="14"/>
      <c r="AT476" s="14"/>
      <c r="AU476" s="14"/>
      <c r="AV476" s="14"/>
      <c r="AW476" s="14"/>
      <c r="AX476" s="14"/>
      <c r="AY476" s="14"/>
      <c r="AZ476" s="14"/>
      <c r="BA476" s="14"/>
      <c r="BB476" s="14"/>
      <c r="BC476" s="14"/>
      <c r="BD476" s="14"/>
      <c r="BE476" s="14"/>
      <c r="BF476" s="14"/>
      <c r="BG476" s="14"/>
      <c r="BH476" s="14"/>
      <c r="BI476" s="14"/>
      <c r="BJ476" s="14"/>
      <c r="BK476" s="14"/>
      <c r="BL476" s="14"/>
      <c r="BM476" s="14"/>
      <c r="BN476" s="14"/>
      <c r="BO476" s="14"/>
      <c r="BP476" s="14"/>
      <c r="BQ476" s="14"/>
      <c r="BR476" s="14"/>
      <c r="BS476" s="14"/>
      <c r="BT476" s="14"/>
      <c r="BU476" s="14"/>
      <c r="BV476" s="14"/>
      <c r="BW476" s="14"/>
      <c r="BX476" s="14"/>
      <c r="BY476" s="14"/>
      <c r="BZ476" s="14"/>
      <c r="CA476" s="14"/>
      <c r="CB476" s="14"/>
      <c r="CC476" s="14"/>
      <c r="CD476" s="14"/>
      <c r="CE476" s="14"/>
      <c r="CF476" s="14"/>
      <c r="CG476" s="14"/>
      <c r="CH476" s="14"/>
      <c r="CI476" s="14"/>
      <c r="CJ476" s="14"/>
      <c r="CK476" s="14"/>
      <c r="CL476" s="14"/>
      <c r="CM476" s="14"/>
      <c r="CN476" s="14"/>
      <c r="CO476" s="14"/>
      <c r="CP476" s="14"/>
      <c r="CQ476" s="14"/>
      <c r="CR476" s="14"/>
      <c r="CS476" s="14"/>
      <c r="CT476" s="14"/>
      <c r="CU476" s="14"/>
      <c r="CV476" s="14"/>
      <c r="CW476" s="14"/>
      <c r="CX476" s="14"/>
      <c r="CY476" s="14"/>
      <c r="CZ476" s="14"/>
      <c r="DA476" s="14"/>
      <c r="DB476" s="14"/>
      <c r="DC476" s="14"/>
      <c r="DD476" s="14"/>
      <c r="DE476" s="14"/>
      <c r="DF476" s="14"/>
      <c r="DG476" s="14"/>
      <c r="DH476" s="14"/>
      <c r="DI476" s="14"/>
      <c r="DJ476" s="14"/>
      <c r="DK476" s="14"/>
      <c r="DL476" s="14"/>
      <c r="DM476" s="14"/>
      <c r="DN476" s="14"/>
      <c r="DO476" s="14"/>
      <c r="DP476" s="14"/>
      <c r="DQ476" s="14"/>
      <c r="DR476" s="14"/>
      <c r="DS476" s="14"/>
      <c r="DT476" s="14"/>
      <c r="DU476" s="14"/>
      <c r="DV476" s="14"/>
      <c r="DW476" s="14"/>
      <c r="DX476" s="14"/>
      <c r="DY476" s="14"/>
      <c r="DZ476" s="14"/>
      <c r="EA476" s="14"/>
      <c r="EB476" s="14"/>
      <c r="EC476" s="14"/>
    </row>
    <row r="477" spans="1:133" s="13" customFormat="1" ht="172.2" x14ac:dyDescent="0.25">
      <c r="A477" s="63" t="s">
        <v>211</v>
      </c>
      <c r="B477" s="25" t="s">
        <v>84</v>
      </c>
      <c r="C477" s="35" t="s">
        <v>85</v>
      </c>
      <c r="D477" s="35" t="s">
        <v>355</v>
      </c>
      <c r="E477" s="25">
        <f>25.1/100</f>
        <v>0.251</v>
      </c>
      <c r="R477" s="14"/>
      <c r="S477" s="14"/>
      <c r="T477" s="14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F477" s="14"/>
      <c r="AG477" s="14"/>
      <c r="AH477" s="14"/>
      <c r="AI477" s="14"/>
      <c r="AJ477" s="14"/>
      <c r="AK477" s="14"/>
      <c r="AL477" s="14"/>
      <c r="AM477" s="14"/>
      <c r="AN477" s="14"/>
      <c r="AO477" s="14"/>
      <c r="AP477" s="14"/>
      <c r="AQ477" s="14"/>
      <c r="AR477" s="14"/>
      <c r="AS477" s="14"/>
      <c r="AT477" s="14"/>
      <c r="AU477" s="14"/>
      <c r="AV477" s="14"/>
      <c r="AW477" s="14"/>
      <c r="AX477" s="14"/>
      <c r="AY477" s="14"/>
      <c r="AZ477" s="14"/>
      <c r="BA477" s="14"/>
      <c r="BB477" s="14"/>
      <c r="BC477" s="14"/>
      <c r="BD477" s="14"/>
      <c r="BE477" s="14"/>
      <c r="BF477" s="14"/>
      <c r="BG477" s="14"/>
      <c r="BH477" s="14"/>
      <c r="BI477" s="14"/>
      <c r="BJ477" s="14"/>
      <c r="BK477" s="14"/>
      <c r="BL477" s="14"/>
      <c r="BM477" s="14"/>
      <c r="BN477" s="14"/>
      <c r="BO477" s="14"/>
      <c r="BP477" s="14"/>
      <c r="BQ477" s="14"/>
      <c r="BR477" s="14"/>
      <c r="BS477" s="14"/>
      <c r="BT477" s="14"/>
      <c r="BU477" s="14"/>
      <c r="BV477" s="14"/>
      <c r="BW477" s="14"/>
      <c r="BX477" s="14"/>
      <c r="BY477" s="14"/>
      <c r="BZ477" s="14"/>
      <c r="CA477" s="14"/>
      <c r="CB477" s="14"/>
      <c r="CC477" s="14"/>
      <c r="CD477" s="14"/>
      <c r="CE477" s="14"/>
      <c r="CF477" s="14"/>
      <c r="CG477" s="14"/>
      <c r="CH477" s="14"/>
      <c r="CI477" s="14"/>
      <c r="CJ477" s="14"/>
      <c r="CK477" s="14"/>
      <c r="CL477" s="14"/>
      <c r="CM477" s="14"/>
      <c r="CN477" s="14"/>
      <c r="CO477" s="14"/>
      <c r="CP477" s="14"/>
      <c r="CQ477" s="14"/>
      <c r="CR477" s="14"/>
      <c r="CS477" s="14"/>
      <c r="CT477" s="14"/>
      <c r="CU477" s="14"/>
      <c r="CV477" s="14"/>
      <c r="CW477" s="14"/>
      <c r="CX477" s="14"/>
      <c r="CY477" s="14"/>
      <c r="CZ477" s="14"/>
      <c r="DA477" s="14"/>
      <c r="DB477" s="14"/>
      <c r="DC477" s="14"/>
      <c r="DD477" s="14"/>
      <c r="DE477" s="14"/>
      <c r="DF477" s="14"/>
      <c r="DG477" s="14"/>
      <c r="DH477" s="14"/>
      <c r="DI477" s="14"/>
      <c r="DJ477" s="14"/>
      <c r="DK477" s="14"/>
      <c r="DL477" s="14"/>
      <c r="DM477" s="14"/>
      <c r="DN477" s="14"/>
      <c r="DO477" s="14"/>
      <c r="DP477" s="14"/>
      <c r="DQ477" s="14"/>
      <c r="DR477" s="14"/>
      <c r="DS477" s="14"/>
      <c r="DT477" s="14"/>
      <c r="DU477" s="14"/>
      <c r="DV477" s="14"/>
      <c r="DW477" s="14"/>
      <c r="DX477" s="14"/>
      <c r="DY477" s="14"/>
      <c r="DZ477" s="14"/>
      <c r="EA477" s="14"/>
      <c r="EB477" s="14"/>
      <c r="EC477" s="14"/>
    </row>
    <row r="478" spans="1:133" s="13" customFormat="1" ht="140.4" x14ac:dyDescent="0.25">
      <c r="A478" s="63" t="s">
        <v>212</v>
      </c>
      <c r="B478" s="25" t="s">
        <v>87</v>
      </c>
      <c r="C478" s="35" t="s">
        <v>86</v>
      </c>
      <c r="D478" s="35" t="s">
        <v>356</v>
      </c>
      <c r="E478" s="25">
        <f>0.84/1000</f>
        <v>8.3999999999999993E-4</v>
      </c>
      <c r="R478" s="14"/>
      <c r="S478" s="14"/>
      <c r="T478" s="14"/>
      <c r="U478" s="14"/>
      <c r="V478" s="14"/>
      <c r="W478" s="14"/>
      <c r="X478" s="14"/>
      <c r="Y478" s="14"/>
      <c r="Z478" s="14"/>
      <c r="AA478" s="14"/>
      <c r="AB478" s="14"/>
      <c r="AC478" s="14"/>
      <c r="AD478" s="14"/>
      <c r="AE478" s="14"/>
      <c r="AF478" s="14"/>
      <c r="AG478" s="14"/>
      <c r="AH478" s="14"/>
      <c r="AI478" s="14"/>
      <c r="AJ478" s="14"/>
      <c r="AK478" s="14"/>
      <c r="AL478" s="14"/>
      <c r="AM478" s="14"/>
      <c r="AN478" s="14"/>
      <c r="AO478" s="14"/>
      <c r="AP478" s="14"/>
      <c r="AQ478" s="14"/>
      <c r="AR478" s="14"/>
      <c r="AS478" s="14"/>
      <c r="AT478" s="14"/>
      <c r="AU478" s="14"/>
      <c r="AV478" s="14"/>
      <c r="AW478" s="14"/>
      <c r="AX478" s="14"/>
      <c r="AY478" s="14"/>
      <c r="AZ478" s="14"/>
      <c r="BA478" s="14"/>
      <c r="BB478" s="14"/>
      <c r="BC478" s="14"/>
      <c r="BD478" s="14"/>
      <c r="BE478" s="14"/>
      <c r="BF478" s="14"/>
      <c r="BG478" s="14"/>
      <c r="BH478" s="14"/>
      <c r="BI478" s="14"/>
      <c r="BJ478" s="14"/>
      <c r="BK478" s="14"/>
      <c r="BL478" s="14"/>
      <c r="BM478" s="14"/>
      <c r="BN478" s="14"/>
      <c r="BO478" s="14"/>
      <c r="BP478" s="14"/>
      <c r="BQ478" s="14"/>
      <c r="BR478" s="14"/>
      <c r="BS478" s="14"/>
      <c r="BT478" s="14"/>
      <c r="BU478" s="14"/>
      <c r="BV478" s="14"/>
      <c r="BW478" s="14"/>
      <c r="BX478" s="14"/>
      <c r="BY478" s="14"/>
      <c r="BZ478" s="14"/>
      <c r="CA478" s="14"/>
      <c r="CB478" s="14"/>
      <c r="CC478" s="14"/>
      <c r="CD478" s="14"/>
      <c r="CE478" s="14"/>
      <c r="CF478" s="14"/>
      <c r="CG478" s="14"/>
      <c r="CH478" s="14"/>
      <c r="CI478" s="14"/>
      <c r="CJ478" s="14"/>
      <c r="CK478" s="14"/>
      <c r="CL478" s="14"/>
      <c r="CM478" s="14"/>
      <c r="CN478" s="14"/>
      <c r="CO478" s="14"/>
      <c r="CP478" s="14"/>
      <c r="CQ478" s="14"/>
      <c r="CR478" s="14"/>
      <c r="CS478" s="14"/>
      <c r="CT478" s="14"/>
      <c r="CU478" s="14"/>
      <c r="CV478" s="14"/>
      <c r="CW478" s="14"/>
      <c r="CX478" s="14"/>
      <c r="CY478" s="14"/>
      <c r="CZ478" s="14"/>
      <c r="DA478" s="14"/>
      <c r="DB478" s="14"/>
      <c r="DC478" s="14"/>
      <c r="DD478" s="14"/>
      <c r="DE478" s="14"/>
      <c r="DF478" s="14"/>
      <c r="DG478" s="14"/>
      <c r="DH478" s="14"/>
      <c r="DI478" s="14"/>
      <c r="DJ478" s="14"/>
      <c r="DK478" s="14"/>
      <c r="DL478" s="14"/>
      <c r="DM478" s="14"/>
      <c r="DN478" s="14"/>
      <c r="DO478" s="14"/>
      <c r="DP478" s="14"/>
      <c r="DQ478" s="14"/>
      <c r="DR478" s="14"/>
      <c r="DS478" s="14"/>
      <c r="DT478" s="14"/>
      <c r="DU478" s="14"/>
      <c r="DV478" s="14"/>
      <c r="DW478" s="14"/>
      <c r="DX478" s="14"/>
      <c r="DY478" s="14"/>
      <c r="DZ478" s="14"/>
      <c r="EA478" s="14"/>
      <c r="EB478" s="14"/>
      <c r="EC478" s="14"/>
    </row>
    <row r="479" spans="1:133" s="13" customFormat="1" ht="140.4" x14ac:dyDescent="0.25">
      <c r="A479" s="63" t="s">
        <v>213</v>
      </c>
      <c r="B479" s="25" t="s">
        <v>88</v>
      </c>
      <c r="C479" s="35" t="s">
        <v>89</v>
      </c>
      <c r="D479" s="35" t="s">
        <v>357</v>
      </c>
      <c r="E479" s="25">
        <f>43.33/1000</f>
        <v>4.333E-2</v>
      </c>
      <c r="R479" s="14"/>
      <c r="S479" s="14"/>
      <c r="T479" s="14"/>
      <c r="U479" s="14"/>
      <c r="V479" s="14"/>
      <c r="W479" s="14"/>
      <c r="X479" s="14"/>
      <c r="Y479" s="14"/>
      <c r="Z479" s="14"/>
      <c r="AA479" s="14"/>
      <c r="AB479" s="14"/>
      <c r="AC479" s="14"/>
      <c r="AD479" s="14"/>
      <c r="AE479" s="14"/>
      <c r="AF479" s="14"/>
      <c r="AG479" s="14"/>
      <c r="AH479" s="14"/>
      <c r="AI479" s="14"/>
      <c r="AJ479" s="14"/>
      <c r="AK479" s="14"/>
      <c r="AL479" s="14"/>
      <c r="AM479" s="14"/>
      <c r="AN479" s="14"/>
      <c r="AO479" s="14"/>
      <c r="AP479" s="14"/>
      <c r="AQ479" s="14"/>
      <c r="AR479" s="14"/>
      <c r="AS479" s="14"/>
      <c r="AT479" s="14"/>
      <c r="AU479" s="14"/>
      <c r="AV479" s="14"/>
      <c r="AW479" s="14"/>
      <c r="AX479" s="14"/>
      <c r="AY479" s="14"/>
      <c r="AZ479" s="14"/>
      <c r="BA479" s="14"/>
      <c r="BB479" s="14"/>
      <c r="BC479" s="14"/>
      <c r="BD479" s="14"/>
      <c r="BE479" s="14"/>
      <c r="BF479" s="14"/>
      <c r="BG479" s="14"/>
      <c r="BH479" s="14"/>
      <c r="BI479" s="14"/>
      <c r="BJ479" s="14"/>
      <c r="BK479" s="14"/>
      <c r="BL479" s="14"/>
      <c r="BM479" s="14"/>
      <c r="BN479" s="14"/>
      <c r="BO479" s="14"/>
      <c r="BP479" s="14"/>
      <c r="BQ479" s="14"/>
      <c r="BR479" s="14"/>
      <c r="BS479" s="14"/>
      <c r="BT479" s="14"/>
      <c r="BU479" s="14"/>
      <c r="BV479" s="14"/>
      <c r="BW479" s="14"/>
      <c r="BX479" s="14"/>
      <c r="BY479" s="14"/>
      <c r="BZ479" s="14"/>
      <c r="CA479" s="14"/>
      <c r="CB479" s="14"/>
      <c r="CC479" s="14"/>
      <c r="CD479" s="14"/>
      <c r="CE479" s="14"/>
      <c r="CF479" s="14"/>
      <c r="CG479" s="14"/>
      <c r="CH479" s="14"/>
      <c r="CI479" s="14"/>
      <c r="CJ479" s="14"/>
      <c r="CK479" s="14"/>
      <c r="CL479" s="14"/>
      <c r="CM479" s="14"/>
      <c r="CN479" s="14"/>
      <c r="CO479" s="14"/>
      <c r="CP479" s="14"/>
      <c r="CQ479" s="14"/>
      <c r="CR479" s="14"/>
      <c r="CS479" s="14"/>
      <c r="CT479" s="14"/>
      <c r="CU479" s="14"/>
      <c r="CV479" s="14"/>
      <c r="CW479" s="14"/>
      <c r="CX479" s="14"/>
      <c r="CY479" s="14"/>
      <c r="CZ479" s="14"/>
      <c r="DA479" s="14"/>
      <c r="DB479" s="14"/>
      <c r="DC479" s="14"/>
      <c r="DD479" s="14"/>
      <c r="DE479" s="14"/>
      <c r="DF479" s="14"/>
      <c r="DG479" s="14"/>
      <c r="DH479" s="14"/>
      <c r="DI479" s="14"/>
      <c r="DJ479" s="14"/>
      <c r="DK479" s="14"/>
      <c r="DL479" s="14"/>
      <c r="DM479" s="14"/>
      <c r="DN479" s="14"/>
      <c r="DO479" s="14"/>
      <c r="DP479" s="14"/>
      <c r="DQ479" s="14"/>
      <c r="DR479" s="14"/>
      <c r="DS479" s="14"/>
      <c r="DT479" s="14"/>
      <c r="DU479" s="14"/>
      <c r="DV479" s="14"/>
      <c r="DW479" s="14"/>
      <c r="DX479" s="14"/>
      <c r="DY479" s="14"/>
      <c r="DZ479" s="14"/>
      <c r="EA479" s="14"/>
      <c r="EB479" s="14"/>
      <c r="EC479" s="14"/>
    </row>
    <row r="480" spans="1:133" ht="62.4" x14ac:dyDescent="0.25">
      <c r="A480" s="63" t="s">
        <v>214</v>
      </c>
      <c r="B480" s="25" t="s">
        <v>90</v>
      </c>
      <c r="C480" s="35" t="s">
        <v>91</v>
      </c>
      <c r="D480" s="35" t="s">
        <v>358</v>
      </c>
      <c r="E480" s="25">
        <v>74.099999999999994</v>
      </c>
    </row>
    <row r="482" spans="1:133" x14ac:dyDescent="0.25">
      <c r="A482" s="158" t="s">
        <v>93</v>
      </c>
      <c r="B482" s="158"/>
      <c r="C482" s="158"/>
      <c r="D482" s="158"/>
      <c r="E482" s="158"/>
    </row>
    <row r="483" spans="1:133" x14ac:dyDescent="0.25">
      <c r="A483" s="57" t="s">
        <v>8</v>
      </c>
      <c r="B483" s="58" t="s">
        <v>9</v>
      </c>
      <c r="C483" s="34" t="s">
        <v>10</v>
      </c>
      <c r="D483" s="34" t="s">
        <v>340</v>
      </c>
      <c r="E483" s="16" t="s">
        <v>65</v>
      </c>
    </row>
    <row r="484" spans="1:133" ht="64.8" x14ac:dyDescent="0.25">
      <c r="A484" s="15" t="s">
        <v>94</v>
      </c>
      <c r="B484" s="25" t="s">
        <v>95</v>
      </c>
      <c r="C484" s="35" t="s">
        <v>96</v>
      </c>
      <c r="D484" s="35" t="s">
        <v>97</v>
      </c>
      <c r="E484" s="16">
        <v>0</v>
      </c>
    </row>
    <row r="486" spans="1:133" x14ac:dyDescent="0.25">
      <c r="A486" s="158" t="s">
        <v>98</v>
      </c>
      <c r="B486" s="158"/>
      <c r="C486" s="158"/>
      <c r="D486" s="158"/>
      <c r="E486" s="158"/>
    </row>
    <row r="487" spans="1:133" x14ac:dyDescent="0.25">
      <c r="A487" s="57" t="s">
        <v>8</v>
      </c>
      <c r="B487" s="58" t="s">
        <v>9</v>
      </c>
      <c r="C487" s="34" t="s">
        <v>10</v>
      </c>
      <c r="D487" s="34" t="s">
        <v>340</v>
      </c>
      <c r="E487" s="16" t="s">
        <v>65</v>
      </c>
    </row>
    <row r="488" spans="1:133" ht="49.2" x14ac:dyDescent="0.25">
      <c r="A488" s="15" t="s">
        <v>99</v>
      </c>
      <c r="B488" s="25" t="s">
        <v>95</v>
      </c>
      <c r="C488" s="35" t="s">
        <v>100</v>
      </c>
      <c r="D488" s="35" t="s">
        <v>101</v>
      </c>
      <c r="E488" s="16">
        <v>0</v>
      </c>
    </row>
    <row r="490" spans="1:133" x14ac:dyDescent="0.25">
      <c r="A490" s="57" t="s">
        <v>8</v>
      </c>
      <c r="B490" s="58" t="s">
        <v>9</v>
      </c>
      <c r="C490" s="34" t="s">
        <v>10</v>
      </c>
      <c r="D490" s="34" t="s">
        <v>340</v>
      </c>
      <c r="E490" s="16" t="s">
        <v>65</v>
      </c>
    </row>
    <row r="491" spans="1:133" ht="18" x14ac:dyDescent="0.25">
      <c r="A491" s="59" t="s">
        <v>102</v>
      </c>
      <c r="B491" s="25" t="s">
        <v>103</v>
      </c>
      <c r="C491" s="35" t="s">
        <v>104</v>
      </c>
      <c r="D491" s="53" t="s">
        <v>380</v>
      </c>
      <c r="E491" s="18">
        <f>ROUNDDOWN(E441+E472+E467+E484+E488,0)</f>
        <v>10462</v>
      </c>
    </row>
    <row r="492" spans="1:133" s="166" customFormat="1" ht="38.4" customHeight="1" x14ac:dyDescent="0.25">
      <c r="A492" s="165" t="s">
        <v>227</v>
      </c>
    </row>
    <row r="493" spans="1:133" s="167" customFormat="1" ht="43.2" customHeight="1" x14ac:dyDescent="0.25">
      <c r="A493" s="167" t="s">
        <v>228</v>
      </c>
    </row>
    <row r="494" spans="1:133" s="56" customFormat="1" ht="31.2" x14ac:dyDescent="0.25">
      <c r="A494" s="92" t="s">
        <v>8</v>
      </c>
      <c r="B494" s="93" t="s">
        <v>9</v>
      </c>
      <c r="C494" s="94" t="s">
        <v>10</v>
      </c>
      <c r="D494" s="93" t="s">
        <v>341</v>
      </c>
      <c r="E494" s="93" t="s">
        <v>11</v>
      </c>
      <c r="F494" s="16" t="s">
        <v>312</v>
      </c>
      <c r="G494" s="16" t="s">
        <v>313</v>
      </c>
      <c r="H494" s="16" t="s">
        <v>314</v>
      </c>
      <c r="I494" s="16" t="s">
        <v>315</v>
      </c>
      <c r="J494" s="16" t="s">
        <v>316</v>
      </c>
      <c r="K494" s="16" t="s">
        <v>317</v>
      </c>
      <c r="L494" s="16" t="s">
        <v>318</v>
      </c>
      <c r="M494" s="16" t="s">
        <v>319</v>
      </c>
      <c r="N494" s="16" t="s">
        <v>320</v>
      </c>
      <c r="O494" s="16" t="s">
        <v>293</v>
      </c>
      <c r="P494" s="16" t="s">
        <v>294</v>
      </c>
      <c r="Q494" s="16" t="s">
        <v>295</v>
      </c>
      <c r="R494" s="54"/>
      <c r="S494" s="54"/>
      <c r="T494" s="54"/>
      <c r="U494" s="54"/>
      <c r="V494" s="54"/>
      <c r="W494" s="54"/>
      <c r="X494" s="54"/>
      <c r="Y494" s="54"/>
      <c r="Z494" s="54"/>
      <c r="AA494" s="54"/>
      <c r="AB494" s="54"/>
      <c r="AC494" s="54"/>
      <c r="AD494" s="54"/>
      <c r="AE494" s="54"/>
      <c r="AF494" s="54"/>
      <c r="AG494" s="54"/>
      <c r="AH494" s="54"/>
      <c r="AI494" s="54"/>
      <c r="AJ494" s="54"/>
      <c r="AK494" s="54"/>
      <c r="AL494" s="54"/>
      <c r="AM494" s="54"/>
      <c r="AN494" s="54"/>
      <c r="AO494" s="54"/>
      <c r="AP494" s="54"/>
      <c r="AQ494" s="54"/>
      <c r="AR494" s="54"/>
      <c r="AS494" s="54"/>
      <c r="AT494" s="54"/>
      <c r="AU494" s="54"/>
      <c r="AV494" s="54"/>
      <c r="AW494" s="54"/>
      <c r="AX494" s="54"/>
      <c r="AY494" s="54"/>
      <c r="AZ494" s="54"/>
      <c r="BA494" s="54"/>
      <c r="BB494" s="54"/>
      <c r="BC494" s="54"/>
      <c r="BD494" s="54"/>
      <c r="BE494" s="54"/>
      <c r="BF494" s="54"/>
      <c r="BG494" s="54"/>
      <c r="BH494" s="54"/>
      <c r="BI494" s="54"/>
      <c r="BJ494" s="54"/>
      <c r="BK494" s="54"/>
      <c r="BL494" s="54"/>
      <c r="BM494" s="54"/>
      <c r="BN494" s="54"/>
      <c r="BO494" s="54"/>
      <c r="BP494" s="54"/>
      <c r="BQ494" s="54"/>
      <c r="BR494" s="54"/>
      <c r="BS494" s="54"/>
      <c r="BT494" s="54"/>
      <c r="BU494" s="54"/>
      <c r="BV494" s="54"/>
      <c r="BW494" s="54"/>
      <c r="BX494" s="54"/>
      <c r="BY494" s="54"/>
      <c r="BZ494" s="54"/>
      <c r="CA494" s="54"/>
      <c r="CB494" s="54"/>
      <c r="CC494" s="54"/>
      <c r="CD494" s="54"/>
      <c r="CE494" s="54"/>
      <c r="CF494" s="54"/>
      <c r="CG494" s="54"/>
      <c r="CH494" s="54"/>
      <c r="CI494" s="54"/>
      <c r="CJ494" s="54"/>
      <c r="CK494" s="54"/>
      <c r="CL494" s="54"/>
      <c r="CM494" s="54"/>
      <c r="CN494" s="54"/>
      <c r="CO494" s="54"/>
      <c r="CP494" s="54"/>
      <c r="CQ494" s="54"/>
      <c r="CR494" s="54"/>
      <c r="CS494" s="54"/>
      <c r="CT494" s="54"/>
      <c r="CU494" s="54"/>
      <c r="CV494" s="54"/>
      <c r="CW494" s="54"/>
      <c r="CX494" s="54"/>
      <c r="CY494" s="54"/>
      <c r="CZ494" s="54"/>
      <c r="DA494" s="54"/>
      <c r="DB494" s="54"/>
      <c r="DC494" s="54"/>
      <c r="DD494" s="54"/>
      <c r="DE494" s="54"/>
      <c r="DF494" s="54"/>
      <c r="DG494" s="54"/>
      <c r="DH494" s="54"/>
      <c r="DI494" s="54"/>
      <c r="DJ494" s="54"/>
      <c r="DK494" s="54"/>
      <c r="DL494" s="54"/>
      <c r="DM494" s="54"/>
      <c r="DN494" s="54"/>
      <c r="DO494" s="54"/>
      <c r="DP494" s="54"/>
      <c r="DQ494" s="54"/>
      <c r="DR494" s="54"/>
      <c r="DS494" s="54"/>
      <c r="DT494" s="54"/>
      <c r="DU494" s="54"/>
      <c r="DV494" s="54"/>
      <c r="DW494" s="54"/>
      <c r="DX494" s="54"/>
      <c r="DY494" s="54"/>
      <c r="DZ494" s="54"/>
      <c r="EA494" s="54"/>
      <c r="EB494" s="54"/>
      <c r="EC494" s="54"/>
    </row>
    <row r="495" spans="1:133" s="56" customFormat="1" x14ac:dyDescent="0.25">
      <c r="A495" s="58" t="s">
        <v>12</v>
      </c>
      <c r="B495" s="58"/>
      <c r="C495" s="34"/>
      <c r="D495" s="34"/>
      <c r="E495" s="58"/>
      <c r="F495" s="16">
        <v>31</v>
      </c>
      <c r="G495" s="16">
        <v>28</v>
      </c>
      <c r="H495" s="16">
        <v>31</v>
      </c>
      <c r="I495" s="16">
        <v>30</v>
      </c>
      <c r="J495" s="16">
        <v>31</v>
      </c>
      <c r="K495" s="16">
        <v>30</v>
      </c>
      <c r="L495" s="16">
        <v>31</v>
      </c>
      <c r="M495" s="16">
        <v>31</v>
      </c>
      <c r="N495" s="16">
        <v>30</v>
      </c>
      <c r="O495" s="16">
        <v>31</v>
      </c>
      <c r="P495" s="16">
        <v>30</v>
      </c>
      <c r="Q495" s="16">
        <v>31</v>
      </c>
      <c r="R495" s="54"/>
      <c r="S495" s="54"/>
      <c r="T495" s="54"/>
      <c r="U495" s="54"/>
      <c r="V495" s="54"/>
      <c r="W495" s="54"/>
      <c r="X495" s="54"/>
      <c r="Y495" s="54"/>
      <c r="Z495" s="54"/>
      <c r="AA495" s="54"/>
      <c r="AB495" s="54"/>
      <c r="AC495" s="54"/>
      <c r="AD495" s="54"/>
      <c r="AE495" s="54"/>
      <c r="AF495" s="54"/>
      <c r="AG495" s="54"/>
      <c r="AH495" s="54"/>
      <c r="AI495" s="54"/>
      <c r="AJ495" s="54"/>
      <c r="AK495" s="54"/>
      <c r="AL495" s="54"/>
      <c r="AM495" s="54"/>
      <c r="AN495" s="54"/>
      <c r="AO495" s="54"/>
      <c r="AP495" s="54"/>
      <c r="AQ495" s="54"/>
      <c r="AR495" s="54"/>
      <c r="AS495" s="54"/>
      <c r="AT495" s="54"/>
      <c r="AU495" s="54"/>
      <c r="AV495" s="54"/>
      <c r="AW495" s="54"/>
      <c r="AX495" s="54"/>
      <c r="AY495" s="54"/>
      <c r="AZ495" s="54"/>
      <c r="BA495" s="54"/>
      <c r="BB495" s="54"/>
      <c r="BC495" s="54"/>
      <c r="BD495" s="54"/>
      <c r="BE495" s="54"/>
      <c r="BF495" s="54"/>
      <c r="BG495" s="54"/>
      <c r="BH495" s="54"/>
      <c r="BI495" s="54"/>
      <c r="BJ495" s="54"/>
      <c r="BK495" s="54"/>
      <c r="BL495" s="54"/>
      <c r="BM495" s="54"/>
      <c r="BN495" s="54"/>
      <c r="BO495" s="54"/>
      <c r="BP495" s="54"/>
      <c r="BQ495" s="54"/>
      <c r="BR495" s="54"/>
      <c r="BS495" s="54"/>
      <c r="BT495" s="54"/>
      <c r="BU495" s="54"/>
      <c r="BV495" s="54"/>
      <c r="BW495" s="54"/>
      <c r="BX495" s="54"/>
      <c r="BY495" s="54"/>
      <c r="BZ495" s="54"/>
      <c r="CA495" s="54"/>
      <c r="CB495" s="54"/>
      <c r="CC495" s="54"/>
      <c r="CD495" s="54"/>
      <c r="CE495" s="54"/>
      <c r="CF495" s="54"/>
      <c r="CG495" s="54"/>
      <c r="CH495" s="54"/>
      <c r="CI495" s="54"/>
      <c r="CJ495" s="54"/>
      <c r="CK495" s="54"/>
      <c r="CL495" s="54"/>
      <c r="CM495" s="54"/>
      <c r="CN495" s="54"/>
      <c r="CO495" s="54"/>
      <c r="CP495" s="54"/>
      <c r="CQ495" s="54"/>
      <c r="CR495" s="54"/>
      <c r="CS495" s="54"/>
      <c r="CT495" s="54"/>
      <c r="CU495" s="54"/>
      <c r="CV495" s="54"/>
      <c r="CW495" s="54"/>
      <c r="CX495" s="54"/>
      <c r="CY495" s="54"/>
      <c r="CZ495" s="54"/>
      <c r="DA495" s="54"/>
      <c r="DB495" s="54"/>
      <c r="DC495" s="54"/>
      <c r="DD495" s="54"/>
      <c r="DE495" s="54"/>
      <c r="DF495" s="54"/>
      <c r="DG495" s="54"/>
      <c r="DH495" s="54"/>
      <c r="DI495" s="54"/>
      <c r="DJ495" s="54"/>
      <c r="DK495" s="54"/>
      <c r="DL495" s="54"/>
      <c r="DM495" s="54"/>
      <c r="DN495" s="54"/>
      <c r="DO495" s="54"/>
      <c r="DP495" s="54"/>
      <c r="DQ495" s="54"/>
      <c r="DR495" s="54"/>
      <c r="DS495" s="54"/>
      <c r="DT495" s="54"/>
      <c r="DU495" s="54"/>
      <c r="DV495" s="54"/>
      <c r="DW495" s="54"/>
      <c r="DX495" s="54"/>
      <c r="DY495" s="54"/>
      <c r="DZ495" s="54"/>
      <c r="EA495" s="54"/>
      <c r="EB495" s="54"/>
      <c r="EC495" s="54"/>
    </row>
    <row r="496" spans="1:133" ht="46.8" x14ac:dyDescent="0.25">
      <c r="A496" s="59" t="s">
        <v>13</v>
      </c>
      <c r="B496" s="60" t="s">
        <v>14</v>
      </c>
      <c r="C496" s="53" t="s">
        <v>15</v>
      </c>
      <c r="D496" s="53" t="s">
        <v>369</v>
      </c>
      <c r="E496" s="61">
        <f>SUM(F496:Q496)</f>
        <v>2580.2917388099331</v>
      </c>
      <c r="F496" s="62">
        <f>$E$497*$E$498*F499*$E$510</f>
        <v>211.1141414665841</v>
      </c>
      <c r="G496" s="62">
        <f t="shared" ref="G496:Q496" si="63">$E$497*$E$498*G499*$E$510</f>
        <v>190.72291116994043</v>
      </c>
      <c r="H496" s="62">
        <f t="shared" si="63"/>
        <v>211.0875352503609</v>
      </c>
      <c r="I496" s="62">
        <f t="shared" si="63"/>
        <v>204.35502138139307</v>
      </c>
      <c r="J496" s="62">
        <f t="shared" si="63"/>
        <v>232.11001634134428</v>
      </c>
      <c r="K496" s="62">
        <f t="shared" si="63"/>
        <v>214.70266492003023</v>
      </c>
      <c r="L496" s="62">
        <f t="shared" si="63"/>
        <v>222.03762012918912</v>
      </c>
      <c r="M496" s="62">
        <f t="shared" si="63"/>
        <v>221.90272389382429</v>
      </c>
      <c r="N496" s="62">
        <f t="shared" si="63"/>
        <v>224.7649765524543</v>
      </c>
      <c r="O496" s="62">
        <f t="shared" si="63"/>
        <v>231.93951998190926</v>
      </c>
      <c r="P496" s="62">
        <f t="shared" si="63"/>
        <v>204.4408771608214</v>
      </c>
      <c r="Q496" s="62">
        <f t="shared" si="63"/>
        <v>211.11373056208177</v>
      </c>
    </row>
    <row r="497" spans="1:17" ht="31.2" x14ac:dyDescent="0.25">
      <c r="A497" s="63" t="s">
        <v>16</v>
      </c>
      <c r="B497" s="60" t="s">
        <v>193</v>
      </c>
      <c r="C497" s="35" t="s">
        <v>17</v>
      </c>
      <c r="D497" s="35" t="s">
        <v>205</v>
      </c>
      <c r="E497" s="168">
        <v>28</v>
      </c>
      <c r="F497" s="169"/>
      <c r="G497" s="169"/>
      <c r="H497" s="169"/>
      <c r="I497" s="169"/>
      <c r="J497" s="169"/>
      <c r="K497" s="169"/>
      <c r="L497" s="169"/>
      <c r="M497" s="169"/>
      <c r="N497" s="169"/>
      <c r="O497" s="169"/>
      <c r="P497" s="169"/>
      <c r="Q497" s="170"/>
    </row>
    <row r="498" spans="1:17" ht="64.8" x14ac:dyDescent="0.25">
      <c r="A498" s="63" t="s">
        <v>18</v>
      </c>
      <c r="B498" s="25" t="s">
        <v>194</v>
      </c>
      <c r="C498" s="35" t="s">
        <v>20</v>
      </c>
      <c r="D498" s="35" t="s">
        <v>394</v>
      </c>
      <c r="E498" s="168">
        <v>0.21</v>
      </c>
      <c r="F498" s="169"/>
      <c r="G498" s="169"/>
      <c r="H498" s="169"/>
      <c r="I498" s="169"/>
      <c r="J498" s="169"/>
      <c r="K498" s="169"/>
      <c r="L498" s="169"/>
      <c r="M498" s="169"/>
      <c r="N498" s="169"/>
      <c r="O498" s="169"/>
      <c r="P498" s="169"/>
      <c r="Q498" s="170"/>
    </row>
    <row r="499" spans="1:17" ht="46.8" x14ac:dyDescent="0.25">
      <c r="A499" s="35" t="s">
        <v>21</v>
      </c>
      <c r="B499" s="25" t="s">
        <v>195</v>
      </c>
      <c r="C499" s="53" t="s">
        <v>22</v>
      </c>
      <c r="D499" s="53" t="s">
        <v>370</v>
      </c>
      <c r="E499" s="64">
        <f t="shared" ref="E499:Q499" si="64">E507*E500</f>
        <v>743.84312477046012</v>
      </c>
      <c r="F499" s="64">
        <f t="shared" si="64"/>
        <v>60.85970834606632</v>
      </c>
      <c r="G499" s="64">
        <f t="shared" si="64"/>
        <v>54.981351168995658</v>
      </c>
      <c r="H499" s="64">
        <f t="shared" si="64"/>
        <v>60.85203834088199</v>
      </c>
      <c r="I499" s="64">
        <f t="shared" si="64"/>
        <v>58.911198055836067</v>
      </c>
      <c r="J499" s="64">
        <f t="shared" si="64"/>
        <v>66.912371670615158</v>
      </c>
      <c r="K499" s="64">
        <f t="shared" si="64"/>
        <v>61.894203189720933</v>
      </c>
      <c r="L499" s="64">
        <f t="shared" si="64"/>
        <v>64.008714475699989</v>
      </c>
      <c r="M499" s="64">
        <f t="shared" si="64"/>
        <v>63.96982676555298</v>
      </c>
      <c r="N499" s="64">
        <f t="shared" si="64"/>
        <v>64.794953215192294</v>
      </c>
      <c r="O499" s="64">
        <f t="shared" si="64"/>
        <v>66.863221203303027</v>
      </c>
      <c r="P499" s="64">
        <f t="shared" si="64"/>
        <v>58.935948447541406</v>
      </c>
      <c r="Q499" s="64">
        <f t="shared" si="64"/>
        <v>60.859589891054284</v>
      </c>
    </row>
    <row r="500" spans="1:17" ht="46.8" x14ac:dyDescent="0.25">
      <c r="A500" s="35" t="s">
        <v>23</v>
      </c>
      <c r="B500" s="25" t="s">
        <v>197</v>
      </c>
      <c r="C500" s="35" t="s">
        <v>191</v>
      </c>
      <c r="D500" s="35" t="s">
        <v>371</v>
      </c>
      <c r="E500" s="20">
        <f>SUM(F500:Q500)</f>
        <v>782.84274407712508</v>
      </c>
      <c r="F500" s="20">
        <f>F502*F505</f>
        <v>64.050576658983346</v>
      </c>
      <c r="G500" s="20">
        <f t="shared" ref="G500:Q500" si="65">G502*G505</f>
        <v>57.864017813550014</v>
      </c>
      <c r="H500" s="20">
        <f t="shared" si="65"/>
        <v>64.042504516208027</v>
      </c>
      <c r="I500" s="20">
        <f t="shared" si="65"/>
        <v>61.999906172599431</v>
      </c>
      <c r="J500" s="20">
        <f t="shared" si="65"/>
        <v>70.42058050546234</v>
      </c>
      <c r="K500" s="20">
        <f t="shared" si="65"/>
        <v>65.139309961976664</v>
      </c>
      <c r="L500" s="20">
        <f t="shared" si="65"/>
        <v>67.364684859417181</v>
      </c>
      <c r="M500" s="20">
        <f t="shared" si="65"/>
        <v>67.323758270586026</v>
      </c>
      <c r="N500" s="20">
        <f t="shared" si="65"/>
        <v>68.192146015980029</v>
      </c>
      <c r="O500" s="20">
        <f t="shared" si="65"/>
        <v>70.368853084152676</v>
      </c>
      <c r="P500" s="20">
        <f t="shared" si="65"/>
        <v>62.025954224822236</v>
      </c>
      <c r="Q500" s="20">
        <f t="shared" si="65"/>
        <v>64.050451993387085</v>
      </c>
    </row>
    <row r="501" spans="1:17" ht="62.4" x14ac:dyDescent="0.25">
      <c r="A501" s="17" t="s">
        <v>335</v>
      </c>
      <c r="B501" s="60" t="s">
        <v>192</v>
      </c>
      <c r="C501" s="35" t="s">
        <v>25</v>
      </c>
      <c r="D501" s="35" t="s">
        <v>333</v>
      </c>
      <c r="E501" s="121">
        <f>AVERAGE(F501:Q501)</f>
        <v>5090.5326650089601</v>
      </c>
      <c r="F501" s="121">
        <v>4849.7660000000005</v>
      </c>
      <c r="G501" s="121">
        <v>4849.7257500000005</v>
      </c>
      <c r="H501" s="121">
        <v>4850.5963548387099</v>
      </c>
      <c r="I501" s="121">
        <v>4849.9259333333339</v>
      </c>
      <c r="J501" s="121">
        <v>5331.8764516129022</v>
      </c>
      <c r="K501" s="121">
        <v>5330.9635333333335</v>
      </c>
      <c r="L501" s="121">
        <v>5331.1259354838694</v>
      </c>
      <c r="M501" s="121">
        <v>5332.2757419354839</v>
      </c>
      <c r="N501" s="121">
        <v>5331.9686000000011</v>
      </c>
      <c r="O501" s="121">
        <v>5327.556548387096</v>
      </c>
      <c r="P501" s="121">
        <v>4851.2890666666681</v>
      </c>
      <c r="Q501" s="121">
        <v>4849.3220645161291</v>
      </c>
    </row>
    <row r="502" spans="1:17" ht="46.8" x14ac:dyDescent="0.25">
      <c r="A502" s="35" t="s">
        <v>26</v>
      </c>
      <c r="B502" s="60" t="s">
        <v>198</v>
      </c>
      <c r="C502" s="35" t="s">
        <v>27</v>
      </c>
      <c r="D502" s="35" t="s">
        <v>206</v>
      </c>
      <c r="E502" s="65">
        <f>SUM(F502:Q502)</f>
        <v>1858764.8269999998</v>
      </c>
      <c r="F502" s="65">
        <f>F501*F495</f>
        <v>150342.74600000001</v>
      </c>
      <c r="G502" s="65">
        <f t="shared" ref="G502:Q502" si="66">G501*G495</f>
        <v>135792.32100000003</v>
      </c>
      <c r="H502" s="65">
        <f t="shared" si="66"/>
        <v>150368.48699999999</v>
      </c>
      <c r="I502" s="65">
        <f t="shared" si="66"/>
        <v>145497.77800000002</v>
      </c>
      <c r="J502" s="65">
        <f t="shared" si="66"/>
        <v>165288.16999999995</v>
      </c>
      <c r="K502" s="65">
        <f t="shared" si="66"/>
        <v>159928.90600000002</v>
      </c>
      <c r="L502" s="65">
        <f t="shared" si="66"/>
        <v>165264.90399999995</v>
      </c>
      <c r="M502" s="65">
        <f t="shared" si="66"/>
        <v>165300.54800000001</v>
      </c>
      <c r="N502" s="65">
        <f t="shared" si="66"/>
        <v>159959.05800000002</v>
      </c>
      <c r="O502" s="65">
        <f t="shared" si="66"/>
        <v>165154.25299999997</v>
      </c>
      <c r="P502" s="65">
        <f t="shared" si="66"/>
        <v>145538.67200000005</v>
      </c>
      <c r="Q502" s="65">
        <f t="shared" si="66"/>
        <v>150328.984</v>
      </c>
    </row>
    <row r="503" spans="1:17" ht="62.4" x14ac:dyDescent="0.25">
      <c r="A503" s="35" t="s">
        <v>28</v>
      </c>
      <c r="B503" s="60" t="s">
        <v>199</v>
      </c>
      <c r="C503" s="35" t="s">
        <v>29</v>
      </c>
      <c r="D503" s="35" t="s">
        <v>332</v>
      </c>
      <c r="E503" s="125">
        <f>AVERAGE(F503:Q503)</f>
        <v>421.42205187936628</v>
      </c>
      <c r="F503" s="125">
        <v>426.03037634408605</v>
      </c>
      <c r="G503" s="125">
        <v>426.12142857142857</v>
      </c>
      <c r="H503" s="125">
        <v>425.90376344086002</v>
      </c>
      <c r="I503" s="125">
        <v>426.12270114942527</v>
      </c>
      <c r="J503" s="125">
        <v>426.047311827957</v>
      </c>
      <c r="K503" s="125">
        <v>407.30166666666662</v>
      </c>
      <c r="L503" s="125">
        <v>407.61639784946232</v>
      </c>
      <c r="M503" s="125">
        <v>407.28091397849465</v>
      </c>
      <c r="N503" s="125">
        <v>426.31000000000012</v>
      </c>
      <c r="O503" s="125">
        <v>426.0795698924731</v>
      </c>
      <c r="P503" s="125">
        <v>426.18194444444441</v>
      </c>
      <c r="Q503" s="125">
        <v>426.06854838709671</v>
      </c>
    </row>
    <row r="504" spans="1:17" ht="62.4" x14ac:dyDescent="0.25">
      <c r="A504" s="35" t="s">
        <v>30</v>
      </c>
      <c r="B504" s="60" t="s">
        <v>199</v>
      </c>
      <c r="C504" s="35" t="s">
        <v>31</v>
      </c>
      <c r="D504" s="35" t="s">
        <v>331</v>
      </c>
      <c r="E504" s="125">
        <f>AVERAGE(F504:Q504)</f>
        <v>19.823740158450601</v>
      </c>
      <c r="F504" s="125">
        <v>19.734677419354842</v>
      </c>
      <c r="G504" s="125">
        <v>20.095535714285713</v>
      </c>
      <c r="H504" s="125">
        <v>19.810752688172048</v>
      </c>
      <c r="I504" s="125">
        <v>19.737643678160921</v>
      </c>
      <c r="J504" s="125">
        <v>20.090322580645164</v>
      </c>
      <c r="K504" s="125">
        <v>19.505833333333335</v>
      </c>
      <c r="L504" s="125">
        <v>19.698924731182796</v>
      </c>
      <c r="M504" s="125">
        <v>19.414784946236566</v>
      </c>
      <c r="N504" s="125">
        <v>19.975277777777784</v>
      </c>
      <c r="O504" s="125">
        <v>20.001344086021508</v>
      </c>
      <c r="P504" s="125">
        <v>19.904999999999994</v>
      </c>
      <c r="Q504" s="125">
        <v>19.914784946236558</v>
      </c>
    </row>
    <row r="505" spans="1:17" ht="62.4" x14ac:dyDescent="0.25">
      <c r="A505" s="35" t="s">
        <v>32</v>
      </c>
      <c r="B505" s="60" t="s">
        <v>200</v>
      </c>
      <c r="C505" s="35" t="s">
        <v>34</v>
      </c>
      <c r="D505" s="35" t="s">
        <v>338</v>
      </c>
      <c r="E505" s="122">
        <f>E503/1000000</f>
        <v>4.2142205187936627E-4</v>
      </c>
      <c r="F505" s="120">
        <f>F503/1000000</f>
        <v>4.2603037634408603E-4</v>
      </c>
      <c r="G505" s="120">
        <f t="shared" ref="G505:Q506" si="67">G503/1000000</f>
        <v>4.2612142857142857E-4</v>
      </c>
      <c r="H505" s="120">
        <f t="shared" si="67"/>
        <v>4.2590376344086E-4</v>
      </c>
      <c r="I505" s="120">
        <f t="shared" si="67"/>
        <v>4.2612270114942527E-4</v>
      </c>
      <c r="J505" s="120">
        <f t="shared" si="67"/>
        <v>4.2604731182795699E-4</v>
      </c>
      <c r="K505" s="120">
        <f t="shared" si="67"/>
        <v>4.0730166666666664E-4</v>
      </c>
      <c r="L505" s="120">
        <f t="shared" si="67"/>
        <v>4.0761639784946233E-4</v>
      </c>
      <c r="M505" s="120">
        <f t="shared" si="67"/>
        <v>4.0728091397849466E-4</v>
      </c>
      <c r="N505" s="120">
        <f t="shared" si="67"/>
        <v>4.2631000000000011E-4</v>
      </c>
      <c r="O505" s="120">
        <f t="shared" si="67"/>
        <v>4.2607956989247311E-4</v>
      </c>
      <c r="P505" s="120">
        <f t="shared" si="67"/>
        <v>4.2618194444444439E-4</v>
      </c>
      <c r="Q505" s="120">
        <f t="shared" si="67"/>
        <v>4.2606854838709673E-4</v>
      </c>
    </row>
    <row r="506" spans="1:17" ht="62.4" x14ac:dyDescent="0.25">
      <c r="A506" s="35" t="s">
        <v>30</v>
      </c>
      <c r="B506" s="60" t="s">
        <v>33</v>
      </c>
      <c r="C506" s="35" t="s">
        <v>35</v>
      </c>
      <c r="D506" s="35" t="s">
        <v>339</v>
      </c>
      <c r="E506" s="122">
        <f>E504/1000000</f>
        <v>1.9823740158450602E-5</v>
      </c>
      <c r="F506" s="120">
        <f>F504/1000000</f>
        <v>1.9734677419354841E-5</v>
      </c>
      <c r="G506" s="120">
        <f t="shared" si="67"/>
        <v>2.0095535714285713E-5</v>
      </c>
      <c r="H506" s="120">
        <f t="shared" si="67"/>
        <v>1.9810752688172049E-5</v>
      </c>
      <c r="I506" s="120">
        <f t="shared" si="67"/>
        <v>1.973764367816092E-5</v>
      </c>
      <c r="J506" s="120">
        <f t="shared" si="67"/>
        <v>2.0090322580645165E-5</v>
      </c>
      <c r="K506" s="120">
        <f t="shared" si="67"/>
        <v>1.9505833333333336E-5</v>
      </c>
      <c r="L506" s="120">
        <f t="shared" si="67"/>
        <v>1.9698924731182795E-5</v>
      </c>
      <c r="M506" s="120">
        <f t="shared" si="67"/>
        <v>1.9414784946236567E-5</v>
      </c>
      <c r="N506" s="120">
        <f t="shared" si="67"/>
        <v>1.9975277777777784E-5</v>
      </c>
      <c r="O506" s="120">
        <f t="shared" si="67"/>
        <v>2.0001344086021506E-5</v>
      </c>
      <c r="P506" s="120">
        <f t="shared" si="67"/>
        <v>1.9904999999999993E-5</v>
      </c>
      <c r="Q506" s="120">
        <f t="shared" si="67"/>
        <v>1.9914784946236559E-5</v>
      </c>
    </row>
    <row r="507" spans="1:17" ht="46.8" x14ac:dyDescent="0.25">
      <c r="A507" s="63" t="s">
        <v>36</v>
      </c>
      <c r="B507" s="25" t="s">
        <v>201</v>
      </c>
      <c r="C507" s="35" t="s">
        <v>38</v>
      </c>
      <c r="D507" s="35" t="s">
        <v>368</v>
      </c>
      <c r="E507" s="68">
        <f>(1-(E508/E509))</f>
        <v>0.95018205175722659</v>
      </c>
      <c r="F507" s="68">
        <f>E507</f>
        <v>0.95018205175722659</v>
      </c>
      <c r="G507" s="68">
        <f>E507</f>
        <v>0.95018205175722659</v>
      </c>
      <c r="H507" s="68">
        <f>E507</f>
        <v>0.95018205175722659</v>
      </c>
      <c r="I507" s="68">
        <f>E507</f>
        <v>0.95018205175722659</v>
      </c>
      <c r="J507" s="68">
        <f>E507</f>
        <v>0.95018205175722659</v>
      </c>
      <c r="K507" s="68">
        <f>E507</f>
        <v>0.95018205175722659</v>
      </c>
      <c r="L507" s="68">
        <f>E507</f>
        <v>0.95018205175722659</v>
      </c>
      <c r="M507" s="68">
        <f>E507</f>
        <v>0.95018205175722659</v>
      </c>
      <c r="N507" s="68">
        <f>E507</f>
        <v>0.95018205175722659</v>
      </c>
      <c r="O507" s="68">
        <f>E507</f>
        <v>0.95018205175722659</v>
      </c>
      <c r="P507" s="68">
        <f>E507</f>
        <v>0.95018205175722659</v>
      </c>
      <c r="Q507" s="68">
        <f>E507</f>
        <v>0.95018205175722659</v>
      </c>
    </row>
    <row r="508" spans="1:17" ht="31.2" x14ac:dyDescent="0.25">
      <c r="A508" s="35" t="s">
        <v>39</v>
      </c>
      <c r="B508" s="25" t="s">
        <v>196</v>
      </c>
      <c r="C508" s="35" t="s">
        <v>40</v>
      </c>
      <c r="D508" s="35" t="s">
        <v>351</v>
      </c>
      <c r="E508" s="52">
        <f>SUM(F508:Q508)</f>
        <v>37.156625838499998</v>
      </c>
      <c r="F508" s="52">
        <v>3.1557682219000003</v>
      </c>
      <c r="G508" s="52">
        <v>2.8503712971999997</v>
      </c>
      <c r="H508" s="52">
        <v>3.1557682219000003</v>
      </c>
      <c r="I508" s="52">
        <v>3.0539692469999999</v>
      </c>
      <c r="J508" s="52">
        <v>3.1557682219000003</v>
      </c>
      <c r="K508" s="52">
        <v>3.0539692469999999</v>
      </c>
      <c r="L508" s="52">
        <v>3.1557682219000003</v>
      </c>
      <c r="M508" s="52">
        <v>3.1557682219000003</v>
      </c>
      <c r="N508" s="52">
        <v>3.0539692469999999</v>
      </c>
      <c r="O508" s="52">
        <v>3.1557682219000003</v>
      </c>
      <c r="P508" s="52">
        <v>3.0539692469999999</v>
      </c>
      <c r="Q508" s="52">
        <v>3.1557682219000003</v>
      </c>
    </row>
    <row r="509" spans="1:17" ht="31.2" x14ac:dyDescent="0.25">
      <c r="A509" s="63" t="s">
        <v>41</v>
      </c>
      <c r="B509" s="25" t="s">
        <v>24</v>
      </c>
      <c r="C509" s="35" t="s">
        <v>42</v>
      </c>
      <c r="D509" s="35" t="s">
        <v>351</v>
      </c>
      <c r="E509" s="52">
        <f>SUM(F509:Q509)</f>
        <v>745.84817619199998</v>
      </c>
      <c r="F509" s="52">
        <v>63.346009484799993</v>
      </c>
      <c r="G509" s="52">
        <v>57.215750502400013</v>
      </c>
      <c r="H509" s="52">
        <v>63.346009484799993</v>
      </c>
      <c r="I509" s="52">
        <v>61.302589824000009</v>
      </c>
      <c r="J509" s="52">
        <v>63.346009484799993</v>
      </c>
      <c r="K509" s="52">
        <v>61.302589824000009</v>
      </c>
      <c r="L509" s="52">
        <v>63.346009484799993</v>
      </c>
      <c r="M509" s="52">
        <v>63.346009484799993</v>
      </c>
      <c r="N509" s="52">
        <v>61.302589824000009</v>
      </c>
      <c r="O509" s="52">
        <v>63.346009484799993</v>
      </c>
      <c r="P509" s="52">
        <v>61.302589824000009</v>
      </c>
      <c r="Q509" s="52">
        <v>63.346009484799993</v>
      </c>
    </row>
    <row r="510" spans="1:17" ht="31.2" x14ac:dyDescent="0.25">
      <c r="A510" s="53" t="s">
        <v>43</v>
      </c>
      <c r="B510" s="25" t="s">
        <v>201</v>
      </c>
      <c r="C510" s="53" t="s">
        <v>44</v>
      </c>
      <c r="D510" s="35" t="s">
        <v>372</v>
      </c>
      <c r="E510" s="192">
        <f>E511*E512*0.89</f>
        <v>0.58994310901692248</v>
      </c>
      <c r="F510" s="193"/>
      <c r="G510" s="193"/>
      <c r="H510" s="193"/>
      <c r="I510" s="193"/>
      <c r="J510" s="193"/>
      <c r="K510" s="193"/>
      <c r="L510" s="193"/>
      <c r="M510" s="193"/>
      <c r="N510" s="193"/>
      <c r="O510" s="193"/>
      <c r="P510" s="193"/>
      <c r="Q510" s="194"/>
    </row>
    <row r="511" spans="1:17" ht="31.2" x14ac:dyDescent="0.25">
      <c r="A511" s="70" t="s">
        <v>45</v>
      </c>
      <c r="B511" s="25" t="s">
        <v>201</v>
      </c>
      <c r="C511" s="53" t="s">
        <v>46</v>
      </c>
      <c r="D511" s="35" t="s">
        <v>373</v>
      </c>
      <c r="E511" s="162">
        <v>0.7</v>
      </c>
      <c r="F511" s="163"/>
      <c r="G511" s="163"/>
      <c r="H511" s="163"/>
      <c r="I511" s="163"/>
      <c r="J511" s="163"/>
      <c r="K511" s="163"/>
      <c r="L511" s="163"/>
      <c r="M511" s="163"/>
      <c r="N511" s="163"/>
      <c r="O511" s="163"/>
      <c r="P511" s="163"/>
      <c r="Q511" s="164"/>
    </row>
    <row r="512" spans="1:17" ht="36" customHeight="1" x14ac:dyDescent="0.25">
      <c r="A512" s="70" t="s">
        <v>47</v>
      </c>
      <c r="B512" s="25" t="s">
        <v>37</v>
      </c>
      <c r="C512" s="53" t="s">
        <v>48</v>
      </c>
      <c r="D512" s="35" t="s">
        <v>374</v>
      </c>
      <c r="E512" s="159">
        <f>(F513*F518+G513*G518+H513*H518+I513*I518+J513*J518+K513*K518+L513*L518+M513*M518+N513*N518+O513*O518+P513*P518+Q513*Q518)/(F507*F502*F505+G507*G505*G502+H507*H502*H505+I507*I505*I502+J507*J505*J502+K507*K505*K502+L507*L505*L502+M507*M505*M502+N507*N505*N502+O507*O502*O505+P507*P505*P502+Q507*Q505*Q502)</f>
        <v>0.94693917980244369</v>
      </c>
      <c r="F512" s="160"/>
      <c r="G512" s="160"/>
      <c r="H512" s="160"/>
      <c r="I512" s="160"/>
      <c r="J512" s="160"/>
      <c r="K512" s="160"/>
      <c r="L512" s="160"/>
      <c r="M512" s="160"/>
      <c r="N512" s="160"/>
      <c r="O512" s="160"/>
      <c r="P512" s="160"/>
      <c r="Q512" s="161"/>
    </row>
    <row r="513" spans="1:133" s="9" customFormat="1" ht="46.8" x14ac:dyDescent="0.4">
      <c r="A513" s="71" t="s">
        <v>49</v>
      </c>
      <c r="B513" s="25" t="s">
        <v>37</v>
      </c>
      <c r="C513" s="53" t="s">
        <v>50</v>
      </c>
      <c r="D513" s="53" t="s">
        <v>375</v>
      </c>
      <c r="E513" s="72">
        <f>AVERAGE(F513:Q513)</f>
        <v>0.63155158305475345</v>
      </c>
      <c r="F513" s="72">
        <f>IF(F517&lt;283,0,IF(F517&gt;303,1,EXP(($E$514*(F517-$E$515))/($E$516*$E$515*F517))))</f>
        <v>0.24547412919519337</v>
      </c>
      <c r="G513" s="72">
        <f t="shared" ref="G513:Q513" si="68">IF(G517&lt;283,0,IF(G517&gt;303,1,EXP(($E$514*(G517-$E$515))/($E$516*$E$515*G517))))</f>
        <v>0.37002059672690846</v>
      </c>
      <c r="H513" s="72">
        <f t="shared" si="68"/>
        <v>0.44226396815696317</v>
      </c>
      <c r="I513" s="72">
        <f t="shared" si="68"/>
        <v>0.57531644493802248</v>
      </c>
      <c r="J513" s="72">
        <f t="shared" si="68"/>
        <v>0.84523513966163832</v>
      </c>
      <c r="K513" s="72">
        <f t="shared" si="68"/>
        <v>0.91923925774048054</v>
      </c>
      <c r="L513" s="72">
        <f t="shared" si="68"/>
        <v>1</v>
      </c>
      <c r="M513" s="72">
        <f t="shared" si="68"/>
        <v>0.91923925774048054</v>
      </c>
      <c r="N513" s="72">
        <f t="shared" si="68"/>
        <v>1</v>
      </c>
      <c r="O513" s="72">
        <f t="shared" si="68"/>
        <v>0.57531644493802248</v>
      </c>
      <c r="P513" s="72">
        <f t="shared" si="68"/>
        <v>0.40465607403307924</v>
      </c>
      <c r="Q513" s="72">
        <f t="shared" si="68"/>
        <v>0.28185768352625201</v>
      </c>
      <c r="R513" s="78"/>
      <c r="S513" s="78"/>
      <c r="T513" s="78"/>
      <c r="U513" s="78"/>
      <c r="V513" s="78"/>
      <c r="W513" s="78"/>
      <c r="X513" s="78"/>
      <c r="Y513" s="78"/>
      <c r="Z513" s="78"/>
      <c r="AA513" s="78"/>
      <c r="AB513" s="78"/>
      <c r="AC513" s="78"/>
      <c r="AD513" s="78"/>
      <c r="AE513" s="78"/>
      <c r="AF513" s="78"/>
      <c r="AG513" s="78"/>
      <c r="AH513" s="78"/>
      <c r="AI513" s="78"/>
      <c r="AJ513" s="78"/>
      <c r="AK513" s="78"/>
      <c r="AL513" s="78"/>
      <c r="AM513" s="78"/>
      <c r="AN513" s="78"/>
      <c r="AO513" s="78"/>
      <c r="AP513" s="78"/>
      <c r="AQ513" s="78"/>
      <c r="AR513" s="78"/>
      <c r="AS513" s="78"/>
      <c r="AT513" s="78"/>
      <c r="AU513" s="78"/>
      <c r="AV513" s="78"/>
      <c r="AW513" s="78"/>
      <c r="AX513" s="78"/>
      <c r="AY513" s="78"/>
      <c r="AZ513" s="78"/>
      <c r="BA513" s="78"/>
      <c r="BB513" s="78"/>
      <c r="BC513" s="78"/>
      <c r="BD513" s="78"/>
      <c r="BE513" s="78"/>
      <c r="BF513" s="78"/>
      <c r="BG513" s="78"/>
      <c r="BH513" s="78"/>
      <c r="BI513" s="78"/>
      <c r="BJ513" s="78"/>
      <c r="BK513" s="78"/>
      <c r="BL513" s="78"/>
      <c r="BM513" s="78"/>
      <c r="BN513" s="78"/>
      <c r="BO513" s="78"/>
      <c r="BP513" s="78"/>
      <c r="BQ513" s="78"/>
      <c r="BR513" s="78"/>
      <c r="BS513" s="78"/>
      <c r="BT513" s="78"/>
      <c r="BU513" s="78"/>
      <c r="BV513" s="78"/>
      <c r="BW513" s="78"/>
      <c r="BX513" s="78"/>
      <c r="BY513" s="78"/>
      <c r="BZ513" s="78"/>
      <c r="CA513" s="78"/>
      <c r="CB513" s="78"/>
      <c r="CC513" s="78"/>
      <c r="CD513" s="78"/>
      <c r="CE513" s="78"/>
      <c r="CF513" s="78"/>
      <c r="CG513" s="78"/>
      <c r="CH513" s="78"/>
      <c r="CI513" s="78"/>
      <c r="CJ513" s="78"/>
      <c r="CK513" s="78"/>
      <c r="CL513" s="78"/>
      <c r="CM513" s="78"/>
      <c r="CN513" s="78"/>
      <c r="CO513" s="78"/>
      <c r="CP513" s="78"/>
      <c r="CQ513" s="78"/>
      <c r="CR513" s="78"/>
      <c r="CS513" s="78"/>
      <c r="CT513" s="78"/>
      <c r="CU513" s="78"/>
      <c r="CV513" s="78"/>
      <c r="CW513" s="78"/>
      <c r="CX513" s="78"/>
      <c r="CY513" s="78"/>
      <c r="CZ513" s="78"/>
      <c r="DA513" s="78"/>
      <c r="DB513" s="78"/>
      <c r="DC513" s="78"/>
      <c r="DD513" s="78"/>
      <c r="DE513" s="78"/>
      <c r="DF513" s="78"/>
      <c r="DG513" s="78"/>
      <c r="DH513" s="78"/>
      <c r="DI513" s="78"/>
      <c r="DJ513" s="78"/>
      <c r="DK513" s="78"/>
      <c r="DL513" s="78"/>
      <c r="DM513" s="78"/>
      <c r="DN513" s="78"/>
      <c r="DO513" s="78"/>
      <c r="DP513" s="78"/>
      <c r="DQ513" s="78"/>
      <c r="DR513" s="78"/>
      <c r="DS513" s="78"/>
      <c r="DT513" s="78"/>
      <c r="DU513" s="78"/>
      <c r="DV513" s="78"/>
      <c r="DW513" s="78"/>
      <c r="DX513" s="78"/>
      <c r="DY513" s="78"/>
      <c r="DZ513" s="78"/>
      <c r="EA513" s="78"/>
      <c r="EB513" s="78"/>
      <c r="EC513" s="78"/>
    </row>
    <row r="514" spans="1:133" s="9" customFormat="1" x14ac:dyDescent="0.25">
      <c r="A514" s="73" t="s">
        <v>51</v>
      </c>
      <c r="B514" s="60" t="s">
        <v>202</v>
      </c>
      <c r="C514" s="53" t="s">
        <v>53</v>
      </c>
      <c r="D514" s="53" t="s">
        <v>376</v>
      </c>
      <c r="E514" s="162">
        <v>15175</v>
      </c>
      <c r="F514" s="163"/>
      <c r="G514" s="163"/>
      <c r="H514" s="163"/>
      <c r="I514" s="163"/>
      <c r="J514" s="163"/>
      <c r="K514" s="163"/>
      <c r="L514" s="163"/>
      <c r="M514" s="163"/>
      <c r="N514" s="163"/>
      <c r="O514" s="163"/>
      <c r="P514" s="163"/>
      <c r="Q514" s="164"/>
      <c r="R514" s="78"/>
      <c r="S514" s="78"/>
      <c r="T514" s="78"/>
      <c r="U514" s="78"/>
      <c r="V514" s="78"/>
      <c r="W514" s="78"/>
      <c r="X514" s="78"/>
      <c r="Y514" s="78"/>
      <c r="Z514" s="78"/>
      <c r="AA514" s="78"/>
      <c r="AB514" s="78"/>
      <c r="AC514" s="78"/>
      <c r="AD514" s="78"/>
      <c r="AE514" s="78"/>
      <c r="AF514" s="78"/>
      <c r="AG514" s="78"/>
      <c r="AH514" s="78"/>
      <c r="AI514" s="78"/>
      <c r="AJ514" s="78"/>
      <c r="AK514" s="78"/>
      <c r="AL514" s="78"/>
      <c r="AM514" s="78"/>
      <c r="AN514" s="78"/>
      <c r="AO514" s="78"/>
      <c r="AP514" s="78"/>
      <c r="AQ514" s="78"/>
      <c r="AR514" s="78"/>
      <c r="AS514" s="78"/>
      <c r="AT514" s="78"/>
      <c r="AU514" s="78"/>
      <c r="AV514" s="78"/>
      <c r="AW514" s="78"/>
      <c r="AX514" s="78"/>
      <c r="AY514" s="78"/>
      <c r="AZ514" s="78"/>
      <c r="BA514" s="78"/>
      <c r="BB514" s="78"/>
      <c r="BC514" s="78"/>
      <c r="BD514" s="78"/>
      <c r="BE514" s="78"/>
      <c r="BF514" s="78"/>
      <c r="BG514" s="78"/>
      <c r="BH514" s="78"/>
      <c r="BI514" s="78"/>
      <c r="BJ514" s="78"/>
      <c r="BK514" s="78"/>
      <c r="BL514" s="78"/>
      <c r="BM514" s="78"/>
      <c r="BN514" s="78"/>
      <c r="BO514" s="78"/>
      <c r="BP514" s="78"/>
      <c r="BQ514" s="78"/>
      <c r="BR514" s="78"/>
      <c r="BS514" s="78"/>
      <c r="BT514" s="78"/>
      <c r="BU514" s="78"/>
      <c r="BV514" s="78"/>
      <c r="BW514" s="78"/>
      <c r="BX514" s="78"/>
      <c r="BY514" s="78"/>
      <c r="BZ514" s="78"/>
      <c r="CA514" s="78"/>
      <c r="CB514" s="78"/>
      <c r="CC514" s="78"/>
      <c r="CD514" s="78"/>
      <c r="CE514" s="78"/>
      <c r="CF514" s="78"/>
      <c r="CG514" s="78"/>
      <c r="CH514" s="78"/>
      <c r="CI514" s="78"/>
      <c r="CJ514" s="78"/>
      <c r="CK514" s="78"/>
      <c r="CL514" s="78"/>
      <c r="CM514" s="78"/>
      <c r="CN514" s="78"/>
      <c r="CO514" s="78"/>
      <c r="CP514" s="78"/>
      <c r="CQ514" s="78"/>
      <c r="CR514" s="78"/>
      <c r="CS514" s="78"/>
      <c r="CT514" s="78"/>
      <c r="CU514" s="78"/>
      <c r="CV514" s="78"/>
      <c r="CW514" s="78"/>
      <c r="CX514" s="78"/>
      <c r="CY514" s="78"/>
      <c r="CZ514" s="78"/>
      <c r="DA514" s="78"/>
      <c r="DB514" s="78"/>
      <c r="DC514" s="78"/>
      <c r="DD514" s="78"/>
      <c r="DE514" s="78"/>
      <c r="DF514" s="78"/>
      <c r="DG514" s="78"/>
      <c r="DH514" s="78"/>
      <c r="DI514" s="78"/>
      <c r="DJ514" s="78"/>
      <c r="DK514" s="78"/>
      <c r="DL514" s="78"/>
      <c r="DM514" s="78"/>
      <c r="DN514" s="78"/>
      <c r="DO514" s="78"/>
      <c r="DP514" s="78"/>
      <c r="DQ514" s="78"/>
      <c r="DR514" s="78"/>
      <c r="DS514" s="78"/>
      <c r="DT514" s="78"/>
      <c r="DU514" s="78"/>
      <c r="DV514" s="78"/>
      <c r="DW514" s="78"/>
      <c r="DX514" s="78"/>
      <c r="DY514" s="78"/>
      <c r="DZ514" s="78"/>
      <c r="EA514" s="78"/>
      <c r="EB514" s="78"/>
      <c r="EC514" s="78"/>
    </row>
    <row r="515" spans="1:133" s="9" customFormat="1" ht="18" x14ac:dyDescent="0.25">
      <c r="A515" s="73" t="s">
        <v>54</v>
      </c>
      <c r="B515" s="60" t="s">
        <v>203</v>
      </c>
      <c r="C515" s="53" t="s">
        <v>56</v>
      </c>
      <c r="D515" s="53" t="s">
        <v>376</v>
      </c>
      <c r="E515" s="162">
        <v>303.16000000000003</v>
      </c>
      <c r="F515" s="163"/>
      <c r="G515" s="163"/>
      <c r="H515" s="163"/>
      <c r="I515" s="163"/>
      <c r="J515" s="163"/>
      <c r="K515" s="163"/>
      <c r="L515" s="163"/>
      <c r="M515" s="163"/>
      <c r="N515" s="163"/>
      <c r="O515" s="163"/>
      <c r="P515" s="163"/>
      <c r="Q515" s="164"/>
      <c r="R515" s="78"/>
      <c r="S515" s="78"/>
      <c r="T515" s="78"/>
      <c r="U515" s="78"/>
      <c r="V515" s="78"/>
      <c r="W515" s="78"/>
      <c r="X515" s="78"/>
      <c r="Y515" s="78"/>
      <c r="Z515" s="78"/>
      <c r="AA515" s="78"/>
      <c r="AB515" s="78"/>
      <c r="AC515" s="78"/>
      <c r="AD515" s="78"/>
      <c r="AE515" s="78"/>
      <c r="AF515" s="78"/>
      <c r="AG515" s="78"/>
      <c r="AH515" s="78"/>
      <c r="AI515" s="78"/>
      <c r="AJ515" s="78"/>
      <c r="AK515" s="78"/>
      <c r="AL515" s="78"/>
      <c r="AM515" s="78"/>
      <c r="AN515" s="78"/>
      <c r="AO515" s="78"/>
      <c r="AP515" s="78"/>
      <c r="AQ515" s="78"/>
      <c r="AR515" s="78"/>
      <c r="AS515" s="78"/>
      <c r="AT515" s="78"/>
      <c r="AU515" s="78"/>
      <c r="AV515" s="78"/>
      <c r="AW515" s="78"/>
      <c r="AX515" s="78"/>
      <c r="AY515" s="78"/>
      <c r="AZ515" s="78"/>
      <c r="BA515" s="78"/>
      <c r="BB515" s="78"/>
      <c r="BC515" s="78"/>
      <c r="BD515" s="78"/>
      <c r="BE515" s="78"/>
      <c r="BF515" s="78"/>
      <c r="BG515" s="78"/>
      <c r="BH515" s="78"/>
      <c r="BI515" s="78"/>
      <c r="BJ515" s="78"/>
      <c r="BK515" s="78"/>
      <c r="BL515" s="78"/>
      <c r="BM515" s="78"/>
      <c r="BN515" s="78"/>
      <c r="BO515" s="78"/>
      <c r="BP515" s="78"/>
      <c r="BQ515" s="78"/>
      <c r="BR515" s="78"/>
      <c r="BS515" s="78"/>
      <c r="BT515" s="78"/>
      <c r="BU515" s="78"/>
      <c r="BV515" s="78"/>
      <c r="BW515" s="78"/>
      <c r="BX515" s="78"/>
      <c r="BY515" s="78"/>
      <c r="BZ515" s="78"/>
      <c r="CA515" s="78"/>
      <c r="CB515" s="78"/>
      <c r="CC515" s="78"/>
      <c r="CD515" s="78"/>
      <c r="CE515" s="78"/>
      <c r="CF515" s="78"/>
      <c r="CG515" s="78"/>
      <c r="CH515" s="78"/>
      <c r="CI515" s="78"/>
      <c r="CJ515" s="78"/>
      <c r="CK515" s="78"/>
      <c r="CL515" s="78"/>
      <c r="CM515" s="78"/>
      <c r="CN515" s="78"/>
      <c r="CO515" s="78"/>
      <c r="CP515" s="78"/>
      <c r="CQ515" s="78"/>
      <c r="CR515" s="78"/>
      <c r="CS515" s="78"/>
      <c r="CT515" s="78"/>
      <c r="CU515" s="78"/>
      <c r="CV515" s="78"/>
      <c r="CW515" s="78"/>
      <c r="CX515" s="78"/>
      <c r="CY515" s="78"/>
      <c r="CZ515" s="78"/>
      <c r="DA515" s="78"/>
      <c r="DB515" s="78"/>
      <c r="DC515" s="78"/>
      <c r="DD515" s="78"/>
      <c r="DE515" s="78"/>
      <c r="DF515" s="78"/>
      <c r="DG515" s="78"/>
      <c r="DH515" s="78"/>
      <c r="DI515" s="78"/>
      <c r="DJ515" s="78"/>
      <c r="DK515" s="78"/>
      <c r="DL515" s="78"/>
      <c r="DM515" s="78"/>
      <c r="DN515" s="78"/>
      <c r="DO515" s="78"/>
      <c r="DP515" s="78"/>
      <c r="DQ515" s="78"/>
      <c r="DR515" s="78"/>
      <c r="DS515" s="78"/>
      <c r="DT515" s="78"/>
      <c r="DU515" s="78"/>
      <c r="DV515" s="78"/>
      <c r="DW515" s="78"/>
      <c r="DX515" s="78"/>
      <c r="DY515" s="78"/>
      <c r="DZ515" s="78"/>
      <c r="EA515" s="78"/>
      <c r="EB515" s="78"/>
      <c r="EC515" s="78"/>
    </row>
    <row r="516" spans="1:133" s="9" customFormat="1" x14ac:dyDescent="0.25">
      <c r="A516" s="73" t="s">
        <v>57</v>
      </c>
      <c r="B516" s="60" t="s">
        <v>204</v>
      </c>
      <c r="C516" s="53" t="s">
        <v>59</v>
      </c>
      <c r="D516" s="53" t="s">
        <v>376</v>
      </c>
      <c r="E516" s="162">
        <v>1.9870000000000001</v>
      </c>
      <c r="F516" s="163"/>
      <c r="G516" s="163"/>
      <c r="H516" s="163"/>
      <c r="I516" s="163"/>
      <c r="J516" s="163"/>
      <c r="K516" s="163"/>
      <c r="L516" s="163"/>
      <c r="M516" s="163"/>
      <c r="N516" s="163"/>
      <c r="O516" s="163"/>
      <c r="P516" s="163"/>
      <c r="Q516" s="164"/>
      <c r="R516" s="78"/>
      <c r="S516" s="78"/>
      <c r="T516" s="78"/>
      <c r="U516" s="78"/>
      <c r="V516" s="78"/>
      <c r="W516" s="78"/>
      <c r="X516" s="78"/>
      <c r="Y516" s="78"/>
      <c r="Z516" s="78"/>
      <c r="AA516" s="78"/>
      <c r="AB516" s="78"/>
      <c r="AC516" s="78"/>
      <c r="AD516" s="78"/>
      <c r="AE516" s="78"/>
      <c r="AF516" s="78"/>
      <c r="AG516" s="78"/>
      <c r="AH516" s="78"/>
      <c r="AI516" s="78"/>
      <c r="AJ516" s="78"/>
      <c r="AK516" s="78"/>
      <c r="AL516" s="78"/>
      <c r="AM516" s="78"/>
      <c r="AN516" s="78"/>
      <c r="AO516" s="78"/>
      <c r="AP516" s="78"/>
      <c r="AQ516" s="78"/>
      <c r="AR516" s="78"/>
      <c r="AS516" s="78"/>
      <c r="AT516" s="78"/>
      <c r="AU516" s="78"/>
      <c r="AV516" s="78"/>
      <c r="AW516" s="78"/>
      <c r="AX516" s="78"/>
      <c r="AY516" s="78"/>
      <c r="AZ516" s="78"/>
      <c r="BA516" s="78"/>
      <c r="BB516" s="78"/>
      <c r="BC516" s="78"/>
      <c r="BD516" s="78"/>
      <c r="BE516" s="78"/>
      <c r="BF516" s="78"/>
      <c r="BG516" s="78"/>
      <c r="BH516" s="78"/>
      <c r="BI516" s="78"/>
      <c r="BJ516" s="78"/>
      <c r="BK516" s="78"/>
      <c r="BL516" s="78"/>
      <c r="BM516" s="78"/>
      <c r="BN516" s="78"/>
      <c r="BO516" s="78"/>
      <c r="BP516" s="78"/>
      <c r="BQ516" s="78"/>
      <c r="BR516" s="78"/>
      <c r="BS516" s="78"/>
      <c r="BT516" s="78"/>
      <c r="BU516" s="78"/>
      <c r="BV516" s="78"/>
      <c r="BW516" s="78"/>
      <c r="BX516" s="78"/>
      <c r="BY516" s="78"/>
      <c r="BZ516" s="78"/>
      <c r="CA516" s="78"/>
      <c r="CB516" s="78"/>
      <c r="CC516" s="78"/>
      <c r="CD516" s="78"/>
      <c r="CE516" s="78"/>
      <c r="CF516" s="78"/>
      <c r="CG516" s="78"/>
      <c r="CH516" s="78"/>
      <c r="CI516" s="78"/>
      <c r="CJ516" s="78"/>
      <c r="CK516" s="78"/>
      <c r="CL516" s="78"/>
      <c r="CM516" s="78"/>
      <c r="CN516" s="78"/>
      <c r="CO516" s="78"/>
      <c r="CP516" s="78"/>
      <c r="CQ516" s="78"/>
      <c r="CR516" s="78"/>
      <c r="CS516" s="78"/>
      <c r="CT516" s="78"/>
      <c r="CU516" s="78"/>
      <c r="CV516" s="78"/>
      <c r="CW516" s="78"/>
      <c r="CX516" s="78"/>
      <c r="CY516" s="78"/>
      <c r="CZ516" s="78"/>
      <c r="DA516" s="78"/>
      <c r="DB516" s="78"/>
      <c r="DC516" s="78"/>
      <c r="DD516" s="78"/>
      <c r="DE516" s="78"/>
      <c r="DF516" s="78"/>
      <c r="DG516" s="78"/>
      <c r="DH516" s="78"/>
      <c r="DI516" s="78"/>
      <c r="DJ516" s="78"/>
      <c r="DK516" s="78"/>
      <c r="DL516" s="78"/>
      <c r="DM516" s="78"/>
      <c r="DN516" s="78"/>
      <c r="DO516" s="78"/>
      <c r="DP516" s="78"/>
      <c r="DQ516" s="78"/>
      <c r="DR516" s="78"/>
      <c r="DS516" s="78"/>
      <c r="DT516" s="78"/>
      <c r="DU516" s="78"/>
      <c r="DV516" s="78"/>
      <c r="DW516" s="78"/>
      <c r="DX516" s="78"/>
      <c r="DY516" s="78"/>
      <c r="DZ516" s="78"/>
      <c r="EA516" s="78"/>
      <c r="EB516" s="78"/>
      <c r="EC516" s="78"/>
    </row>
    <row r="517" spans="1:133" s="9" customFormat="1" ht="31.2" x14ac:dyDescent="0.25">
      <c r="A517" s="73" t="s">
        <v>60</v>
      </c>
      <c r="B517" s="60" t="s">
        <v>203</v>
      </c>
      <c r="C517" s="53" t="s">
        <v>61</v>
      </c>
      <c r="D517" s="143" t="s">
        <v>363</v>
      </c>
      <c r="E517" s="98">
        <f>AVERAGE(F517:Q517)</f>
        <v>296.60833333333341</v>
      </c>
      <c r="F517" s="60">
        <v>287.14999999999998</v>
      </c>
      <c r="G517" s="60">
        <v>291.64999999999998</v>
      </c>
      <c r="H517" s="60">
        <v>293.64999999999998</v>
      </c>
      <c r="I517" s="60">
        <v>296.64999999999998</v>
      </c>
      <c r="J517" s="60">
        <v>301.14999999999998</v>
      </c>
      <c r="K517" s="60">
        <v>302.14999999999998</v>
      </c>
      <c r="L517" s="60">
        <v>303.64999999999998</v>
      </c>
      <c r="M517" s="60">
        <v>302.14999999999998</v>
      </c>
      <c r="N517" s="60">
        <v>303.14999999999998</v>
      </c>
      <c r="O517" s="60">
        <v>296.64999999999998</v>
      </c>
      <c r="P517" s="60">
        <v>292.64999999999998</v>
      </c>
      <c r="Q517" s="60">
        <v>288.64999999999998</v>
      </c>
      <c r="R517" s="78"/>
      <c r="S517" s="78"/>
      <c r="T517" s="78"/>
      <c r="U517" s="78"/>
      <c r="V517" s="78"/>
      <c r="W517" s="78"/>
      <c r="X517" s="78"/>
      <c r="Y517" s="78"/>
      <c r="Z517" s="78"/>
      <c r="AA517" s="78"/>
      <c r="AB517" s="78"/>
      <c r="AC517" s="78"/>
      <c r="AD517" s="78"/>
      <c r="AE517" s="78"/>
      <c r="AF517" s="78"/>
      <c r="AG517" s="78"/>
      <c r="AH517" s="78"/>
      <c r="AI517" s="78"/>
      <c r="AJ517" s="78"/>
      <c r="AK517" s="78"/>
      <c r="AL517" s="78"/>
      <c r="AM517" s="78"/>
      <c r="AN517" s="78"/>
      <c r="AO517" s="78"/>
      <c r="AP517" s="78"/>
      <c r="AQ517" s="78"/>
      <c r="AR517" s="78"/>
      <c r="AS517" s="78"/>
      <c r="AT517" s="78"/>
      <c r="AU517" s="78"/>
      <c r="AV517" s="78"/>
      <c r="AW517" s="78"/>
      <c r="AX517" s="78"/>
      <c r="AY517" s="78"/>
      <c r="AZ517" s="78"/>
      <c r="BA517" s="78"/>
      <c r="BB517" s="78"/>
      <c r="BC517" s="78"/>
      <c r="BD517" s="78"/>
      <c r="BE517" s="78"/>
      <c r="BF517" s="78"/>
      <c r="BG517" s="78"/>
      <c r="BH517" s="78"/>
      <c r="BI517" s="78"/>
      <c r="BJ517" s="78"/>
      <c r="BK517" s="78"/>
      <c r="BL517" s="78"/>
      <c r="BM517" s="78"/>
      <c r="BN517" s="78"/>
      <c r="BO517" s="78"/>
      <c r="BP517" s="78"/>
      <c r="BQ517" s="78"/>
      <c r="BR517" s="78"/>
      <c r="BS517" s="78"/>
      <c r="BT517" s="78"/>
      <c r="BU517" s="78"/>
      <c r="BV517" s="78"/>
      <c r="BW517" s="78"/>
      <c r="BX517" s="78"/>
      <c r="BY517" s="78"/>
      <c r="BZ517" s="78"/>
      <c r="CA517" s="78"/>
      <c r="CB517" s="78"/>
      <c r="CC517" s="78"/>
      <c r="CD517" s="78"/>
      <c r="CE517" s="78"/>
      <c r="CF517" s="78"/>
      <c r="CG517" s="78"/>
      <c r="CH517" s="78"/>
      <c r="CI517" s="78"/>
      <c r="CJ517" s="78"/>
      <c r="CK517" s="78"/>
      <c r="CL517" s="78"/>
      <c r="CM517" s="78"/>
      <c r="CN517" s="78"/>
      <c r="CO517" s="78"/>
      <c r="CP517" s="78"/>
      <c r="CQ517" s="78"/>
      <c r="CR517" s="78"/>
      <c r="CS517" s="78"/>
      <c r="CT517" s="78"/>
      <c r="CU517" s="78"/>
      <c r="CV517" s="78"/>
      <c r="CW517" s="78"/>
      <c r="CX517" s="78"/>
      <c r="CY517" s="78"/>
      <c r="CZ517" s="78"/>
      <c r="DA517" s="78"/>
      <c r="DB517" s="78"/>
      <c r="DC517" s="78"/>
      <c r="DD517" s="78"/>
      <c r="DE517" s="78"/>
      <c r="DF517" s="78"/>
      <c r="DG517" s="78"/>
      <c r="DH517" s="78"/>
      <c r="DI517" s="78"/>
      <c r="DJ517" s="78"/>
      <c r="DK517" s="78"/>
      <c r="DL517" s="78"/>
      <c r="DM517" s="78"/>
      <c r="DN517" s="78"/>
      <c r="DO517" s="78"/>
      <c r="DP517" s="78"/>
      <c r="DQ517" s="78"/>
      <c r="DR517" s="78"/>
      <c r="DS517" s="78"/>
      <c r="DT517" s="78"/>
      <c r="DU517" s="78"/>
      <c r="DV517" s="78"/>
      <c r="DW517" s="78"/>
      <c r="DX517" s="78"/>
      <c r="DY517" s="78"/>
      <c r="DZ517" s="78"/>
      <c r="EA517" s="78"/>
      <c r="EB517" s="78"/>
      <c r="EC517" s="78"/>
    </row>
    <row r="518" spans="1:133" s="9" customFormat="1" ht="31.2" x14ac:dyDescent="0.4">
      <c r="A518" s="71" t="s">
        <v>62</v>
      </c>
      <c r="B518" s="60" t="s">
        <v>196</v>
      </c>
      <c r="C518" s="53" t="s">
        <v>63</v>
      </c>
      <c r="D518" s="53" t="s">
        <v>377</v>
      </c>
      <c r="E518" s="74">
        <f>SUM(F518:Q518)</f>
        <v>1298.5595040932239</v>
      </c>
      <c r="F518" s="74">
        <f>F507*F502*F505+(1-F513)*'Baseline Emissions 2020'!Q518</f>
        <v>163.64282798367688</v>
      </c>
      <c r="G518" s="74">
        <f t="shared" ref="G518:Q518" si="69">G507*G502*G505+(1-G513)*F518</f>
        <v>158.07296229207358</v>
      </c>
      <c r="H518" s="74">
        <f t="shared" si="69"/>
        <v>149.01502507133711</v>
      </c>
      <c r="I518" s="74">
        <f t="shared" si="69"/>
        <v>122.19542866078122</v>
      </c>
      <c r="J518" s="74">
        <f t="shared" si="69"/>
        <v>85.823930121287219</v>
      </c>
      <c r="K518" s="74">
        <f t="shared" si="69"/>
        <v>68.825407489945221</v>
      </c>
      <c r="L518" s="74">
        <f t="shared" si="69"/>
        <v>64.008714475699989</v>
      </c>
      <c r="M518" s="74">
        <f t="shared" si="69"/>
        <v>69.139218057688169</v>
      </c>
      <c r="N518" s="74">
        <f>N507*N502*N505+(1-N513)*0</f>
        <v>64.79495321519228</v>
      </c>
      <c r="O518" s="74">
        <f t="shared" si="69"/>
        <v>94.380572284805396</v>
      </c>
      <c r="P518" s="74">
        <f t="shared" si="69"/>
        <v>115.12484888658221</v>
      </c>
      <c r="Q518" s="74">
        <f t="shared" si="69"/>
        <v>143.53561555415462</v>
      </c>
      <c r="R518" s="78"/>
      <c r="S518" s="78"/>
      <c r="T518" s="78"/>
      <c r="U518" s="78"/>
      <c r="V518" s="78"/>
      <c r="W518" s="78"/>
      <c r="X518" s="78"/>
      <c r="Y518" s="78"/>
      <c r="Z518" s="78"/>
      <c r="AA518" s="78"/>
      <c r="AB518" s="78"/>
      <c r="AC518" s="78"/>
      <c r="AD518" s="78"/>
      <c r="AE518" s="78"/>
      <c r="AF518" s="78"/>
      <c r="AG518" s="78"/>
      <c r="AH518" s="78"/>
      <c r="AI518" s="78"/>
      <c r="AJ518" s="78"/>
      <c r="AK518" s="78"/>
      <c r="AL518" s="78"/>
      <c r="AM518" s="78"/>
      <c r="AN518" s="78"/>
      <c r="AO518" s="78"/>
      <c r="AP518" s="78"/>
      <c r="AQ518" s="78"/>
      <c r="AR518" s="78"/>
      <c r="AS518" s="78"/>
      <c r="AT518" s="78"/>
      <c r="AU518" s="78"/>
      <c r="AV518" s="78"/>
      <c r="AW518" s="78"/>
      <c r="AX518" s="78"/>
      <c r="AY518" s="78"/>
      <c r="AZ518" s="78"/>
      <c r="BA518" s="78"/>
      <c r="BB518" s="78"/>
      <c r="BC518" s="78"/>
      <c r="BD518" s="78"/>
      <c r="BE518" s="78"/>
      <c r="BF518" s="78"/>
      <c r="BG518" s="78"/>
      <c r="BH518" s="78"/>
      <c r="BI518" s="78"/>
      <c r="BJ518" s="78"/>
      <c r="BK518" s="78"/>
      <c r="BL518" s="78"/>
      <c r="BM518" s="78"/>
      <c r="BN518" s="78"/>
      <c r="BO518" s="78"/>
      <c r="BP518" s="78"/>
      <c r="BQ518" s="78"/>
      <c r="BR518" s="78"/>
      <c r="BS518" s="78"/>
      <c r="BT518" s="78"/>
      <c r="BU518" s="78"/>
      <c r="BV518" s="78"/>
      <c r="BW518" s="78"/>
      <c r="BX518" s="78"/>
      <c r="BY518" s="78"/>
      <c r="BZ518" s="78"/>
      <c r="CA518" s="78"/>
      <c r="CB518" s="78"/>
      <c r="CC518" s="78"/>
      <c r="CD518" s="78"/>
      <c r="CE518" s="78"/>
      <c r="CF518" s="78"/>
      <c r="CG518" s="78"/>
      <c r="CH518" s="78"/>
      <c r="CI518" s="78"/>
      <c r="CJ518" s="78"/>
      <c r="CK518" s="78"/>
      <c r="CL518" s="78"/>
      <c r="CM518" s="78"/>
      <c r="CN518" s="78"/>
      <c r="CO518" s="78"/>
      <c r="CP518" s="78"/>
      <c r="CQ518" s="78"/>
      <c r="CR518" s="78"/>
      <c r="CS518" s="78"/>
      <c r="CT518" s="78"/>
      <c r="CU518" s="78"/>
      <c r="CV518" s="78"/>
      <c r="CW518" s="78"/>
      <c r="CX518" s="78"/>
      <c r="CY518" s="78"/>
      <c r="CZ518" s="78"/>
      <c r="DA518" s="78"/>
      <c r="DB518" s="78"/>
      <c r="DC518" s="78"/>
      <c r="DD518" s="78"/>
      <c r="DE518" s="78"/>
      <c r="DF518" s="78"/>
      <c r="DG518" s="78"/>
      <c r="DH518" s="78"/>
      <c r="DI518" s="78"/>
      <c r="DJ518" s="78"/>
      <c r="DK518" s="78"/>
      <c r="DL518" s="78"/>
      <c r="DM518" s="78"/>
      <c r="DN518" s="78"/>
      <c r="DO518" s="78"/>
      <c r="DP518" s="78"/>
      <c r="DQ518" s="78"/>
      <c r="DR518" s="78"/>
      <c r="DS518" s="78"/>
      <c r="DT518" s="78"/>
      <c r="DU518" s="78"/>
      <c r="DV518" s="78"/>
      <c r="DW518" s="78"/>
      <c r="DX518" s="78"/>
      <c r="DY518" s="78"/>
      <c r="DZ518" s="78"/>
      <c r="EA518" s="78"/>
      <c r="EB518" s="78"/>
      <c r="EC518" s="78"/>
    </row>
    <row r="520" spans="1:133" ht="15.6" customHeight="1" x14ac:dyDescent="0.25">
      <c r="A520" s="36" t="s">
        <v>64</v>
      </c>
      <c r="B520" s="36"/>
      <c r="C520" s="36"/>
      <c r="D520" s="36"/>
      <c r="E520" s="36"/>
    </row>
    <row r="521" spans="1:133" x14ac:dyDescent="0.25">
      <c r="A521" s="57" t="s">
        <v>8</v>
      </c>
      <c r="B521" s="58" t="s">
        <v>9</v>
      </c>
      <c r="C521" s="34" t="s">
        <v>10</v>
      </c>
      <c r="D521" s="34" t="s">
        <v>340</v>
      </c>
      <c r="E521" s="16" t="s">
        <v>65</v>
      </c>
    </row>
    <row r="522" spans="1:133" ht="46.8" x14ac:dyDescent="0.25">
      <c r="A522" s="59" t="s">
        <v>66</v>
      </c>
      <c r="B522" s="60" t="s">
        <v>14</v>
      </c>
      <c r="C522" s="53" t="s">
        <v>67</v>
      </c>
      <c r="D522" s="53" t="s">
        <v>68</v>
      </c>
      <c r="E522" s="75">
        <v>0</v>
      </c>
    </row>
    <row r="523" spans="1:133" ht="46.8" x14ac:dyDescent="0.25">
      <c r="A523" s="63" t="s">
        <v>69</v>
      </c>
      <c r="B523" s="25" t="s">
        <v>70</v>
      </c>
      <c r="C523" s="35" t="s">
        <v>71</v>
      </c>
      <c r="D523" s="53" t="str">
        <f>D529</f>
        <v>Historical data on site in the FSR (It was calculated with conservative value)</v>
      </c>
      <c r="E523" s="74">
        <f>E529</f>
        <v>345.55403041171002</v>
      </c>
    </row>
    <row r="525" spans="1:133" ht="15.6" customHeight="1" x14ac:dyDescent="0.25">
      <c r="A525" s="90" t="s">
        <v>72</v>
      </c>
      <c r="B525" s="90"/>
      <c r="C525" s="91"/>
      <c r="D525" s="91"/>
      <c r="E525" s="90"/>
    </row>
    <row r="526" spans="1:133" x14ac:dyDescent="0.25">
      <c r="A526" s="59" t="s">
        <v>8</v>
      </c>
      <c r="B526" s="16" t="s">
        <v>9</v>
      </c>
      <c r="C526" s="38" t="s">
        <v>10</v>
      </c>
      <c r="D526" s="38" t="s">
        <v>340</v>
      </c>
      <c r="E526" s="16" t="s">
        <v>65</v>
      </c>
    </row>
    <row r="527" spans="1:133" ht="33.6" x14ac:dyDescent="0.4">
      <c r="A527" s="76" t="s">
        <v>73</v>
      </c>
      <c r="B527" s="25" t="s">
        <v>74</v>
      </c>
      <c r="C527" s="35" t="s">
        <v>75</v>
      </c>
      <c r="D527" s="35" t="s">
        <v>378</v>
      </c>
      <c r="E527" s="50">
        <f>E528*E531*E532*E533*E534*E535</f>
        <v>1.4035475089008012</v>
      </c>
    </row>
    <row r="528" spans="1:133" s="13" customFormat="1" ht="46.8" x14ac:dyDescent="0.4">
      <c r="A528" s="77" t="s">
        <v>207</v>
      </c>
      <c r="B528" s="25" t="s">
        <v>76</v>
      </c>
      <c r="C528" s="35" t="s">
        <v>77</v>
      </c>
      <c r="D528" s="35" t="s">
        <v>379</v>
      </c>
      <c r="E528" s="52">
        <f>E529/E530</f>
        <v>69.110806082342009</v>
      </c>
      <c r="R528" s="14"/>
      <c r="S528" s="14"/>
      <c r="T528" s="14"/>
      <c r="U528" s="14"/>
      <c r="V528" s="14"/>
      <c r="W528" s="14"/>
      <c r="X528" s="14"/>
      <c r="Y528" s="14"/>
      <c r="Z528" s="14"/>
      <c r="AA528" s="14"/>
      <c r="AB528" s="14"/>
      <c r="AC528" s="14"/>
      <c r="AD528" s="14"/>
      <c r="AE528" s="14"/>
      <c r="AF528" s="14"/>
      <c r="AG528" s="14"/>
      <c r="AH528" s="14"/>
      <c r="AI528" s="14"/>
      <c r="AJ528" s="14"/>
      <c r="AK528" s="14"/>
      <c r="AL528" s="14"/>
      <c r="AM528" s="14"/>
      <c r="AN528" s="14"/>
      <c r="AO528" s="14"/>
      <c r="AP528" s="14"/>
      <c r="AQ528" s="14"/>
      <c r="AR528" s="14"/>
      <c r="AS528" s="14"/>
      <c r="AT528" s="14"/>
      <c r="AU528" s="14"/>
      <c r="AV528" s="14"/>
      <c r="AW528" s="14"/>
      <c r="AX528" s="14"/>
      <c r="AY528" s="14"/>
      <c r="AZ528" s="14"/>
      <c r="BA528" s="14"/>
      <c r="BB528" s="14"/>
      <c r="BC528" s="14"/>
      <c r="BD528" s="14"/>
      <c r="BE528" s="14"/>
      <c r="BF528" s="14"/>
      <c r="BG528" s="14"/>
      <c r="BH528" s="14"/>
      <c r="BI528" s="14"/>
      <c r="BJ528" s="14"/>
      <c r="BK528" s="14"/>
      <c r="BL528" s="14"/>
      <c r="BM528" s="14"/>
      <c r="BN528" s="14"/>
      <c r="BO528" s="14"/>
      <c r="BP528" s="14"/>
      <c r="BQ528" s="14"/>
      <c r="BR528" s="14"/>
      <c r="BS528" s="14"/>
      <c r="BT528" s="14"/>
      <c r="BU528" s="14"/>
      <c r="BV528" s="14"/>
      <c r="BW528" s="14"/>
      <c r="BX528" s="14"/>
      <c r="BY528" s="14"/>
      <c r="BZ528" s="14"/>
      <c r="CA528" s="14"/>
      <c r="CB528" s="14"/>
      <c r="CC528" s="14"/>
      <c r="CD528" s="14"/>
      <c r="CE528" s="14"/>
      <c r="CF528" s="14"/>
      <c r="CG528" s="14"/>
      <c r="CH528" s="14"/>
      <c r="CI528" s="14"/>
      <c r="CJ528" s="14"/>
      <c r="CK528" s="14"/>
      <c r="CL528" s="14"/>
      <c r="CM528" s="14"/>
      <c r="CN528" s="14"/>
      <c r="CO528" s="14"/>
      <c r="CP528" s="14"/>
      <c r="CQ528" s="14"/>
      <c r="CR528" s="14"/>
      <c r="CS528" s="14"/>
      <c r="CT528" s="14"/>
      <c r="CU528" s="14"/>
      <c r="CV528" s="14"/>
      <c r="CW528" s="14"/>
      <c r="CX528" s="14"/>
      <c r="CY528" s="14"/>
      <c r="CZ528" s="14"/>
      <c r="DA528" s="14"/>
      <c r="DB528" s="14"/>
      <c r="DC528" s="14"/>
      <c r="DD528" s="14"/>
      <c r="DE528" s="14"/>
      <c r="DF528" s="14"/>
      <c r="DG528" s="14"/>
      <c r="DH528" s="14"/>
      <c r="DI528" s="14"/>
      <c r="DJ528" s="14"/>
      <c r="DK528" s="14"/>
      <c r="DL528" s="14"/>
      <c r="DM528" s="14"/>
      <c r="DN528" s="14"/>
      <c r="DO528" s="14"/>
      <c r="DP528" s="14"/>
      <c r="DQ528" s="14"/>
      <c r="DR528" s="14"/>
      <c r="DS528" s="14"/>
      <c r="DT528" s="14"/>
      <c r="DU528" s="14"/>
      <c r="DV528" s="14"/>
      <c r="DW528" s="14"/>
      <c r="DX528" s="14"/>
      <c r="DY528" s="14"/>
      <c r="DZ528" s="14"/>
      <c r="EA528" s="14"/>
      <c r="EB528" s="14"/>
      <c r="EC528" s="14"/>
    </row>
    <row r="529" spans="1:133" s="13" customFormat="1" ht="46.8" x14ac:dyDescent="0.25">
      <c r="A529" s="63" t="s">
        <v>208</v>
      </c>
      <c r="B529" s="25" t="s">
        <v>78</v>
      </c>
      <c r="C529" s="35" t="s">
        <v>79</v>
      </c>
      <c r="D529" s="53" t="s">
        <v>352</v>
      </c>
      <c r="E529" s="52">
        <f>0.000185905191120614*E502</f>
        <v>345.55403041171002</v>
      </c>
      <c r="R529" s="14"/>
      <c r="S529" s="14"/>
      <c r="T529" s="14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4"/>
      <c r="AF529" s="14"/>
      <c r="AG529" s="14"/>
      <c r="AH529" s="14"/>
      <c r="AI529" s="14"/>
      <c r="AJ529" s="14"/>
      <c r="AK529" s="14"/>
      <c r="AL529" s="14"/>
      <c r="AM529" s="14"/>
      <c r="AN529" s="14"/>
      <c r="AO529" s="14"/>
      <c r="AP529" s="14"/>
      <c r="AQ529" s="14"/>
      <c r="AR529" s="14"/>
      <c r="AS529" s="14"/>
      <c r="AT529" s="14"/>
      <c r="AU529" s="14"/>
      <c r="AV529" s="14"/>
      <c r="AW529" s="14"/>
      <c r="AX529" s="14"/>
      <c r="AY529" s="14"/>
      <c r="AZ529" s="14"/>
      <c r="BA529" s="14"/>
      <c r="BB529" s="14"/>
      <c r="BC529" s="14"/>
      <c r="BD529" s="14"/>
      <c r="BE529" s="14"/>
      <c r="BF529" s="14"/>
      <c r="BG529" s="14"/>
      <c r="BH529" s="14"/>
      <c r="BI529" s="14"/>
      <c r="BJ529" s="14"/>
      <c r="BK529" s="14"/>
      <c r="BL529" s="14"/>
      <c r="BM529" s="14"/>
      <c r="BN529" s="14"/>
      <c r="BO529" s="14"/>
      <c r="BP529" s="14"/>
      <c r="BQ529" s="14"/>
      <c r="BR529" s="14"/>
      <c r="BS529" s="14"/>
      <c r="BT529" s="14"/>
      <c r="BU529" s="14"/>
      <c r="BV529" s="14"/>
      <c r="BW529" s="14"/>
      <c r="BX529" s="14"/>
      <c r="BY529" s="14"/>
      <c r="BZ529" s="14"/>
      <c r="CA529" s="14"/>
      <c r="CB529" s="14"/>
      <c r="CC529" s="14"/>
      <c r="CD529" s="14"/>
      <c r="CE529" s="14"/>
      <c r="CF529" s="14"/>
      <c r="CG529" s="14"/>
      <c r="CH529" s="14"/>
      <c r="CI529" s="14"/>
      <c r="CJ529" s="14"/>
      <c r="CK529" s="14"/>
      <c r="CL529" s="14"/>
      <c r="CM529" s="14"/>
      <c r="CN529" s="14"/>
      <c r="CO529" s="14"/>
      <c r="CP529" s="14"/>
      <c r="CQ529" s="14"/>
      <c r="CR529" s="14"/>
      <c r="CS529" s="14"/>
      <c r="CT529" s="14"/>
      <c r="CU529" s="14"/>
      <c r="CV529" s="14"/>
      <c r="CW529" s="14"/>
      <c r="CX529" s="14"/>
      <c r="CY529" s="14"/>
      <c r="CZ529" s="14"/>
      <c r="DA529" s="14"/>
      <c r="DB529" s="14"/>
      <c r="DC529" s="14"/>
      <c r="DD529" s="14"/>
      <c r="DE529" s="14"/>
      <c r="DF529" s="14"/>
      <c r="DG529" s="14"/>
      <c r="DH529" s="14"/>
      <c r="DI529" s="14"/>
      <c r="DJ529" s="14"/>
      <c r="DK529" s="14"/>
      <c r="DL529" s="14"/>
      <c r="DM529" s="14"/>
      <c r="DN529" s="14"/>
      <c r="DO529" s="14"/>
      <c r="DP529" s="14"/>
      <c r="DQ529" s="14"/>
      <c r="DR529" s="14"/>
      <c r="DS529" s="14"/>
      <c r="DT529" s="14"/>
      <c r="DU529" s="14"/>
      <c r="DV529" s="14"/>
      <c r="DW529" s="14"/>
      <c r="DX529" s="14"/>
      <c r="DY529" s="14"/>
      <c r="DZ529" s="14"/>
      <c r="EA529" s="14"/>
      <c r="EB529" s="14"/>
      <c r="EC529" s="14"/>
    </row>
    <row r="530" spans="1:133" s="13" customFormat="1" ht="31.2" x14ac:dyDescent="0.25">
      <c r="A530" s="63" t="s">
        <v>209</v>
      </c>
      <c r="B530" s="25" t="s">
        <v>80</v>
      </c>
      <c r="C530" s="35" t="s">
        <v>81</v>
      </c>
      <c r="D530" s="35" t="s">
        <v>353</v>
      </c>
      <c r="E530" s="25">
        <f>5</f>
        <v>5</v>
      </c>
      <c r="R530" s="14"/>
      <c r="S530" s="14"/>
      <c r="T530" s="14"/>
      <c r="U530" s="14"/>
      <c r="V530" s="14"/>
      <c r="W530" s="14"/>
      <c r="X530" s="14"/>
      <c r="Y530" s="14"/>
      <c r="Z530" s="14"/>
      <c r="AA530" s="14"/>
      <c r="AB530" s="14"/>
      <c r="AC530" s="14"/>
      <c r="AD530" s="14"/>
      <c r="AE530" s="14"/>
      <c r="AF530" s="14"/>
      <c r="AG530" s="14"/>
      <c r="AH530" s="14"/>
      <c r="AI530" s="14"/>
      <c r="AJ530" s="14"/>
      <c r="AK530" s="14"/>
      <c r="AL530" s="14"/>
      <c r="AM530" s="14"/>
      <c r="AN530" s="14"/>
      <c r="AO530" s="14"/>
      <c r="AP530" s="14"/>
      <c r="AQ530" s="14"/>
      <c r="AR530" s="14"/>
      <c r="AS530" s="14"/>
      <c r="AT530" s="14"/>
      <c r="AU530" s="14"/>
      <c r="AV530" s="14"/>
      <c r="AW530" s="14"/>
      <c r="AX530" s="14"/>
      <c r="AY530" s="14"/>
      <c r="AZ530" s="14"/>
      <c r="BA530" s="14"/>
      <c r="BB530" s="14"/>
      <c r="BC530" s="14"/>
      <c r="BD530" s="14"/>
      <c r="BE530" s="14"/>
      <c r="BF530" s="14"/>
      <c r="BG530" s="14"/>
      <c r="BH530" s="14"/>
      <c r="BI530" s="14"/>
      <c r="BJ530" s="14"/>
      <c r="BK530" s="14"/>
      <c r="BL530" s="14"/>
      <c r="BM530" s="14"/>
      <c r="BN530" s="14"/>
      <c r="BO530" s="14"/>
      <c r="BP530" s="14"/>
      <c r="BQ530" s="14"/>
      <c r="BR530" s="14"/>
      <c r="BS530" s="14"/>
      <c r="BT530" s="14"/>
      <c r="BU530" s="14"/>
      <c r="BV530" s="14"/>
      <c r="BW530" s="14"/>
      <c r="BX530" s="14"/>
      <c r="BY530" s="14"/>
      <c r="BZ530" s="14"/>
      <c r="CA530" s="14"/>
      <c r="CB530" s="14"/>
      <c r="CC530" s="14"/>
      <c r="CD530" s="14"/>
      <c r="CE530" s="14"/>
      <c r="CF530" s="14"/>
      <c r="CG530" s="14"/>
      <c r="CH530" s="14"/>
      <c r="CI530" s="14"/>
      <c r="CJ530" s="14"/>
      <c r="CK530" s="14"/>
      <c r="CL530" s="14"/>
      <c r="CM530" s="14"/>
      <c r="CN530" s="14"/>
      <c r="CO530" s="14"/>
      <c r="CP530" s="14"/>
      <c r="CQ530" s="14"/>
      <c r="CR530" s="14"/>
      <c r="CS530" s="14"/>
      <c r="CT530" s="14"/>
      <c r="CU530" s="14"/>
      <c r="CV530" s="14"/>
      <c r="CW530" s="14"/>
      <c r="CX530" s="14"/>
      <c r="CY530" s="14"/>
      <c r="CZ530" s="14"/>
      <c r="DA530" s="14"/>
      <c r="DB530" s="14"/>
      <c r="DC530" s="14"/>
      <c r="DD530" s="14"/>
      <c r="DE530" s="14"/>
      <c r="DF530" s="14"/>
      <c r="DG530" s="14"/>
      <c r="DH530" s="14"/>
      <c r="DI530" s="14"/>
      <c r="DJ530" s="14"/>
      <c r="DK530" s="14"/>
      <c r="DL530" s="14"/>
      <c r="DM530" s="14"/>
      <c r="DN530" s="14"/>
      <c r="DO530" s="14"/>
      <c r="DP530" s="14"/>
      <c r="DQ530" s="14"/>
      <c r="DR530" s="14"/>
      <c r="DS530" s="14"/>
      <c r="DT530" s="14"/>
      <c r="DU530" s="14"/>
      <c r="DV530" s="14"/>
      <c r="DW530" s="14"/>
      <c r="DX530" s="14"/>
      <c r="DY530" s="14"/>
      <c r="DZ530" s="14"/>
      <c r="EA530" s="14"/>
      <c r="EB530" s="14"/>
      <c r="EC530" s="14"/>
    </row>
    <row r="531" spans="1:133" s="13" customFormat="1" ht="62.4" x14ac:dyDescent="0.25">
      <c r="A531" s="63" t="s">
        <v>210</v>
      </c>
      <c r="B531" s="25" t="s">
        <v>82</v>
      </c>
      <c r="C531" s="35" t="s">
        <v>83</v>
      </c>
      <c r="D531" s="53" t="s">
        <v>354</v>
      </c>
      <c r="E531" s="25">
        <f>15*2</f>
        <v>30</v>
      </c>
      <c r="R531" s="14"/>
      <c r="S531" s="14"/>
      <c r="T531" s="14"/>
      <c r="U531" s="14"/>
      <c r="V531" s="14"/>
      <c r="W531" s="14"/>
      <c r="X531" s="14"/>
      <c r="Y531" s="14"/>
      <c r="Z531" s="14"/>
      <c r="AA531" s="14"/>
      <c r="AB531" s="14"/>
      <c r="AC531" s="14"/>
      <c r="AD531" s="14"/>
      <c r="AE531" s="14"/>
      <c r="AF531" s="14"/>
      <c r="AG531" s="14"/>
      <c r="AH531" s="14"/>
      <c r="AI531" s="14"/>
      <c r="AJ531" s="14"/>
      <c r="AK531" s="14"/>
      <c r="AL531" s="14"/>
      <c r="AM531" s="14"/>
      <c r="AN531" s="14"/>
      <c r="AO531" s="14"/>
      <c r="AP531" s="14"/>
      <c r="AQ531" s="14"/>
      <c r="AR531" s="14"/>
      <c r="AS531" s="14"/>
      <c r="AT531" s="14"/>
      <c r="AU531" s="14"/>
      <c r="AV531" s="14"/>
      <c r="AW531" s="14"/>
      <c r="AX531" s="14"/>
      <c r="AY531" s="14"/>
      <c r="AZ531" s="14"/>
      <c r="BA531" s="14"/>
      <c r="BB531" s="14"/>
      <c r="BC531" s="14"/>
      <c r="BD531" s="14"/>
      <c r="BE531" s="14"/>
      <c r="BF531" s="14"/>
      <c r="BG531" s="14"/>
      <c r="BH531" s="14"/>
      <c r="BI531" s="14"/>
      <c r="BJ531" s="14"/>
      <c r="BK531" s="14"/>
      <c r="BL531" s="14"/>
      <c r="BM531" s="14"/>
      <c r="BN531" s="14"/>
      <c r="BO531" s="14"/>
      <c r="BP531" s="14"/>
      <c r="BQ531" s="14"/>
      <c r="BR531" s="14"/>
      <c r="BS531" s="14"/>
      <c r="BT531" s="14"/>
      <c r="BU531" s="14"/>
      <c r="BV531" s="14"/>
      <c r="BW531" s="14"/>
      <c r="BX531" s="14"/>
      <c r="BY531" s="14"/>
      <c r="BZ531" s="14"/>
      <c r="CA531" s="14"/>
      <c r="CB531" s="14"/>
      <c r="CC531" s="14"/>
      <c r="CD531" s="14"/>
      <c r="CE531" s="14"/>
      <c r="CF531" s="14"/>
      <c r="CG531" s="14"/>
      <c r="CH531" s="14"/>
      <c r="CI531" s="14"/>
      <c r="CJ531" s="14"/>
      <c r="CK531" s="14"/>
      <c r="CL531" s="14"/>
      <c r="CM531" s="14"/>
      <c r="CN531" s="14"/>
      <c r="CO531" s="14"/>
      <c r="CP531" s="14"/>
      <c r="CQ531" s="14"/>
      <c r="CR531" s="14"/>
      <c r="CS531" s="14"/>
      <c r="CT531" s="14"/>
      <c r="CU531" s="14"/>
      <c r="CV531" s="14"/>
      <c r="CW531" s="14"/>
      <c r="CX531" s="14"/>
      <c r="CY531" s="14"/>
      <c r="CZ531" s="14"/>
      <c r="DA531" s="14"/>
      <c r="DB531" s="14"/>
      <c r="DC531" s="14"/>
      <c r="DD531" s="14"/>
      <c r="DE531" s="14"/>
      <c r="DF531" s="14"/>
      <c r="DG531" s="14"/>
      <c r="DH531" s="14"/>
      <c r="DI531" s="14"/>
      <c r="DJ531" s="14"/>
      <c r="DK531" s="14"/>
      <c r="DL531" s="14"/>
      <c r="DM531" s="14"/>
      <c r="DN531" s="14"/>
      <c r="DO531" s="14"/>
      <c r="DP531" s="14"/>
      <c r="DQ531" s="14"/>
      <c r="DR531" s="14"/>
      <c r="DS531" s="14"/>
      <c r="DT531" s="14"/>
      <c r="DU531" s="14"/>
      <c r="DV531" s="14"/>
      <c r="DW531" s="14"/>
      <c r="DX531" s="14"/>
      <c r="DY531" s="14"/>
      <c r="DZ531" s="14"/>
      <c r="EA531" s="14"/>
      <c r="EB531" s="14"/>
      <c r="EC531" s="14"/>
    </row>
    <row r="532" spans="1:133" s="13" customFormat="1" ht="172.2" x14ac:dyDescent="0.25">
      <c r="A532" s="63" t="s">
        <v>211</v>
      </c>
      <c r="B532" s="25" t="s">
        <v>84</v>
      </c>
      <c r="C532" s="35" t="s">
        <v>85</v>
      </c>
      <c r="D532" s="35" t="s">
        <v>355</v>
      </c>
      <c r="E532" s="25">
        <f>25.1/100</f>
        <v>0.251</v>
      </c>
      <c r="R532" s="14"/>
      <c r="S532" s="14"/>
      <c r="T532" s="14"/>
      <c r="U532" s="14"/>
      <c r="V532" s="14"/>
      <c r="W532" s="14"/>
      <c r="X532" s="14"/>
      <c r="Y532" s="14"/>
      <c r="Z532" s="14"/>
      <c r="AA532" s="14"/>
      <c r="AB532" s="14"/>
      <c r="AC532" s="14"/>
      <c r="AD532" s="14"/>
      <c r="AE532" s="14"/>
      <c r="AF532" s="14"/>
      <c r="AG532" s="14"/>
      <c r="AH532" s="14"/>
      <c r="AI532" s="14"/>
      <c r="AJ532" s="14"/>
      <c r="AK532" s="14"/>
      <c r="AL532" s="14"/>
      <c r="AM532" s="14"/>
      <c r="AN532" s="14"/>
      <c r="AO532" s="14"/>
      <c r="AP532" s="14"/>
      <c r="AQ532" s="14"/>
      <c r="AR532" s="14"/>
      <c r="AS532" s="14"/>
      <c r="AT532" s="14"/>
      <c r="AU532" s="14"/>
      <c r="AV532" s="14"/>
      <c r="AW532" s="14"/>
      <c r="AX532" s="14"/>
      <c r="AY532" s="14"/>
      <c r="AZ532" s="14"/>
      <c r="BA532" s="14"/>
      <c r="BB532" s="14"/>
      <c r="BC532" s="14"/>
      <c r="BD532" s="14"/>
      <c r="BE532" s="14"/>
      <c r="BF532" s="14"/>
      <c r="BG532" s="14"/>
      <c r="BH532" s="14"/>
      <c r="BI532" s="14"/>
      <c r="BJ532" s="14"/>
      <c r="BK532" s="14"/>
      <c r="BL532" s="14"/>
      <c r="BM532" s="14"/>
      <c r="BN532" s="14"/>
      <c r="BO532" s="14"/>
      <c r="BP532" s="14"/>
      <c r="BQ532" s="14"/>
      <c r="BR532" s="14"/>
      <c r="BS532" s="14"/>
      <c r="BT532" s="14"/>
      <c r="BU532" s="14"/>
      <c r="BV532" s="14"/>
      <c r="BW532" s="14"/>
      <c r="BX532" s="14"/>
      <c r="BY532" s="14"/>
      <c r="BZ532" s="14"/>
      <c r="CA532" s="14"/>
      <c r="CB532" s="14"/>
      <c r="CC532" s="14"/>
      <c r="CD532" s="14"/>
      <c r="CE532" s="14"/>
      <c r="CF532" s="14"/>
      <c r="CG532" s="14"/>
      <c r="CH532" s="14"/>
      <c r="CI532" s="14"/>
      <c r="CJ532" s="14"/>
      <c r="CK532" s="14"/>
      <c r="CL532" s="14"/>
      <c r="CM532" s="14"/>
      <c r="CN532" s="14"/>
      <c r="CO532" s="14"/>
      <c r="CP532" s="14"/>
      <c r="CQ532" s="14"/>
      <c r="CR532" s="14"/>
      <c r="CS532" s="14"/>
      <c r="CT532" s="14"/>
      <c r="CU532" s="14"/>
      <c r="CV532" s="14"/>
      <c r="CW532" s="14"/>
      <c r="CX532" s="14"/>
      <c r="CY532" s="14"/>
      <c r="CZ532" s="14"/>
      <c r="DA532" s="14"/>
      <c r="DB532" s="14"/>
      <c r="DC532" s="14"/>
      <c r="DD532" s="14"/>
      <c r="DE532" s="14"/>
      <c r="DF532" s="14"/>
      <c r="DG532" s="14"/>
      <c r="DH532" s="14"/>
      <c r="DI532" s="14"/>
      <c r="DJ532" s="14"/>
      <c r="DK532" s="14"/>
      <c r="DL532" s="14"/>
      <c r="DM532" s="14"/>
      <c r="DN532" s="14"/>
      <c r="DO532" s="14"/>
      <c r="DP532" s="14"/>
      <c r="DQ532" s="14"/>
      <c r="DR532" s="14"/>
      <c r="DS532" s="14"/>
      <c r="DT532" s="14"/>
      <c r="DU532" s="14"/>
      <c r="DV532" s="14"/>
      <c r="DW532" s="14"/>
      <c r="DX532" s="14"/>
      <c r="DY532" s="14"/>
      <c r="DZ532" s="14"/>
      <c r="EA532" s="14"/>
      <c r="EB532" s="14"/>
      <c r="EC532" s="14"/>
    </row>
    <row r="533" spans="1:133" s="13" customFormat="1" ht="140.4" x14ac:dyDescent="0.25">
      <c r="A533" s="63" t="s">
        <v>212</v>
      </c>
      <c r="B533" s="25" t="s">
        <v>87</v>
      </c>
      <c r="C533" s="35" t="s">
        <v>86</v>
      </c>
      <c r="D533" s="35" t="s">
        <v>356</v>
      </c>
      <c r="E533" s="25">
        <f>0.84/1000</f>
        <v>8.3999999999999993E-4</v>
      </c>
      <c r="R533" s="14"/>
      <c r="S533" s="14"/>
      <c r="T533" s="14"/>
      <c r="U533" s="14"/>
      <c r="V533" s="14"/>
      <c r="W533" s="14"/>
      <c r="X533" s="14"/>
      <c r="Y533" s="14"/>
      <c r="Z533" s="14"/>
      <c r="AA533" s="14"/>
      <c r="AB533" s="14"/>
      <c r="AC533" s="14"/>
      <c r="AD533" s="14"/>
      <c r="AE533" s="14"/>
      <c r="AF533" s="14"/>
      <c r="AG533" s="14"/>
      <c r="AH533" s="14"/>
      <c r="AI533" s="14"/>
      <c r="AJ533" s="14"/>
      <c r="AK533" s="14"/>
      <c r="AL533" s="14"/>
      <c r="AM533" s="14"/>
      <c r="AN533" s="14"/>
      <c r="AO533" s="14"/>
      <c r="AP533" s="14"/>
      <c r="AQ533" s="14"/>
      <c r="AR533" s="14"/>
      <c r="AS533" s="14"/>
      <c r="AT533" s="14"/>
      <c r="AU533" s="14"/>
      <c r="AV533" s="14"/>
      <c r="AW533" s="14"/>
      <c r="AX533" s="14"/>
      <c r="AY533" s="14"/>
      <c r="AZ533" s="14"/>
      <c r="BA533" s="14"/>
      <c r="BB533" s="14"/>
      <c r="BC533" s="14"/>
      <c r="BD533" s="14"/>
      <c r="BE533" s="14"/>
      <c r="BF533" s="14"/>
      <c r="BG533" s="14"/>
      <c r="BH533" s="14"/>
      <c r="BI533" s="14"/>
      <c r="BJ533" s="14"/>
      <c r="BK533" s="14"/>
      <c r="BL533" s="14"/>
      <c r="BM533" s="14"/>
      <c r="BN533" s="14"/>
      <c r="BO533" s="14"/>
      <c r="BP533" s="14"/>
      <c r="BQ533" s="14"/>
      <c r="BR533" s="14"/>
      <c r="BS533" s="14"/>
      <c r="BT533" s="14"/>
      <c r="BU533" s="14"/>
      <c r="BV533" s="14"/>
      <c r="BW533" s="14"/>
      <c r="BX533" s="14"/>
      <c r="BY533" s="14"/>
      <c r="BZ533" s="14"/>
      <c r="CA533" s="14"/>
      <c r="CB533" s="14"/>
      <c r="CC533" s="14"/>
      <c r="CD533" s="14"/>
      <c r="CE533" s="14"/>
      <c r="CF533" s="14"/>
      <c r="CG533" s="14"/>
      <c r="CH533" s="14"/>
      <c r="CI533" s="14"/>
      <c r="CJ533" s="14"/>
      <c r="CK533" s="14"/>
      <c r="CL533" s="14"/>
      <c r="CM533" s="14"/>
      <c r="CN533" s="14"/>
      <c r="CO533" s="14"/>
      <c r="CP533" s="14"/>
      <c r="CQ533" s="14"/>
      <c r="CR533" s="14"/>
      <c r="CS533" s="14"/>
      <c r="CT533" s="14"/>
      <c r="CU533" s="14"/>
      <c r="CV533" s="14"/>
      <c r="CW533" s="14"/>
      <c r="CX533" s="14"/>
      <c r="CY533" s="14"/>
      <c r="CZ533" s="14"/>
      <c r="DA533" s="14"/>
      <c r="DB533" s="14"/>
      <c r="DC533" s="14"/>
      <c r="DD533" s="14"/>
      <c r="DE533" s="14"/>
      <c r="DF533" s="14"/>
      <c r="DG533" s="14"/>
      <c r="DH533" s="14"/>
      <c r="DI533" s="14"/>
      <c r="DJ533" s="14"/>
      <c r="DK533" s="14"/>
      <c r="DL533" s="14"/>
      <c r="DM533" s="14"/>
      <c r="DN533" s="14"/>
      <c r="DO533" s="14"/>
      <c r="DP533" s="14"/>
      <c r="DQ533" s="14"/>
      <c r="DR533" s="14"/>
      <c r="DS533" s="14"/>
      <c r="DT533" s="14"/>
      <c r="DU533" s="14"/>
      <c r="DV533" s="14"/>
      <c r="DW533" s="14"/>
      <c r="DX533" s="14"/>
      <c r="DY533" s="14"/>
      <c r="DZ533" s="14"/>
      <c r="EA533" s="14"/>
      <c r="EB533" s="14"/>
      <c r="EC533" s="14"/>
    </row>
    <row r="534" spans="1:133" s="13" customFormat="1" ht="140.4" x14ac:dyDescent="0.25">
      <c r="A534" s="63" t="s">
        <v>213</v>
      </c>
      <c r="B534" s="25" t="s">
        <v>88</v>
      </c>
      <c r="C534" s="35" t="s">
        <v>89</v>
      </c>
      <c r="D534" s="35" t="s">
        <v>357</v>
      </c>
      <c r="E534" s="25">
        <f>43.33/1000</f>
        <v>4.333E-2</v>
      </c>
      <c r="R534" s="14"/>
      <c r="S534" s="14"/>
      <c r="T534" s="14"/>
      <c r="U534" s="14"/>
      <c r="V534" s="14"/>
      <c r="W534" s="14"/>
      <c r="X534" s="14"/>
      <c r="Y534" s="14"/>
      <c r="Z534" s="14"/>
      <c r="AA534" s="14"/>
      <c r="AB534" s="14"/>
      <c r="AC534" s="14"/>
      <c r="AD534" s="14"/>
      <c r="AE534" s="14"/>
      <c r="AF534" s="14"/>
      <c r="AG534" s="14"/>
      <c r="AH534" s="14"/>
      <c r="AI534" s="14"/>
      <c r="AJ534" s="14"/>
      <c r="AK534" s="14"/>
      <c r="AL534" s="14"/>
      <c r="AM534" s="14"/>
      <c r="AN534" s="14"/>
      <c r="AO534" s="14"/>
      <c r="AP534" s="14"/>
      <c r="AQ534" s="14"/>
      <c r="AR534" s="14"/>
      <c r="AS534" s="14"/>
      <c r="AT534" s="14"/>
      <c r="AU534" s="14"/>
      <c r="AV534" s="14"/>
      <c r="AW534" s="14"/>
      <c r="AX534" s="14"/>
      <c r="AY534" s="14"/>
      <c r="AZ534" s="14"/>
      <c r="BA534" s="14"/>
      <c r="BB534" s="14"/>
      <c r="BC534" s="14"/>
      <c r="BD534" s="14"/>
      <c r="BE534" s="14"/>
      <c r="BF534" s="14"/>
      <c r="BG534" s="14"/>
      <c r="BH534" s="14"/>
      <c r="BI534" s="14"/>
      <c r="BJ534" s="14"/>
      <c r="BK534" s="14"/>
      <c r="BL534" s="14"/>
      <c r="BM534" s="14"/>
      <c r="BN534" s="14"/>
      <c r="BO534" s="14"/>
      <c r="BP534" s="14"/>
      <c r="BQ534" s="14"/>
      <c r="BR534" s="14"/>
      <c r="BS534" s="14"/>
      <c r="BT534" s="14"/>
      <c r="BU534" s="14"/>
      <c r="BV534" s="14"/>
      <c r="BW534" s="14"/>
      <c r="BX534" s="14"/>
      <c r="BY534" s="14"/>
      <c r="BZ534" s="14"/>
      <c r="CA534" s="14"/>
      <c r="CB534" s="14"/>
      <c r="CC534" s="14"/>
      <c r="CD534" s="14"/>
      <c r="CE534" s="14"/>
      <c r="CF534" s="14"/>
      <c r="CG534" s="14"/>
      <c r="CH534" s="14"/>
      <c r="CI534" s="14"/>
      <c r="CJ534" s="14"/>
      <c r="CK534" s="14"/>
      <c r="CL534" s="14"/>
      <c r="CM534" s="14"/>
      <c r="CN534" s="14"/>
      <c r="CO534" s="14"/>
      <c r="CP534" s="14"/>
      <c r="CQ534" s="14"/>
      <c r="CR534" s="14"/>
      <c r="CS534" s="14"/>
      <c r="CT534" s="14"/>
      <c r="CU534" s="14"/>
      <c r="CV534" s="14"/>
      <c r="CW534" s="14"/>
      <c r="CX534" s="14"/>
      <c r="CY534" s="14"/>
      <c r="CZ534" s="14"/>
      <c r="DA534" s="14"/>
      <c r="DB534" s="14"/>
      <c r="DC534" s="14"/>
      <c r="DD534" s="14"/>
      <c r="DE534" s="14"/>
      <c r="DF534" s="14"/>
      <c r="DG534" s="14"/>
      <c r="DH534" s="14"/>
      <c r="DI534" s="14"/>
      <c r="DJ534" s="14"/>
      <c r="DK534" s="14"/>
      <c r="DL534" s="14"/>
      <c r="DM534" s="14"/>
      <c r="DN534" s="14"/>
      <c r="DO534" s="14"/>
      <c r="DP534" s="14"/>
      <c r="DQ534" s="14"/>
      <c r="DR534" s="14"/>
      <c r="DS534" s="14"/>
      <c r="DT534" s="14"/>
      <c r="DU534" s="14"/>
      <c r="DV534" s="14"/>
      <c r="DW534" s="14"/>
      <c r="DX534" s="14"/>
      <c r="DY534" s="14"/>
      <c r="DZ534" s="14"/>
      <c r="EA534" s="14"/>
      <c r="EB534" s="14"/>
      <c r="EC534" s="14"/>
    </row>
    <row r="535" spans="1:133" s="13" customFormat="1" ht="62.4" x14ac:dyDescent="0.25">
      <c r="A535" s="63" t="s">
        <v>214</v>
      </c>
      <c r="B535" s="25" t="s">
        <v>90</v>
      </c>
      <c r="C535" s="35" t="s">
        <v>91</v>
      </c>
      <c r="D535" s="35" t="s">
        <v>358</v>
      </c>
      <c r="E535" s="25">
        <v>74.099999999999994</v>
      </c>
      <c r="R535" s="14"/>
      <c r="S535" s="14"/>
      <c r="T535" s="14"/>
      <c r="U535" s="14"/>
      <c r="V535" s="14"/>
      <c r="W535" s="14"/>
      <c r="X535" s="14"/>
      <c r="Y535" s="14"/>
      <c r="Z535" s="14"/>
      <c r="AA535" s="14"/>
      <c r="AB535" s="14"/>
      <c r="AC535" s="14"/>
      <c r="AD535" s="14"/>
      <c r="AE535" s="14"/>
      <c r="AF535" s="14"/>
      <c r="AG535" s="14"/>
      <c r="AH535" s="14"/>
      <c r="AI535" s="14"/>
      <c r="AJ535" s="14"/>
      <c r="AK535" s="14"/>
      <c r="AL535" s="14"/>
      <c r="AM535" s="14"/>
      <c r="AN535" s="14"/>
      <c r="AO535" s="14"/>
      <c r="AP535" s="14"/>
      <c r="AQ535" s="14"/>
      <c r="AR535" s="14"/>
      <c r="AS535" s="14"/>
      <c r="AT535" s="14"/>
      <c r="AU535" s="14"/>
      <c r="AV535" s="14"/>
      <c r="AW535" s="14"/>
      <c r="AX535" s="14"/>
      <c r="AY535" s="14"/>
      <c r="AZ535" s="14"/>
      <c r="BA535" s="14"/>
      <c r="BB535" s="14"/>
      <c r="BC535" s="14"/>
      <c r="BD535" s="14"/>
      <c r="BE535" s="14"/>
      <c r="BF535" s="14"/>
      <c r="BG535" s="14"/>
      <c r="BH535" s="14"/>
      <c r="BI535" s="14"/>
      <c r="BJ535" s="14"/>
      <c r="BK535" s="14"/>
      <c r="BL535" s="14"/>
      <c r="BM535" s="14"/>
      <c r="BN535" s="14"/>
      <c r="BO535" s="14"/>
      <c r="BP535" s="14"/>
      <c r="BQ535" s="14"/>
      <c r="BR535" s="14"/>
      <c r="BS535" s="14"/>
      <c r="BT535" s="14"/>
      <c r="BU535" s="14"/>
      <c r="BV535" s="14"/>
      <c r="BW535" s="14"/>
      <c r="BX535" s="14"/>
      <c r="BY535" s="14"/>
      <c r="BZ535" s="14"/>
      <c r="CA535" s="14"/>
      <c r="CB535" s="14"/>
      <c r="CC535" s="14"/>
      <c r="CD535" s="14"/>
      <c r="CE535" s="14"/>
      <c r="CF535" s="14"/>
      <c r="CG535" s="14"/>
      <c r="CH535" s="14"/>
      <c r="CI535" s="14"/>
      <c r="CJ535" s="14"/>
      <c r="CK535" s="14"/>
      <c r="CL535" s="14"/>
      <c r="CM535" s="14"/>
      <c r="CN535" s="14"/>
      <c r="CO535" s="14"/>
      <c r="CP535" s="14"/>
      <c r="CQ535" s="14"/>
      <c r="CR535" s="14"/>
      <c r="CS535" s="14"/>
      <c r="CT535" s="14"/>
      <c r="CU535" s="14"/>
      <c r="CV535" s="14"/>
      <c r="CW535" s="14"/>
      <c r="CX535" s="14"/>
      <c r="CY535" s="14"/>
      <c r="CZ535" s="14"/>
      <c r="DA535" s="14"/>
      <c r="DB535" s="14"/>
      <c r="DC535" s="14"/>
      <c r="DD535" s="14"/>
      <c r="DE535" s="14"/>
      <c r="DF535" s="14"/>
      <c r="DG535" s="14"/>
      <c r="DH535" s="14"/>
      <c r="DI535" s="14"/>
      <c r="DJ535" s="14"/>
      <c r="DK535" s="14"/>
      <c r="DL535" s="14"/>
      <c r="DM535" s="14"/>
      <c r="DN535" s="14"/>
      <c r="DO535" s="14"/>
      <c r="DP535" s="14"/>
      <c r="DQ535" s="14"/>
      <c r="DR535" s="14"/>
      <c r="DS535" s="14"/>
      <c r="DT535" s="14"/>
      <c r="DU535" s="14"/>
      <c r="DV535" s="14"/>
      <c r="DW535" s="14"/>
      <c r="DX535" s="14"/>
      <c r="DY535" s="14"/>
      <c r="DZ535" s="14"/>
      <c r="EA535" s="14"/>
      <c r="EB535" s="14"/>
      <c r="EC535" s="14"/>
    </row>
    <row r="537" spans="1:133" s="13" customFormat="1" ht="15.6" customHeight="1" x14ac:dyDescent="0.25">
      <c r="A537" s="36" t="s">
        <v>93</v>
      </c>
      <c r="B537" s="36"/>
      <c r="C537" s="36"/>
      <c r="D537" s="36"/>
      <c r="E537" s="36"/>
      <c r="R537" s="14"/>
      <c r="S537" s="14"/>
      <c r="T537" s="14"/>
      <c r="U537" s="14"/>
      <c r="V537" s="14"/>
      <c r="W537" s="14"/>
      <c r="X537" s="14"/>
      <c r="Y537" s="14"/>
      <c r="Z537" s="14"/>
      <c r="AA537" s="14"/>
      <c r="AB537" s="14"/>
      <c r="AC537" s="14"/>
      <c r="AD537" s="14"/>
      <c r="AE537" s="14"/>
      <c r="AF537" s="14"/>
      <c r="AG537" s="14"/>
      <c r="AH537" s="14"/>
      <c r="AI537" s="14"/>
      <c r="AJ537" s="14"/>
      <c r="AK537" s="14"/>
      <c r="AL537" s="14"/>
      <c r="AM537" s="14"/>
      <c r="AN537" s="14"/>
      <c r="AO537" s="14"/>
      <c r="AP537" s="14"/>
      <c r="AQ537" s="14"/>
      <c r="AR537" s="14"/>
      <c r="AS537" s="14"/>
      <c r="AT537" s="14"/>
      <c r="AU537" s="14"/>
      <c r="AV537" s="14"/>
      <c r="AW537" s="14"/>
      <c r="AX537" s="14"/>
      <c r="AY537" s="14"/>
      <c r="AZ537" s="14"/>
      <c r="BA537" s="14"/>
      <c r="BB537" s="14"/>
      <c r="BC537" s="14"/>
      <c r="BD537" s="14"/>
      <c r="BE537" s="14"/>
      <c r="BF537" s="14"/>
      <c r="BG537" s="14"/>
      <c r="BH537" s="14"/>
      <c r="BI537" s="14"/>
      <c r="BJ537" s="14"/>
      <c r="BK537" s="14"/>
      <c r="BL537" s="14"/>
      <c r="BM537" s="14"/>
      <c r="BN537" s="14"/>
      <c r="BO537" s="14"/>
      <c r="BP537" s="14"/>
      <c r="BQ537" s="14"/>
      <c r="BR537" s="14"/>
      <c r="BS537" s="14"/>
      <c r="BT537" s="14"/>
      <c r="BU537" s="14"/>
      <c r="BV537" s="14"/>
      <c r="BW537" s="14"/>
      <c r="BX537" s="14"/>
      <c r="BY537" s="14"/>
      <c r="BZ537" s="14"/>
      <c r="CA537" s="14"/>
      <c r="CB537" s="14"/>
      <c r="CC537" s="14"/>
      <c r="CD537" s="14"/>
      <c r="CE537" s="14"/>
      <c r="CF537" s="14"/>
      <c r="CG537" s="14"/>
      <c r="CH537" s="14"/>
      <c r="CI537" s="14"/>
      <c r="CJ537" s="14"/>
      <c r="CK537" s="14"/>
      <c r="CL537" s="14"/>
      <c r="CM537" s="14"/>
      <c r="CN537" s="14"/>
      <c r="CO537" s="14"/>
      <c r="CP537" s="14"/>
      <c r="CQ537" s="14"/>
      <c r="CR537" s="14"/>
      <c r="CS537" s="14"/>
      <c r="CT537" s="14"/>
      <c r="CU537" s="14"/>
      <c r="CV537" s="14"/>
      <c r="CW537" s="14"/>
      <c r="CX537" s="14"/>
      <c r="CY537" s="14"/>
      <c r="CZ537" s="14"/>
      <c r="DA537" s="14"/>
      <c r="DB537" s="14"/>
      <c r="DC537" s="14"/>
      <c r="DD537" s="14"/>
      <c r="DE537" s="14"/>
      <c r="DF537" s="14"/>
      <c r="DG537" s="14"/>
      <c r="DH537" s="14"/>
      <c r="DI537" s="14"/>
      <c r="DJ537" s="14"/>
      <c r="DK537" s="14"/>
      <c r="DL537" s="14"/>
      <c r="DM537" s="14"/>
      <c r="DN537" s="14"/>
      <c r="DO537" s="14"/>
      <c r="DP537" s="14"/>
      <c r="DQ537" s="14"/>
      <c r="DR537" s="14"/>
      <c r="DS537" s="14"/>
      <c r="DT537" s="14"/>
      <c r="DU537" s="14"/>
      <c r="DV537" s="14"/>
      <c r="DW537" s="14"/>
      <c r="DX537" s="14"/>
      <c r="DY537" s="14"/>
      <c r="DZ537" s="14"/>
      <c r="EA537" s="14"/>
      <c r="EB537" s="14"/>
      <c r="EC537" s="14"/>
    </row>
    <row r="538" spans="1:133" s="13" customFormat="1" x14ac:dyDescent="0.25">
      <c r="A538" s="57" t="s">
        <v>8</v>
      </c>
      <c r="B538" s="58" t="s">
        <v>9</v>
      </c>
      <c r="C538" s="34" t="s">
        <v>10</v>
      </c>
      <c r="D538" s="34" t="s">
        <v>340</v>
      </c>
      <c r="E538" s="16" t="s">
        <v>65</v>
      </c>
      <c r="R538" s="14"/>
      <c r="S538" s="14"/>
      <c r="T538" s="14"/>
      <c r="U538" s="14"/>
      <c r="V538" s="14"/>
      <c r="W538" s="14"/>
      <c r="X538" s="14"/>
      <c r="Y538" s="14"/>
      <c r="Z538" s="14"/>
      <c r="AA538" s="14"/>
      <c r="AB538" s="14"/>
      <c r="AC538" s="14"/>
      <c r="AD538" s="14"/>
      <c r="AE538" s="14"/>
      <c r="AF538" s="14"/>
      <c r="AG538" s="14"/>
      <c r="AH538" s="14"/>
      <c r="AI538" s="14"/>
      <c r="AJ538" s="14"/>
      <c r="AK538" s="14"/>
      <c r="AL538" s="14"/>
      <c r="AM538" s="14"/>
      <c r="AN538" s="14"/>
      <c r="AO538" s="14"/>
      <c r="AP538" s="14"/>
      <c r="AQ538" s="14"/>
      <c r="AR538" s="14"/>
      <c r="AS538" s="14"/>
      <c r="AT538" s="14"/>
      <c r="AU538" s="14"/>
      <c r="AV538" s="14"/>
      <c r="AW538" s="14"/>
      <c r="AX538" s="14"/>
      <c r="AY538" s="14"/>
      <c r="AZ538" s="14"/>
      <c r="BA538" s="14"/>
      <c r="BB538" s="14"/>
      <c r="BC538" s="14"/>
      <c r="BD538" s="14"/>
      <c r="BE538" s="14"/>
      <c r="BF538" s="14"/>
      <c r="BG538" s="14"/>
      <c r="BH538" s="14"/>
      <c r="BI538" s="14"/>
      <c r="BJ538" s="14"/>
      <c r="BK538" s="14"/>
      <c r="BL538" s="14"/>
      <c r="BM538" s="14"/>
      <c r="BN538" s="14"/>
      <c r="BO538" s="14"/>
      <c r="BP538" s="14"/>
      <c r="BQ538" s="14"/>
      <c r="BR538" s="14"/>
      <c r="BS538" s="14"/>
      <c r="BT538" s="14"/>
      <c r="BU538" s="14"/>
      <c r="BV538" s="14"/>
      <c r="BW538" s="14"/>
      <c r="BX538" s="14"/>
      <c r="BY538" s="14"/>
      <c r="BZ538" s="14"/>
      <c r="CA538" s="14"/>
      <c r="CB538" s="14"/>
      <c r="CC538" s="14"/>
      <c r="CD538" s="14"/>
      <c r="CE538" s="14"/>
      <c r="CF538" s="14"/>
      <c r="CG538" s="14"/>
      <c r="CH538" s="14"/>
      <c r="CI538" s="14"/>
      <c r="CJ538" s="14"/>
      <c r="CK538" s="14"/>
      <c r="CL538" s="14"/>
      <c r="CM538" s="14"/>
      <c r="CN538" s="14"/>
      <c r="CO538" s="14"/>
      <c r="CP538" s="14"/>
      <c r="CQ538" s="14"/>
      <c r="CR538" s="14"/>
      <c r="CS538" s="14"/>
      <c r="CT538" s="14"/>
      <c r="CU538" s="14"/>
      <c r="CV538" s="14"/>
      <c r="CW538" s="14"/>
      <c r="CX538" s="14"/>
      <c r="CY538" s="14"/>
      <c r="CZ538" s="14"/>
      <c r="DA538" s="14"/>
      <c r="DB538" s="14"/>
      <c r="DC538" s="14"/>
      <c r="DD538" s="14"/>
      <c r="DE538" s="14"/>
      <c r="DF538" s="14"/>
      <c r="DG538" s="14"/>
      <c r="DH538" s="14"/>
      <c r="DI538" s="14"/>
      <c r="DJ538" s="14"/>
      <c r="DK538" s="14"/>
      <c r="DL538" s="14"/>
      <c r="DM538" s="14"/>
      <c r="DN538" s="14"/>
      <c r="DO538" s="14"/>
      <c r="DP538" s="14"/>
      <c r="DQ538" s="14"/>
      <c r="DR538" s="14"/>
      <c r="DS538" s="14"/>
      <c r="DT538" s="14"/>
      <c r="DU538" s="14"/>
      <c r="DV538" s="14"/>
      <c r="DW538" s="14"/>
      <c r="DX538" s="14"/>
      <c r="DY538" s="14"/>
      <c r="DZ538" s="14"/>
      <c r="EA538" s="14"/>
      <c r="EB538" s="14"/>
      <c r="EC538" s="14"/>
    </row>
    <row r="539" spans="1:133" s="13" customFormat="1" ht="64.8" x14ac:dyDescent="0.25">
      <c r="A539" s="15" t="s">
        <v>94</v>
      </c>
      <c r="B539" s="25" t="s">
        <v>95</v>
      </c>
      <c r="C539" s="35" t="s">
        <v>96</v>
      </c>
      <c r="D539" s="35" t="s">
        <v>97</v>
      </c>
      <c r="E539" s="16">
        <v>0</v>
      </c>
      <c r="R539" s="14"/>
      <c r="S539" s="14"/>
      <c r="T539" s="14"/>
      <c r="U539" s="14"/>
      <c r="V539" s="14"/>
      <c r="W539" s="14"/>
      <c r="X539" s="14"/>
      <c r="Y539" s="14"/>
      <c r="Z539" s="14"/>
      <c r="AA539" s="14"/>
      <c r="AB539" s="14"/>
      <c r="AC539" s="14"/>
      <c r="AD539" s="14"/>
      <c r="AE539" s="14"/>
      <c r="AF539" s="14"/>
      <c r="AG539" s="14"/>
      <c r="AH539" s="14"/>
      <c r="AI539" s="14"/>
      <c r="AJ539" s="14"/>
      <c r="AK539" s="14"/>
      <c r="AL539" s="14"/>
      <c r="AM539" s="14"/>
      <c r="AN539" s="14"/>
      <c r="AO539" s="14"/>
      <c r="AP539" s="14"/>
      <c r="AQ539" s="14"/>
      <c r="AR539" s="14"/>
      <c r="AS539" s="14"/>
      <c r="AT539" s="14"/>
      <c r="AU539" s="14"/>
      <c r="AV539" s="14"/>
      <c r="AW539" s="14"/>
      <c r="AX539" s="14"/>
      <c r="AY539" s="14"/>
      <c r="AZ539" s="14"/>
      <c r="BA539" s="14"/>
      <c r="BB539" s="14"/>
      <c r="BC539" s="14"/>
      <c r="BD539" s="14"/>
      <c r="BE539" s="14"/>
      <c r="BF539" s="14"/>
      <c r="BG539" s="14"/>
      <c r="BH539" s="14"/>
      <c r="BI539" s="14"/>
      <c r="BJ539" s="14"/>
      <c r="BK539" s="14"/>
      <c r="BL539" s="14"/>
      <c r="BM539" s="14"/>
      <c r="BN539" s="14"/>
      <c r="BO539" s="14"/>
      <c r="BP539" s="14"/>
      <c r="BQ539" s="14"/>
      <c r="BR539" s="14"/>
      <c r="BS539" s="14"/>
      <c r="BT539" s="14"/>
      <c r="BU539" s="14"/>
      <c r="BV539" s="14"/>
      <c r="BW539" s="14"/>
      <c r="BX539" s="14"/>
      <c r="BY539" s="14"/>
      <c r="BZ539" s="14"/>
      <c r="CA539" s="14"/>
      <c r="CB539" s="14"/>
      <c r="CC539" s="14"/>
      <c r="CD539" s="14"/>
      <c r="CE539" s="14"/>
      <c r="CF539" s="14"/>
      <c r="CG539" s="14"/>
      <c r="CH539" s="14"/>
      <c r="CI539" s="14"/>
      <c r="CJ539" s="14"/>
      <c r="CK539" s="14"/>
      <c r="CL539" s="14"/>
      <c r="CM539" s="14"/>
      <c r="CN539" s="14"/>
      <c r="CO539" s="14"/>
      <c r="CP539" s="14"/>
      <c r="CQ539" s="14"/>
      <c r="CR539" s="14"/>
      <c r="CS539" s="14"/>
      <c r="CT539" s="14"/>
      <c r="CU539" s="14"/>
      <c r="CV539" s="14"/>
      <c r="CW539" s="14"/>
      <c r="CX539" s="14"/>
      <c r="CY539" s="14"/>
      <c r="CZ539" s="14"/>
      <c r="DA539" s="14"/>
      <c r="DB539" s="14"/>
      <c r="DC539" s="14"/>
      <c r="DD539" s="14"/>
      <c r="DE539" s="14"/>
      <c r="DF539" s="14"/>
      <c r="DG539" s="14"/>
      <c r="DH539" s="14"/>
      <c r="DI539" s="14"/>
      <c r="DJ539" s="14"/>
      <c r="DK539" s="14"/>
      <c r="DL539" s="14"/>
      <c r="DM539" s="14"/>
      <c r="DN539" s="14"/>
      <c r="DO539" s="14"/>
      <c r="DP539" s="14"/>
      <c r="DQ539" s="14"/>
      <c r="DR539" s="14"/>
      <c r="DS539" s="14"/>
      <c r="DT539" s="14"/>
      <c r="DU539" s="14"/>
      <c r="DV539" s="14"/>
      <c r="DW539" s="14"/>
      <c r="DX539" s="14"/>
      <c r="DY539" s="14"/>
      <c r="DZ539" s="14"/>
      <c r="EA539" s="14"/>
      <c r="EB539" s="14"/>
      <c r="EC539" s="14"/>
    </row>
    <row r="541" spans="1:133" s="13" customFormat="1" ht="15.6" customHeight="1" x14ac:dyDescent="0.25">
      <c r="A541" s="36" t="s">
        <v>98</v>
      </c>
      <c r="B541" s="36"/>
      <c r="C541" s="36"/>
      <c r="D541" s="36"/>
      <c r="E541" s="36"/>
      <c r="R541" s="14"/>
      <c r="S541" s="14"/>
      <c r="T541" s="14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4"/>
      <c r="AF541" s="14"/>
      <c r="AG541" s="14"/>
      <c r="AH541" s="14"/>
      <c r="AI541" s="14"/>
      <c r="AJ541" s="14"/>
      <c r="AK541" s="14"/>
      <c r="AL541" s="14"/>
      <c r="AM541" s="14"/>
      <c r="AN541" s="14"/>
      <c r="AO541" s="14"/>
      <c r="AP541" s="14"/>
      <c r="AQ541" s="14"/>
      <c r="AR541" s="14"/>
      <c r="AS541" s="14"/>
      <c r="AT541" s="14"/>
      <c r="AU541" s="14"/>
      <c r="AV541" s="14"/>
      <c r="AW541" s="14"/>
      <c r="AX541" s="14"/>
      <c r="AY541" s="14"/>
      <c r="AZ541" s="14"/>
      <c r="BA541" s="14"/>
      <c r="BB541" s="14"/>
      <c r="BC541" s="14"/>
      <c r="BD541" s="14"/>
      <c r="BE541" s="14"/>
      <c r="BF541" s="14"/>
      <c r="BG541" s="14"/>
      <c r="BH541" s="14"/>
      <c r="BI541" s="14"/>
      <c r="BJ541" s="14"/>
      <c r="BK541" s="14"/>
      <c r="BL541" s="14"/>
      <c r="BM541" s="14"/>
      <c r="BN541" s="14"/>
      <c r="BO541" s="14"/>
      <c r="BP541" s="14"/>
      <c r="BQ541" s="14"/>
      <c r="BR541" s="14"/>
      <c r="BS541" s="14"/>
      <c r="BT541" s="14"/>
      <c r="BU541" s="14"/>
      <c r="BV541" s="14"/>
      <c r="BW541" s="14"/>
      <c r="BX541" s="14"/>
      <c r="BY541" s="14"/>
      <c r="BZ541" s="14"/>
      <c r="CA541" s="14"/>
      <c r="CB541" s="14"/>
      <c r="CC541" s="14"/>
      <c r="CD541" s="14"/>
      <c r="CE541" s="14"/>
      <c r="CF541" s="14"/>
      <c r="CG541" s="14"/>
      <c r="CH541" s="14"/>
      <c r="CI541" s="14"/>
      <c r="CJ541" s="14"/>
      <c r="CK541" s="14"/>
      <c r="CL541" s="14"/>
      <c r="CM541" s="14"/>
      <c r="CN541" s="14"/>
      <c r="CO541" s="14"/>
      <c r="CP541" s="14"/>
      <c r="CQ541" s="14"/>
      <c r="CR541" s="14"/>
      <c r="CS541" s="14"/>
      <c r="CT541" s="14"/>
      <c r="CU541" s="14"/>
      <c r="CV541" s="14"/>
      <c r="CW541" s="14"/>
      <c r="CX541" s="14"/>
      <c r="CY541" s="14"/>
      <c r="CZ541" s="14"/>
      <c r="DA541" s="14"/>
      <c r="DB541" s="14"/>
      <c r="DC541" s="14"/>
      <c r="DD541" s="14"/>
      <c r="DE541" s="14"/>
      <c r="DF541" s="14"/>
      <c r="DG541" s="14"/>
      <c r="DH541" s="14"/>
      <c r="DI541" s="14"/>
      <c r="DJ541" s="14"/>
      <c r="DK541" s="14"/>
      <c r="DL541" s="14"/>
      <c r="DM541" s="14"/>
      <c r="DN541" s="14"/>
      <c r="DO541" s="14"/>
      <c r="DP541" s="14"/>
      <c r="DQ541" s="14"/>
      <c r="DR541" s="14"/>
      <c r="DS541" s="14"/>
      <c r="DT541" s="14"/>
      <c r="DU541" s="14"/>
      <c r="DV541" s="14"/>
      <c r="DW541" s="14"/>
      <c r="DX541" s="14"/>
      <c r="DY541" s="14"/>
      <c r="DZ541" s="14"/>
      <c r="EA541" s="14"/>
      <c r="EB541" s="14"/>
      <c r="EC541" s="14"/>
    </row>
    <row r="542" spans="1:133" s="13" customFormat="1" x14ac:dyDescent="0.25">
      <c r="A542" s="57" t="s">
        <v>8</v>
      </c>
      <c r="B542" s="58" t="s">
        <v>9</v>
      </c>
      <c r="C542" s="34" t="s">
        <v>10</v>
      </c>
      <c r="D542" s="34" t="s">
        <v>340</v>
      </c>
      <c r="E542" s="16" t="s">
        <v>65</v>
      </c>
      <c r="R542" s="14"/>
      <c r="S542" s="14"/>
      <c r="T542" s="14"/>
      <c r="U542" s="14"/>
      <c r="V542" s="14"/>
      <c r="W542" s="14"/>
      <c r="X542" s="14"/>
      <c r="Y542" s="14"/>
      <c r="Z542" s="14"/>
      <c r="AA542" s="14"/>
      <c r="AB542" s="14"/>
      <c r="AC542" s="14"/>
      <c r="AD542" s="14"/>
      <c r="AE542" s="14"/>
      <c r="AF542" s="14"/>
      <c r="AG542" s="14"/>
      <c r="AH542" s="14"/>
      <c r="AI542" s="14"/>
      <c r="AJ542" s="14"/>
      <c r="AK542" s="14"/>
      <c r="AL542" s="14"/>
      <c r="AM542" s="14"/>
      <c r="AN542" s="14"/>
      <c r="AO542" s="14"/>
      <c r="AP542" s="14"/>
      <c r="AQ542" s="14"/>
      <c r="AR542" s="14"/>
      <c r="AS542" s="14"/>
      <c r="AT542" s="14"/>
      <c r="AU542" s="14"/>
      <c r="AV542" s="14"/>
      <c r="AW542" s="14"/>
      <c r="AX542" s="14"/>
      <c r="AY542" s="14"/>
      <c r="AZ542" s="14"/>
      <c r="BA542" s="14"/>
      <c r="BB542" s="14"/>
      <c r="BC542" s="14"/>
      <c r="BD542" s="14"/>
      <c r="BE542" s="14"/>
      <c r="BF542" s="14"/>
      <c r="BG542" s="14"/>
      <c r="BH542" s="14"/>
      <c r="BI542" s="14"/>
      <c r="BJ542" s="14"/>
      <c r="BK542" s="14"/>
      <c r="BL542" s="14"/>
      <c r="BM542" s="14"/>
      <c r="BN542" s="14"/>
      <c r="BO542" s="14"/>
      <c r="BP542" s="14"/>
      <c r="BQ542" s="14"/>
      <c r="BR542" s="14"/>
      <c r="BS542" s="14"/>
      <c r="BT542" s="14"/>
      <c r="BU542" s="14"/>
      <c r="BV542" s="14"/>
      <c r="BW542" s="14"/>
      <c r="BX542" s="14"/>
      <c r="BY542" s="14"/>
      <c r="BZ542" s="14"/>
      <c r="CA542" s="14"/>
      <c r="CB542" s="14"/>
      <c r="CC542" s="14"/>
      <c r="CD542" s="14"/>
      <c r="CE542" s="14"/>
      <c r="CF542" s="14"/>
      <c r="CG542" s="14"/>
      <c r="CH542" s="14"/>
      <c r="CI542" s="14"/>
      <c r="CJ542" s="14"/>
      <c r="CK542" s="14"/>
      <c r="CL542" s="14"/>
      <c r="CM542" s="14"/>
      <c r="CN542" s="14"/>
      <c r="CO542" s="14"/>
      <c r="CP542" s="14"/>
      <c r="CQ542" s="14"/>
      <c r="CR542" s="14"/>
      <c r="CS542" s="14"/>
      <c r="CT542" s="14"/>
      <c r="CU542" s="14"/>
      <c r="CV542" s="14"/>
      <c r="CW542" s="14"/>
      <c r="CX542" s="14"/>
      <c r="CY542" s="14"/>
      <c r="CZ542" s="14"/>
      <c r="DA542" s="14"/>
      <c r="DB542" s="14"/>
      <c r="DC542" s="14"/>
      <c r="DD542" s="14"/>
      <c r="DE542" s="14"/>
      <c r="DF542" s="14"/>
      <c r="DG542" s="14"/>
      <c r="DH542" s="14"/>
      <c r="DI542" s="14"/>
      <c r="DJ542" s="14"/>
      <c r="DK542" s="14"/>
      <c r="DL542" s="14"/>
      <c r="DM542" s="14"/>
      <c r="DN542" s="14"/>
      <c r="DO542" s="14"/>
      <c r="DP542" s="14"/>
      <c r="DQ542" s="14"/>
      <c r="DR542" s="14"/>
      <c r="DS542" s="14"/>
      <c r="DT542" s="14"/>
      <c r="DU542" s="14"/>
      <c r="DV542" s="14"/>
      <c r="DW542" s="14"/>
      <c r="DX542" s="14"/>
      <c r="DY542" s="14"/>
      <c r="DZ542" s="14"/>
      <c r="EA542" s="14"/>
      <c r="EB542" s="14"/>
      <c r="EC542" s="14"/>
    </row>
    <row r="543" spans="1:133" s="13" customFormat="1" ht="49.2" x14ac:dyDescent="0.25">
      <c r="A543" s="15" t="s">
        <v>99</v>
      </c>
      <c r="B543" s="25" t="s">
        <v>95</v>
      </c>
      <c r="C543" s="35" t="s">
        <v>100</v>
      </c>
      <c r="D543" s="35" t="s">
        <v>101</v>
      </c>
      <c r="E543" s="16">
        <v>0</v>
      </c>
      <c r="R543" s="14"/>
      <c r="S543" s="14"/>
      <c r="T543" s="14"/>
      <c r="U543" s="14"/>
      <c r="V543" s="14"/>
      <c r="W543" s="14"/>
      <c r="X543" s="14"/>
      <c r="Y543" s="14"/>
      <c r="Z543" s="14"/>
      <c r="AA543" s="14"/>
      <c r="AB543" s="14"/>
      <c r="AC543" s="14"/>
      <c r="AD543" s="14"/>
      <c r="AE543" s="14"/>
      <c r="AF543" s="14"/>
      <c r="AG543" s="14"/>
      <c r="AH543" s="14"/>
      <c r="AI543" s="14"/>
      <c r="AJ543" s="14"/>
      <c r="AK543" s="14"/>
      <c r="AL543" s="14"/>
      <c r="AM543" s="14"/>
      <c r="AN543" s="14"/>
      <c r="AO543" s="14"/>
      <c r="AP543" s="14"/>
      <c r="AQ543" s="14"/>
      <c r="AR543" s="14"/>
      <c r="AS543" s="14"/>
      <c r="AT543" s="14"/>
      <c r="AU543" s="14"/>
      <c r="AV543" s="14"/>
      <c r="AW543" s="14"/>
      <c r="AX543" s="14"/>
      <c r="AY543" s="14"/>
      <c r="AZ543" s="14"/>
      <c r="BA543" s="14"/>
      <c r="BB543" s="14"/>
      <c r="BC543" s="14"/>
      <c r="BD543" s="14"/>
      <c r="BE543" s="14"/>
      <c r="BF543" s="14"/>
      <c r="BG543" s="14"/>
      <c r="BH543" s="14"/>
      <c r="BI543" s="14"/>
      <c r="BJ543" s="14"/>
      <c r="BK543" s="14"/>
      <c r="BL543" s="14"/>
      <c r="BM543" s="14"/>
      <c r="BN543" s="14"/>
      <c r="BO543" s="14"/>
      <c r="BP543" s="14"/>
      <c r="BQ543" s="14"/>
      <c r="BR543" s="14"/>
      <c r="BS543" s="14"/>
      <c r="BT543" s="14"/>
      <c r="BU543" s="14"/>
      <c r="BV543" s="14"/>
      <c r="BW543" s="14"/>
      <c r="BX543" s="14"/>
      <c r="BY543" s="14"/>
      <c r="BZ543" s="14"/>
      <c r="CA543" s="14"/>
      <c r="CB543" s="14"/>
      <c r="CC543" s="14"/>
      <c r="CD543" s="14"/>
      <c r="CE543" s="14"/>
      <c r="CF543" s="14"/>
      <c r="CG543" s="14"/>
      <c r="CH543" s="14"/>
      <c r="CI543" s="14"/>
      <c r="CJ543" s="14"/>
      <c r="CK543" s="14"/>
      <c r="CL543" s="14"/>
      <c r="CM543" s="14"/>
      <c r="CN543" s="14"/>
      <c r="CO543" s="14"/>
      <c r="CP543" s="14"/>
      <c r="CQ543" s="14"/>
      <c r="CR543" s="14"/>
      <c r="CS543" s="14"/>
      <c r="CT543" s="14"/>
      <c r="CU543" s="14"/>
      <c r="CV543" s="14"/>
      <c r="CW543" s="14"/>
      <c r="CX543" s="14"/>
      <c r="CY543" s="14"/>
      <c r="CZ543" s="14"/>
      <c r="DA543" s="14"/>
      <c r="DB543" s="14"/>
      <c r="DC543" s="14"/>
      <c r="DD543" s="14"/>
      <c r="DE543" s="14"/>
      <c r="DF543" s="14"/>
      <c r="DG543" s="14"/>
      <c r="DH543" s="14"/>
      <c r="DI543" s="14"/>
      <c r="DJ543" s="14"/>
      <c r="DK543" s="14"/>
      <c r="DL543" s="14"/>
      <c r="DM543" s="14"/>
      <c r="DN543" s="14"/>
      <c r="DO543" s="14"/>
      <c r="DP543" s="14"/>
      <c r="DQ543" s="14"/>
      <c r="DR543" s="14"/>
      <c r="DS543" s="14"/>
      <c r="DT543" s="14"/>
      <c r="DU543" s="14"/>
      <c r="DV543" s="14"/>
      <c r="DW543" s="14"/>
      <c r="DX543" s="14"/>
      <c r="DY543" s="14"/>
      <c r="DZ543" s="14"/>
      <c r="EA543" s="14"/>
      <c r="EB543" s="14"/>
      <c r="EC543" s="14"/>
    </row>
    <row r="545" spans="1:133" x14ac:dyDescent="0.25">
      <c r="A545" s="57" t="s">
        <v>8</v>
      </c>
      <c r="B545" s="58" t="s">
        <v>9</v>
      </c>
      <c r="C545" s="34" t="s">
        <v>10</v>
      </c>
      <c r="D545" s="34" t="s">
        <v>340</v>
      </c>
      <c r="E545" s="16" t="s">
        <v>65</v>
      </c>
    </row>
    <row r="546" spans="1:133" ht="18" x14ac:dyDescent="0.25">
      <c r="A546" s="59" t="s">
        <v>102</v>
      </c>
      <c r="B546" s="25" t="s">
        <v>103</v>
      </c>
      <c r="C546" s="35" t="s">
        <v>104</v>
      </c>
      <c r="D546" s="53" t="s">
        <v>380</v>
      </c>
      <c r="E546" s="18">
        <f>ROUNDDOWN(E496+E527+E522+E539+E543,0)</f>
        <v>2581</v>
      </c>
    </row>
    <row r="547" spans="1:133" s="167" customFormat="1" ht="43.2" customHeight="1" x14ac:dyDescent="0.25">
      <c r="A547" s="171" t="s">
        <v>229</v>
      </c>
      <c r="B547" s="172"/>
      <c r="C547" s="172"/>
      <c r="D547" s="172"/>
      <c r="E547" s="172"/>
      <c r="F547" s="172"/>
      <c r="G547" s="172"/>
      <c r="H547" s="172"/>
      <c r="I547" s="172"/>
      <c r="J547" s="172"/>
      <c r="K547" s="172"/>
      <c r="L547" s="172"/>
      <c r="M547" s="172"/>
      <c r="N547" s="172"/>
      <c r="O547" s="172"/>
      <c r="P547" s="172"/>
      <c r="Q547" s="172"/>
      <c r="R547" s="172"/>
      <c r="S547" s="172"/>
      <c r="T547" s="172"/>
      <c r="U547" s="172"/>
      <c r="V547" s="172"/>
      <c r="W547" s="172"/>
      <c r="X547" s="172"/>
      <c r="Y547" s="172"/>
      <c r="Z547" s="172"/>
      <c r="AA547" s="172"/>
      <c r="AB547" s="172"/>
      <c r="AC547" s="172"/>
      <c r="AD547" s="172"/>
      <c r="AE547" s="172"/>
      <c r="AF547" s="172"/>
      <c r="AG547" s="172"/>
      <c r="AH547" s="172"/>
      <c r="AI547" s="172"/>
      <c r="AJ547" s="172"/>
      <c r="AK547" s="172"/>
      <c r="AL547" s="172"/>
      <c r="AM547" s="172"/>
      <c r="AN547" s="172"/>
      <c r="AO547" s="172"/>
      <c r="AP547" s="172"/>
      <c r="AQ547" s="172"/>
      <c r="AR547" s="172"/>
      <c r="AS547" s="172"/>
      <c r="AT547" s="172"/>
      <c r="AU547" s="172"/>
      <c r="AV547" s="172"/>
      <c r="AW547" s="172"/>
      <c r="AX547" s="172"/>
      <c r="AY547" s="172"/>
      <c r="AZ547" s="172"/>
      <c r="BA547" s="172"/>
      <c r="BB547" s="172"/>
      <c r="BC547" s="172"/>
      <c r="BD547" s="172"/>
      <c r="BE547" s="172"/>
      <c r="BF547" s="172"/>
      <c r="BG547" s="172"/>
      <c r="BH547" s="172"/>
      <c r="BI547" s="172"/>
      <c r="BJ547" s="172"/>
      <c r="BK547" s="172"/>
      <c r="BL547" s="172"/>
      <c r="BM547" s="172"/>
      <c r="BN547" s="172"/>
      <c r="BO547" s="172"/>
      <c r="BP547" s="172"/>
      <c r="BQ547" s="172"/>
      <c r="BR547" s="172"/>
      <c r="BS547" s="172"/>
      <c r="BT547" s="172"/>
      <c r="BU547" s="172"/>
      <c r="BV547" s="172"/>
      <c r="BW547" s="172"/>
      <c r="BX547" s="172"/>
      <c r="BY547" s="172"/>
      <c r="BZ547" s="172"/>
      <c r="CA547" s="172"/>
      <c r="CB547" s="172"/>
      <c r="CC547" s="172"/>
      <c r="CD547" s="172"/>
      <c r="CE547" s="172"/>
      <c r="CF547" s="172"/>
      <c r="CG547" s="172"/>
      <c r="CH547" s="172"/>
      <c r="CI547" s="172"/>
      <c r="CJ547" s="172"/>
      <c r="CK547" s="172"/>
      <c r="CL547" s="172"/>
      <c r="CM547" s="172"/>
      <c r="CN547" s="172"/>
      <c r="CO547" s="172"/>
      <c r="CP547" s="172"/>
      <c r="CQ547" s="172"/>
      <c r="CR547" s="172"/>
      <c r="CS547" s="172"/>
      <c r="CT547" s="172"/>
      <c r="CU547" s="172"/>
      <c r="CV547" s="172"/>
      <c r="CW547" s="172"/>
      <c r="CX547" s="172"/>
      <c r="CY547" s="172"/>
      <c r="CZ547" s="172"/>
      <c r="DA547" s="172"/>
      <c r="DB547" s="172"/>
      <c r="DC547" s="172"/>
      <c r="DD547" s="172"/>
      <c r="DE547" s="172"/>
      <c r="DF547" s="172"/>
      <c r="DG547" s="172"/>
      <c r="DH547" s="172"/>
      <c r="DI547" s="172"/>
      <c r="DJ547" s="172"/>
      <c r="DK547" s="172"/>
      <c r="DL547" s="172"/>
      <c r="DM547" s="172"/>
      <c r="DN547" s="172"/>
      <c r="DO547" s="172"/>
      <c r="DP547" s="172"/>
      <c r="DQ547" s="172"/>
      <c r="DR547" s="172"/>
      <c r="DS547" s="172"/>
      <c r="DT547" s="172"/>
      <c r="DU547" s="172"/>
      <c r="DV547" s="172"/>
      <c r="DW547" s="172"/>
      <c r="DX547" s="172"/>
      <c r="DY547" s="172"/>
      <c r="DZ547" s="172"/>
      <c r="EA547" s="172"/>
      <c r="EB547" s="172"/>
      <c r="EC547" s="173"/>
    </row>
    <row r="548" spans="1:133" s="56" customFormat="1" ht="31.2" x14ac:dyDescent="0.25">
      <c r="A548" s="92" t="s">
        <v>8</v>
      </c>
      <c r="B548" s="93" t="s">
        <v>9</v>
      </c>
      <c r="C548" s="94" t="s">
        <v>10</v>
      </c>
      <c r="D548" s="93" t="s">
        <v>341</v>
      </c>
      <c r="E548" s="93" t="s">
        <v>11</v>
      </c>
      <c r="F548" s="16" t="s">
        <v>312</v>
      </c>
      <c r="G548" s="16" t="s">
        <v>313</v>
      </c>
      <c r="H548" s="16" t="s">
        <v>314</v>
      </c>
      <c r="I548" s="16" t="s">
        <v>315</v>
      </c>
      <c r="J548" s="16" t="s">
        <v>316</v>
      </c>
      <c r="K548" s="16" t="s">
        <v>317</v>
      </c>
      <c r="L548" s="16" t="s">
        <v>318</v>
      </c>
      <c r="M548" s="16" t="s">
        <v>319</v>
      </c>
      <c r="N548" s="16" t="s">
        <v>320</v>
      </c>
      <c r="O548" s="16" t="s">
        <v>293</v>
      </c>
      <c r="P548" s="16" t="s">
        <v>294</v>
      </c>
      <c r="Q548" s="16" t="s">
        <v>295</v>
      </c>
      <c r="R548" s="54"/>
      <c r="S548" s="54"/>
      <c r="T548" s="54"/>
      <c r="U548" s="54"/>
      <c r="V548" s="54"/>
      <c r="W548" s="54"/>
      <c r="X548" s="54"/>
      <c r="Y548" s="54"/>
      <c r="Z548" s="54"/>
      <c r="AA548" s="54"/>
      <c r="AB548" s="54"/>
      <c r="AC548" s="54"/>
      <c r="AD548" s="54"/>
      <c r="AE548" s="54"/>
      <c r="AF548" s="54"/>
      <c r="AG548" s="54"/>
      <c r="AH548" s="54"/>
      <c r="AI548" s="54"/>
      <c r="AJ548" s="54"/>
      <c r="AK548" s="54"/>
      <c r="AL548" s="54"/>
      <c r="AM548" s="54"/>
      <c r="AN548" s="54"/>
      <c r="AO548" s="54"/>
      <c r="AP548" s="54"/>
      <c r="AQ548" s="54"/>
      <c r="AR548" s="54"/>
      <c r="AS548" s="54"/>
      <c r="AT548" s="54"/>
      <c r="AU548" s="54"/>
      <c r="AV548" s="54"/>
      <c r="AW548" s="54"/>
      <c r="AX548" s="54"/>
      <c r="AY548" s="54"/>
      <c r="AZ548" s="54"/>
      <c r="BA548" s="54"/>
      <c r="BB548" s="54"/>
      <c r="BC548" s="54"/>
      <c r="BD548" s="54"/>
      <c r="BE548" s="54"/>
      <c r="BF548" s="54"/>
      <c r="BG548" s="54"/>
      <c r="BH548" s="54"/>
      <c r="BI548" s="54"/>
      <c r="BJ548" s="54"/>
      <c r="BK548" s="54"/>
      <c r="BL548" s="54"/>
      <c r="BM548" s="54"/>
      <c r="BN548" s="54"/>
      <c r="BO548" s="54"/>
      <c r="BP548" s="54"/>
      <c r="BQ548" s="54"/>
      <c r="BR548" s="54"/>
      <c r="BS548" s="54"/>
      <c r="BT548" s="54"/>
      <c r="BU548" s="54"/>
      <c r="BV548" s="54"/>
      <c r="BW548" s="54"/>
      <c r="BX548" s="54"/>
      <c r="BY548" s="54"/>
      <c r="BZ548" s="54"/>
      <c r="CA548" s="54"/>
      <c r="CB548" s="54"/>
      <c r="CC548" s="54"/>
      <c r="CD548" s="54"/>
      <c r="CE548" s="54"/>
      <c r="CF548" s="54"/>
      <c r="CG548" s="54"/>
      <c r="CH548" s="54"/>
      <c r="CI548" s="54"/>
      <c r="CJ548" s="54"/>
      <c r="CK548" s="54"/>
      <c r="CL548" s="54"/>
      <c r="CM548" s="54"/>
      <c r="CN548" s="54"/>
      <c r="CO548" s="54"/>
      <c r="CP548" s="54"/>
      <c r="CQ548" s="54"/>
      <c r="CR548" s="54"/>
      <c r="CS548" s="54"/>
      <c r="CT548" s="54"/>
      <c r="CU548" s="54"/>
      <c r="CV548" s="54"/>
      <c r="CW548" s="54"/>
      <c r="CX548" s="54"/>
      <c r="CY548" s="54"/>
      <c r="CZ548" s="54"/>
      <c r="DA548" s="54"/>
      <c r="DB548" s="54"/>
      <c r="DC548" s="54"/>
      <c r="DD548" s="54"/>
      <c r="DE548" s="54"/>
      <c r="DF548" s="54"/>
      <c r="DG548" s="54"/>
      <c r="DH548" s="54"/>
      <c r="DI548" s="54"/>
      <c r="DJ548" s="54"/>
      <c r="DK548" s="54"/>
      <c r="DL548" s="54"/>
      <c r="DM548" s="54"/>
      <c r="DN548" s="54"/>
      <c r="DO548" s="54"/>
      <c r="DP548" s="54"/>
      <c r="DQ548" s="54"/>
      <c r="DR548" s="54"/>
      <c r="DS548" s="54"/>
      <c r="DT548" s="54"/>
      <c r="DU548" s="54"/>
      <c r="DV548" s="54"/>
      <c r="DW548" s="54"/>
      <c r="DX548" s="54"/>
      <c r="DY548" s="54"/>
      <c r="DZ548" s="54"/>
      <c r="EA548" s="54"/>
      <c r="EB548" s="54"/>
      <c r="EC548" s="54"/>
    </row>
    <row r="549" spans="1:133" s="56" customFormat="1" x14ac:dyDescent="0.25">
      <c r="A549" s="58" t="s">
        <v>12</v>
      </c>
      <c r="B549" s="58"/>
      <c r="C549" s="34"/>
      <c r="D549" s="34"/>
      <c r="E549" s="58"/>
      <c r="F549" s="16">
        <v>31</v>
      </c>
      <c r="G549" s="16">
        <v>28</v>
      </c>
      <c r="H549" s="16">
        <v>31</v>
      </c>
      <c r="I549" s="16">
        <v>30</v>
      </c>
      <c r="J549" s="16">
        <v>31</v>
      </c>
      <c r="K549" s="16">
        <v>30</v>
      </c>
      <c r="L549" s="16">
        <v>31</v>
      </c>
      <c r="M549" s="16">
        <v>31</v>
      </c>
      <c r="N549" s="16">
        <v>30</v>
      </c>
      <c r="O549" s="16">
        <v>31</v>
      </c>
      <c r="P549" s="16">
        <v>30</v>
      </c>
      <c r="Q549" s="16">
        <v>31</v>
      </c>
      <c r="R549" s="54"/>
      <c r="S549" s="54"/>
      <c r="T549" s="54"/>
      <c r="U549" s="54"/>
      <c r="V549" s="54"/>
      <c r="W549" s="54"/>
      <c r="X549" s="54"/>
      <c r="Y549" s="54"/>
      <c r="Z549" s="54"/>
      <c r="AA549" s="54"/>
      <c r="AB549" s="54"/>
      <c r="AC549" s="54"/>
      <c r="AD549" s="54"/>
      <c r="AE549" s="54"/>
      <c r="AF549" s="54"/>
      <c r="AG549" s="54"/>
      <c r="AH549" s="54"/>
      <c r="AI549" s="54"/>
      <c r="AJ549" s="54"/>
      <c r="AK549" s="54"/>
      <c r="AL549" s="54"/>
      <c r="AM549" s="54"/>
      <c r="AN549" s="54"/>
      <c r="AO549" s="54"/>
      <c r="AP549" s="54"/>
      <c r="AQ549" s="54"/>
      <c r="AR549" s="54"/>
      <c r="AS549" s="54"/>
      <c r="AT549" s="54"/>
      <c r="AU549" s="54"/>
      <c r="AV549" s="54"/>
      <c r="AW549" s="54"/>
      <c r="AX549" s="54"/>
      <c r="AY549" s="54"/>
      <c r="AZ549" s="54"/>
      <c r="BA549" s="54"/>
      <c r="BB549" s="54"/>
      <c r="BC549" s="54"/>
      <c r="BD549" s="54"/>
      <c r="BE549" s="54"/>
      <c r="BF549" s="54"/>
      <c r="BG549" s="54"/>
      <c r="BH549" s="54"/>
      <c r="BI549" s="54"/>
      <c r="BJ549" s="54"/>
      <c r="BK549" s="54"/>
      <c r="BL549" s="54"/>
      <c r="BM549" s="54"/>
      <c r="BN549" s="54"/>
      <c r="BO549" s="54"/>
      <c r="BP549" s="54"/>
      <c r="BQ549" s="54"/>
      <c r="BR549" s="54"/>
      <c r="BS549" s="54"/>
      <c r="BT549" s="54"/>
      <c r="BU549" s="54"/>
      <c r="BV549" s="54"/>
      <c r="BW549" s="54"/>
      <c r="BX549" s="54"/>
      <c r="BY549" s="54"/>
      <c r="BZ549" s="54"/>
      <c r="CA549" s="54"/>
      <c r="CB549" s="54"/>
      <c r="CC549" s="54"/>
      <c r="CD549" s="54"/>
      <c r="CE549" s="54"/>
      <c r="CF549" s="54"/>
      <c r="CG549" s="54"/>
      <c r="CH549" s="54"/>
      <c r="CI549" s="54"/>
      <c r="CJ549" s="54"/>
      <c r="CK549" s="54"/>
      <c r="CL549" s="54"/>
      <c r="CM549" s="54"/>
      <c r="CN549" s="54"/>
      <c r="CO549" s="54"/>
      <c r="CP549" s="54"/>
      <c r="CQ549" s="54"/>
      <c r="CR549" s="54"/>
      <c r="CS549" s="54"/>
      <c r="CT549" s="54"/>
      <c r="CU549" s="54"/>
      <c r="CV549" s="54"/>
      <c r="CW549" s="54"/>
      <c r="CX549" s="54"/>
      <c r="CY549" s="54"/>
      <c r="CZ549" s="54"/>
      <c r="DA549" s="54"/>
      <c r="DB549" s="54"/>
      <c r="DC549" s="54"/>
      <c r="DD549" s="54"/>
      <c r="DE549" s="54"/>
      <c r="DF549" s="54"/>
      <c r="DG549" s="54"/>
      <c r="DH549" s="54"/>
      <c r="DI549" s="54"/>
      <c r="DJ549" s="54"/>
      <c r="DK549" s="54"/>
      <c r="DL549" s="54"/>
      <c r="DM549" s="54"/>
      <c r="DN549" s="54"/>
      <c r="DO549" s="54"/>
      <c r="DP549" s="54"/>
      <c r="DQ549" s="54"/>
      <c r="DR549" s="54"/>
      <c r="DS549" s="54"/>
      <c r="DT549" s="54"/>
      <c r="DU549" s="54"/>
      <c r="DV549" s="54"/>
      <c r="DW549" s="54"/>
      <c r="DX549" s="54"/>
      <c r="DY549" s="54"/>
      <c r="DZ549" s="54"/>
      <c r="EA549" s="54"/>
      <c r="EB549" s="54"/>
      <c r="EC549" s="54"/>
    </row>
    <row r="550" spans="1:133" ht="46.8" x14ac:dyDescent="0.25">
      <c r="A550" s="59" t="s">
        <v>13</v>
      </c>
      <c r="B550" s="60" t="s">
        <v>14</v>
      </c>
      <c r="C550" s="53" t="s">
        <v>15</v>
      </c>
      <c r="D550" s="53" t="s">
        <v>369</v>
      </c>
      <c r="E550" s="61">
        <f>SUM(F550:Q550)</f>
        <v>2998.2699156722238</v>
      </c>
      <c r="F550" s="62">
        <f>$E$551*$E$552*F553*$E$564</f>
        <v>244.9259297910759</v>
      </c>
      <c r="G550" s="62">
        <f t="shared" ref="G550:Q550" si="70">$E$551*$E$552*G553*$E$564</f>
        <v>221.30579259054659</v>
      </c>
      <c r="H550" s="62">
        <f t="shared" si="70"/>
        <v>244.83775392726861</v>
      </c>
      <c r="I550" s="62">
        <f t="shared" si="70"/>
        <v>237.07663997286139</v>
      </c>
      <c r="J550" s="62">
        <f t="shared" si="70"/>
        <v>279.11540569133905</v>
      </c>
      <c r="K550" s="62">
        <f t="shared" si="70"/>
        <v>240.97280925882953</v>
      </c>
      <c r="L550" s="62">
        <f t="shared" si="70"/>
        <v>249.02133988195692</v>
      </c>
      <c r="M550" s="62">
        <f t="shared" si="70"/>
        <v>249.34487722102125</v>
      </c>
      <c r="N550" s="62">
        <f t="shared" si="70"/>
        <v>270.19955412822759</v>
      </c>
      <c r="O550" s="62">
        <f t="shared" si="70"/>
        <v>279.47411315584321</v>
      </c>
      <c r="P550" s="62">
        <f t="shared" si="70"/>
        <v>237.01066823165027</v>
      </c>
      <c r="Q550" s="62">
        <f t="shared" si="70"/>
        <v>244.9850318216036</v>
      </c>
    </row>
    <row r="551" spans="1:133" ht="31.2" x14ac:dyDescent="0.25">
      <c r="A551" s="63" t="s">
        <v>16</v>
      </c>
      <c r="B551" s="60" t="s">
        <v>193</v>
      </c>
      <c r="C551" s="35" t="s">
        <v>17</v>
      </c>
      <c r="D551" s="35" t="s">
        <v>205</v>
      </c>
      <c r="E551" s="168">
        <v>28</v>
      </c>
      <c r="F551" s="169"/>
      <c r="G551" s="169"/>
      <c r="H551" s="169"/>
      <c r="I551" s="169"/>
      <c r="J551" s="169"/>
      <c r="K551" s="169"/>
      <c r="L551" s="169"/>
      <c r="M551" s="169"/>
      <c r="N551" s="169"/>
      <c r="O551" s="169"/>
      <c r="P551" s="169"/>
      <c r="Q551" s="170"/>
    </row>
    <row r="552" spans="1:133" ht="64.8" x14ac:dyDescent="0.25">
      <c r="A552" s="63" t="s">
        <v>18</v>
      </c>
      <c r="B552" s="25" t="s">
        <v>194</v>
      </c>
      <c r="C552" s="35" t="s">
        <v>20</v>
      </c>
      <c r="D552" s="35" t="s">
        <v>394</v>
      </c>
      <c r="E552" s="168">
        <v>0.21</v>
      </c>
      <c r="F552" s="169"/>
      <c r="G552" s="169"/>
      <c r="H552" s="169"/>
      <c r="I552" s="169"/>
      <c r="J552" s="169"/>
      <c r="K552" s="169"/>
      <c r="L552" s="169"/>
      <c r="M552" s="169"/>
      <c r="N552" s="169"/>
      <c r="O552" s="169"/>
      <c r="P552" s="169"/>
      <c r="Q552" s="170"/>
    </row>
    <row r="553" spans="1:133" ht="46.8" x14ac:dyDescent="0.25">
      <c r="A553" s="35" t="s">
        <v>21</v>
      </c>
      <c r="B553" s="25" t="s">
        <v>195</v>
      </c>
      <c r="C553" s="53" t="s">
        <v>22</v>
      </c>
      <c r="D553" s="53" t="s">
        <v>370</v>
      </c>
      <c r="E553" s="64">
        <f t="shared" ref="E553:Q553" si="71">E561*E554</f>
        <v>863.23465248272078</v>
      </c>
      <c r="F553" s="64">
        <f t="shared" si="71"/>
        <v>70.516849994742245</v>
      </c>
      <c r="G553" s="64">
        <f t="shared" si="71"/>
        <v>63.716354541909851</v>
      </c>
      <c r="H553" s="64">
        <f t="shared" si="71"/>
        <v>70.491463200593657</v>
      </c>
      <c r="I553" s="64">
        <f t="shared" si="71"/>
        <v>68.256953734887531</v>
      </c>
      <c r="J553" s="64">
        <f t="shared" si="71"/>
        <v>80.360373485759553</v>
      </c>
      <c r="K553" s="64">
        <f t="shared" si="71"/>
        <v>69.378703421934134</v>
      </c>
      <c r="L553" s="64">
        <f t="shared" si="71"/>
        <v>71.695963285409164</v>
      </c>
      <c r="M553" s="64">
        <f t="shared" si="71"/>
        <v>71.789113218639827</v>
      </c>
      <c r="N553" s="64">
        <f t="shared" si="71"/>
        <v>77.793402451750936</v>
      </c>
      <c r="O553" s="64">
        <f t="shared" si="71"/>
        <v>80.463649282193231</v>
      </c>
      <c r="P553" s="64">
        <f t="shared" si="71"/>
        <v>68.237959750123053</v>
      </c>
      <c r="Q553" s="64">
        <f t="shared" si="71"/>
        <v>70.533866114777638</v>
      </c>
    </row>
    <row r="554" spans="1:133" ht="46.8" x14ac:dyDescent="0.25">
      <c r="A554" s="35" t="s">
        <v>23</v>
      </c>
      <c r="B554" s="25" t="s">
        <v>197</v>
      </c>
      <c r="C554" s="35" t="s">
        <v>191</v>
      </c>
      <c r="D554" s="35" t="s">
        <v>371</v>
      </c>
      <c r="E554" s="20">
        <f>SUM(F554:Q554)</f>
        <v>910.23012992467295</v>
      </c>
      <c r="F554" s="20">
        <f>F556*F559</f>
        <v>74.355867605625022</v>
      </c>
      <c r="G554" s="20">
        <f t="shared" ref="G554:Q554" si="72">G556*G559</f>
        <v>67.185145436651752</v>
      </c>
      <c r="H554" s="20">
        <f t="shared" si="72"/>
        <v>74.329098725495172</v>
      </c>
      <c r="I554" s="20">
        <f t="shared" si="72"/>
        <v>71.972940020051738</v>
      </c>
      <c r="J554" s="20">
        <f t="shared" si="72"/>
        <v>84.735283724262118</v>
      </c>
      <c r="K554" s="20">
        <f t="shared" si="72"/>
        <v>73.155759037391675</v>
      </c>
      <c r="L554" s="20">
        <f t="shared" si="72"/>
        <v>75.599173166485997</v>
      </c>
      <c r="M554" s="20">
        <f t="shared" si="72"/>
        <v>75.697394288151074</v>
      </c>
      <c r="N554" s="20">
        <f t="shared" si="72"/>
        <v>82.028563864165562</v>
      </c>
      <c r="O554" s="20">
        <f t="shared" si="72"/>
        <v>84.84418197265326</v>
      </c>
      <c r="P554" s="20">
        <f t="shared" si="72"/>
        <v>71.952911981128324</v>
      </c>
      <c r="Q554" s="20">
        <f t="shared" si="72"/>
        <v>74.373810102611301</v>
      </c>
    </row>
    <row r="555" spans="1:133" ht="62.4" x14ac:dyDescent="0.25">
      <c r="A555" s="17" t="s">
        <v>335</v>
      </c>
      <c r="B555" s="60" t="s">
        <v>192</v>
      </c>
      <c r="C555" s="35" t="s">
        <v>25</v>
      </c>
      <c r="D555" s="35" t="s">
        <v>333</v>
      </c>
      <c r="E555" s="121">
        <f>AVERAGE(F555:Q555)</f>
        <v>5480.6297987967228</v>
      </c>
      <c r="F555" s="121">
        <v>5120.4250000000011</v>
      </c>
      <c r="G555" s="121">
        <v>5121.9739285714277</v>
      </c>
      <c r="H555" s="121">
        <v>5120.5474516129034</v>
      </c>
      <c r="I555" s="121">
        <v>5119.519400000001</v>
      </c>
      <c r="J555" s="121">
        <v>5839.9361612903231</v>
      </c>
      <c r="K555" s="121">
        <v>5841.6731</v>
      </c>
      <c r="L555" s="121">
        <v>5840.8485161290319</v>
      </c>
      <c r="M555" s="121">
        <v>5840.4802903225791</v>
      </c>
      <c r="N555" s="121">
        <v>5839.8975666666665</v>
      </c>
      <c r="O555" s="121">
        <v>5839.8646774193558</v>
      </c>
      <c r="P555" s="121">
        <v>5121.5743000000002</v>
      </c>
      <c r="Q555" s="121">
        <v>5120.8171935483888</v>
      </c>
    </row>
    <row r="556" spans="1:133" ht="46.8" x14ac:dyDescent="0.25">
      <c r="A556" s="35" t="s">
        <v>26</v>
      </c>
      <c r="B556" s="60" t="s">
        <v>198</v>
      </c>
      <c r="C556" s="35" t="s">
        <v>27</v>
      </c>
      <c r="D556" s="35" t="s">
        <v>206</v>
      </c>
      <c r="E556" s="65">
        <f>SUM(F556:Q556)</f>
        <v>2001505.699</v>
      </c>
      <c r="F556" s="65">
        <f>F555*F549</f>
        <v>158733.17500000005</v>
      </c>
      <c r="G556" s="65">
        <f t="shared" ref="G556:Q556" si="73">G555*G549</f>
        <v>143415.26999999996</v>
      </c>
      <c r="H556" s="65">
        <f t="shared" si="73"/>
        <v>158736.97100000002</v>
      </c>
      <c r="I556" s="65">
        <f t="shared" si="73"/>
        <v>153585.58200000002</v>
      </c>
      <c r="J556" s="65">
        <f t="shared" si="73"/>
        <v>181038.02100000001</v>
      </c>
      <c r="K556" s="65">
        <f t="shared" si="73"/>
        <v>175250.193</v>
      </c>
      <c r="L556" s="65">
        <f t="shared" si="73"/>
        <v>181066.30399999997</v>
      </c>
      <c r="M556" s="65">
        <f t="shared" si="73"/>
        <v>181054.88899999997</v>
      </c>
      <c r="N556" s="65">
        <f t="shared" si="73"/>
        <v>175196.927</v>
      </c>
      <c r="O556" s="65">
        <f t="shared" si="73"/>
        <v>181035.80500000002</v>
      </c>
      <c r="P556" s="65">
        <f t="shared" si="73"/>
        <v>153647.22899999999</v>
      </c>
      <c r="Q556" s="65">
        <f t="shared" si="73"/>
        <v>158745.33300000004</v>
      </c>
    </row>
    <row r="557" spans="1:133" ht="62.4" x14ac:dyDescent="0.25">
      <c r="A557" s="35" t="s">
        <v>28</v>
      </c>
      <c r="B557" s="60" t="s">
        <v>199</v>
      </c>
      <c r="C557" s="35" t="s">
        <v>29</v>
      </c>
      <c r="D557" s="35" t="s">
        <v>332</v>
      </c>
      <c r="E557" s="125">
        <f>AVERAGE(F557:Q557)</f>
        <v>455.71236905092968</v>
      </c>
      <c r="F557" s="125">
        <v>468.43306451612904</v>
      </c>
      <c r="G557" s="125">
        <v>468.46577380952374</v>
      </c>
      <c r="H557" s="125">
        <v>468.25322580645161</v>
      </c>
      <c r="I557" s="125">
        <v>468.61781609195401</v>
      </c>
      <c r="J557" s="125">
        <v>468.05241935483878</v>
      </c>
      <c r="K557" s="125">
        <v>417.43611111111113</v>
      </c>
      <c r="L557" s="125">
        <v>417.52204301075261</v>
      </c>
      <c r="M557" s="125">
        <v>418.09086021505385</v>
      </c>
      <c r="N557" s="125">
        <v>468.20777777777784</v>
      </c>
      <c r="O557" s="125">
        <v>468.65967741935492</v>
      </c>
      <c r="P557" s="125">
        <v>468.29944444444442</v>
      </c>
      <c r="Q557" s="125">
        <v>468.51021505376343</v>
      </c>
    </row>
    <row r="558" spans="1:133" ht="62.4" x14ac:dyDescent="0.25">
      <c r="A558" s="35" t="s">
        <v>30</v>
      </c>
      <c r="B558" s="60" t="s">
        <v>199</v>
      </c>
      <c r="C558" s="35" t="s">
        <v>31</v>
      </c>
      <c r="D558" s="35" t="s">
        <v>331</v>
      </c>
      <c r="E558" s="125">
        <f>AVERAGE(F558:Q558)</f>
        <v>21.574996271945309</v>
      </c>
      <c r="F558" s="125">
        <v>22.419892473118281</v>
      </c>
      <c r="G558" s="125">
        <v>21.77529761904762</v>
      </c>
      <c r="H558" s="125">
        <v>22.07204301075269</v>
      </c>
      <c r="I558" s="125">
        <v>22.049137931034476</v>
      </c>
      <c r="J558" s="125">
        <v>22.69489247311828</v>
      </c>
      <c r="K558" s="125">
        <v>20.341944444444444</v>
      </c>
      <c r="L558" s="125">
        <v>19.752419354838707</v>
      </c>
      <c r="M558" s="125">
        <v>19.872580645161293</v>
      </c>
      <c r="N558" s="125">
        <v>21.977500000000003</v>
      </c>
      <c r="O558" s="125">
        <v>22.267473118279565</v>
      </c>
      <c r="P558" s="125">
        <v>22.113333333333333</v>
      </c>
      <c r="Q558" s="125">
        <v>21.563440860215049</v>
      </c>
    </row>
    <row r="559" spans="1:133" ht="62.4" x14ac:dyDescent="0.25">
      <c r="A559" s="35" t="s">
        <v>32</v>
      </c>
      <c r="B559" s="60" t="s">
        <v>200</v>
      </c>
      <c r="C559" s="35" t="s">
        <v>34</v>
      </c>
      <c r="D559" s="35" t="s">
        <v>338</v>
      </c>
      <c r="E559" s="122">
        <f>E557/1000000</f>
        <v>4.5571236905092967E-4</v>
      </c>
      <c r="F559" s="120">
        <f>F557/1000000</f>
        <v>4.6843306451612902E-4</v>
      </c>
      <c r="G559" s="120">
        <f t="shared" ref="G559:Q560" si="74">G557/1000000</f>
        <v>4.6846577380952372E-4</v>
      </c>
      <c r="H559" s="120">
        <f t="shared" si="74"/>
        <v>4.6825322580645163E-4</v>
      </c>
      <c r="I559" s="120">
        <f t="shared" si="74"/>
        <v>4.68617816091954E-4</v>
      </c>
      <c r="J559" s="120">
        <f t="shared" si="74"/>
        <v>4.6805241935483877E-4</v>
      </c>
      <c r="K559" s="120">
        <f t="shared" si="74"/>
        <v>4.1743611111111112E-4</v>
      </c>
      <c r="L559" s="120">
        <f t="shared" si="74"/>
        <v>4.175220430107526E-4</v>
      </c>
      <c r="M559" s="120">
        <f t="shared" si="74"/>
        <v>4.1809086021505384E-4</v>
      </c>
      <c r="N559" s="120">
        <f t="shared" si="74"/>
        <v>4.6820777777777784E-4</v>
      </c>
      <c r="O559" s="120">
        <f t="shared" si="74"/>
        <v>4.6865967741935495E-4</v>
      </c>
      <c r="P559" s="120">
        <f t="shared" si="74"/>
        <v>4.6829944444444439E-4</v>
      </c>
      <c r="Q559" s="120">
        <f t="shared" si="74"/>
        <v>4.6851021505376342E-4</v>
      </c>
    </row>
    <row r="560" spans="1:133" ht="62.4" x14ac:dyDescent="0.25">
      <c r="A560" s="35" t="s">
        <v>30</v>
      </c>
      <c r="B560" s="60" t="s">
        <v>33</v>
      </c>
      <c r="C560" s="35" t="s">
        <v>35</v>
      </c>
      <c r="D560" s="35" t="s">
        <v>339</v>
      </c>
      <c r="E560" s="122">
        <f>E558/1000000</f>
        <v>2.157499627194531E-5</v>
      </c>
      <c r="F560" s="120">
        <f>F558/1000000</f>
        <v>2.2419892473118283E-5</v>
      </c>
      <c r="G560" s="120">
        <f t="shared" si="74"/>
        <v>2.1775297619047619E-5</v>
      </c>
      <c r="H560" s="120">
        <f t="shared" si="74"/>
        <v>2.2072043010752689E-5</v>
      </c>
      <c r="I560" s="120">
        <f t="shared" si="74"/>
        <v>2.2049137931034475E-5</v>
      </c>
      <c r="J560" s="120">
        <f t="shared" si="74"/>
        <v>2.2694892473118279E-5</v>
      </c>
      <c r="K560" s="120">
        <f t="shared" si="74"/>
        <v>2.0341944444444445E-5</v>
      </c>
      <c r="L560" s="120">
        <f t="shared" si="74"/>
        <v>1.9752419354838706E-5</v>
      </c>
      <c r="M560" s="120">
        <f t="shared" si="74"/>
        <v>1.9872580645161291E-5</v>
      </c>
      <c r="N560" s="120">
        <f t="shared" si="74"/>
        <v>2.1977500000000004E-5</v>
      </c>
      <c r="O560" s="120">
        <f t="shared" si="74"/>
        <v>2.2267473118279565E-5</v>
      </c>
      <c r="P560" s="120">
        <f t="shared" si="74"/>
        <v>2.2113333333333334E-5</v>
      </c>
      <c r="Q560" s="120">
        <f t="shared" si="74"/>
        <v>2.156344086021505E-5</v>
      </c>
    </row>
    <row r="561" spans="1:133" ht="46.8" x14ac:dyDescent="0.25">
      <c r="A561" s="63" t="s">
        <v>36</v>
      </c>
      <c r="B561" s="25" t="s">
        <v>201</v>
      </c>
      <c r="C561" s="35" t="s">
        <v>38</v>
      </c>
      <c r="D561" s="35" t="s">
        <v>368</v>
      </c>
      <c r="E561" s="68">
        <f>(1-(E562/E563))</f>
        <v>0.94836967498994862</v>
      </c>
      <c r="F561" s="68">
        <f>E561</f>
        <v>0.94836967498994862</v>
      </c>
      <c r="G561" s="68">
        <f>E561</f>
        <v>0.94836967498994862</v>
      </c>
      <c r="H561" s="68">
        <f>E561</f>
        <v>0.94836967498994862</v>
      </c>
      <c r="I561" s="68">
        <f>E561</f>
        <v>0.94836967498994862</v>
      </c>
      <c r="J561" s="68">
        <f>E561</f>
        <v>0.94836967498994862</v>
      </c>
      <c r="K561" s="68">
        <f>E561</f>
        <v>0.94836967498994862</v>
      </c>
      <c r="L561" s="68">
        <f>E561</f>
        <v>0.94836967498994862</v>
      </c>
      <c r="M561" s="68">
        <f>E561</f>
        <v>0.94836967498994862</v>
      </c>
      <c r="N561" s="68">
        <f>E561</f>
        <v>0.94836967498994862</v>
      </c>
      <c r="O561" s="68">
        <f>E561</f>
        <v>0.94836967498994862</v>
      </c>
      <c r="P561" s="68">
        <f>E561</f>
        <v>0.94836967498994862</v>
      </c>
      <c r="Q561" s="68">
        <f>E561</f>
        <v>0.94836967498994862</v>
      </c>
    </row>
    <row r="562" spans="1:133" ht="31.2" x14ac:dyDescent="0.25">
      <c r="A562" s="35" t="s">
        <v>39</v>
      </c>
      <c r="B562" s="25" t="s">
        <v>196</v>
      </c>
      <c r="C562" s="35" t="s">
        <v>40</v>
      </c>
      <c r="D562" s="35" t="s">
        <v>351</v>
      </c>
      <c r="E562" s="52">
        <f>SUM(F562:Q562)</f>
        <v>44.707954655000009</v>
      </c>
      <c r="F562" s="52">
        <v>3.7971139570000001</v>
      </c>
      <c r="G562" s="52">
        <v>3.4296513159999997</v>
      </c>
      <c r="H562" s="52">
        <v>3.7971139570000001</v>
      </c>
      <c r="I562" s="52">
        <v>3.6746264100000001</v>
      </c>
      <c r="J562" s="52">
        <v>3.7971139570000001</v>
      </c>
      <c r="K562" s="52">
        <v>3.6746264100000001</v>
      </c>
      <c r="L562" s="52">
        <v>3.7971139570000001</v>
      </c>
      <c r="M562" s="52">
        <v>3.7971139570000001</v>
      </c>
      <c r="N562" s="52">
        <v>3.6746264100000001</v>
      </c>
      <c r="O562" s="52">
        <v>3.7971139570000001</v>
      </c>
      <c r="P562" s="52">
        <v>3.6746264100000001</v>
      </c>
      <c r="Q562" s="52">
        <v>3.7971139570000001</v>
      </c>
    </row>
    <row r="563" spans="1:133" ht="31.2" x14ac:dyDescent="0.25">
      <c r="A563" s="63" t="s">
        <v>41</v>
      </c>
      <c r="B563" s="25" t="s">
        <v>24</v>
      </c>
      <c r="C563" s="35" t="s">
        <v>42</v>
      </c>
      <c r="D563" s="35" t="s">
        <v>351</v>
      </c>
      <c r="E563" s="52">
        <f>SUM(F563:Q563)</f>
        <v>865.92433122000011</v>
      </c>
      <c r="F563" s="52">
        <v>73.544258267999993</v>
      </c>
      <c r="G563" s="52">
        <v>66.427071983999994</v>
      </c>
      <c r="H563" s="52">
        <v>73.544258267999993</v>
      </c>
      <c r="I563" s="52">
        <v>71.171862839999989</v>
      </c>
      <c r="J563" s="52">
        <v>73.544258267999993</v>
      </c>
      <c r="K563" s="52">
        <v>71.171862839999989</v>
      </c>
      <c r="L563" s="52">
        <v>73.544258267999993</v>
      </c>
      <c r="M563" s="52">
        <v>73.544258267999993</v>
      </c>
      <c r="N563" s="52">
        <v>71.171862839999989</v>
      </c>
      <c r="O563" s="52">
        <v>73.544258267999993</v>
      </c>
      <c r="P563" s="52">
        <v>71.171862839999989</v>
      </c>
      <c r="Q563" s="52">
        <v>73.544258267999993</v>
      </c>
    </row>
    <row r="564" spans="1:133" ht="31.2" x14ac:dyDescent="0.25">
      <c r="A564" s="53" t="s">
        <v>43</v>
      </c>
      <c r="B564" s="25" t="s">
        <v>201</v>
      </c>
      <c r="C564" s="53" t="s">
        <v>44</v>
      </c>
      <c r="D564" s="35" t="s">
        <v>372</v>
      </c>
      <c r="E564" s="192">
        <f>E565*E566*0.89</f>
        <v>0.59069668732318004</v>
      </c>
      <c r="F564" s="193"/>
      <c r="G564" s="193"/>
      <c r="H564" s="193"/>
      <c r="I564" s="193"/>
      <c r="J564" s="193"/>
      <c r="K564" s="193"/>
      <c r="L564" s="193"/>
      <c r="M564" s="193"/>
      <c r="N564" s="193"/>
      <c r="O564" s="193"/>
      <c r="P564" s="193"/>
      <c r="Q564" s="194"/>
    </row>
    <row r="565" spans="1:133" ht="31.2" x14ac:dyDescent="0.25">
      <c r="A565" s="70" t="s">
        <v>45</v>
      </c>
      <c r="B565" s="25" t="s">
        <v>201</v>
      </c>
      <c r="C565" s="53" t="s">
        <v>46</v>
      </c>
      <c r="D565" s="35" t="s">
        <v>373</v>
      </c>
      <c r="E565" s="162">
        <v>0.7</v>
      </c>
      <c r="F565" s="163"/>
      <c r="G565" s="163"/>
      <c r="H565" s="163"/>
      <c r="I565" s="163"/>
      <c r="J565" s="163"/>
      <c r="K565" s="163"/>
      <c r="L565" s="163"/>
      <c r="M565" s="163"/>
      <c r="N565" s="163"/>
      <c r="O565" s="163"/>
      <c r="P565" s="163"/>
      <c r="Q565" s="164"/>
    </row>
    <row r="566" spans="1:133" ht="36" customHeight="1" x14ac:dyDescent="0.25">
      <c r="A566" s="70" t="s">
        <v>47</v>
      </c>
      <c r="B566" s="25" t="s">
        <v>37</v>
      </c>
      <c r="C566" s="53" t="s">
        <v>48</v>
      </c>
      <c r="D566" s="35" t="s">
        <v>374</v>
      </c>
      <c r="E566" s="159">
        <f>(F567*F572+G567*G572+H567*H572+I567*I572+J567*J572+K567*K572+L567*L572+M567*M572+N567*N572+O567*O572+P567*P572+Q567*Q572)/(F561*F556*F559+G561*G559*G556+H561*H556*H559+I561*I559*I556+J561*J559*J556+K561*K559*K556+L561*L559*L556+M561*M559*M556+N561*N559*N556+O561*O556*O559+P561*P559*P556+Q561*Q559*Q556)</f>
        <v>0.94814877579964685</v>
      </c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1"/>
    </row>
    <row r="567" spans="1:133" s="9" customFormat="1" ht="46.8" x14ac:dyDescent="0.4">
      <c r="A567" s="71" t="s">
        <v>49</v>
      </c>
      <c r="B567" s="25" t="s">
        <v>37</v>
      </c>
      <c r="C567" s="53" t="s">
        <v>50</v>
      </c>
      <c r="D567" s="53" t="s">
        <v>375</v>
      </c>
      <c r="E567" s="72">
        <f>AVERAGE(F567:Q567)</f>
        <v>0.63155158305475345</v>
      </c>
      <c r="F567" s="72">
        <f>IF(F571&lt;283,0,IF(F571&gt;303,1,EXP(($E$568*(F571-$E$569))/($E$570*$E$569*F571))))</f>
        <v>0.24547412919519337</v>
      </c>
      <c r="G567" s="72">
        <f t="shared" ref="G567:Q567" si="75">IF(G571&lt;283,0,IF(G571&gt;303,1,EXP(($E$568*(G571-$E$569))/($E$570*$E$569*G571))))</f>
        <v>0.37002059672690846</v>
      </c>
      <c r="H567" s="72">
        <f t="shared" si="75"/>
        <v>0.44226396815696317</v>
      </c>
      <c r="I567" s="72">
        <f t="shared" si="75"/>
        <v>0.57531644493802248</v>
      </c>
      <c r="J567" s="72">
        <f t="shared" si="75"/>
        <v>0.84523513966163832</v>
      </c>
      <c r="K567" s="72">
        <f t="shared" si="75"/>
        <v>0.91923925774048054</v>
      </c>
      <c r="L567" s="72">
        <f t="shared" si="75"/>
        <v>1</v>
      </c>
      <c r="M567" s="72">
        <f t="shared" si="75"/>
        <v>0.91923925774048054</v>
      </c>
      <c r="N567" s="72">
        <f t="shared" si="75"/>
        <v>1</v>
      </c>
      <c r="O567" s="72">
        <f t="shared" si="75"/>
        <v>0.57531644493802248</v>
      </c>
      <c r="P567" s="72">
        <f t="shared" si="75"/>
        <v>0.40465607403307924</v>
      </c>
      <c r="Q567" s="72">
        <f t="shared" si="75"/>
        <v>0.28185768352625201</v>
      </c>
      <c r="R567" s="78"/>
      <c r="S567" s="78"/>
      <c r="T567" s="78"/>
      <c r="U567" s="78"/>
      <c r="V567" s="78"/>
      <c r="W567" s="78"/>
      <c r="X567" s="78"/>
      <c r="Y567" s="78"/>
      <c r="Z567" s="78"/>
      <c r="AA567" s="78"/>
      <c r="AB567" s="78"/>
      <c r="AC567" s="78"/>
      <c r="AD567" s="78"/>
      <c r="AE567" s="78"/>
      <c r="AF567" s="78"/>
      <c r="AG567" s="78"/>
      <c r="AH567" s="78"/>
      <c r="AI567" s="78"/>
      <c r="AJ567" s="78"/>
      <c r="AK567" s="78"/>
      <c r="AL567" s="78"/>
      <c r="AM567" s="78"/>
      <c r="AN567" s="78"/>
      <c r="AO567" s="78"/>
      <c r="AP567" s="78"/>
      <c r="AQ567" s="78"/>
      <c r="AR567" s="78"/>
      <c r="AS567" s="78"/>
      <c r="AT567" s="78"/>
      <c r="AU567" s="78"/>
      <c r="AV567" s="78"/>
      <c r="AW567" s="78"/>
      <c r="AX567" s="78"/>
      <c r="AY567" s="78"/>
      <c r="AZ567" s="78"/>
      <c r="BA567" s="78"/>
      <c r="BB567" s="78"/>
      <c r="BC567" s="78"/>
      <c r="BD567" s="78"/>
      <c r="BE567" s="78"/>
      <c r="BF567" s="78"/>
      <c r="BG567" s="78"/>
      <c r="BH567" s="78"/>
      <c r="BI567" s="78"/>
      <c r="BJ567" s="78"/>
      <c r="BK567" s="78"/>
      <c r="BL567" s="78"/>
      <c r="BM567" s="78"/>
      <c r="BN567" s="78"/>
      <c r="BO567" s="78"/>
      <c r="BP567" s="78"/>
      <c r="BQ567" s="78"/>
      <c r="BR567" s="78"/>
      <c r="BS567" s="78"/>
      <c r="BT567" s="78"/>
      <c r="BU567" s="78"/>
      <c r="BV567" s="78"/>
      <c r="BW567" s="78"/>
      <c r="BX567" s="78"/>
      <c r="BY567" s="78"/>
      <c r="BZ567" s="78"/>
      <c r="CA567" s="78"/>
      <c r="CB567" s="78"/>
      <c r="CC567" s="78"/>
      <c r="CD567" s="78"/>
      <c r="CE567" s="78"/>
      <c r="CF567" s="78"/>
      <c r="CG567" s="78"/>
      <c r="CH567" s="78"/>
      <c r="CI567" s="78"/>
      <c r="CJ567" s="78"/>
      <c r="CK567" s="78"/>
      <c r="CL567" s="78"/>
      <c r="CM567" s="78"/>
      <c r="CN567" s="78"/>
      <c r="CO567" s="78"/>
      <c r="CP567" s="78"/>
      <c r="CQ567" s="78"/>
      <c r="CR567" s="78"/>
      <c r="CS567" s="78"/>
      <c r="CT567" s="78"/>
      <c r="CU567" s="78"/>
      <c r="CV567" s="78"/>
      <c r="CW567" s="78"/>
      <c r="CX567" s="78"/>
      <c r="CY567" s="78"/>
      <c r="CZ567" s="78"/>
      <c r="DA567" s="78"/>
      <c r="DB567" s="78"/>
      <c r="DC567" s="78"/>
      <c r="DD567" s="78"/>
      <c r="DE567" s="78"/>
      <c r="DF567" s="78"/>
      <c r="DG567" s="78"/>
      <c r="DH567" s="78"/>
      <c r="DI567" s="78"/>
      <c r="DJ567" s="78"/>
      <c r="DK567" s="78"/>
      <c r="DL567" s="78"/>
      <c r="DM567" s="78"/>
      <c r="DN567" s="78"/>
      <c r="DO567" s="78"/>
      <c r="DP567" s="78"/>
      <c r="DQ567" s="78"/>
      <c r="DR567" s="78"/>
      <c r="DS567" s="78"/>
      <c r="DT567" s="78"/>
      <c r="DU567" s="78"/>
      <c r="DV567" s="78"/>
      <c r="DW567" s="78"/>
      <c r="DX567" s="78"/>
      <c r="DY567" s="78"/>
      <c r="DZ567" s="78"/>
      <c r="EA567" s="78"/>
      <c r="EB567" s="78"/>
      <c r="EC567" s="78"/>
    </row>
    <row r="568" spans="1:133" s="9" customFormat="1" x14ac:dyDescent="0.25">
      <c r="A568" s="73" t="s">
        <v>51</v>
      </c>
      <c r="B568" s="60" t="s">
        <v>202</v>
      </c>
      <c r="C568" s="53" t="s">
        <v>53</v>
      </c>
      <c r="D568" s="53" t="s">
        <v>376</v>
      </c>
      <c r="E568" s="162">
        <v>15175</v>
      </c>
      <c r="F568" s="163"/>
      <c r="G568" s="163"/>
      <c r="H568" s="163"/>
      <c r="I568" s="163"/>
      <c r="J568" s="163"/>
      <c r="K568" s="163"/>
      <c r="L568" s="163"/>
      <c r="M568" s="163"/>
      <c r="N568" s="163"/>
      <c r="O568" s="163"/>
      <c r="P568" s="163"/>
      <c r="Q568" s="164"/>
      <c r="R568" s="78"/>
      <c r="S568" s="78"/>
      <c r="T568" s="78"/>
      <c r="U568" s="78"/>
      <c r="V568" s="78"/>
      <c r="W568" s="78"/>
      <c r="X568" s="78"/>
      <c r="Y568" s="78"/>
      <c r="Z568" s="78"/>
      <c r="AA568" s="78"/>
      <c r="AB568" s="78"/>
      <c r="AC568" s="78"/>
      <c r="AD568" s="78"/>
      <c r="AE568" s="78"/>
      <c r="AF568" s="78"/>
      <c r="AG568" s="78"/>
      <c r="AH568" s="78"/>
      <c r="AI568" s="78"/>
      <c r="AJ568" s="78"/>
      <c r="AK568" s="78"/>
      <c r="AL568" s="78"/>
      <c r="AM568" s="78"/>
      <c r="AN568" s="78"/>
      <c r="AO568" s="78"/>
      <c r="AP568" s="78"/>
      <c r="AQ568" s="78"/>
      <c r="AR568" s="78"/>
      <c r="AS568" s="78"/>
      <c r="AT568" s="78"/>
      <c r="AU568" s="78"/>
      <c r="AV568" s="78"/>
      <c r="AW568" s="78"/>
      <c r="AX568" s="78"/>
      <c r="AY568" s="78"/>
      <c r="AZ568" s="78"/>
      <c r="BA568" s="78"/>
      <c r="BB568" s="78"/>
      <c r="BC568" s="78"/>
      <c r="BD568" s="78"/>
      <c r="BE568" s="78"/>
      <c r="BF568" s="78"/>
      <c r="BG568" s="78"/>
      <c r="BH568" s="78"/>
      <c r="BI568" s="78"/>
      <c r="BJ568" s="78"/>
      <c r="BK568" s="78"/>
      <c r="BL568" s="78"/>
      <c r="BM568" s="78"/>
      <c r="BN568" s="78"/>
      <c r="BO568" s="78"/>
      <c r="BP568" s="78"/>
      <c r="BQ568" s="78"/>
      <c r="BR568" s="78"/>
      <c r="BS568" s="78"/>
      <c r="BT568" s="78"/>
      <c r="BU568" s="78"/>
      <c r="BV568" s="78"/>
      <c r="BW568" s="78"/>
      <c r="BX568" s="78"/>
      <c r="BY568" s="78"/>
      <c r="BZ568" s="78"/>
      <c r="CA568" s="78"/>
      <c r="CB568" s="78"/>
      <c r="CC568" s="78"/>
      <c r="CD568" s="78"/>
      <c r="CE568" s="78"/>
      <c r="CF568" s="78"/>
      <c r="CG568" s="78"/>
      <c r="CH568" s="78"/>
      <c r="CI568" s="78"/>
      <c r="CJ568" s="78"/>
      <c r="CK568" s="78"/>
      <c r="CL568" s="78"/>
      <c r="CM568" s="78"/>
      <c r="CN568" s="78"/>
      <c r="CO568" s="78"/>
      <c r="CP568" s="78"/>
      <c r="CQ568" s="78"/>
      <c r="CR568" s="78"/>
      <c r="CS568" s="78"/>
      <c r="CT568" s="78"/>
      <c r="CU568" s="78"/>
      <c r="CV568" s="78"/>
      <c r="CW568" s="78"/>
      <c r="CX568" s="78"/>
      <c r="CY568" s="78"/>
      <c r="CZ568" s="78"/>
      <c r="DA568" s="78"/>
      <c r="DB568" s="78"/>
      <c r="DC568" s="78"/>
      <c r="DD568" s="78"/>
      <c r="DE568" s="78"/>
      <c r="DF568" s="78"/>
      <c r="DG568" s="78"/>
      <c r="DH568" s="78"/>
      <c r="DI568" s="78"/>
      <c r="DJ568" s="78"/>
      <c r="DK568" s="78"/>
      <c r="DL568" s="78"/>
      <c r="DM568" s="78"/>
      <c r="DN568" s="78"/>
      <c r="DO568" s="78"/>
      <c r="DP568" s="78"/>
      <c r="DQ568" s="78"/>
      <c r="DR568" s="78"/>
      <c r="DS568" s="78"/>
      <c r="DT568" s="78"/>
      <c r="DU568" s="78"/>
      <c r="DV568" s="78"/>
      <c r="DW568" s="78"/>
      <c r="DX568" s="78"/>
      <c r="DY568" s="78"/>
      <c r="DZ568" s="78"/>
      <c r="EA568" s="78"/>
      <c r="EB568" s="78"/>
      <c r="EC568" s="78"/>
    </row>
    <row r="569" spans="1:133" s="9" customFormat="1" ht="18" x14ac:dyDescent="0.25">
      <c r="A569" s="73" t="s">
        <v>54</v>
      </c>
      <c r="B569" s="60" t="s">
        <v>203</v>
      </c>
      <c r="C569" s="53" t="s">
        <v>56</v>
      </c>
      <c r="D569" s="53" t="s">
        <v>376</v>
      </c>
      <c r="E569" s="162">
        <v>303.16000000000003</v>
      </c>
      <c r="F569" s="163"/>
      <c r="G569" s="163"/>
      <c r="H569" s="163"/>
      <c r="I569" s="163"/>
      <c r="J569" s="163"/>
      <c r="K569" s="163"/>
      <c r="L569" s="163"/>
      <c r="M569" s="163"/>
      <c r="N569" s="163"/>
      <c r="O569" s="163"/>
      <c r="P569" s="163"/>
      <c r="Q569" s="164"/>
      <c r="R569" s="78"/>
      <c r="S569" s="78"/>
      <c r="T569" s="78"/>
      <c r="U569" s="78"/>
      <c r="V569" s="78"/>
      <c r="W569" s="78"/>
      <c r="X569" s="78"/>
      <c r="Y569" s="78"/>
      <c r="Z569" s="78"/>
      <c r="AA569" s="78"/>
      <c r="AB569" s="78"/>
      <c r="AC569" s="78"/>
      <c r="AD569" s="78"/>
      <c r="AE569" s="78"/>
      <c r="AF569" s="78"/>
      <c r="AG569" s="78"/>
      <c r="AH569" s="78"/>
      <c r="AI569" s="78"/>
      <c r="AJ569" s="78"/>
      <c r="AK569" s="78"/>
      <c r="AL569" s="78"/>
      <c r="AM569" s="78"/>
      <c r="AN569" s="78"/>
      <c r="AO569" s="78"/>
      <c r="AP569" s="78"/>
      <c r="AQ569" s="78"/>
      <c r="AR569" s="78"/>
      <c r="AS569" s="78"/>
      <c r="AT569" s="78"/>
      <c r="AU569" s="78"/>
      <c r="AV569" s="78"/>
      <c r="AW569" s="78"/>
      <c r="AX569" s="78"/>
      <c r="AY569" s="78"/>
      <c r="AZ569" s="78"/>
      <c r="BA569" s="78"/>
      <c r="BB569" s="78"/>
      <c r="BC569" s="78"/>
      <c r="BD569" s="78"/>
      <c r="BE569" s="78"/>
      <c r="BF569" s="78"/>
      <c r="BG569" s="78"/>
      <c r="BH569" s="78"/>
      <c r="BI569" s="78"/>
      <c r="BJ569" s="78"/>
      <c r="BK569" s="78"/>
      <c r="BL569" s="78"/>
      <c r="BM569" s="78"/>
      <c r="BN569" s="78"/>
      <c r="BO569" s="78"/>
      <c r="BP569" s="78"/>
      <c r="BQ569" s="78"/>
      <c r="BR569" s="78"/>
      <c r="BS569" s="78"/>
      <c r="BT569" s="78"/>
      <c r="BU569" s="78"/>
      <c r="BV569" s="78"/>
      <c r="BW569" s="78"/>
      <c r="BX569" s="78"/>
      <c r="BY569" s="78"/>
      <c r="BZ569" s="78"/>
      <c r="CA569" s="78"/>
      <c r="CB569" s="78"/>
      <c r="CC569" s="78"/>
      <c r="CD569" s="78"/>
      <c r="CE569" s="78"/>
      <c r="CF569" s="78"/>
      <c r="CG569" s="78"/>
      <c r="CH569" s="78"/>
      <c r="CI569" s="78"/>
      <c r="CJ569" s="78"/>
      <c r="CK569" s="78"/>
      <c r="CL569" s="78"/>
      <c r="CM569" s="78"/>
      <c r="CN569" s="78"/>
      <c r="CO569" s="78"/>
      <c r="CP569" s="78"/>
      <c r="CQ569" s="78"/>
      <c r="CR569" s="78"/>
      <c r="CS569" s="78"/>
      <c r="CT569" s="78"/>
      <c r="CU569" s="78"/>
      <c r="CV569" s="78"/>
      <c r="CW569" s="78"/>
      <c r="CX569" s="78"/>
      <c r="CY569" s="78"/>
      <c r="CZ569" s="78"/>
      <c r="DA569" s="78"/>
      <c r="DB569" s="78"/>
      <c r="DC569" s="78"/>
      <c r="DD569" s="78"/>
      <c r="DE569" s="78"/>
      <c r="DF569" s="78"/>
      <c r="DG569" s="78"/>
      <c r="DH569" s="78"/>
      <c r="DI569" s="78"/>
      <c r="DJ569" s="78"/>
      <c r="DK569" s="78"/>
      <c r="DL569" s="78"/>
      <c r="DM569" s="78"/>
      <c r="DN569" s="78"/>
      <c r="DO569" s="78"/>
      <c r="DP569" s="78"/>
      <c r="DQ569" s="78"/>
      <c r="DR569" s="78"/>
      <c r="DS569" s="78"/>
      <c r="DT569" s="78"/>
      <c r="DU569" s="78"/>
      <c r="DV569" s="78"/>
      <c r="DW569" s="78"/>
      <c r="DX569" s="78"/>
      <c r="DY569" s="78"/>
      <c r="DZ569" s="78"/>
      <c r="EA569" s="78"/>
      <c r="EB569" s="78"/>
      <c r="EC569" s="78"/>
    </row>
    <row r="570" spans="1:133" s="9" customFormat="1" x14ac:dyDescent="0.25">
      <c r="A570" s="73" t="s">
        <v>57</v>
      </c>
      <c r="B570" s="60" t="s">
        <v>204</v>
      </c>
      <c r="C570" s="53" t="s">
        <v>59</v>
      </c>
      <c r="D570" s="53" t="s">
        <v>376</v>
      </c>
      <c r="E570" s="162">
        <v>1.9870000000000001</v>
      </c>
      <c r="F570" s="163"/>
      <c r="G570" s="163"/>
      <c r="H570" s="163"/>
      <c r="I570" s="163"/>
      <c r="J570" s="163"/>
      <c r="K570" s="163"/>
      <c r="L570" s="163"/>
      <c r="M570" s="163"/>
      <c r="N570" s="163"/>
      <c r="O570" s="163"/>
      <c r="P570" s="163"/>
      <c r="Q570" s="164"/>
      <c r="R570" s="78"/>
      <c r="S570" s="78"/>
      <c r="T570" s="78"/>
      <c r="U570" s="78"/>
      <c r="V570" s="78"/>
      <c r="W570" s="78"/>
      <c r="X570" s="78"/>
      <c r="Y570" s="78"/>
      <c r="Z570" s="78"/>
      <c r="AA570" s="78"/>
      <c r="AB570" s="78"/>
      <c r="AC570" s="78"/>
      <c r="AD570" s="78"/>
      <c r="AE570" s="78"/>
      <c r="AF570" s="78"/>
      <c r="AG570" s="78"/>
      <c r="AH570" s="78"/>
      <c r="AI570" s="78"/>
      <c r="AJ570" s="78"/>
      <c r="AK570" s="78"/>
      <c r="AL570" s="78"/>
      <c r="AM570" s="78"/>
      <c r="AN570" s="78"/>
      <c r="AO570" s="78"/>
      <c r="AP570" s="78"/>
      <c r="AQ570" s="78"/>
      <c r="AR570" s="78"/>
      <c r="AS570" s="78"/>
      <c r="AT570" s="78"/>
      <c r="AU570" s="78"/>
      <c r="AV570" s="78"/>
      <c r="AW570" s="78"/>
      <c r="AX570" s="78"/>
      <c r="AY570" s="78"/>
      <c r="AZ570" s="78"/>
      <c r="BA570" s="78"/>
      <c r="BB570" s="78"/>
      <c r="BC570" s="78"/>
      <c r="BD570" s="78"/>
      <c r="BE570" s="78"/>
      <c r="BF570" s="78"/>
      <c r="BG570" s="78"/>
      <c r="BH570" s="78"/>
      <c r="BI570" s="78"/>
      <c r="BJ570" s="78"/>
      <c r="BK570" s="78"/>
      <c r="BL570" s="78"/>
      <c r="BM570" s="78"/>
      <c r="BN570" s="78"/>
      <c r="BO570" s="78"/>
      <c r="BP570" s="78"/>
      <c r="BQ570" s="78"/>
      <c r="BR570" s="78"/>
      <c r="BS570" s="78"/>
      <c r="BT570" s="78"/>
      <c r="BU570" s="78"/>
      <c r="BV570" s="78"/>
      <c r="BW570" s="78"/>
      <c r="BX570" s="78"/>
      <c r="BY570" s="78"/>
      <c r="BZ570" s="78"/>
      <c r="CA570" s="78"/>
      <c r="CB570" s="78"/>
      <c r="CC570" s="78"/>
      <c r="CD570" s="78"/>
      <c r="CE570" s="78"/>
      <c r="CF570" s="78"/>
      <c r="CG570" s="78"/>
      <c r="CH570" s="78"/>
      <c r="CI570" s="78"/>
      <c r="CJ570" s="78"/>
      <c r="CK570" s="78"/>
      <c r="CL570" s="78"/>
      <c r="CM570" s="78"/>
      <c r="CN570" s="78"/>
      <c r="CO570" s="78"/>
      <c r="CP570" s="78"/>
      <c r="CQ570" s="78"/>
      <c r="CR570" s="78"/>
      <c r="CS570" s="78"/>
      <c r="CT570" s="78"/>
      <c r="CU570" s="78"/>
      <c r="CV570" s="78"/>
      <c r="CW570" s="78"/>
      <c r="CX570" s="78"/>
      <c r="CY570" s="78"/>
      <c r="CZ570" s="78"/>
      <c r="DA570" s="78"/>
      <c r="DB570" s="78"/>
      <c r="DC570" s="78"/>
      <c r="DD570" s="78"/>
      <c r="DE570" s="78"/>
      <c r="DF570" s="78"/>
      <c r="DG570" s="78"/>
      <c r="DH570" s="78"/>
      <c r="DI570" s="78"/>
      <c r="DJ570" s="78"/>
      <c r="DK570" s="78"/>
      <c r="DL570" s="78"/>
      <c r="DM570" s="78"/>
      <c r="DN570" s="78"/>
      <c r="DO570" s="78"/>
      <c r="DP570" s="78"/>
      <c r="DQ570" s="78"/>
      <c r="DR570" s="78"/>
      <c r="DS570" s="78"/>
      <c r="DT570" s="78"/>
      <c r="DU570" s="78"/>
      <c r="DV570" s="78"/>
      <c r="DW570" s="78"/>
      <c r="DX570" s="78"/>
      <c r="DY570" s="78"/>
      <c r="DZ570" s="78"/>
      <c r="EA570" s="78"/>
      <c r="EB570" s="78"/>
      <c r="EC570" s="78"/>
    </row>
    <row r="571" spans="1:133" s="9" customFormat="1" ht="31.2" x14ac:dyDescent="0.25">
      <c r="A571" s="73" t="s">
        <v>60</v>
      </c>
      <c r="B571" s="60" t="s">
        <v>203</v>
      </c>
      <c r="C571" s="53" t="s">
        <v>61</v>
      </c>
      <c r="D571" s="143" t="s">
        <v>363</v>
      </c>
      <c r="E571" s="98">
        <f>AVERAGE(F571:Q571)</f>
        <v>296.60833333333341</v>
      </c>
      <c r="F571" s="60">
        <v>287.14999999999998</v>
      </c>
      <c r="G571" s="60">
        <v>291.64999999999998</v>
      </c>
      <c r="H571" s="60">
        <v>293.64999999999998</v>
      </c>
      <c r="I571" s="60">
        <v>296.64999999999998</v>
      </c>
      <c r="J571" s="60">
        <v>301.14999999999998</v>
      </c>
      <c r="K571" s="60">
        <v>302.14999999999998</v>
      </c>
      <c r="L571" s="60">
        <v>303.64999999999998</v>
      </c>
      <c r="M571" s="60">
        <v>302.14999999999998</v>
      </c>
      <c r="N571" s="60">
        <v>303.14999999999998</v>
      </c>
      <c r="O571" s="60">
        <v>296.64999999999998</v>
      </c>
      <c r="P571" s="60">
        <v>292.64999999999998</v>
      </c>
      <c r="Q571" s="60">
        <v>288.64999999999998</v>
      </c>
      <c r="R571" s="78"/>
      <c r="S571" s="78"/>
      <c r="T571" s="78"/>
      <c r="U571" s="78"/>
      <c r="V571" s="78"/>
      <c r="W571" s="78"/>
      <c r="X571" s="78"/>
      <c r="Y571" s="78"/>
      <c r="Z571" s="78"/>
      <c r="AA571" s="78"/>
      <c r="AB571" s="78"/>
      <c r="AC571" s="78"/>
      <c r="AD571" s="78"/>
      <c r="AE571" s="78"/>
      <c r="AF571" s="78"/>
      <c r="AG571" s="78"/>
      <c r="AH571" s="78"/>
      <c r="AI571" s="78"/>
      <c r="AJ571" s="78"/>
      <c r="AK571" s="78"/>
      <c r="AL571" s="78"/>
      <c r="AM571" s="78"/>
      <c r="AN571" s="78"/>
      <c r="AO571" s="78"/>
      <c r="AP571" s="78"/>
      <c r="AQ571" s="78"/>
      <c r="AR571" s="78"/>
      <c r="AS571" s="78"/>
      <c r="AT571" s="78"/>
      <c r="AU571" s="78"/>
      <c r="AV571" s="78"/>
      <c r="AW571" s="78"/>
      <c r="AX571" s="78"/>
      <c r="AY571" s="78"/>
      <c r="AZ571" s="78"/>
      <c r="BA571" s="78"/>
      <c r="BB571" s="78"/>
      <c r="BC571" s="78"/>
      <c r="BD571" s="78"/>
      <c r="BE571" s="78"/>
      <c r="BF571" s="78"/>
      <c r="BG571" s="78"/>
      <c r="BH571" s="78"/>
      <c r="BI571" s="78"/>
      <c r="BJ571" s="78"/>
      <c r="BK571" s="78"/>
      <c r="BL571" s="78"/>
      <c r="BM571" s="78"/>
      <c r="BN571" s="78"/>
      <c r="BO571" s="78"/>
      <c r="BP571" s="78"/>
      <c r="BQ571" s="78"/>
      <c r="BR571" s="78"/>
      <c r="BS571" s="78"/>
      <c r="BT571" s="78"/>
      <c r="BU571" s="78"/>
      <c r="BV571" s="78"/>
      <c r="BW571" s="78"/>
      <c r="BX571" s="78"/>
      <c r="BY571" s="78"/>
      <c r="BZ571" s="78"/>
      <c r="CA571" s="78"/>
      <c r="CB571" s="78"/>
      <c r="CC571" s="78"/>
      <c r="CD571" s="78"/>
      <c r="CE571" s="78"/>
      <c r="CF571" s="78"/>
      <c r="CG571" s="78"/>
      <c r="CH571" s="78"/>
      <c r="CI571" s="78"/>
      <c r="CJ571" s="78"/>
      <c r="CK571" s="78"/>
      <c r="CL571" s="78"/>
      <c r="CM571" s="78"/>
      <c r="CN571" s="78"/>
      <c r="CO571" s="78"/>
      <c r="CP571" s="78"/>
      <c r="CQ571" s="78"/>
      <c r="CR571" s="78"/>
      <c r="CS571" s="78"/>
      <c r="CT571" s="78"/>
      <c r="CU571" s="78"/>
      <c r="CV571" s="78"/>
      <c r="CW571" s="78"/>
      <c r="CX571" s="78"/>
      <c r="CY571" s="78"/>
      <c r="CZ571" s="78"/>
      <c r="DA571" s="78"/>
      <c r="DB571" s="78"/>
      <c r="DC571" s="78"/>
      <c r="DD571" s="78"/>
      <c r="DE571" s="78"/>
      <c r="DF571" s="78"/>
      <c r="DG571" s="78"/>
      <c r="DH571" s="78"/>
      <c r="DI571" s="78"/>
      <c r="DJ571" s="78"/>
      <c r="DK571" s="78"/>
      <c r="DL571" s="78"/>
      <c r="DM571" s="78"/>
      <c r="DN571" s="78"/>
      <c r="DO571" s="78"/>
      <c r="DP571" s="78"/>
      <c r="DQ571" s="78"/>
      <c r="DR571" s="78"/>
      <c r="DS571" s="78"/>
      <c r="DT571" s="78"/>
      <c r="DU571" s="78"/>
      <c r="DV571" s="78"/>
      <c r="DW571" s="78"/>
      <c r="DX571" s="78"/>
      <c r="DY571" s="78"/>
      <c r="DZ571" s="78"/>
      <c r="EA571" s="78"/>
      <c r="EB571" s="78"/>
      <c r="EC571" s="78"/>
    </row>
    <row r="572" spans="1:133" s="9" customFormat="1" ht="31.2" x14ac:dyDescent="0.4">
      <c r="A572" s="71" t="s">
        <v>62</v>
      </c>
      <c r="B572" s="60" t="s">
        <v>196</v>
      </c>
      <c r="C572" s="53" t="s">
        <v>63</v>
      </c>
      <c r="D572" s="53" t="s">
        <v>377</v>
      </c>
      <c r="E572" s="74">
        <f>SUM(F572:Q572)</f>
        <v>1511.6645946253877</v>
      </c>
      <c r="F572" s="74">
        <f>F561*F556*F559+(1-F567)*'Baseline Emissions 2020'!Q572</f>
        <v>189.75100596451708</v>
      </c>
      <c r="G572" s="74">
        <f t="shared" ref="G572:Q572" si="76">G561*G556*G559+(1-G567)*F572</f>
        <v>183.25558004990515</v>
      </c>
      <c r="H572" s="74">
        <f t="shared" si="76"/>
        <v>172.69970323072175</v>
      </c>
      <c r="I572" s="74">
        <f t="shared" si="76"/>
        <v>141.59967766105893</v>
      </c>
      <c r="J572" s="74">
        <f t="shared" si="76"/>
        <v>102.27502782293037</v>
      </c>
      <c r="K572" s="74">
        <f t="shared" si="76"/>
        <v>77.638510583526994</v>
      </c>
      <c r="L572" s="74">
        <f t="shared" si="76"/>
        <v>71.695963285409164</v>
      </c>
      <c r="M572" s="74">
        <f t="shared" si="76"/>
        <v>77.57933243058072</v>
      </c>
      <c r="N572" s="74">
        <f>N561*N556*N559+(1-N567)*0</f>
        <v>77.793402451750936</v>
      </c>
      <c r="O572" s="74">
        <f t="shared" si="76"/>
        <v>113.50122799576997</v>
      </c>
      <c r="P572" s="74">
        <f t="shared" si="76"/>
        <v>135.81022642719131</v>
      </c>
      <c r="Q572" s="74">
        <f t="shared" si="76"/>
        <v>168.06493672202504</v>
      </c>
      <c r="R572" s="78"/>
      <c r="S572" s="78"/>
      <c r="T572" s="78"/>
      <c r="U572" s="78"/>
      <c r="V572" s="78"/>
      <c r="W572" s="78"/>
      <c r="X572" s="78"/>
      <c r="Y572" s="78"/>
      <c r="Z572" s="78"/>
      <c r="AA572" s="78"/>
      <c r="AB572" s="78"/>
      <c r="AC572" s="78"/>
      <c r="AD572" s="78"/>
      <c r="AE572" s="78"/>
      <c r="AF572" s="78"/>
      <c r="AG572" s="78"/>
      <c r="AH572" s="78"/>
      <c r="AI572" s="78"/>
      <c r="AJ572" s="78"/>
      <c r="AK572" s="78"/>
      <c r="AL572" s="78"/>
      <c r="AM572" s="78"/>
      <c r="AN572" s="78"/>
      <c r="AO572" s="78"/>
      <c r="AP572" s="78"/>
      <c r="AQ572" s="78"/>
      <c r="AR572" s="78"/>
      <c r="AS572" s="78"/>
      <c r="AT572" s="78"/>
      <c r="AU572" s="78"/>
      <c r="AV572" s="78"/>
      <c r="AW572" s="78"/>
      <c r="AX572" s="78"/>
      <c r="AY572" s="78"/>
      <c r="AZ572" s="78"/>
      <c r="BA572" s="78"/>
      <c r="BB572" s="78"/>
      <c r="BC572" s="78"/>
      <c r="BD572" s="78"/>
      <c r="BE572" s="78"/>
      <c r="BF572" s="78"/>
      <c r="BG572" s="78"/>
      <c r="BH572" s="78"/>
      <c r="BI572" s="78"/>
      <c r="BJ572" s="78"/>
      <c r="BK572" s="78"/>
      <c r="BL572" s="78"/>
      <c r="BM572" s="78"/>
      <c r="BN572" s="78"/>
      <c r="BO572" s="78"/>
      <c r="BP572" s="78"/>
      <c r="BQ572" s="78"/>
      <c r="BR572" s="78"/>
      <c r="BS572" s="78"/>
      <c r="BT572" s="78"/>
      <c r="BU572" s="78"/>
      <c r="BV572" s="78"/>
      <c r="BW572" s="78"/>
      <c r="BX572" s="78"/>
      <c r="BY572" s="78"/>
      <c r="BZ572" s="78"/>
      <c r="CA572" s="78"/>
      <c r="CB572" s="78"/>
      <c r="CC572" s="78"/>
      <c r="CD572" s="78"/>
      <c r="CE572" s="78"/>
      <c r="CF572" s="78"/>
      <c r="CG572" s="78"/>
      <c r="CH572" s="78"/>
      <c r="CI572" s="78"/>
      <c r="CJ572" s="78"/>
      <c r="CK572" s="78"/>
      <c r="CL572" s="78"/>
      <c r="CM572" s="78"/>
      <c r="CN572" s="78"/>
      <c r="CO572" s="78"/>
      <c r="CP572" s="78"/>
      <c r="CQ572" s="78"/>
      <c r="CR572" s="78"/>
      <c r="CS572" s="78"/>
      <c r="CT572" s="78"/>
      <c r="CU572" s="78"/>
      <c r="CV572" s="78"/>
      <c r="CW572" s="78"/>
      <c r="CX572" s="78"/>
      <c r="CY572" s="78"/>
      <c r="CZ572" s="78"/>
      <c r="DA572" s="78"/>
      <c r="DB572" s="78"/>
      <c r="DC572" s="78"/>
      <c r="DD572" s="78"/>
      <c r="DE572" s="78"/>
      <c r="DF572" s="78"/>
      <c r="DG572" s="78"/>
      <c r="DH572" s="78"/>
      <c r="DI572" s="78"/>
      <c r="DJ572" s="78"/>
      <c r="DK572" s="78"/>
      <c r="DL572" s="78"/>
      <c r="DM572" s="78"/>
      <c r="DN572" s="78"/>
      <c r="DO572" s="78"/>
      <c r="DP572" s="78"/>
      <c r="DQ572" s="78"/>
      <c r="DR572" s="78"/>
      <c r="DS572" s="78"/>
      <c r="DT572" s="78"/>
      <c r="DU572" s="78"/>
      <c r="DV572" s="78"/>
      <c r="DW572" s="78"/>
      <c r="DX572" s="78"/>
      <c r="DY572" s="78"/>
      <c r="DZ572" s="78"/>
      <c r="EA572" s="78"/>
      <c r="EB572" s="78"/>
      <c r="EC572" s="78"/>
    </row>
    <row r="574" spans="1:133" ht="15.6" customHeight="1" x14ac:dyDescent="0.25">
      <c r="A574" s="36" t="s">
        <v>64</v>
      </c>
      <c r="B574" s="36"/>
      <c r="C574" s="36"/>
      <c r="D574" s="36"/>
      <c r="E574" s="36"/>
    </row>
    <row r="575" spans="1:133" x14ac:dyDescent="0.25">
      <c r="A575" s="57" t="s">
        <v>8</v>
      </c>
      <c r="B575" s="58" t="s">
        <v>9</v>
      </c>
      <c r="C575" s="34" t="s">
        <v>10</v>
      </c>
      <c r="D575" s="34" t="s">
        <v>340</v>
      </c>
      <c r="E575" s="16" t="s">
        <v>65</v>
      </c>
    </row>
    <row r="576" spans="1:133" s="13" customFormat="1" ht="46.8" x14ac:dyDescent="0.25">
      <c r="A576" s="59" t="s">
        <v>66</v>
      </c>
      <c r="B576" s="60" t="s">
        <v>14</v>
      </c>
      <c r="C576" s="53" t="s">
        <v>67</v>
      </c>
      <c r="D576" s="53" t="s">
        <v>68</v>
      </c>
      <c r="E576" s="75">
        <v>0</v>
      </c>
      <c r="R576" s="14"/>
      <c r="S576" s="14"/>
      <c r="T576" s="14"/>
      <c r="U576" s="14"/>
      <c r="V576" s="14"/>
      <c r="W576" s="14"/>
      <c r="X576" s="14"/>
      <c r="Y576" s="14"/>
      <c r="Z576" s="14"/>
      <c r="AA576" s="14"/>
      <c r="AB576" s="14"/>
      <c r="AC576" s="14"/>
      <c r="AD576" s="14"/>
      <c r="AE576" s="14"/>
      <c r="AF576" s="14"/>
      <c r="AG576" s="14"/>
      <c r="AH576" s="14"/>
      <c r="AI576" s="14"/>
      <c r="AJ576" s="14"/>
      <c r="AK576" s="14"/>
      <c r="AL576" s="14"/>
      <c r="AM576" s="14"/>
      <c r="AN576" s="14"/>
      <c r="AO576" s="14"/>
      <c r="AP576" s="14"/>
      <c r="AQ576" s="14"/>
      <c r="AR576" s="14"/>
      <c r="AS576" s="14"/>
      <c r="AT576" s="14"/>
      <c r="AU576" s="14"/>
      <c r="AV576" s="14"/>
      <c r="AW576" s="14"/>
      <c r="AX576" s="14"/>
      <c r="AY576" s="14"/>
      <c r="AZ576" s="14"/>
      <c r="BA576" s="14"/>
      <c r="BB576" s="14"/>
      <c r="BC576" s="14"/>
      <c r="BD576" s="14"/>
      <c r="BE576" s="14"/>
      <c r="BF576" s="14"/>
      <c r="BG576" s="14"/>
      <c r="BH576" s="14"/>
      <c r="BI576" s="14"/>
      <c r="BJ576" s="14"/>
      <c r="BK576" s="14"/>
      <c r="BL576" s="14"/>
      <c r="BM576" s="14"/>
      <c r="BN576" s="14"/>
      <c r="BO576" s="14"/>
      <c r="BP576" s="14"/>
      <c r="BQ576" s="14"/>
      <c r="BR576" s="14"/>
      <c r="BS576" s="14"/>
      <c r="BT576" s="14"/>
      <c r="BU576" s="14"/>
      <c r="BV576" s="14"/>
      <c r="BW576" s="14"/>
      <c r="BX576" s="14"/>
      <c r="BY576" s="14"/>
      <c r="BZ576" s="14"/>
      <c r="CA576" s="14"/>
      <c r="CB576" s="14"/>
      <c r="CC576" s="14"/>
      <c r="CD576" s="14"/>
      <c r="CE576" s="14"/>
      <c r="CF576" s="14"/>
      <c r="CG576" s="14"/>
      <c r="CH576" s="14"/>
      <c r="CI576" s="14"/>
      <c r="CJ576" s="14"/>
      <c r="CK576" s="14"/>
      <c r="CL576" s="14"/>
      <c r="CM576" s="14"/>
      <c r="CN576" s="14"/>
      <c r="CO576" s="14"/>
      <c r="CP576" s="14"/>
      <c r="CQ576" s="14"/>
      <c r="CR576" s="14"/>
      <c r="CS576" s="14"/>
      <c r="CT576" s="14"/>
      <c r="CU576" s="14"/>
      <c r="CV576" s="14"/>
      <c r="CW576" s="14"/>
      <c r="CX576" s="14"/>
      <c r="CY576" s="14"/>
      <c r="CZ576" s="14"/>
      <c r="DA576" s="14"/>
      <c r="DB576" s="14"/>
      <c r="DC576" s="14"/>
      <c r="DD576" s="14"/>
      <c r="DE576" s="14"/>
      <c r="DF576" s="14"/>
      <c r="DG576" s="14"/>
      <c r="DH576" s="14"/>
      <c r="DI576" s="14"/>
      <c r="DJ576" s="14"/>
      <c r="DK576" s="14"/>
      <c r="DL576" s="14"/>
      <c r="DM576" s="14"/>
      <c r="DN576" s="14"/>
      <c r="DO576" s="14"/>
      <c r="DP576" s="14"/>
      <c r="DQ576" s="14"/>
      <c r="DR576" s="14"/>
      <c r="DS576" s="14"/>
      <c r="DT576" s="14"/>
      <c r="DU576" s="14"/>
      <c r="DV576" s="14"/>
      <c r="DW576" s="14"/>
      <c r="DX576" s="14"/>
      <c r="DY576" s="14"/>
      <c r="DZ576" s="14"/>
      <c r="EA576" s="14"/>
      <c r="EB576" s="14"/>
      <c r="EC576" s="14"/>
    </row>
    <row r="577" spans="1:133" s="13" customFormat="1" ht="46.8" x14ac:dyDescent="0.25">
      <c r="A577" s="63" t="s">
        <v>69</v>
      </c>
      <c r="B577" s="25" t="s">
        <v>70</v>
      </c>
      <c r="C577" s="35" t="s">
        <v>71</v>
      </c>
      <c r="D577" s="53" t="str">
        <f>D583</f>
        <v>Historical data on site in the FSR (It was calculated with conservative value)</v>
      </c>
      <c r="E577" s="74">
        <f>E583</f>
        <v>372.16379657888552</v>
      </c>
      <c r="R577" s="14"/>
      <c r="S577" s="14"/>
      <c r="T577" s="14"/>
      <c r="U577" s="14"/>
      <c r="V577" s="14"/>
      <c r="W577" s="14"/>
      <c r="X577" s="14"/>
      <c r="Y577" s="14"/>
      <c r="Z577" s="14"/>
      <c r="AA577" s="14"/>
      <c r="AB577" s="14"/>
      <c r="AC577" s="14"/>
      <c r="AD577" s="14"/>
      <c r="AE577" s="14"/>
      <c r="AF577" s="14"/>
      <c r="AG577" s="14"/>
      <c r="AH577" s="14"/>
      <c r="AI577" s="14"/>
      <c r="AJ577" s="14"/>
      <c r="AK577" s="14"/>
      <c r="AL577" s="14"/>
      <c r="AM577" s="14"/>
      <c r="AN577" s="14"/>
      <c r="AO577" s="14"/>
      <c r="AP577" s="14"/>
      <c r="AQ577" s="14"/>
      <c r="AR577" s="14"/>
      <c r="AS577" s="14"/>
      <c r="AT577" s="14"/>
      <c r="AU577" s="14"/>
      <c r="AV577" s="14"/>
      <c r="AW577" s="14"/>
      <c r="AX577" s="14"/>
      <c r="AY577" s="14"/>
      <c r="AZ577" s="14"/>
      <c r="BA577" s="14"/>
      <c r="BB577" s="14"/>
      <c r="BC577" s="14"/>
      <c r="BD577" s="14"/>
      <c r="BE577" s="14"/>
      <c r="BF577" s="14"/>
      <c r="BG577" s="14"/>
      <c r="BH577" s="14"/>
      <c r="BI577" s="14"/>
      <c r="BJ577" s="14"/>
      <c r="BK577" s="14"/>
      <c r="BL577" s="14"/>
      <c r="BM577" s="14"/>
      <c r="BN577" s="14"/>
      <c r="BO577" s="14"/>
      <c r="BP577" s="14"/>
      <c r="BQ577" s="14"/>
      <c r="BR577" s="14"/>
      <c r="BS577" s="14"/>
      <c r="BT577" s="14"/>
      <c r="BU577" s="14"/>
      <c r="BV577" s="14"/>
      <c r="BW577" s="14"/>
      <c r="BX577" s="14"/>
      <c r="BY577" s="14"/>
      <c r="BZ577" s="14"/>
      <c r="CA577" s="14"/>
      <c r="CB577" s="14"/>
      <c r="CC577" s="14"/>
      <c r="CD577" s="14"/>
      <c r="CE577" s="14"/>
      <c r="CF577" s="14"/>
      <c r="CG577" s="14"/>
      <c r="CH577" s="14"/>
      <c r="CI577" s="14"/>
      <c r="CJ577" s="14"/>
      <c r="CK577" s="14"/>
      <c r="CL577" s="14"/>
      <c r="CM577" s="14"/>
      <c r="CN577" s="14"/>
      <c r="CO577" s="14"/>
      <c r="CP577" s="14"/>
      <c r="CQ577" s="14"/>
      <c r="CR577" s="14"/>
      <c r="CS577" s="14"/>
      <c r="CT577" s="14"/>
      <c r="CU577" s="14"/>
      <c r="CV577" s="14"/>
      <c r="CW577" s="14"/>
      <c r="CX577" s="14"/>
      <c r="CY577" s="14"/>
      <c r="CZ577" s="14"/>
      <c r="DA577" s="14"/>
      <c r="DB577" s="14"/>
      <c r="DC577" s="14"/>
      <c r="DD577" s="14"/>
      <c r="DE577" s="14"/>
      <c r="DF577" s="14"/>
      <c r="DG577" s="14"/>
      <c r="DH577" s="14"/>
      <c r="DI577" s="14"/>
      <c r="DJ577" s="14"/>
      <c r="DK577" s="14"/>
      <c r="DL577" s="14"/>
      <c r="DM577" s="14"/>
      <c r="DN577" s="14"/>
      <c r="DO577" s="14"/>
      <c r="DP577" s="14"/>
      <c r="DQ577" s="14"/>
      <c r="DR577" s="14"/>
      <c r="DS577" s="14"/>
      <c r="DT577" s="14"/>
      <c r="DU577" s="14"/>
      <c r="DV577" s="14"/>
      <c r="DW577" s="14"/>
      <c r="DX577" s="14"/>
      <c r="DY577" s="14"/>
      <c r="DZ577" s="14"/>
      <c r="EA577" s="14"/>
      <c r="EB577" s="14"/>
      <c r="EC577" s="14"/>
    </row>
    <row r="578" spans="1:133" s="13" customFormat="1" x14ac:dyDescent="0.25">
      <c r="A578" s="14"/>
      <c r="C578" s="12"/>
      <c r="D578" s="12"/>
      <c r="R578" s="14"/>
      <c r="S578" s="14"/>
      <c r="T578" s="14"/>
      <c r="U578" s="14"/>
      <c r="V578" s="14"/>
      <c r="W578" s="14"/>
      <c r="X578" s="14"/>
      <c r="Y578" s="14"/>
      <c r="Z578" s="14"/>
      <c r="AA578" s="14"/>
      <c r="AB578" s="14"/>
      <c r="AC578" s="14"/>
      <c r="AD578" s="14"/>
      <c r="AE578" s="14"/>
      <c r="AF578" s="14"/>
      <c r="AG578" s="14"/>
      <c r="AH578" s="14"/>
      <c r="AI578" s="14"/>
      <c r="AJ578" s="14"/>
      <c r="AK578" s="14"/>
      <c r="AL578" s="14"/>
      <c r="AM578" s="14"/>
      <c r="AN578" s="14"/>
      <c r="AO578" s="14"/>
      <c r="AP578" s="14"/>
      <c r="AQ578" s="14"/>
      <c r="AR578" s="14"/>
      <c r="AS578" s="14"/>
      <c r="AT578" s="14"/>
      <c r="AU578" s="14"/>
      <c r="AV578" s="14"/>
      <c r="AW578" s="14"/>
      <c r="AX578" s="14"/>
      <c r="AY578" s="14"/>
      <c r="AZ578" s="14"/>
      <c r="BA578" s="14"/>
      <c r="BB578" s="14"/>
      <c r="BC578" s="14"/>
      <c r="BD578" s="14"/>
      <c r="BE578" s="14"/>
      <c r="BF578" s="14"/>
      <c r="BG578" s="14"/>
      <c r="BH578" s="14"/>
      <c r="BI578" s="14"/>
      <c r="BJ578" s="14"/>
      <c r="BK578" s="14"/>
      <c r="BL578" s="14"/>
      <c r="BM578" s="14"/>
      <c r="BN578" s="14"/>
      <c r="BO578" s="14"/>
      <c r="BP578" s="14"/>
      <c r="BQ578" s="14"/>
      <c r="BR578" s="14"/>
      <c r="BS578" s="14"/>
      <c r="BT578" s="14"/>
      <c r="BU578" s="14"/>
      <c r="BV578" s="14"/>
      <c r="BW578" s="14"/>
      <c r="BX578" s="14"/>
      <c r="BY578" s="14"/>
      <c r="BZ578" s="14"/>
      <c r="CA578" s="14"/>
      <c r="CB578" s="14"/>
      <c r="CC578" s="14"/>
      <c r="CD578" s="14"/>
      <c r="CE578" s="14"/>
      <c r="CF578" s="14"/>
      <c r="CG578" s="14"/>
      <c r="CH578" s="14"/>
      <c r="CI578" s="14"/>
      <c r="CJ578" s="14"/>
      <c r="CK578" s="14"/>
      <c r="CL578" s="14"/>
      <c r="CM578" s="14"/>
      <c r="CN578" s="14"/>
      <c r="CO578" s="14"/>
      <c r="CP578" s="14"/>
      <c r="CQ578" s="14"/>
      <c r="CR578" s="14"/>
      <c r="CS578" s="14"/>
      <c r="CT578" s="14"/>
      <c r="CU578" s="14"/>
      <c r="CV578" s="14"/>
      <c r="CW578" s="14"/>
      <c r="CX578" s="14"/>
      <c r="CY578" s="14"/>
      <c r="CZ578" s="14"/>
      <c r="DA578" s="14"/>
      <c r="DB578" s="14"/>
      <c r="DC578" s="14"/>
      <c r="DD578" s="14"/>
      <c r="DE578" s="14"/>
      <c r="DF578" s="14"/>
      <c r="DG578" s="14"/>
      <c r="DH578" s="14"/>
      <c r="DI578" s="14"/>
      <c r="DJ578" s="14"/>
      <c r="DK578" s="14"/>
      <c r="DL578" s="14"/>
      <c r="DM578" s="14"/>
      <c r="DN578" s="14"/>
      <c r="DO578" s="14"/>
      <c r="DP578" s="14"/>
      <c r="DQ578" s="14"/>
      <c r="DR578" s="14"/>
      <c r="DS578" s="14"/>
      <c r="DT578" s="14"/>
      <c r="DU578" s="14"/>
      <c r="DV578" s="14"/>
      <c r="DW578" s="14"/>
      <c r="DX578" s="14"/>
      <c r="DY578" s="14"/>
      <c r="DZ578" s="14"/>
      <c r="EA578" s="14"/>
      <c r="EB578" s="14"/>
      <c r="EC578" s="14"/>
    </row>
    <row r="579" spans="1:133" s="13" customFormat="1" ht="15.6" customHeight="1" x14ac:dyDescent="0.25">
      <c r="A579" s="90" t="s">
        <v>72</v>
      </c>
      <c r="B579" s="90"/>
      <c r="C579" s="91"/>
      <c r="D579" s="91"/>
      <c r="E579" s="90"/>
      <c r="R579" s="14"/>
      <c r="S579" s="14"/>
      <c r="T579" s="14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4"/>
      <c r="AF579" s="14"/>
      <c r="AG579" s="14"/>
      <c r="AH579" s="14"/>
      <c r="AI579" s="14"/>
      <c r="AJ579" s="14"/>
      <c r="AK579" s="14"/>
      <c r="AL579" s="14"/>
      <c r="AM579" s="14"/>
      <c r="AN579" s="14"/>
      <c r="AO579" s="14"/>
      <c r="AP579" s="14"/>
      <c r="AQ579" s="14"/>
      <c r="AR579" s="14"/>
      <c r="AS579" s="14"/>
      <c r="AT579" s="14"/>
      <c r="AU579" s="14"/>
      <c r="AV579" s="14"/>
      <c r="AW579" s="14"/>
      <c r="AX579" s="14"/>
      <c r="AY579" s="14"/>
      <c r="AZ579" s="14"/>
      <c r="BA579" s="14"/>
      <c r="BB579" s="14"/>
      <c r="BC579" s="14"/>
      <c r="BD579" s="14"/>
      <c r="BE579" s="14"/>
      <c r="BF579" s="14"/>
      <c r="BG579" s="14"/>
      <c r="BH579" s="14"/>
      <c r="BI579" s="14"/>
      <c r="BJ579" s="14"/>
      <c r="BK579" s="14"/>
      <c r="BL579" s="14"/>
      <c r="BM579" s="14"/>
      <c r="BN579" s="14"/>
      <c r="BO579" s="14"/>
      <c r="BP579" s="14"/>
      <c r="BQ579" s="14"/>
      <c r="BR579" s="14"/>
      <c r="BS579" s="14"/>
      <c r="BT579" s="14"/>
      <c r="BU579" s="14"/>
      <c r="BV579" s="14"/>
      <c r="BW579" s="14"/>
      <c r="BX579" s="14"/>
      <c r="BY579" s="14"/>
      <c r="BZ579" s="14"/>
      <c r="CA579" s="14"/>
      <c r="CB579" s="14"/>
      <c r="CC579" s="14"/>
      <c r="CD579" s="14"/>
      <c r="CE579" s="14"/>
      <c r="CF579" s="14"/>
      <c r="CG579" s="14"/>
      <c r="CH579" s="14"/>
      <c r="CI579" s="14"/>
      <c r="CJ579" s="14"/>
      <c r="CK579" s="14"/>
      <c r="CL579" s="14"/>
      <c r="CM579" s="14"/>
      <c r="CN579" s="14"/>
      <c r="CO579" s="14"/>
      <c r="CP579" s="14"/>
      <c r="CQ579" s="14"/>
      <c r="CR579" s="14"/>
      <c r="CS579" s="14"/>
      <c r="CT579" s="14"/>
      <c r="CU579" s="14"/>
      <c r="CV579" s="14"/>
      <c r="CW579" s="14"/>
      <c r="CX579" s="14"/>
      <c r="CY579" s="14"/>
      <c r="CZ579" s="14"/>
      <c r="DA579" s="14"/>
      <c r="DB579" s="14"/>
      <c r="DC579" s="14"/>
      <c r="DD579" s="14"/>
      <c r="DE579" s="14"/>
      <c r="DF579" s="14"/>
      <c r="DG579" s="14"/>
      <c r="DH579" s="14"/>
      <c r="DI579" s="14"/>
      <c r="DJ579" s="14"/>
      <c r="DK579" s="14"/>
      <c r="DL579" s="14"/>
      <c r="DM579" s="14"/>
      <c r="DN579" s="14"/>
      <c r="DO579" s="14"/>
      <c r="DP579" s="14"/>
      <c r="DQ579" s="14"/>
      <c r="DR579" s="14"/>
      <c r="DS579" s="14"/>
      <c r="DT579" s="14"/>
      <c r="DU579" s="14"/>
      <c r="DV579" s="14"/>
      <c r="DW579" s="14"/>
      <c r="DX579" s="14"/>
      <c r="DY579" s="14"/>
      <c r="DZ579" s="14"/>
      <c r="EA579" s="14"/>
      <c r="EB579" s="14"/>
      <c r="EC579" s="14"/>
    </row>
    <row r="580" spans="1:133" s="13" customFormat="1" x14ac:dyDescent="0.25">
      <c r="A580" s="59" t="s">
        <v>8</v>
      </c>
      <c r="B580" s="16" t="s">
        <v>9</v>
      </c>
      <c r="C580" s="38" t="s">
        <v>10</v>
      </c>
      <c r="D580" s="38" t="s">
        <v>340</v>
      </c>
      <c r="E580" s="16" t="s">
        <v>65</v>
      </c>
      <c r="R580" s="14"/>
      <c r="S580" s="14"/>
      <c r="T580" s="14"/>
      <c r="U580" s="14"/>
      <c r="V580" s="14"/>
      <c r="W580" s="14"/>
      <c r="X580" s="14"/>
      <c r="Y580" s="14"/>
      <c r="Z580" s="14"/>
      <c r="AA580" s="14"/>
      <c r="AB580" s="14"/>
      <c r="AC580" s="14"/>
      <c r="AD580" s="14"/>
      <c r="AE580" s="14"/>
      <c r="AF580" s="14"/>
      <c r="AG580" s="14"/>
      <c r="AH580" s="14"/>
      <c r="AI580" s="14"/>
      <c r="AJ580" s="14"/>
      <c r="AK580" s="14"/>
      <c r="AL580" s="14"/>
      <c r="AM580" s="14"/>
      <c r="AN580" s="14"/>
      <c r="AO580" s="14"/>
      <c r="AP580" s="14"/>
      <c r="AQ580" s="14"/>
      <c r="AR580" s="14"/>
      <c r="AS580" s="14"/>
      <c r="AT580" s="14"/>
      <c r="AU580" s="14"/>
      <c r="AV580" s="14"/>
      <c r="AW580" s="14"/>
      <c r="AX580" s="14"/>
      <c r="AY580" s="14"/>
      <c r="AZ580" s="14"/>
      <c r="BA580" s="14"/>
      <c r="BB580" s="14"/>
      <c r="BC580" s="14"/>
      <c r="BD580" s="14"/>
      <c r="BE580" s="14"/>
      <c r="BF580" s="14"/>
      <c r="BG580" s="14"/>
      <c r="BH580" s="14"/>
      <c r="BI580" s="14"/>
      <c r="BJ580" s="14"/>
      <c r="BK580" s="14"/>
      <c r="BL580" s="14"/>
      <c r="BM580" s="14"/>
      <c r="BN580" s="14"/>
      <c r="BO580" s="14"/>
      <c r="BP580" s="14"/>
      <c r="BQ580" s="14"/>
      <c r="BR580" s="14"/>
      <c r="BS580" s="14"/>
      <c r="BT580" s="14"/>
      <c r="BU580" s="14"/>
      <c r="BV580" s="14"/>
      <c r="BW580" s="14"/>
      <c r="BX580" s="14"/>
      <c r="BY580" s="14"/>
      <c r="BZ580" s="14"/>
      <c r="CA580" s="14"/>
      <c r="CB580" s="14"/>
      <c r="CC580" s="14"/>
      <c r="CD580" s="14"/>
      <c r="CE580" s="14"/>
      <c r="CF580" s="14"/>
      <c r="CG580" s="14"/>
      <c r="CH580" s="14"/>
      <c r="CI580" s="14"/>
      <c r="CJ580" s="14"/>
      <c r="CK580" s="14"/>
      <c r="CL580" s="14"/>
      <c r="CM580" s="14"/>
      <c r="CN580" s="14"/>
      <c r="CO580" s="14"/>
      <c r="CP580" s="14"/>
      <c r="CQ580" s="14"/>
      <c r="CR580" s="14"/>
      <c r="CS580" s="14"/>
      <c r="CT580" s="14"/>
      <c r="CU580" s="14"/>
      <c r="CV580" s="14"/>
      <c r="CW580" s="14"/>
      <c r="CX580" s="14"/>
      <c r="CY580" s="14"/>
      <c r="CZ580" s="14"/>
      <c r="DA580" s="14"/>
      <c r="DB580" s="14"/>
      <c r="DC580" s="14"/>
      <c r="DD580" s="14"/>
      <c r="DE580" s="14"/>
      <c r="DF580" s="14"/>
      <c r="DG580" s="14"/>
      <c r="DH580" s="14"/>
      <c r="DI580" s="14"/>
      <c r="DJ580" s="14"/>
      <c r="DK580" s="14"/>
      <c r="DL580" s="14"/>
      <c r="DM580" s="14"/>
      <c r="DN580" s="14"/>
      <c r="DO580" s="14"/>
      <c r="DP580" s="14"/>
      <c r="DQ580" s="14"/>
      <c r="DR580" s="14"/>
      <c r="DS580" s="14"/>
      <c r="DT580" s="14"/>
      <c r="DU580" s="14"/>
      <c r="DV580" s="14"/>
      <c r="DW580" s="14"/>
      <c r="DX580" s="14"/>
      <c r="DY580" s="14"/>
      <c r="DZ580" s="14"/>
      <c r="EA580" s="14"/>
      <c r="EB580" s="14"/>
      <c r="EC580" s="14"/>
    </row>
    <row r="581" spans="1:133" s="13" customFormat="1" ht="33.6" x14ac:dyDescent="0.4">
      <c r="A581" s="76" t="s">
        <v>73</v>
      </c>
      <c r="B581" s="25" t="s">
        <v>74</v>
      </c>
      <c r="C581" s="35" t="s">
        <v>75</v>
      </c>
      <c r="D581" s="35" t="s">
        <v>378</v>
      </c>
      <c r="E581" s="50">
        <f>E582*E585*E586*E587*E588*E589</f>
        <v>1.511629220382718</v>
      </c>
      <c r="R581" s="14"/>
      <c r="S581" s="14"/>
      <c r="T581" s="14"/>
      <c r="U581" s="14"/>
      <c r="V581" s="14"/>
      <c r="W581" s="14"/>
      <c r="X581" s="14"/>
      <c r="Y581" s="14"/>
      <c r="Z581" s="14"/>
      <c r="AA581" s="14"/>
      <c r="AB581" s="14"/>
      <c r="AC581" s="14"/>
      <c r="AD581" s="14"/>
      <c r="AE581" s="14"/>
      <c r="AF581" s="14"/>
      <c r="AG581" s="14"/>
      <c r="AH581" s="14"/>
      <c r="AI581" s="14"/>
      <c r="AJ581" s="14"/>
      <c r="AK581" s="14"/>
      <c r="AL581" s="14"/>
      <c r="AM581" s="14"/>
      <c r="AN581" s="14"/>
      <c r="AO581" s="14"/>
      <c r="AP581" s="14"/>
      <c r="AQ581" s="14"/>
      <c r="AR581" s="14"/>
      <c r="AS581" s="14"/>
      <c r="AT581" s="14"/>
      <c r="AU581" s="14"/>
      <c r="AV581" s="14"/>
      <c r="AW581" s="14"/>
      <c r="AX581" s="14"/>
      <c r="AY581" s="14"/>
      <c r="AZ581" s="14"/>
      <c r="BA581" s="14"/>
      <c r="BB581" s="14"/>
      <c r="BC581" s="14"/>
      <c r="BD581" s="14"/>
      <c r="BE581" s="14"/>
      <c r="BF581" s="14"/>
      <c r="BG581" s="14"/>
      <c r="BH581" s="14"/>
      <c r="BI581" s="14"/>
      <c r="BJ581" s="14"/>
      <c r="BK581" s="14"/>
      <c r="BL581" s="14"/>
      <c r="BM581" s="14"/>
      <c r="BN581" s="14"/>
      <c r="BO581" s="14"/>
      <c r="BP581" s="14"/>
      <c r="BQ581" s="14"/>
      <c r="BR581" s="14"/>
      <c r="BS581" s="14"/>
      <c r="BT581" s="14"/>
      <c r="BU581" s="14"/>
      <c r="BV581" s="14"/>
      <c r="BW581" s="14"/>
      <c r="BX581" s="14"/>
      <c r="BY581" s="14"/>
      <c r="BZ581" s="14"/>
      <c r="CA581" s="14"/>
      <c r="CB581" s="14"/>
      <c r="CC581" s="14"/>
      <c r="CD581" s="14"/>
      <c r="CE581" s="14"/>
      <c r="CF581" s="14"/>
      <c r="CG581" s="14"/>
      <c r="CH581" s="14"/>
      <c r="CI581" s="14"/>
      <c r="CJ581" s="14"/>
      <c r="CK581" s="14"/>
      <c r="CL581" s="14"/>
      <c r="CM581" s="14"/>
      <c r="CN581" s="14"/>
      <c r="CO581" s="14"/>
      <c r="CP581" s="14"/>
      <c r="CQ581" s="14"/>
      <c r="CR581" s="14"/>
      <c r="CS581" s="14"/>
      <c r="CT581" s="14"/>
      <c r="CU581" s="14"/>
      <c r="CV581" s="14"/>
      <c r="CW581" s="14"/>
      <c r="CX581" s="14"/>
      <c r="CY581" s="14"/>
      <c r="CZ581" s="14"/>
      <c r="DA581" s="14"/>
      <c r="DB581" s="14"/>
      <c r="DC581" s="14"/>
      <c r="DD581" s="14"/>
      <c r="DE581" s="14"/>
      <c r="DF581" s="14"/>
      <c r="DG581" s="14"/>
      <c r="DH581" s="14"/>
      <c r="DI581" s="14"/>
      <c r="DJ581" s="14"/>
      <c r="DK581" s="14"/>
      <c r="DL581" s="14"/>
      <c r="DM581" s="14"/>
      <c r="DN581" s="14"/>
      <c r="DO581" s="14"/>
      <c r="DP581" s="14"/>
      <c r="DQ581" s="14"/>
      <c r="DR581" s="14"/>
      <c r="DS581" s="14"/>
      <c r="DT581" s="14"/>
      <c r="DU581" s="14"/>
      <c r="DV581" s="14"/>
      <c r="DW581" s="14"/>
      <c r="DX581" s="14"/>
      <c r="DY581" s="14"/>
      <c r="DZ581" s="14"/>
      <c r="EA581" s="14"/>
      <c r="EB581" s="14"/>
      <c r="EC581" s="14"/>
    </row>
    <row r="582" spans="1:133" s="13" customFormat="1" ht="46.8" x14ac:dyDescent="0.4">
      <c r="A582" s="77" t="s">
        <v>207</v>
      </c>
      <c r="B582" s="25" t="s">
        <v>76</v>
      </c>
      <c r="C582" s="35" t="s">
        <v>77</v>
      </c>
      <c r="D582" s="35" t="s">
        <v>379</v>
      </c>
      <c r="E582" s="52">
        <f>E583/E584</f>
        <v>74.432759315777105</v>
      </c>
      <c r="R582" s="14"/>
      <c r="S582" s="14"/>
      <c r="T582" s="14"/>
      <c r="U582" s="14"/>
      <c r="V582" s="14"/>
      <c r="W582" s="14"/>
      <c r="X582" s="14"/>
      <c r="Y582" s="14"/>
      <c r="Z582" s="14"/>
      <c r="AA582" s="14"/>
      <c r="AB582" s="14"/>
      <c r="AC582" s="14"/>
      <c r="AD582" s="14"/>
      <c r="AE582" s="14"/>
      <c r="AF582" s="14"/>
      <c r="AG582" s="14"/>
      <c r="AH582" s="14"/>
      <c r="AI582" s="14"/>
      <c r="AJ582" s="14"/>
      <c r="AK582" s="14"/>
      <c r="AL582" s="14"/>
      <c r="AM582" s="14"/>
      <c r="AN582" s="14"/>
      <c r="AO582" s="14"/>
      <c r="AP582" s="14"/>
      <c r="AQ582" s="14"/>
      <c r="AR582" s="14"/>
      <c r="AS582" s="14"/>
      <c r="AT582" s="14"/>
      <c r="AU582" s="14"/>
      <c r="AV582" s="14"/>
      <c r="AW582" s="14"/>
      <c r="AX582" s="14"/>
      <c r="AY582" s="14"/>
      <c r="AZ582" s="14"/>
      <c r="BA582" s="14"/>
      <c r="BB582" s="14"/>
      <c r="BC582" s="14"/>
      <c r="BD582" s="14"/>
      <c r="BE582" s="14"/>
      <c r="BF582" s="14"/>
      <c r="BG582" s="14"/>
      <c r="BH582" s="14"/>
      <c r="BI582" s="14"/>
      <c r="BJ582" s="14"/>
      <c r="BK582" s="14"/>
      <c r="BL582" s="14"/>
      <c r="BM582" s="14"/>
      <c r="BN582" s="14"/>
      <c r="BO582" s="14"/>
      <c r="BP582" s="14"/>
      <c r="BQ582" s="14"/>
      <c r="BR582" s="14"/>
      <c r="BS582" s="14"/>
      <c r="BT582" s="14"/>
      <c r="BU582" s="14"/>
      <c r="BV582" s="14"/>
      <c r="BW582" s="14"/>
      <c r="BX582" s="14"/>
      <c r="BY582" s="14"/>
      <c r="BZ582" s="14"/>
      <c r="CA582" s="14"/>
      <c r="CB582" s="14"/>
      <c r="CC582" s="14"/>
      <c r="CD582" s="14"/>
      <c r="CE582" s="14"/>
      <c r="CF582" s="14"/>
      <c r="CG582" s="14"/>
      <c r="CH582" s="14"/>
      <c r="CI582" s="14"/>
      <c r="CJ582" s="14"/>
      <c r="CK582" s="14"/>
      <c r="CL582" s="14"/>
      <c r="CM582" s="14"/>
      <c r="CN582" s="14"/>
      <c r="CO582" s="14"/>
      <c r="CP582" s="14"/>
      <c r="CQ582" s="14"/>
      <c r="CR582" s="14"/>
      <c r="CS582" s="14"/>
      <c r="CT582" s="14"/>
      <c r="CU582" s="14"/>
      <c r="CV582" s="14"/>
      <c r="CW582" s="14"/>
      <c r="CX582" s="14"/>
      <c r="CY582" s="14"/>
      <c r="CZ582" s="14"/>
      <c r="DA582" s="14"/>
      <c r="DB582" s="14"/>
      <c r="DC582" s="14"/>
      <c r="DD582" s="14"/>
      <c r="DE582" s="14"/>
      <c r="DF582" s="14"/>
      <c r="DG582" s="14"/>
      <c r="DH582" s="14"/>
      <c r="DI582" s="14"/>
      <c r="DJ582" s="14"/>
      <c r="DK582" s="14"/>
      <c r="DL582" s="14"/>
      <c r="DM582" s="14"/>
      <c r="DN582" s="14"/>
      <c r="DO582" s="14"/>
      <c r="DP582" s="14"/>
      <c r="DQ582" s="14"/>
      <c r="DR582" s="14"/>
      <c r="DS582" s="14"/>
      <c r="DT582" s="14"/>
      <c r="DU582" s="14"/>
      <c r="DV582" s="14"/>
      <c r="DW582" s="14"/>
      <c r="DX582" s="14"/>
      <c r="DY582" s="14"/>
      <c r="DZ582" s="14"/>
      <c r="EA582" s="14"/>
      <c r="EB582" s="14"/>
      <c r="EC582" s="14"/>
    </row>
    <row r="583" spans="1:133" s="13" customFormat="1" ht="46.8" x14ac:dyDescent="0.25">
      <c r="A583" s="63" t="s">
        <v>208</v>
      </c>
      <c r="B583" s="25" t="s">
        <v>78</v>
      </c>
      <c r="C583" s="35" t="s">
        <v>79</v>
      </c>
      <c r="D583" s="53" t="s">
        <v>352</v>
      </c>
      <c r="E583" s="52">
        <f>0.000185941912013954*E556</f>
        <v>372.16379657888552</v>
      </c>
      <c r="R583" s="14"/>
      <c r="S583" s="14"/>
      <c r="T583" s="14"/>
      <c r="U583" s="14"/>
      <c r="V583" s="14"/>
      <c r="W583" s="14"/>
      <c r="X583" s="14"/>
      <c r="Y583" s="14"/>
      <c r="Z583" s="14"/>
      <c r="AA583" s="14"/>
      <c r="AB583" s="14"/>
      <c r="AC583" s="14"/>
      <c r="AD583" s="14"/>
      <c r="AE583" s="14"/>
      <c r="AF583" s="14"/>
      <c r="AG583" s="14"/>
      <c r="AH583" s="14"/>
      <c r="AI583" s="14"/>
      <c r="AJ583" s="14"/>
      <c r="AK583" s="14"/>
      <c r="AL583" s="14"/>
      <c r="AM583" s="14"/>
      <c r="AN583" s="14"/>
      <c r="AO583" s="14"/>
      <c r="AP583" s="14"/>
      <c r="AQ583" s="14"/>
      <c r="AR583" s="14"/>
      <c r="AS583" s="14"/>
      <c r="AT583" s="14"/>
      <c r="AU583" s="14"/>
      <c r="AV583" s="14"/>
      <c r="AW583" s="14"/>
      <c r="AX583" s="14"/>
      <c r="AY583" s="14"/>
      <c r="AZ583" s="14"/>
      <c r="BA583" s="14"/>
      <c r="BB583" s="14"/>
      <c r="BC583" s="14"/>
      <c r="BD583" s="14"/>
      <c r="BE583" s="14"/>
      <c r="BF583" s="14"/>
      <c r="BG583" s="14"/>
      <c r="BH583" s="14"/>
      <c r="BI583" s="14"/>
      <c r="BJ583" s="14"/>
      <c r="BK583" s="14"/>
      <c r="BL583" s="14"/>
      <c r="BM583" s="14"/>
      <c r="BN583" s="14"/>
      <c r="BO583" s="14"/>
      <c r="BP583" s="14"/>
      <c r="BQ583" s="14"/>
      <c r="BR583" s="14"/>
      <c r="BS583" s="14"/>
      <c r="BT583" s="14"/>
      <c r="BU583" s="14"/>
      <c r="BV583" s="14"/>
      <c r="BW583" s="14"/>
      <c r="BX583" s="14"/>
      <c r="BY583" s="14"/>
      <c r="BZ583" s="14"/>
      <c r="CA583" s="14"/>
      <c r="CB583" s="14"/>
      <c r="CC583" s="14"/>
      <c r="CD583" s="14"/>
      <c r="CE583" s="14"/>
      <c r="CF583" s="14"/>
      <c r="CG583" s="14"/>
      <c r="CH583" s="14"/>
      <c r="CI583" s="14"/>
      <c r="CJ583" s="14"/>
      <c r="CK583" s="14"/>
      <c r="CL583" s="14"/>
      <c r="CM583" s="14"/>
      <c r="CN583" s="14"/>
      <c r="CO583" s="14"/>
      <c r="CP583" s="14"/>
      <c r="CQ583" s="14"/>
      <c r="CR583" s="14"/>
      <c r="CS583" s="14"/>
      <c r="CT583" s="14"/>
      <c r="CU583" s="14"/>
      <c r="CV583" s="14"/>
      <c r="CW583" s="14"/>
      <c r="CX583" s="14"/>
      <c r="CY583" s="14"/>
      <c r="CZ583" s="14"/>
      <c r="DA583" s="14"/>
      <c r="DB583" s="14"/>
      <c r="DC583" s="14"/>
      <c r="DD583" s="14"/>
      <c r="DE583" s="14"/>
      <c r="DF583" s="14"/>
      <c r="DG583" s="14"/>
      <c r="DH583" s="14"/>
      <c r="DI583" s="14"/>
      <c r="DJ583" s="14"/>
      <c r="DK583" s="14"/>
      <c r="DL583" s="14"/>
      <c r="DM583" s="14"/>
      <c r="DN583" s="14"/>
      <c r="DO583" s="14"/>
      <c r="DP583" s="14"/>
      <c r="DQ583" s="14"/>
      <c r="DR583" s="14"/>
      <c r="DS583" s="14"/>
      <c r="DT583" s="14"/>
      <c r="DU583" s="14"/>
      <c r="DV583" s="14"/>
      <c r="DW583" s="14"/>
      <c r="DX583" s="14"/>
      <c r="DY583" s="14"/>
      <c r="DZ583" s="14"/>
      <c r="EA583" s="14"/>
      <c r="EB583" s="14"/>
      <c r="EC583" s="14"/>
    </row>
    <row r="584" spans="1:133" s="13" customFormat="1" ht="31.2" x14ac:dyDescent="0.25">
      <c r="A584" s="63" t="s">
        <v>209</v>
      </c>
      <c r="B584" s="25" t="s">
        <v>80</v>
      </c>
      <c r="C584" s="35" t="s">
        <v>81</v>
      </c>
      <c r="D584" s="35" t="s">
        <v>353</v>
      </c>
      <c r="E584" s="25">
        <f>5</f>
        <v>5</v>
      </c>
      <c r="R584" s="14"/>
      <c r="S584" s="14"/>
      <c r="T584" s="14"/>
      <c r="U584" s="14"/>
      <c r="V584" s="14"/>
      <c r="W584" s="14"/>
      <c r="X584" s="14"/>
      <c r="Y584" s="14"/>
      <c r="Z584" s="14"/>
      <c r="AA584" s="14"/>
      <c r="AB584" s="14"/>
      <c r="AC584" s="14"/>
      <c r="AD584" s="14"/>
      <c r="AE584" s="14"/>
      <c r="AF584" s="14"/>
      <c r="AG584" s="14"/>
      <c r="AH584" s="14"/>
      <c r="AI584" s="14"/>
      <c r="AJ584" s="14"/>
      <c r="AK584" s="14"/>
      <c r="AL584" s="14"/>
      <c r="AM584" s="14"/>
      <c r="AN584" s="14"/>
      <c r="AO584" s="14"/>
      <c r="AP584" s="14"/>
      <c r="AQ584" s="14"/>
      <c r="AR584" s="14"/>
      <c r="AS584" s="14"/>
      <c r="AT584" s="14"/>
      <c r="AU584" s="14"/>
      <c r="AV584" s="14"/>
      <c r="AW584" s="14"/>
      <c r="AX584" s="14"/>
      <c r="AY584" s="14"/>
      <c r="AZ584" s="14"/>
      <c r="BA584" s="14"/>
      <c r="BB584" s="14"/>
      <c r="BC584" s="14"/>
      <c r="BD584" s="14"/>
      <c r="BE584" s="14"/>
      <c r="BF584" s="14"/>
      <c r="BG584" s="14"/>
      <c r="BH584" s="14"/>
      <c r="BI584" s="14"/>
      <c r="BJ584" s="14"/>
      <c r="BK584" s="14"/>
      <c r="BL584" s="14"/>
      <c r="BM584" s="14"/>
      <c r="BN584" s="14"/>
      <c r="BO584" s="14"/>
      <c r="BP584" s="14"/>
      <c r="BQ584" s="14"/>
      <c r="BR584" s="14"/>
      <c r="BS584" s="14"/>
      <c r="BT584" s="14"/>
      <c r="BU584" s="14"/>
      <c r="BV584" s="14"/>
      <c r="BW584" s="14"/>
      <c r="BX584" s="14"/>
      <c r="BY584" s="14"/>
      <c r="BZ584" s="14"/>
      <c r="CA584" s="14"/>
      <c r="CB584" s="14"/>
      <c r="CC584" s="14"/>
      <c r="CD584" s="14"/>
      <c r="CE584" s="14"/>
      <c r="CF584" s="14"/>
      <c r="CG584" s="14"/>
      <c r="CH584" s="14"/>
      <c r="CI584" s="14"/>
      <c r="CJ584" s="14"/>
      <c r="CK584" s="14"/>
      <c r="CL584" s="14"/>
      <c r="CM584" s="14"/>
      <c r="CN584" s="14"/>
      <c r="CO584" s="14"/>
      <c r="CP584" s="14"/>
      <c r="CQ584" s="14"/>
      <c r="CR584" s="14"/>
      <c r="CS584" s="14"/>
      <c r="CT584" s="14"/>
      <c r="CU584" s="14"/>
      <c r="CV584" s="14"/>
      <c r="CW584" s="14"/>
      <c r="CX584" s="14"/>
      <c r="CY584" s="14"/>
      <c r="CZ584" s="14"/>
      <c r="DA584" s="14"/>
      <c r="DB584" s="14"/>
      <c r="DC584" s="14"/>
      <c r="DD584" s="14"/>
      <c r="DE584" s="14"/>
      <c r="DF584" s="14"/>
      <c r="DG584" s="14"/>
      <c r="DH584" s="14"/>
      <c r="DI584" s="14"/>
      <c r="DJ584" s="14"/>
      <c r="DK584" s="14"/>
      <c r="DL584" s="14"/>
      <c r="DM584" s="14"/>
      <c r="DN584" s="14"/>
      <c r="DO584" s="14"/>
      <c r="DP584" s="14"/>
      <c r="DQ584" s="14"/>
      <c r="DR584" s="14"/>
      <c r="DS584" s="14"/>
      <c r="DT584" s="14"/>
      <c r="DU584" s="14"/>
      <c r="DV584" s="14"/>
      <c r="DW584" s="14"/>
      <c r="DX584" s="14"/>
      <c r="DY584" s="14"/>
      <c r="DZ584" s="14"/>
      <c r="EA584" s="14"/>
      <c r="EB584" s="14"/>
      <c r="EC584" s="14"/>
    </row>
    <row r="585" spans="1:133" s="13" customFormat="1" ht="62.4" x14ac:dyDescent="0.25">
      <c r="A585" s="63" t="s">
        <v>210</v>
      </c>
      <c r="B585" s="25" t="s">
        <v>82</v>
      </c>
      <c r="C585" s="35" t="s">
        <v>83</v>
      </c>
      <c r="D585" s="53" t="s">
        <v>354</v>
      </c>
      <c r="E585" s="25">
        <f>15*2</f>
        <v>30</v>
      </c>
      <c r="R585" s="14"/>
      <c r="S585" s="14"/>
      <c r="T585" s="14"/>
      <c r="U585" s="14"/>
      <c r="V585" s="14"/>
      <c r="W585" s="14"/>
      <c r="X585" s="14"/>
      <c r="Y585" s="14"/>
      <c r="Z585" s="14"/>
      <c r="AA585" s="14"/>
      <c r="AB585" s="14"/>
      <c r="AC585" s="14"/>
      <c r="AD585" s="14"/>
      <c r="AE585" s="14"/>
      <c r="AF585" s="14"/>
      <c r="AG585" s="14"/>
      <c r="AH585" s="14"/>
      <c r="AI585" s="14"/>
      <c r="AJ585" s="14"/>
      <c r="AK585" s="14"/>
      <c r="AL585" s="14"/>
      <c r="AM585" s="14"/>
      <c r="AN585" s="14"/>
      <c r="AO585" s="14"/>
      <c r="AP585" s="14"/>
      <c r="AQ585" s="14"/>
      <c r="AR585" s="14"/>
      <c r="AS585" s="14"/>
      <c r="AT585" s="14"/>
      <c r="AU585" s="14"/>
      <c r="AV585" s="14"/>
      <c r="AW585" s="14"/>
      <c r="AX585" s="14"/>
      <c r="AY585" s="14"/>
      <c r="AZ585" s="14"/>
      <c r="BA585" s="14"/>
      <c r="BB585" s="14"/>
      <c r="BC585" s="14"/>
      <c r="BD585" s="14"/>
      <c r="BE585" s="14"/>
      <c r="BF585" s="14"/>
      <c r="BG585" s="14"/>
      <c r="BH585" s="14"/>
      <c r="BI585" s="14"/>
      <c r="BJ585" s="14"/>
      <c r="BK585" s="14"/>
      <c r="BL585" s="14"/>
      <c r="BM585" s="14"/>
      <c r="BN585" s="14"/>
      <c r="BO585" s="14"/>
      <c r="BP585" s="14"/>
      <c r="BQ585" s="14"/>
      <c r="BR585" s="14"/>
      <c r="BS585" s="14"/>
      <c r="BT585" s="14"/>
      <c r="BU585" s="14"/>
      <c r="BV585" s="14"/>
      <c r="BW585" s="14"/>
      <c r="BX585" s="14"/>
      <c r="BY585" s="14"/>
      <c r="BZ585" s="14"/>
      <c r="CA585" s="14"/>
      <c r="CB585" s="14"/>
      <c r="CC585" s="14"/>
      <c r="CD585" s="14"/>
      <c r="CE585" s="14"/>
      <c r="CF585" s="14"/>
      <c r="CG585" s="14"/>
      <c r="CH585" s="14"/>
      <c r="CI585" s="14"/>
      <c r="CJ585" s="14"/>
      <c r="CK585" s="14"/>
      <c r="CL585" s="14"/>
      <c r="CM585" s="14"/>
      <c r="CN585" s="14"/>
      <c r="CO585" s="14"/>
      <c r="CP585" s="14"/>
      <c r="CQ585" s="14"/>
      <c r="CR585" s="14"/>
      <c r="CS585" s="14"/>
      <c r="CT585" s="14"/>
      <c r="CU585" s="14"/>
      <c r="CV585" s="14"/>
      <c r="CW585" s="14"/>
      <c r="CX585" s="14"/>
      <c r="CY585" s="14"/>
      <c r="CZ585" s="14"/>
      <c r="DA585" s="14"/>
      <c r="DB585" s="14"/>
      <c r="DC585" s="14"/>
      <c r="DD585" s="14"/>
      <c r="DE585" s="14"/>
      <c r="DF585" s="14"/>
      <c r="DG585" s="14"/>
      <c r="DH585" s="14"/>
      <c r="DI585" s="14"/>
      <c r="DJ585" s="14"/>
      <c r="DK585" s="14"/>
      <c r="DL585" s="14"/>
      <c r="DM585" s="14"/>
      <c r="DN585" s="14"/>
      <c r="DO585" s="14"/>
      <c r="DP585" s="14"/>
      <c r="DQ585" s="14"/>
      <c r="DR585" s="14"/>
      <c r="DS585" s="14"/>
      <c r="DT585" s="14"/>
      <c r="DU585" s="14"/>
      <c r="DV585" s="14"/>
      <c r="DW585" s="14"/>
      <c r="DX585" s="14"/>
      <c r="DY585" s="14"/>
      <c r="DZ585" s="14"/>
      <c r="EA585" s="14"/>
      <c r="EB585" s="14"/>
      <c r="EC585" s="14"/>
    </row>
    <row r="586" spans="1:133" s="13" customFormat="1" ht="172.2" x14ac:dyDescent="0.25">
      <c r="A586" s="63" t="s">
        <v>211</v>
      </c>
      <c r="B586" s="25" t="s">
        <v>84</v>
      </c>
      <c r="C586" s="35" t="s">
        <v>85</v>
      </c>
      <c r="D586" s="35" t="s">
        <v>355</v>
      </c>
      <c r="E586" s="25">
        <f>25.1/100</f>
        <v>0.251</v>
      </c>
      <c r="R586" s="14"/>
      <c r="S586" s="14"/>
      <c r="T586" s="14"/>
      <c r="U586" s="14"/>
      <c r="V586" s="14"/>
      <c r="W586" s="14"/>
      <c r="X586" s="14"/>
      <c r="Y586" s="14"/>
      <c r="Z586" s="14"/>
      <c r="AA586" s="14"/>
      <c r="AB586" s="14"/>
      <c r="AC586" s="14"/>
      <c r="AD586" s="14"/>
      <c r="AE586" s="14"/>
      <c r="AF586" s="14"/>
      <c r="AG586" s="14"/>
      <c r="AH586" s="14"/>
      <c r="AI586" s="14"/>
      <c r="AJ586" s="14"/>
      <c r="AK586" s="14"/>
      <c r="AL586" s="14"/>
      <c r="AM586" s="14"/>
      <c r="AN586" s="14"/>
      <c r="AO586" s="14"/>
      <c r="AP586" s="14"/>
      <c r="AQ586" s="14"/>
      <c r="AR586" s="14"/>
      <c r="AS586" s="14"/>
      <c r="AT586" s="14"/>
      <c r="AU586" s="14"/>
      <c r="AV586" s="14"/>
      <c r="AW586" s="14"/>
      <c r="AX586" s="14"/>
      <c r="AY586" s="14"/>
      <c r="AZ586" s="14"/>
      <c r="BA586" s="14"/>
      <c r="BB586" s="14"/>
      <c r="BC586" s="14"/>
      <c r="BD586" s="14"/>
      <c r="BE586" s="14"/>
      <c r="BF586" s="14"/>
      <c r="BG586" s="14"/>
      <c r="BH586" s="14"/>
      <c r="BI586" s="14"/>
      <c r="BJ586" s="14"/>
      <c r="BK586" s="14"/>
      <c r="BL586" s="14"/>
      <c r="BM586" s="14"/>
      <c r="BN586" s="14"/>
      <c r="BO586" s="14"/>
      <c r="BP586" s="14"/>
      <c r="BQ586" s="14"/>
      <c r="BR586" s="14"/>
      <c r="BS586" s="14"/>
      <c r="BT586" s="14"/>
      <c r="BU586" s="14"/>
      <c r="BV586" s="14"/>
      <c r="BW586" s="14"/>
      <c r="BX586" s="14"/>
      <c r="BY586" s="14"/>
      <c r="BZ586" s="14"/>
      <c r="CA586" s="14"/>
      <c r="CB586" s="14"/>
      <c r="CC586" s="14"/>
      <c r="CD586" s="14"/>
      <c r="CE586" s="14"/>
      <c r="CF586" s="14"/>
      <c r="CG586" s="14"/>
      <c r="CH586" s="14"/>
      <c r="CI586" s="14"/>
      <c r="CJ586" s="14"/>
      <c r="CK586" s="14"/>
      <c r="CL586" s="14"/>
      <c r="CM586" s="14"/>
      <c r="CN586" s="14"/>
      <c r="CO586" s="14"/>
      <c r="CP586" s="14"/>
      <c r="CQ586" s="14"/>
      <c r="CR586" s="14"/>
      <c r="CS586" s="14"/>
      <c r="CT586" s="14"/>
      <c r="CU586" s="14"/>
      <c r="CV586" s="14"/>
      <c r="CW586" s="14"/>
      <c r="CX586" s="14"/>
      <c r="CY586" s="14"/>
      <c r="CZ586" s="14"/>
      <c r="DA586" s="14"/>
      <c r="DB586" s="14"/>
      <c r="DC586" s="14"/>
      <c r="DD586" s="14"/>
      <c r="DE586" s="14"/>
      <c r="DF586" s="14"/>
      <c r="DG586" s="14"/>
      <c r="DH586" s="14"/>
      <c r="DI586" s="14"/>
      <c r="DJ586" s="14"/>
      <c r="DK586" s="14"/>
      <c r="DL586" s="14"/>
      <c r="DM586" s="14"/>
      <c r="DN586" s="14"/>
      <c r="DO586" s="14"/>
      <c r="DP586" s="14"/>
      <c r="DQ586" s="14"/>
      <c r="DR586" s="14"/>
      <c r="DS586" s="14"/>
      <c r="DT586" s="14"/>
      <c r="DU586" s="14"/>
      <c r="DV586" s="14"/>
      <c r="DW586" s="14"/>
      <c r="DX586" s="14"/>
      <c r="DY586" s="14"/>
      <c r="DZ586" s="14"/>
      <c r="EA586" s="14"/>
      <c r="EB586" s="14"/>
      <c r="EC586" s="14"/>
    </row>
    <row r="587" spans="1:133" s="13" customFormat="1" ht="140.4" x14ac:dyDescent="0.25">
      <c r="A587" s="63" t="s">
        <v>212</v>
      </c>
      <c r="B587" s="25" t="s">
        <v>87</v>
      </c>
      <c r="C587" s="35" t="s">
        <v>86</v>
      </c>
      <c r="D587" s="35" t="s">
        <v>356</v>
      </c>
      <c r="E587" s="25">
        <f>0.84/1000</f>
        <v>8.3999999999999993E-4</v>
      </c>
      <c r="R587" s="14"/>
      <c r="S587" s="14"/>
      <c r="T587" s="14"/>
      <c r="U587" s="14"/>
      <c r="V587" s="14"/>
      <c r="W587" s="14"/>
      <c r="X587" s="14"/>
      <c r="Y587" s="14"/>
      <c r="Z587" s="14"/>
      <c r="AA587" s="14"/>
      <c r="AB587" s="14"/>
      <c r="AC587" s="14"/>
      <c r="AD587" s="14"/>
      <c r="AE587" s="14"/>
      <c r="AF587" s="14"/>
      <c r="AG587" s="14"/>
      <c r="AH587" s="14"/>
      <c r="AI587" s="14"/>
      <c r="AJ587" s="14"/>
      <c r="AK587" s="14"/>
      <c r="AL587" s="14"/>
      <c r="AM587" s="14"/>
      <c r="AN587" s="14"/>
      <c r="AO587" s="14"/>
      <c r="AP587" s="14"/>
      <c r="AQ587" s="14"/>
      <c r="AR587" s="14"/>
      <c r="AS587" s="14"/>
      <c r="AT587" s="14"/>
      <c r="AU587" s="14"/>
      <c r="AV587" s="14"/>
      <c r="AW587" s="14"/>
      <c r="AX587" s="14"/>
      <c r="AY587" s="14"/>
      <c r="AZ587" s="14"/>
      <c r="BA587" s="14"/>
      <c r="BB587" s="14"/>
      <c r="BC587" s="14"/>
      <c r="BD587" s="14"/>
      <c r="BE587" s="14"/>
      <c r="BF587" s="14"/>
      <c r="BG587" s="14"/>
      <c r="BH587" s="14"/>
      <c r="BI587" s="14"/>
      <c r="BJ587" s="14"/>
      <c r="BK587" s="14"/>
      <c r="BL587" s="14"/>
      <c r="BM587" s="14"/>
      <c r="BN587" s="14"/>
      <c r="BO587" s="14"/>
      <c r="BP587" s="14"/>
      <c r="BQ587" s="14"/>
      <c r="BR587" s="14"/>
      <c r="BS587" s="14"/>
      <c r="BT587" s="14"/>
      <c r="BU587" s="14"/>
      <c r="BV587" s="14"/>
      <c r="BW587" s="14"/>
      <c r="BX587" s="14"/>
      <c r="BY587" s="14"/>
      <c r="BZ587" s="14"/>
      <c r="CA587" s="14"/>
      <c r="CB587" s="14"/>
      <c r="CC587" s="14"/>
      <c r="CD587" s="14"/>
      <c r="CE587" s="14"/>
      <c r="CF587" s="14"/>
      <c r="CG587" s="14"/>
      <c r="CH587" s="14"/>
      <c r="CI587" s="14"/>
      <c r="CJ587" s="14"/>
      <c r="CK587" s="14"/>
      <c r="CL587" s="14"/>
      <c r="CM587" s="14"/>
      <c r="CN587" s="14"/>
      <c r="CO587" s="14"/>
      <c r="CP587" s="14"/>
      <c r="CQ587" s="14"/>
      <c r="CR587" s="14"/>
      <c r="CS587" s="14"/>
      <c r="CT587" s="14"/>
      <c r="CU587" s="14"/>
      <c r="CV587" s="14"/>
      <c r="CW587" s="14"/>
      <c r="CX587" s="14"/>
      <c r="CY587" s="14"/>
      <c r="CZ587" s="14"/>
      <c r="DA587" s="14"/>
      <c r="DB587" s="14"/>
      <c r="DC587" s="14"/>
      <c r="DD587" s="14"/>
      <c r="DE587" s="14"/>
      <c r="DF587" s="14"/>
      <c r="DG587" s="14"/>
      <c r="DH587" s="14"/>
      <c r="DI587" s="14"/>
      <c r="DJ587" s="14"/>
      <c r="DK587" s="14"/>
      <c r="DL587" s="14"/>
      <c r="DM587" s="14"/>
      <c r="DN587" s="14"/>
      <c r="DO587" s="14"/>
      <c r="DP587" s="14"/>
      <c r="DQ587" s="14"/>
      <c r="DR587" s="14"/>
      <c r="DS587" s="14"/>
      <c r="DT587" s="14"/>
      <c r="DU587" s="14"/>
      <c r="DV587" s="14"/>
      <c r="DW587" s="14"/>
      <c r="DX587" s="14"/>
      <c r="DY587" s="14"/>
      <c r="DZ587" s="14"/>
      <c r="EA587" s="14"/>
      <c r="EB587" s="14"/>
      <c r="EC587" s="14"/>
    </row>
    <row r="588" spans="1:133" s="13" customFormat="1" ht="140.4" x14ac:dyDescent="0.25">
      <c r="A588" s="63" t="s">
        <v>213</v>
      </c>
      <c r="B588" s="25" t="s">
        <v>88</v>
      </c>
      <c r="C588" s="35" t="s">
        <v>89</v>
      </c>
      <c r="D588" s="35" t="s">
        <v>357</v>
      </c>
      <c r="E588" s="25">
        <f>43.33/1000</f>
        <v>4.333E-2</v>
      </c>
      <c r="R588" s="14"/>
      <c r="S588" s="14"/>
      <c r="T588" s="14"/>
      <c r="U588" s="14"/>
      <c r="V588" s="14"/>
      <c r="W588" s="14"/>
      <c r="X588" s="14"/>
      <c r="Y588" s="14"/>
      <c r="Z588" s="14"/>
      <c r="AA588" s="14"/>
      <c r="AB588" s="14"/>
      <c r="AC588" s="14"/>
      <c r="AD588" s="14"/>
      <c r="AE588" s="14"/>
      <c r="AF588" s="14"/>
      <c r="AG588" s="14"/>
      <c r="AH588" s="14"/>
      <c r="AI588" s="14"/>
      <c r="AJ588" s="14"/>
      <c r="AK588" s="14"/>
      <c r="AL588" s="14"/>
      <c r="AM588" s="14"/>
      <c r="AN588" s="14"/>
      <c r="AO588" s="14"/>
      <c r="AP588" s="14"/>
      <c r="AQ588" s="14"/>
      <c r="AR588" s="14"/>
      <c r="AS588" s="14"/>
      <c r="AT588" s="14"/>
      <c r="AU588" s="14"/>
      <c r="AV588" s="14"/>
      <c r="AW588" s="14"/>
      <c r="AX588" s="14"/>
      <c r="AY588" s="14"/>
      <c r="AZ588" s="14"/>
      <c r="BA588" s="14"/>
      <c r="BB588" s="14"/>
      <c r="BC588" s="14"/>
      <c r="BD588" s="14"/>
      <c r="BE588" s="14"/>
      <c r="BF588" s="14"/>
      <c r="BG588" s="14"/>
      <c r="BH588" s="14"/>
      <c r="BI588" s="14"/>
      <c r="BJ588" s="14"/>
      <c r="BK588" s="14"/>
      <c r="BL588" s="14"/>
      <c r="BM588" s="14"/>
      <c r="BN588" s="14"/>
      <c r="BO588" s="14"/>
      <c r="BP588" s="14"/>
      <c r="BQ588" s="14"/>
      <c r="BR588" s="14"/>
      <c r="BS588" s="14"/>
      <c r="BT588" s="14"/>
      <c r="BU588" s="14"/>
      <c r="BV588" s="14"/>
      <c r="BW588" s="14"/>
      <c r="BX588" s="14"/>
      <c r="BY588" s="14"/>
      <c r="BZ588" s="14"/>
      <c r="CA588" s="14"/>
      <c r="CB588" s="14"/>
      <c r="CC588" s="14"/>
      <c r="CD588" s="14"/>
      <c r="CE588" s="14"/>
      <c r="CF588" s="14"/>
      <c r="CG588" s="14"/>
      <c r="CH588" s="14"/>
      <c r="CI588" s="14"/>
      <c r="CJ588" s="14"/>
      <c r="CK588" s="14"/>
      <c r="CL588" s="14"/>
      <c r="CM588" s="14"/>
      <c r="CN588" s="14"/>
      <c r="CO588" s="14"/>
      <c r="CP588" s="14"/>
      <c r="CQ588" s="14"/>
      <c r="CR588" s="14"/>
      <c r="CS588" s="14"/>
      <c r="CT588" s="14"/>
      <c r="CU588" s="14"/>
      <c r="CV588" s="14"/>
      <c r="CW588" s="14"/>
      <c r="CX588" s="14"/>
      <c r="CY588" s="14"/>
      <c r="CZ588" s="14"/>
      <c r="DA588" s="14"/>
      <c r="DB588" s="14"/>
      <c r="DC588" s="14"/>
      <c r="DD588" s="14"/>
      <c r="DE588" s="14"/>
      <c r="DF588" s="14"/>
      <c r="DG588" s="14"/>
      <c r="DH588" s="14"/>
      <c r="DI588" s="14"/>
      <c r="DJ588" s="14"/>
      <c r="DK588" s="14"/>
      <c r="DL588" s="14"/>
      <c r="DM588" s="14"/>
      <c r="DN588" s="14"/>
      <c r="DO588" s="14"/>
      <c r="DP588" s="14"/>
      <c r="DQ588" s="14"/>
      <c r="DR588" s="14"/>
      <c r="DS588" s="14"/>
      <c r="DT588" s="14"/>
      <c r="DU588" s="14"/>
      <c r="DV588" s="14"/>
      <c r="DW588" s="14"/>
      <c r="DX588" s="14"/>
      <c r="DY588" s="14"/>
      <c r="DZ588" s="14"/>
      <c r="EA588" s="14"/>
      <c r="EB588" s="14"/>
      <c r="EC588" s="14"/>
    </row>
    <row r="589" spans="1:133" s="13" customFormat="1" ht="62.4" x14ac:dyDescent="0.25">
      <c r="A589" s="63" t="s">
        <v>214</v>
      </c>
      <c r="B589" s="25" t="s">
        <v>90</v>
      </c>
      <c r="C589" s="35" t="s">
        <v>91</v>
      </c>
      <c r="D589" s="35" t="s">
        <v>358</v>
      </c>
      <c r="E589" s="25">
        <v>74.099999999999994</v>
      </c>
      <c r="R589" s="14"/>
      <c r="S589" s="14"/>
      <c r="T589" s="14"/>
      <c r="U589" s="14"/>
      <c r="V589" s="14"/>
      <c r="W589" s="14"/>
      <c r="X589" s="14"/>
      <c r="Y589" s="14"/>
      <c r="Z589" s="14"/>
      <c r="AA589" s="14"/>
      <c r="AB589" s="14"/>
      <c r="AC589" s="14"/>
      <c r="AD589" s="14"/>
      <c r="AE589" s="14"/>
      <c r="AF589" s="14"/>
      <c r="AG589" s="14"/>
      <c r="AH589" s="14"/>
      <c r="AI589" s="14"/>
      <c r="AJ589" s="14"/>
      <c r="AK589" s="14"/>
      <c r="AL589" s="14"/>
      <c r="AM589" s="14"/>
      <c r="AN589" s="14"/>
      <c r="AO589" s="14"/>
      <c r="AP589" s="14"/>
      <c r="AQ589" s="14"/>
      <c r="AR589" s="14"/>
      <c r="AS589" s="14"/>
      <c r="AT589" s="14"/>
      <c r="AU589" s="14"/>
      <c r="AV589" s="14"/>
      <c r="AW589" s="14"/>
      <c r="AX589" s="14"/>
      <c r="AY589" s="14"/>
      <c r="AZ589" s="14"/>
      <c r="BA589" s="14"/>
      <c r="BB589" s="14"/>
      <c r="BC589" s="14"/>
      <c r="BD589" s="14"/>
      <c r="BE589" s="14"/>
      <c r="BF589" s="14"/>
      <c r="BG589" s="14"/>
      <c r="BH589" s="14"/>
      <c r="BI589" s="14"/>
      <c r="BJ589" s="14"/>
      <c r="BK589" s="14"/>
      <c r="BL589" s="14"/>
      <c r="BM589" s="14"/>
      <c r="BN589" s="14"/>
      <c r="BO589" s="14"/>
      <c r="BP589" s="14"/>
      <c r="BQ589" s="14"/>
      <c r="BR589" s="14"/>
      <c r="BS589" s="14"/>
      <c r="BT589" s="14"/>
      <c r="BU589" s="14"/>
      <c r="BV589" s="14"/>
      <c r="BW589" s="14"/>
      <c r="BX589" s="14"/>
      <c r="BY589" s="14"/>
      <c r="BZ589" s="14"/>
      <c r="CA589" s="14"/>
      <c r="CB589" s="14"/>
      <c r="CC589" s="14"/>
      <c r="CD589" s="14"/>
      <c r="CE589" s="14"/>
      <c r="CF589" s="14"/>
      <c r="CG589" s="14"/>
      <c r="CH589" s="14"/>
      <c r="CI589" s="14"/>
      <c r="CJ589" s="14"/>
      <c r="CK589" s="14"/>
      <c r="CL589" s="14"/>
      <c r="CM589" s="14"/>
      <c r="CN589" s="14"/>
      <c r="CO589" s="14"/>
      <c r="CP589" s="14"/>
      <c r="CQ589" s="14"/>
      <c r="CR589" s="14"/>
      <c r="CS589" s="14"/>
      <c r="CT589" s="14"/>
      <c r="CU589" s="14"/>
      <c r="CV589" s="14"/>
      <c r="CW589" s="14"/>
      <c r="CX589" s="14"/>
      <c r="CY589" s="14"/>
      <c r="CZ589" s="14"/>
      <c r="DA589" s="14"/>
      <c r="DB589" s="14"/>
      <c r="DC589" s="14"/>
      <c r="DD589" s="14"/>
      <c r="DE589" s="14"/>
      <c r="DF589" s="14"/>
      <c r="DG589" s="14"/>
      <c r="DH589" s="14"/>
      <c r="DI589" s="14"/>
      <c r="DJ589" s="14"/>
      <c r="DK589" s="14"/>
      <c r="DL589" s="14"/>
      <c r="DM589" s="14"/>
      <c r="DN589" s="14"/>
      <c r="DO589" s="14"/>
      <c r="DP589" s="14"/>
      <c r="DQ589" s="14"/>
      <c r="DR589" s="14"/>
      <c r="DS589" s="14"/>
      <c r="DT589" s="14"/>
      <c r="DU589" s="14"/>
      <c r="DV589" s="14"/>
      <c r="DW589" s="14"/>
      <c r="DX589" s="14"/>
      <c r="DY589" s="14"/>
      <c r="DZ589" s="14"/>
      <c r="EA589" s="14"/>
      <c r="EB589" s="14"/>
      <c r="EC589" s="14"/>
    </row>
    <row r="591" spans="1:133" s="13" customFormat="1" ht="15.6" customHeight="1" x14ac:dyDescent="0.25">
      <c r="A591" s="36" t="s">
        <v>93</v>
      </c>
      <c r="B591" s="36"/>
      <c r="C591" s="36"/>
      <c r="D591" s="36"/>
      <c r="E591" s="36"/>
      <c r="R591" s="14"/>
      <c r="S591" s="14"/>
      <c r="T591" s="14"/>
      <c r="U591" s="14"/>
      <c r="V591" s="14"/>
      <c r="W591" s="14"/>
      <c r="X591" s="14"/>
      <c r="Y591" s="14"/>
      <c r="Z591" s="14"/>
      <c r="AA591" s="14"/>
      <c r="AB591" s="14"/>
      <c r="AC591" s="14"/>
      <c r="AD591" s="14"/>
      <c r="AE591" s="14"/>
      <c r="AF591" s="14"/>
      <c r="AG591" s="14"/>
      <c r="AH591" s="14"/>
      <c r="AI591" s="14"/>
      <c r="AJ591" s="14"/>
      <c r="AK591" s="14"/>
      <c r="AL591" s="14"/>
      <c r="AM591" s="14"/>
      <c r="AN591" s="14"/>
      <c r="AO591" s="14"/>
      <c r="AP591" s="14"/>
      <c r="AQ591" s="14"/>
      <c r="AR591" s="14"/>
      <c r="AS591" s="14"/>
      <c r="AT591" s="14"/>
      <c r="AU591" s="14"/>
      <c r="AV591" s="14"/>
      <c r="AW591" s="14"/>
      <c r="AX591" s="14"/>
      <c r="AY591" s="14"/>
      <c r="AZ591" s="14"/>
      <c r="BA591" s="14"/>
      <c r="BB591" s="14"/>
      <c r="BC591" s="14"/>
      <c r="BD591" s="14"/>
      <c r="BE591" s="14"/>
      <c r="BF591" s="14"/>
      <c r="BG591" s="14"/>
      <c r="BH591" s="14"/>
      <c r="BI591" s="14"/>
      <c r="BJ591" s="14"/>
      <c r="BK591" s="14"/>
      <c r="BL591" s="14"/>
      <c r="BM591" s="14"/>
      <c r="BN591" s="14"/>
      <c r="BO591" s="14"/>
      <c r="BP591" s="14"/>
      <c r="BQ591" s="14"/>
      <c r="BR591" s="14"/>
      <c r="BS591" s="14"/>
      <c r="BT591" s="14"/>
      <c r="BU591" s="14"/>
      <c r="BV591" s="14"/>
      <c r="BW591" s="14"/>
      <c r="BX591" s="14"/>
      <c r="BY591" s="14"/>
      <c r="BZ591" s="14"/>
      <c r="CA591" s="14"/>
      <c r="CB591" s="14"/>
      <c r="CC591" s="14"/>
      <c r="CD591" s="14"/>
      <c r="CE591" s="14"/>
      <c r="CF591" s="14"/>
      <c r="CG591" s="14"/>
      <c r="CH591" s="14"/>
      <c r="CI591" s="14"/>
      <c r="CJ591" s="14"/>
      <c r="CK591" s="14"/>
      <c r="CL591" s="14"/>
      <c r="CM591" s="14"/>
      <c r="CN591" s="14"/>
      <c r="CO591" s="14"/>
      <c r="CP591" s="14"/>
      <c r="CQ591" s="14"/>
      <c r="CR591" s="14"/>
      <c r="CS591" s="14"/>
      <c r="CT591" s="14"/>
      <c r="CU591" s="14"/>
      <c r="CV591" s="14"/>
      <c r="CW591" s="14"/>
      <c r="CX591" s="14"/>
      <c r="CY591" s="14"/>
      <c r="CZ591" s="14"/>
      <c r="DA591" s="14"/>
      <c r="DB591" s="14"/>
      <c r="DC591" s="14"/>
      <c r="DD591" s="14"/>
      <c r="DE591" s="14"/>
      <c r="DF591" s="14"/>
      <c r="DG591" s="14"/>
      <c r="DH591" s="14"/>
      <c r="DI591" s="14"/>
      <c r="DJ591" s="14"/>
      <c r="DK591" s="14"/>
      <c r="DL591" s="14"/>
      <c r="DM591" s="14"/>
      <c r="DN591" s="14"/>
      <c r="DO591" s="14"/>
      <c r="DP591" s="14"/>
      <c r="DQ591" s="14"/>
      <c r="DR591" s="14"/>
      <c r="DS591" s="14"/>
      <c r="DT591" s="14"/>
      <c r="DU591" s="14"/>
      <c r="DV591" s="14"/>
      <c r="DW591" s="14"/>
      <c r="DX591" s="14"/>
      <c r="DY591" s="14"/>
      <c r="DZ591" s="14"/>
      <c r="EA591" s="14"/>
      <c r="EB591" s="14"/>
      <c r="EC591" s="14"/>
    </row>
    <row r="592" spans="1:133" x14ac:dyDescent="0.25">
      <c r="A592" s="57" t="s">
        <v>8</v>
      </c>
      <c r="B592" s="58" t="s">
        <v>9</v>
      </c>
      <c r="C592" s="34" t="s">
        <v>10</v>
      </c>
      <c r="D592" s="34" t="s">
        <v>340</v>
      </c>
      <c r="E592" s="16" t="s">
        <v>65</v>
      </c>
    </row>
    <row r="593" spans="1:133" ht="64.8" x14ac:dyDescent="0.25">
      <c r="A593" s="15" t="s">
        <v>94</v>
      </c>
      <c r="B593" s="25" t="s">
        <v>95</v>
      </c>
      <c r="C593" s="35" t="s">
        <v>96</v>
      </c>
      <c r="D593" s="35" t="s">
        <v>97</v>
      </c>
      <c r="E593" s="16">
        <v>0</v>
      </c>
    </row>
    <row r="595" spans="1:133" ht="15.6" customHeight="1" x14ac:dyDescent="0.25">
      <c r="A595" s="36" t="s">
        <v>98</v>
      </c>
      <c r="B595" s="36"/>
      <c r="C595" s="36"/>
      <c r="D595" s="36"/>
      <c r="E595" s="36"/>
    </row>
    <row r="596" spans="1:133" x14ac:dyDescent="0.25">
      <c r="A596" s="57" t="s">
        <v>8</v>
      </c>
      <c r="B596" s="58" t="s">
        <v>9</v>
      </c>
      <c r="C596" s="34" t="s">
        <v>10</v>
      </c>
      <c r="D596" s="34" t="s">
        <v>340</v>
      </c>
      <c r="E596" s="16" t="s">
        <v>65</v>
      </c>
    </row>
    <row r="597" spans="1:133" ht="49.2" x14ac:dyDescent="0.25">
      <c r="A597" s="15" t="s">
        <v>99</v>
      </c>
      <c r="B597" s="25" t="s">
        <v>95</v>
      </c>
      <c r="C597" s="35" t="s">
        <v>100</v>
      </c>
      <c r="D597" s="35" t="s">
        <v>101</v>
      </c>
      <c r="E597" s="16">
        <v>0</v>
      </c>
    </row>
    <row r="599" spans="1:133" x14ac:dyDescent="0.25">
      <c r="A599" s="57" t="s">
        <v>8</v>
      </c>
      <c r="B599" s="58" t="s">
        <v>9</v>
      </c>
      <c r="C599" s="34" t="s">
        <v>10</v>
      </c>
      <c r="D599" s="34" t="s">
        <v>340</v>
      </c>
      <c r="E599" s="16" t="s">
        <v>65</v>
      </c>
    </row>
    <row r="600" spans="1:133" ht="18" x14ac:dyDescent="0.25">
      <c r="A600" s="59" t="s">
        <v>102</v>
      </c>
      <c r="B600" s="25" t="s">
        <v>103</v>
      </c>
      <c r="C600" s="35" t="s">
        <v>104</v>
      </c>
      <c r="D600" s="53" t="s">
        <v>380</v>
      </c>
      <c r="E600" s="18">
        <f>ROUNDDOWN(E550+E581+E576+E593+E597,0)</f>
        <v>2999</v>
      </c>
    </row>
    <row r="601" spans="1:133" s="165" customFormat="1" ht="38.4" customHeight="1" x14ac:dyDescent="0.25">
      <c r="A601" s="185" t="s">
        <v>230</v>
      </c>
      <c r="B601" s="186"/>
      <c r="C601" s="186"/>
      <c r="D601" s="186"/>
      <c r="E601" s="186"/>
      <c r="F601" s="186"/>
      <c r="G601" s="186"/>
      <c r="H601" s="186"/>
      <c r="I601" s="186"/>
      <c r="J601" s="186"/>
      <c r="K601" s="186"/>
      <c r="L601" s="186"/>
      <c r="M601" s="186"/>
      <c r="N601" s="186"/>
      <c r="O601" s="186"/>
      <c r="P601" s="186"/>
      <c r="Q601" s="186"/>
      <c r="R601" s="186"/>
      <c r="S601" s="186"/>
      <c r="T601" s="186"/>
      <c r="U601" s="186"/>
      <c r="V601" s="186"/>
      <c r="W601" s="186"/>
      <c r="X601" s="186"/>
      <c r="Y601" s="186"/>
      <c r="Z601" s="186"/>
      <c r="AA601" s="186"/>
      <c r="AB601" s="186"/>
      <c r="AC601" s="186"/>
      <c r="AD601" s="186"/>
      <c r="AE601" s="186"/>
      <c r="AF601" s="186"/>
      <c r="AG601" s="186"/>
      <c r="AH601" s="186"/>
      <c r="AI601" s="186"/>
      <c r="AJ601" s="186"/>
      <c r="AK601" s="186"/>
      <c r="AL601" s="186"/>
      <c r="AM601" s="186"/>
      <c r="AN601" s="186"/>
      <c r="AO601" s="186"/>
      <c r="AP601" s="186"/>
      <c r="AQ601" s="186"/>
      <c r="AR601" s="186"/>
      <c r="AS601" s="186"/>
      <c r="AT601" s="186"/>
      <c r="AU601" s="186"/>
      <c r="AV601" s="186"/>
      <c r="AW601" s="186"/>
      <c r="AX601" s="186"/>
      <c r="AY601" s="186"/>
      <c r="AZ601" s="186"/>
      <c r="BA601" s="186"/>
      <c r="BB601" s="186"/>
      <c r="BC601" s="186"/>
      <c r="BD601" s="186"/>
      <c r="BE601" s="186"/>
      <c r="BF601" s="186"/>
      <c r="BG601" s="186"/>
      <c r="BH601" s="186"/>
      <c r="BI601" s="186"/>
      <c r="BJ601" s="186"/>
      <c r="BK601" s="186"/>
      <c r="BL601" s="186"/>
      <c r="BM601" s="186"/>
      <c r="BN601" s="186"/>
      <c r="BO601" s="186"/>
      <c r="BP601" s="186"/>
      <c r="BQ601" s="186"/>
      <c r="BR601" s="186"/>
      <c r="BS601" s="186"/>
      <c r="BT601" s="186"/>
      <c r="BU601" s="186"/>
      <c r="BV601" s="186"/>
      <c r="BW601" s="186"/>
      <c r="BX601" s="186"/>
      <c r="BY601" s="186"/>
      <c r="BZ601" s="186"/>
      <c r="CA601" s="186"/>
      <c r="CB601" s="186"/>
      <c r="CC601" s="186"/>
      <c r="CD601" s="186"/>
      <c r="CE601" s="186"/>
      <c r="CF601" s="186"/>
      <c r="CG601" s="186"/>
      <c r="CH601" s="186"/>
      <c r="CI601" s="186"/>
      <c r="CJ601" s="186"/>
      <c r="CK601" s="186"/>
      <c r="CL601" s="186"/>
      <c r="CM601" s="186"/>
      <c r="CN601" s="186"/>
      <c r="CO601" s="186"/>
      <c r="CP601" s="186"/>
      <c r="CQ601" s="186"/>
      <c r="CR601" s="186"/>
      <c r="CS601" s="186"/>
      <c r="CT601" s="186"/>
      <c r="CU601" s="186"/>
      <c r="CV601" s="186"/>
      <c r="CW601" s="186"/>
      <c r="CX601" s="186"/>
      <c r="CY601" s="186"/>
      <c r="CZ601" s="186"/>
      <c r="DA601" s="186"/>
      <c r="DB601" s="186"/>
      <c r="DC601" s="186"/>
      <c r="DD601" s="186"/>
      <c r="DE601" s="186"/>
      <c r="DF601" s="186"/>
      <c r="DG601" s="186"/>
      <c r="DH601" s="186"/>
      <c r="DI601" s="186"/>
      <c r="DJ601" s="186"/>
      <c r="DK601" s="186"/>
      <c r="DL601" s="186"/>
      <c r="DM601" s="186"/>
      <c r="DN601" s="186"/>
      <c r="DO601" s="186"/>
      <c r="DP601" s="186"/>
      <c r="DQ601" s="186"/>
      <c r="DR601" s="186"/>
      <c r="DS601" s="186"/>
      <c r="DT601" s="186"/>
      <c r="DU601" s="186"/>
      <c r="DV601" s="186"/>
      <c r="DW601" s="186"/>
      <c r="DX601" s="186"/>
      <c r="DY601" s="186"/>
      <c r="DZ601" s="186"/>
      <c r="EA601" s="186"/>
      <c r="EB601" s="186"/>
      <c r="EC601" s="187"/>
    </row>
    <row r="602" spans="1:133" s="167" customFormat="1" ht="43.2" customHeight="1" x14ac:dyDescent="0.25">
      <c r="A602" s="171" t="s">
        <v>231</v>
      </c>
      <c r="B602" s="172"/>
      <c r="C602" s="172"/>
      <c r="D602" s="172"/>
      <c r="E602" s="172"/>
      <c r="F602" s="172"/>
      <c r="G602" s="172"/>
      <c r="H602" s="172"/>
      <c r="I602" s="172"/>
      <c r="J602" s="172"/>
      <c r="K602" s="172"/>
      <c r="L602" s="172"/>
      <c r="M602" s="172"/>
      <c r="N602" s="172"/>
      <c r="O602" s="172"/>
      <c r="P602" s="172"/>
      <c r="Q602" s="172"/>
      <c r="R602" s="172"/>
      <c r="S602" s="172"/>
      <c r="T602" s="172"/>
      <c r="U602" s="172"/>
      <c r="V602" s="172"/>
      <c r="W602" s="172"/>
      <c r="X602" s="172"/>
      <c r="Y602" s="172"/>
      <c r="Z602" s="172"/>
      <c r="AA602" s="172"/>
      <c r="AB602" s="172"/>
      <c r="AC602" s="172"/>
      <c r="AD602" s="172"/>
      <c r="AE602" s="172"/>
      <c r="AF602" s="172"/>
      <c r="AG602" s="172"/>
      <c r="AH602" s="172"/>
      <c r="AI602" s="172"/>
      <c r="AJ602" s="172"/>
      <c r="AK602" s="172"/>
      <c r="AL602" s="172"/>
      <c r="AM602" s="172"/>
      <c r="AN602" s="172"/>
      <c r="AO602" s="172"/>
      <c r="AP602" s="172"/>
      <c r="AQ602" s="172"/>
      <c r="AR602" s="172"/>
      <c r="AS602" s="172"/>
      <c r="AT602" s="172"/>
      <c r="AU602" s="172"/>
      <c r="AV602" s="172"/>
      <c r="AW602" s="172"/>
      <c r="AX602" s="172"/>
      <c r="AY602" s="172"/>
      <c r="AZ602" s="172"/>
      <c r="BA602" s="172"/>
      <c r="BB602" s="172"/>
      <c r="BC602" s="172"/>
      <c r="BD602" s="172"/>
      <c r="BE602" s="172"/>
      <c r="BF602" s="172"/>
      <c r="BG602" s="172"/>
      <c r="BH602" s="172"/>
      <c r="BI602" s="172"/>
      <c r="BJ602" s="172"/>
      <c r="BK602" s="172"/>
      <c r="BL602" s="172"/>
      <c r="BM602" s="172"/>
      <c r="BN602" s="172"/>
      <c r="BO602" s="172"/>
      <c r="BP602" s="172"/>
      <c r="BQ602" s="172"/>
      <c r="BR602" s="172"/>
      <c r="BS602" s="172"/>
      <c r="BT602" s="172"/>
      <c r="BU602" s="172"/>
      <c r="BV602" s="172"/>
      <c r="BW602" s="172"/>
      <c r="BX602" s="172"/>
      <c r="BY602" s="172"/>
      <c r="BZ602" s="172"/>
      <c r="CA602" s="172"/>
      <c r="CB602" s="172"/>
      <c r="CC602" s="172"/>
      <c r="CD602" s="172"/>
      <c r="CE602" s="172"/>
      <c r="CF602" s="172"/>
      <c r="CG602" s="172"/>
      <c r="CH602" s="172"/>
      <c r="CI602" s="172"/>
      <c r="CJ602" s="172"/>
      <c r="CK602" s="172"/>
      <c r="CL602" s="172"/>
      <c r="CM602" s="172"/>
      <c r="CN602" s="172"/>
      <c r="CO602" s="172"/>
      <c r="CP602" s="172"/>
      <c r="CQ602" s="172"/>
      <c r="CR602" s="172"/>
      <c r="CS602" s="172"/>
      <c r="CT602" s="172"/>
      <c r="CU602" s="172"/>
      <c r="CV602" s="172"/>
      <c r="CW602" s="172"/>
      <c r="CX602" s="172"/>
      <c r="CY602" s="172"/>
      <c r="CZ602" s="172"/>
      <c r="DA602" s="172"/>
      <c r="DB602" s="172"/>
      <c r="DC602" s="172"/>
      <c r="DD602" s="172"/>
      <c r="DE602" s="172"/>
      <c r="DF602" s="172"/>
      <c r="DG602" s="172"/>
      <c r="DH602" s="172"/>
      <c r="DI602" s="172"/>
      <c r="DJ602" s="172"/>
      <c r="DK602" s="172"/>
      <c r="DL602" s="172"/>
      <c r="DM602" s="172"/>
      <c r="DN602" s="172"/>
      <c r="DO602" s="172"/>
      <c r="DP602" s="172"/>
      <c r="DQ602" s="172"/>
      <c r="DR602" s="172"/>
      <c r="DS602" s="172"/>
      <c r="DT602" s="172"/>
      <c r="DU602" s="172"/>
      <c r="DV602" s="172"/>
      <c r="DW602" s="172"/>
      <c r="DX602" s="172"/>
      <c r="DY602" s="172"/>
      <c r="DZ602" s="172"/>
      <c r="EA602" s="172"/>
      <c r="EB602" s="172"/>
      <c r="EC602" s="173"/>
    </row>
    <row r="603" spans="1:133" s="56" customFormat="1" ht="31.2" x14ac:dyDescent="0.25">
      <c r="A603" s="92" t="s">
        <v>8</v>
      </c>
      <c r="B603" s="93" t="s">
        <v>9</v>
      </c>
      <c r="C603" s="94" t="s">
        <v>10</v>
      </c>
      <c r="D603" s="93" t="s">
        <v>341</v>
      </c>
      <c r="E603" s="93" t="s">
        <v>11</v>
      </c>
      <c r="F603" s="16" t="s">
        <v>312</v>
      </c>
      <c r="G603" s="16" t="s">
        <v>313</v>
      </c>
      <c r="H603" s="16" t="s">
        <v>314</v>
      </c>
      <c r="I603" s="16" t="s">
        <v>315</v>
      </c>
      <c r="J603" s="16" t="s">
        <v>316</v>
      </c>
      <c r="K603" s="16" t="s">
        <v>317</v>
      </c>
      <c r="L603" s="16" t="s">
        <v>318</v>
      </c>
      <c r="M603" s="16" t="s">
        <v>319</v>
      </c>
      <c r="N603" s="16" t="s">
        <v>320</v>
      </c>
      <c r="O603" s="16" t="s">
        <v>293</v>
      </c>
      <c r="P603" s="16" t="s">
        <v>294</v>
      </c>
      <c r="Q603" s="16" t="s">
        <v>295</v>
      </c>
      <c r="R603" s="54"/>
      <c r="S603" s="54"/>
      <c r="T603" s="54"/>
      <c r="U603" s="54"/>
      <c r="V603" s="54"/>
      <c r="W603" s="54"/>
      <c r="X603" s="54"/>
      <c r="Y603" s="54"/>
      <c r="Z603" s="54"/>
      <c r="AA603" s="54"/>
      <c r="AB603" s="54"/>
      <c r="AC603" s="54"/>
      <c r="AD603" s="54"/>
      <c r="AE603" s="54"/>
      <c r="AF603" s="54"/>
      <c r="AG603" s="54"/>
      <c r="AH603" s="54"/>
      <c r="AI603" s="54"/>
      <c r="AJ603" s="54"/>
      <c r="AK603" s="54"/>
      <c r="AL603" s="54"/>
      <c r="AM603" s="54"/>
      <c r="AN603" s="54"/>
      <c r="AO603" s="54"/>
      <c r="AP603" s="54"/>
      <c r="AQ603" s="54"/>
      <c r="AR603" s="54"/>
      <c r="AS603" s="54"/>
      <c r="AT603" s="54"/>
      <c r="AU603" s="54"/>
      <c r="AV603" s="54"/>
      <c r="AW603" s="54"/>
      <c r="AX603" s="54"/>
      <c r="AY603" s="54"/>
      <c r="AZ603" s="54"/>
      <c r="BA603" s="54"/>
      <c r="BB603" s="54"/>
      <c r="BC603" s="54"/>
      <c r="BD603" s="54"/>
      <c r="BE603" s="54"/>
      <c r="BF603" s="54"/>
      <c r="BG603" s="54"/>
      <c r="BH603" s="54"/>
      <c r="BI603" s="54"/>
      <c r="BJ603" s="54"/>
      <c r="BK603" s="54"/>
      <c r="BL603" s="54"/>
      <c r="BM603" s="54"/>
      <c r="BN603" s="54"/>
      <c r="BO603" s="54"/>
      <c r="BP603" s="54"/>
      <c r="BQ603" s="54"/>
      <c r="BR603" s="54"/>
      <c r="BS603" s="54"/>
      <c r="BT603" s="54"/>
      <c r="BU603" s="54"/>
      <c r="BV603" s="54"/>
      <c r="BW603" s="54"/>
      <c r="BX603" s="54"/>
      <c r="BY603" s="54"/>
      <c r="BZ603" s="54"/>
      <c r="CA603" s="54"/>
      <c r="CB603" s="54"/>
      <c r="CC603" s="54"/>
      <c r="CD603" s="54"/>
      <c r="CE603" s="54"/>
      <c r="CF603" s="54"/>
      <c r="CG603" s="54"/>
      <c r="CH603" s="54"/>
      <c r="CI603" s="54"/>
      <c r="CJ603" s="54"/>
      <c r="CK603" s="54"/>
      <c r="CL603" s="54"/>
      <c r="CM603" s="54"/>
      <c r="CN603" s="54"/>
      <c r="CO603" s="54"/>
      <c r="CP603" s="54"/>
      <c r="CQ603" s="54"/>
      <c r="CR603" s="54"/>
      <c r="CS603" s="54"/>
      <c r="CT603" s="54"/>
      <c r="CU603" s="54"/>
      <c r="CV603" s="54"/>
      <c r="CW603" s="54"/>
      <c r="CX603" s="54"/>
      <c r="CY603" s="54"/>
      <c r="CZ603" s="54"/>
      <c r="DA603" s="54"/>
      <c r="DB603" s="54"/>
      <c r="DC603" s="54"/>
      <c r="DD603" s="54"/>
      <c r="DE603" s="54"/>
      <c r="DF603" s="54"/>
      <c r="DG603" s="54"/>
      <c r="DH603" s="54"/>
      <c r="DI603" s="54"/>
      <c r="DJ603" s="54"/>
      <c r="DK603" s="54"/>
      <c r="DL603" s="54"/>
      <c r="DM603" s="54"/>
      <c r="DN603" s="54"/>
      <c r="DO603" s="54"/>
      <c r="DP603" s="54"/>
      <c r="DQ603" s="54"/>
      <c r="DR603" s="54"/>
      <c r="DS603" s="54"/>
      <c r="DT603" s="54"/>
      <c r="DU603" s="54"/>
      <c r="DV603" s="54"/>
      <c r="DW603" s="54"/>
      <c r="DX603" s="54"/>
      <c r="DY603" s="54"/>
      <c r="DZ603" s="54"/>
      <c r="EA603" s="54"/>
      <c r="EB603" s="54"/>
      <c r="EC603" s="54"/>
    </row>
    <row r="604" spans="1:133" s="56" customFormat="1" x14ac:dyDescent="0.25">
      <c r="A604" s="58" t="s">
        <v>12</v>
      </c>
      <c r="B604" s="58"/>
      <c r="C604" s="34"/>
      <c r="D604" s="34"/>
      <c r="E604" s="58"/>
      <c r="F604" s="16">
        <v>31</v>
      </c>
      <c r="G604" s="16">
        <v>28</v>
      </c>
      <c r="H604" s="16">
        <v>31</v>
      </c>
      <c r="I604" s="16">
        <v>30</v>
      </c>
      <c r="J604" s="16">
        <v>31</v>
      </c>
      <c r="K604" s="16">
        <v>30</v>
      </c>
      <c r="L604" s="16">
        <v>31</v>
      </c>
      <c r="M604" s="16">
        <v>31</v>
      </c>
      <c r="N604" s="16">
        <v>30</v>
      </c>
      <c r="O604" s="16">
        <v>31</v>
      </c>
      <c r="P604" s="16">
        <v>30</v>
      </c>
      <c r="Q604" s="16">
        <v>31</v>
      </c>
      <c r="R604" s="54"/>
      <c r="S604" s="54"/>
      <c r="T604" s="54"/>
      <c r="U604" s="54"/>
      <c r="V604" s="54"/>
      <c r="W604" s="54"/>
      <c r="X604" s="54"/>
      <c r="Y604" s="54"/>
      <c r="Z604" s="54"/>
      <c r="AA604" s="54"/>
      <c r="AB604" s="54"/>
      <c r="AC604" s="54"/>
      <c r="AD604" s="54"/>
      <c r="AE604" s="54"/>
      <c r="AF604" s="54"/>
      <c r="AG604" s="54"/>
      <c r="AH604" s="54"/>
      <c r="AI604" s="54"/>
      <c r="AJ604" s="54"/>
      <c r="AK604" s="54"/>
      <c r="AL604" s="54"/>
      <c r="AM604" s="54"/>
      <c r="AN604" s="54"/>
      <c r="AO604" s="54"/>
      <c r="AP604" s="54"/>
      <c r="AQ604" s="54"/>
      <c r="AR604" s="54"/>
      <c r="AS604" s="54"/>
      <c r="AT604" s="54"/>
      <c r="AU604" s="54"/>
      <c r="AV604" s="54"/>
      <c r="AW604" s="54"/>
      <c r="AX604" s="54"/>
      <c r="AY604" s="54"/>
      <c r="AZ604" s="54"/>
      <c r="BA604" s="54"/>
      <c r="BB604" s="54"/>
      <c r="BC604" s="54"/>
      <c r="BD604" s="54"/>
      <c r="BE604" s="54"/>
      <c r="BF604" s="54"/>
      <c r="BG604" s="54"/>
      <c r="BH604" s="54"/>
      <c r="BI604" s="54"/>
      <c r="BJ604" s="54"/>
      <c r="BK604" s="54"/>
      <c r="BL604" s="54"/>
      <c r="BM604" s="54"/>
      <c r="BN604" s="54"/>
      <c r="BO604" s="54"/>
      <c r="BP604" s="54"/>
      <c r="BQ604" s="54"/>
      <c r="BR604" s="54"/>
      <c r="BS604" s="54"/>
      <c r="BT604" s="54"/>
      <c r="BU604" s="54"/>
      <c r="BV604" s="54"/>
      <c r="BW604" s="54"/>
      <c r="BX604" s="54"/>
      <c r="BY604" s="54"/>
      <c r="BZ604" s="54"/>
      <c r="CA604" s="54"/>
      <c r="CB604" s="54"/>
      <c r="CC604" s="54"/>
      <c r="CD604" s="54"/>
      <c r="CE604" s="54"/>
      <c r="CF604" s="54"/>
      <c r="CG604" s="54"/>
      <c r="CH604" s="54"/>
      <c r="CI604" s="54"/>
      <c r="CJ604" s="54"/>
      <c r="CK604" s="54"/>
      <c r="CL604" s="54"/>
      <c r="CM604" s="54"/>
      <c r="CN604" s="54"/>
      <c r="CO604" s="54"/>
      <c r="CP604" s="54"/>
      <c r="CQ604" s="54"/>
      <c r="CR604" s="54"/>
      <c r="CS604" s="54"/>
      <c r="CT604" s="54"/>
      <c r="CU604" s="54"/>
      <c r="CV604" s="54"/>
      <c r="CW604" s="54"/>
      <c r="CX604" s="54"/>
      <c r="CY604" s="54"/>
      <c r="CZ604" s="54"/>
      <c r="DA604" s="54"/>
      <c r="DB604" s="54"/>
      <c r="DC604" s="54"/>
      <c r="DD604" s="54"/>
      <c r="DE604" s="54"/>
      <c r="DF604" s="54"/>
      <c r="DG604" s="54"/>
      <c r="DH604" s="54"/>
      <c r="DI604" s="54"/>
      <c r="DJ604" s="54"/>
      <c r="DK604" s="54"/>
      <c r="DL604" s="54"/>
      <c r="DM604" s="54"/>
      <c r="DN604" s="54"/>
      <c r="DO604" s="54"/>
      <c r="DP604" s="54"/>
      <c r="DQ604" s="54"/>
      <c r="DR604" s="54"/>
      <c r="DS604" s="54"/>
      <c r="DT604" s="54"/>
      <c r="DU604" s="54"/>
      <c r="DV604" s="54"/>
      <c r="DW604" s="54"/>
      <c r="DX604" s="54"/>
      <c r="DY604" s="54"/>
      <c r="DZ604" s="54"/>
      <c r="EA604" s="54"/>
      <c r="EB604" s="54"/>
      <c r="EC604" s="54"/>
    </row>
    <row r="605" spans="1:133" ht="46.8" x14ac:dyDescent="0.25">
      <c r="A605" s="59" t="s">
        <v>13</v>
      </c>
      <c r="B605" s="60" t="s">
        <v>14</v>
      </c>
      <c r="C605" s="53" t="s">
        <v>15</v>
      </c>
      <c r="D605" s="53" t="s">
        <v>369</v>
      </c>
      <c r="E605" s="61">
        <f>SUM(F605:Q605)</f>
        <v>2074.2196557994826</v>
      </c>
      <c r="F605" s="62">
        <f>$E$606*$E$607*F608*$E$619</f>
        <v>168.72825794220898</v>
      </c>
      <c r="G605" s="62">
        <f t="shared" ref="G605:Q605" si="77">$E$606*$E$607*G608*$E$619</f>
        <v>152.24972334957349</v>
      </c>
      <c r="H605" s="62">
        <f t="shared" si="77"/>
        <v>168.68670108342553</v>
      </c>
      <c r="I605" s="62">
        <f t="shared" si="77"/>
        <v>163.20531603975144</v>
      </c>
      <c r="J605" s="62">
        <f t="shared" si="77"/>
        <v>192.30680951702928</v>
      </c>
      <c r="K605" s="62">
        <f t="shared" si="77"/>
        <v>169.13282172577343</v>
      </c>
      <c r="L605" s="62">
        <f t="shared" si="77"/>
        <v>174.79018470726973</v>
      </c>
      <c r="M605" s="62">
        <f t="shared" si="77"/>
        <v>174.7511519871012</v>
      </c>
      <c r="N605" s="62">
        <f t="shared" si="77"/>
        <v>186.11627209108281</v>
      </c>
      <c r="O605" s="62">
        <f t="shared" si="77"/>
        <v>192.43087972032041</v>
      </c>
      <c r="P605" s="62">
        <f t="shared" si="77"/>
        <v>163.193677022239</v>
      </c>
      <c r="Q605" s="62">
        <f t="shared" si="77"/>
        <v>168.62786061370744</v>
      </c>
    </row>
    <row r="606" spans="1:133" ht="31.2" x14ac:dyDescent="0.25">
      <c r="A606" s="63" t="s">
        <v>16</v>
      </c>
      <c r="B606" s="60" t="s">
        <v>193</v>
      </c>
      <c r="C606" s="35" t="s">
        <v>17</v>
      </c>
      <c r="D606" s="35" t="s">
        <v>205</v>
      </c>
      <c r="E606" s="168">
        <v>28</v>
      </c>
      <c r="F606" s="169"/>
      <c r="G606" s="169"/>
      <c r="H606" s="169"/>
      <c r="I606" s="169"/>
      <c r="J606" s="169"/>
      <c r="K606" s="169"/>
      <c r="L606" s="169"/>
      <c r="M606" s="169"/>
      <c r="N606" s="169"/>
      <c r="O606" s="169"/>
      <c r="P606" s="169"/>
      <c r="Q606" s="170"/>
    </row>
    <row r="607" spans="1:133" ht="64.8" x14ac:dyDescent="0.25">
      <c r="A607" s="63" t="s">
        <v>18</v>
      </c>
      <c r="B607" s="25" t="s">
        <v>194</v>
      </c>
      <c r="C607" s="35" t="s">
        <v>20</v>
      </c>
      <c r="D607" s="35" t="s">
        <v>394</v>
      </c>
      <c r="E607" s="168">
        <v>0.21</v>
      </c>
      <c r="F607" s="169"/>
      <c r="G607" s="169"/>
      <c r="H607" s="169"/>
      <c r="I607" s="169"/>
      <c r="J607" s="169"/>
      <c r="K607" s="169"/>
      <c r="L607" s="169"/>
      <c r="M607" s="169"/>
      <c r="N607" s="169"/>
      <c r="O607" s="169"/>
      <c r="P607" s="169"/>
      <c r="Q607" s="170"/>
    </row>
    <row r="608" spans="1:133" ht="46.8" x14ac:dyDescent="0.25">
      <c r="A608" s="35" t="s">
        <v>21</v>
      </c>
      <c r="B608" s="25" t="s">
        <v>195</v>
      </c>
      <c r="C608" s="53" t="s">
        <v>22</v>
      </c>
      <c r="D608" s="53" t="s">
        <v>370</v>
      </c>
      <c r="E608" s="64">
        <f t="shared" ref="E608:Q608" si="78">E616*E609</f>
        <v>603.30551010355146</v>
      </c>
      <c r="F608" s="64">
        <f t="shared" si="78"/>
        <v>49.076136870119718</v>
      </c>
      <c r="G608" s="64">
        <f t="shared" si="78"/>
        <v>44.283206338209816</v>
      </c>
      <c r="H608" s="64">
        <f t="shared" si="78"/>
        <v>49.064049682624145</v>
      </c>
      <c r="I608" s="64">
        <f t="shared" si="78"/>
        <v>47.469739364234471</v>
      </c>
      <c r="J608" s="64">
        <f t="shared" si="78"/>
        <v>55.934171430527428</v>
      </c>
      <c r="K608" s="64">
        <f t="shared" si="78"/>
        <v>49.193807898417191</v>
      </c>
      <c r="L608" s="64">
        <f t="shared" si="78"/>
        <v>50.839302988510255</v>
      </c>
      <c r="M608" s="64">
        <f t="shared" si="78"/>
        <v>50.827949969515295</v>
      </c>
      <c r="N608" s="64">
        <f t="shared" si="78"/>
        <v>54.133597740497372</v>
      </c>
      <c r="O608" s="64">
        <f t="shared" si="78"/>
        <v>55.97025836909053</v>
      </c>
      <c r="P608" s="64">
        <f t="shared" si="78"/>
        <v>47.466354050929873</v>
      </c>
      <c r="Q608" s="64">
        <f t="shared" si="78"/>
        <v>49.046935400875455</v>
      </c>
    </row>
    <row r="609" spans="1:133" ht="46.8" x14ac:dyDescent="0.25">
      <c r="A609" s="35" t="s">
        <v>23</v>
      </c>
      <c r="B609" s="25" t="s">
        <v>197</v>
      </c>
      <c r="C609" s="35" t="s">
        <v>191</v>
      </c>
      <c r="D609" s="35" t="s">
        <v>371</v>
      </c>
      <c r="E609" s="20">
        <f>SUM(F609:Q609)</f>
        <v>635.81970615946409</v>
      </c>
      <c r="F609" s="20">
        <f>F611*F614</f>
        <v>51.721017629766671</v>
      </c>
      <c r="G609" s="20">
        <f t="shared" ref="G609:Q609" si="79">G611*G614</f>
        <v>46.669779689111003</v>
      </c>
      <c r="H609" s="20">
        <f t="shared" si="79"/>
        <v>51.708279022422587</v>
      </c>
      <c r="I609" s="20">
        <f t="shared" si="79"/>
        <v>50.028045871574136</v>
      </c>
      <c r="J609" s="20">
        <f t="shared" si="79"/>
        <v>58.948655113603749</v>
      </c>
      <c r="K609" s="20">
        <f t="shared" si="79"/>
        <v>51.845030351982217</v>
      </c>
      <c r="L609" s="20">
        <f t="shared" si="79"/>
        <v>53.579206796832253</v>
      </c>
      <c r="M609" s="20">
        <f t="shared" si="79"/>
        <v>53.56724192483869</v>
      </c>
      <c r="N609" s="20">
        <f t="shared" si="79"/>
        <v>57.051042353002785</v>
      </c>
      <c r="O609" s="20">
        <f t="shared" si="79"/>
        <v>58.986686900632264</v>
      </c>
      <c r="P609" s="20">
        <f t="shared" si="79"/>
        <v>50.024478112164445</v>
      </c>
      <c r="Q609" s="20">
        <f t="shared" si="79"/>
        <v>51.690242393533332</v>
      </c>
    </row>
    <row r="610" spans="1:133" ht="62.4" x14ac:dyDescent="0.25">
      <c r="A610" s="17" t="s">
        <v>335</v>
      </c>
      <c r="B610" s="60" t="s">
        <v>192</v>
      </c>
      <c r="C610" s="35" t="s">
        <v>25</v>
      </c>
      <c r="D610" s="35" t="s">
        <v>333</v>
      </c>
      <c r="E610" s="121">
        <f>AVERAGE(F610:Q610)</f>
        <v>5481.2583639080904</v>
      </c>
      <c r="F610" s="121">
        <v>5121.3829999999998</v>
      </c>
      <c r="G610" s="121">
        <v>5120.4960357142854</v>
      </c>
      <c r="H610" s="121">
        <v>5120.4934516129033</v>
      </c>
      <c r="I610" s="121">
        <v>5122.6435333333329</v>
      </c>
      <c r="J610" s="121">
        <v>5841.2525483870968</v>
      </c>
      <c r="K610" s="121">
        <v>5840.7941333333329</v>
      </c>
      <c r="L610" s="121">
        <v>5840.8308387096777</v>
      </c>
      <c r="M610" s="121">
        <v>5840.5664516129018</v>
      </c>
      <c r="N610" s="121">
        <v>5841.378733333333</v>
      </c>
      <c r="O610" s="121">
        <v>5840.8057741935472</v>
      </c>
      <c r="P610" s="121">
        <v>5121.3178666666672</v>
      </c>
      <c r="Q610" s="121">
        <v>5123.1379999999999</v>
      </c>
    </row>
    <row r="611" spans="1:133" ht="46.8" x14ac:dyDescent="0.25">
      <c r="A611" s="35" t="s">
        <v>26</v>
      </c>
      <c r="B611" s="60" t="s">
        <v>198</v>
      </c>
      <c r="C611" s="35" t="s">
        <v>27</v>
      </c>
      <c r="D611" s="35" t="s">
        <v>206</v>
      </c>
      <c r="E611" s="65">
        <f>SUM(F611:Q611)</f>
        <v>2001740.4890000001</v>
      </c>
      <c r="F611" s="65">
        <f>F610*F604</f>
        <v>158762.87299999999</v>
      </c>
      <c r="G611" s="65">
        <f t="shared" ref="G611:Q611" si="80">G610*G604</f>
        <v>143373.889</v>
      </c>
      <c r="H611" s="65">
        <f t="shared" si="80"/>
        <v>158735.29699999999</v>
      </c>
      <c r="I611" s="65">
        <f t="shared" si="80"/>
        <v>153679.30599999998</v>
      </c>
      <c r="J611" s="65">
        <f t="shared" si="80"/>
        <v>181078.829</v>
      </c>
      <c r="K611" s="65">
        <f t="shared" si="80"/>
        <v>175223.82399999999</v>
      </c>
      <c r="L611" s="65">
        <f t="shared" si="80"/>
        <v>181065.75599999999</v>
      </c>
      <c r="M611" s="65">
        <f t="shared" si="80"/>
        <v>181057.55999999997</v>
      </c>
      <c r="N611" s="65">
        <f t="shared" si="80"/>
        <v>175241.36199999999</v>
      </c>
      <c r="O611" s="65">
        <f t="shared" si="80"/>
        <v>181064.97899999996</v>
      </c>
      <c r="P611" s="65">
        <f t="shared" si="80"/>
        <v>153639.53600000002</v>
      </c>
      <c r="Q611" s="65">
        <f t="shared" si="80"/>
        <v>158817.27799999999</v>
      </c>
    </row>
    <row r="612" spans="1:133" ht="62.4" x14ac:dyDescent="0.25">
      <c r="A612" s="35" t="s">
        <v>28</v>
      </c>
      <c r="B612" s="60" t="s">
        <v>199</v>
      </c>
      <c r="C612" s="35" t="s">
        <v>29</v>
      </c>
      <c r="D612" s="35" t="s">
        <v>332</v>
      </c>
      <c r="E612" s="125">
        <f>AVERAGE(F612:Q612)</f>
        <v>318.18006975159057</v>
      </c>
      <c r="F612" s="125">
        <v>325.77526881720433</v>
      </c>
      <c r="G612" s="125">
        <v>325.51101190476186</v>
      </c>
      <c r="H612" s="125">
        <v>325.75161290322586</v>
      </c>
      <c r="I612" s="125">
        <v>325.53534482758624</v>
      </c>
      <c r="J612" s="125">
        <v>325.54139784946227</v>
      </c>
      <c r="K612" s="125">
        <v>295.87888888888887</v>
      </c>
      <c r="L612" s="125">
        <v>295.91021505376341</v>
      </c>
      <c r="M612" s="125">
        <v>295.85752688172039</v>
      </c>
      <c r="N612" s="125">
        <v>325.55694444444447</v>
      </c>
      <c r="O612" s="125">
        <v>325.7763440860216</v>
      </c>
      <c r="P612" s="125">
        <v>325.59638888888884</v>
      </c>
      <c r="Q612" s="125">
        <v>325.46989247311831</v>
      </c>
    </row>
    <row r="613" spans="1:133" ht="62.4" x14ac:dyDescent="0.25">
      <c r="A613" s="35" t="s">
        <v>30</v>
      </c>
      <c r="B613" s="60" t="s">
        <v>199</v>
      </c>
      <c r="C613" s="35" t="s">
        <v>31</v>
      </c>
      <c r="D613" s="35" t="s">
        <v>331</v>
      </c>
      <c r="E613" s="125">
        <f>AVERAGE(F613:Q613)</f>
        <v>15.364126447081119</v>
      </c>
      <c r="F613" s="125">
        <v>15.431720430107529</v>
      </c>
      <c r="G613" s="125">
        <v>15.704166666666662</v>
      </c>
      <c r="H613" s="125">
        <v>15.425537634408602</v>
      </c>
      <c r="I613" s="125">
        <v>15.575574712643679</v>
      </c>
      <c r="J613" s="125">
        <v>15.526344086021506</v>
      </c>
      <c r="K613" s="125">
        <v>15.454722222222227</v>
      </c>
      <c r="L613" s="125">
        <v>14.877419354838711</v>
      </c>
      <c r="M613" s="125">
        <v>15.18467741935484</v>
      </c>
      <c r="N613" s="125">
        <v>15.035277777777775</v>
      </c>
      <c r="O613" s="125">
        <v>15.288172043010755</v>
      </c>
      <c r="P613" s="125">
        <v>15.559722222222224</v>
      </c>
      <c r="Q613" s="125">
        <v>15.306182795698929</v>
      </c>
    </row>
    <row r="614" spans="1:133" ht="62.4" x14ac:dyDescent="0.25">
      <c r="A614" s="35" t="s">
        <v>32</v>
      </c>
      <c r="B614" s="60" t="s">
        <v>200</v>
      </c>
      <c r="C614" s="35" t="s">
        <v>34</v>
      </c>
      <c r="D614" s="35" t="s">
        <v>338</v>
      </c>
      <c r="E614" s="122">
        <f>E612/1000000</f>
        <v>3.1818006975159056E-4</v>
      </c>
      <c r="F614" s="120">
        <f>F612/1000000</f>
        <v>3.2577526881720433E-4</v>
      </c>
      <c r="G614" s="120">
        <f t="shared" ref="G614:Q615" si="81">G612/1000000</f>
        <v>3.2551101190476185E-4</v>
      </c>
      <c r="H614" s="120">
        <f t="shared" si="81"/>
        <v>3.2575161290322588E-4</v>
      </c>
      <c r="I614" s="120">
        <f t="shared" si="81"/>
        <v>3.2553534482758625E-4</v>
      </c>
      <c r="J614" s="120">
        <f t="shared" si="81"/>
        <v>3.255413978494623E-4</v>
      </c>
      <c r="K614" s="120">
        <f t="shared" si="81"/>
        <v>2.9587888888888889E-4</v>
      </c>
      <c r="L614" s="120">
        <f t="shared" si="81"/>
        <v>2.959102150537634E-4</v>
      </c>
      <c r="M614" s="120">
        <f t="shared" si="81"/>
        <v>2.9585752688172039E-4</v>
      </c>
      <c r="N614" s="120">
        <f t="shared" si="81"/>
        <v>3.2555694444444448E-4</v>
      </c>
      <c r="O614" s="120">
        <f t="shared" si="81"/>
        <v>3.2577634408602162E-4</v>
      </c>
      <c r="P614" s="120">
        <f t="shared" si="81"/>
        <v>3.2559638888888886E-4</v>
      </c>
      <c r="Q614" s="120">
        <f t="shared" si="81"/>
        <v>3.254698924731183E-4</v>
      </c>
    </row>
    <row r="615" spans="1:133" ht="62.4" x14ac:dyDescent="0.25">
      <c r="A615" s="35" t="s">
        <v>30</v>
      </c>
      <c r="B615" s="60" t="s">
        <v>33</v>
      </c>
      <c r="C615" s="35" t="s">
        <v>35</v>
      </c>
      <c r="D615" s="35" t="s">
        <v>339</v>
      </c>
      <c r="E615" s="122">
        <f>E613/1000000</f>
        <v>1.5364126447081119E-5</v>
      </c>
      <c r="F615" s="120">
        <f>F613/1000000</f>
        <v>1.543172043010753E-5</v>
      </c>
      <c r="G615" s="120">
        <f t="shared" si="81"/>
        <v>1.5704166666666661E-5</v>
      </c>
      <c r="H615" s="120">
        <f t="shared" si="81"/>
        <v>1.5425537634408603E-5</v>
      </c>
      <c r="I615" s="120">
        <f t="shared" si="81"/>
        <v>1.5575574712643678E-5</v>
      </c>
      <c r="J615" s="120">
        <f t="shared" si="81"/>
        <v>1.5526344086021506E-5</v>
      </c>
      <c r="K615" s="120">
        <f t="shared" si="81"/>
        <v>1.5454722222222228E-5</v>
      </c>
      <c r="L615" s="120">
        <f t="shared" si="81"/>
        <v>1.4877419354838711E-5</v>
      </c>
      <c r="M615" s="120">
        <f t="shared" si="81"/>
        <v>1.5184677419354839E-5</v>
      </c>
      <c r="N615" s="120">
        <f t="shared" si="81"/>
        <v>1.5035277777777775E-5</v>
      </c>
      <c r="O615" s="120">
        <f t="shared" si="81"/>
        <v>1.5288172043010755E-5</v>
      </c>
      <c r="P615" s="120">
        <f t="shared" si="81"/>
        <v>1.5559722222222224E-5</v>
      </c>
      <c r="Q615" s="120">
        <f t="shared" si="81"/>
        <v>1.5306182795698929E-5</v>
      </c>
    </row>
    <row r="616" spans="1:133" ht="46.8" x14ac:dyDescent="0.25">
      <c r="A616" s="63" t="s">
        <v>36</v>
      </c>
      <c r="B616" s="25" t="s">
        <v>201</v>
      </c>
      <c r="C616" s="35" t="s">
        <v>38</v>
      </c>
      <c r="D616" s="35" t="s">
        <v>368</v>
      </c>
      <c r="E616" s="68">
        <f>(1-(E617/E618))</f>
        <v>0.94886255373821649</v>
      </c>
      <c r="F616" s="68">
        <f>E616</f>
        <v>0.94886255373821649</v>
      </c>
      <c r="G616" s="68">
        <f>E616</f>
        <v>0.94886255373821649</v>
      </c>
      <c r="H616" s="68">
        <f>E616</f>
        <v>0.94886255373821649</v>
      </c>
      <c r="I616" s="68">
        <f>E616</f>
        <v>0.94886255373821649</v>
      </c>
      <c r="J616" s="68">
        <f>E616</f>
        <v>0.94886255373821649</v>
      </c>
      <c r="K616" s="68">
        <f>E616</f>
        <v>0.94886255373821649</v>
      </c>
      <c r="L616" s="68">
        <f>E616</f>
        <v>0.94886255373821649</v>
      </c>
      <c r="M616" s="68">
        <f>E616</f>
        <v>0.94886255373821649</v>
      </c>
      <c r="N616" s="68">
        <f>E616</f>
        <v>0.94886255373821649</v>
      </c>
      <c r="O616" s="68">
        <f>E616</f>
        <v>0.94886255373821649</v>
      </c>
      <c r="P616" s="68">
        <f>E616</f>
        <v>0.94886255373821649</v>
      </c>
      <c r="Q616" s="68">
        <f>E616</f>
        <v>0.94886255373821649</v>
      </c>
    </row>
    <row r="617" spans="1:133" ht="31.2" x14ac:dyDescent="0.25">
      <c r="A617" s="35" t="s">
        <v>39</v>
      </c>
      <c r="B617" s="25" t="s">
        <v>196</v>
      </c>
      <c r="C617" s="35" t="s">
        <v>40</v>
      </c>
      <c r="D617" s="35" t="s">
        <v>351</v>
      </c>
      <c r="E617" s="52">
        <f>SUM(F617:Q617)</f>
        <v>30.794409790000007</v>
      </c>
      <c r="F617" s="52">
        <v>2.6154156260000003</v>
      </c>
      <c r="G617" s="52">
        <v>2.3623108879999997</v>
      </c>
      <c r="H617" s="52">
        <v>2.6154156260000003</v>
      </c>
      <c r="I617" s="52">
        <v>2.53104738</v>
      </c>
      <c r="J617" s="52">
        <v>2.6154156260000003</v>
      </c>
      <c r="K617" s="52">
        <v>2.53104738</v>
      </c>
      <c r="L617" s="52">
        <v>2.6154156260000003</v>
      </c>
      <c r="M617" s="52">
        <v>2.6154156260000003</v>
      </c>
      <c r="N617" s="52">
        <v>2.53104738</v>
      </c>
      <c r="O617" s="52">
        <v>2.6154156260000003</v>
      </c>
      <c r="P617" s="52">
        <v>2.53104738</v>
      </c>
      <c r="Q617" s="52">
        <v>2.6154156260000003</v>
      </c>
    </row>
    <row r="618" spans="1:133" ht="31.2" x14ac:dyDescent="0.25">
      <c r="A618" s="63" t="s">
        <v>41</v>
      </c>
      <c r="B618" s="25" t="s">
        <v>24</v>
      </c>
      <c r="C618" s="35" t="s">
        <v>42</v>
      </c>
      <c r="D618" s="35" t="s">
        <v>351</v>
      </c>
      <c r="E618" s="52">
        <f>SUM(F618:Q618)</f>
        <v>602.18904229899999</v>
      </c>
      <c r="F618" s="52">
        <v>51.144822770600001</v>
      </c>
      <c r="G618" s="52">
        <v>46.195323792799996</v>
      </c>
      <c r="H618" s="52">
        <v>51.144822770600001</v>
      </c>
      <c r="I618" s="52">
        <v>49.494989777999997</v>
      </c>
      <c r="J618" s="52">
        <v>51.144822770600001</v>
      </c>
      <c r="K618" s="52">
        <v>49.494989777999997</v>
      </c>
      <c r="L618" s="52">
        <v>51.144822770600001</v>
      </c>
      <c r="M618" s="52">
        <v>51.144822770600001</v>
      </c>
      <c r="N618" s="52">
        <v>49.494989777999997</v>
      </c>
      <c r="O618" s="52">
        <v>51.144822770600001</v>
      </c>
      <c r="P618" s="52">
        <v>49.494989777999997</v>
      </c>
      <c r="Q618" s="52">
        <v>51.144822770600001</v>
      </c>
    </row>
    <row r="619" spans="1:133" ht="31.2" x14ac:dyDescent="0.25">
      <c r="A619" s="53" t="s">
        <v>43</v>
      </c>
      <c r="B619" s="25" t="s">
        <v>201</v>
      </c>
      <c r="C619" s="53" t="s">
        <v>44</v>
      </c>
      <c r="D619" s="35" t="s">
        <v>372</v>
      </c>
      <c r="E619" s="192">
        <f>E620*E621*0.89</f>
        <v>0.58470946967368165</v>
      </c>
      <c r="F619" s="193"/>
      <c r="G619" s="193"/>
      <c r="H619" s="193"/>
      <c r="I619" s="193"/>
      <c r="J619" s="193"/>
      <c r="K619" s="193"/>
      <c r="L619" s="193"/>
      <c r="M619" s="193"/>
      <c r="N619" s="193"/>
      <c r="O619" s="193"/>
      <c r="P619" s="193"/>
      <c r="Q619" s="194"/>
    </row>
    <row r="620" spans="1:133" ht="31.2" x14ac:dyDescent="0.25">
      <c r="A620" s="70" t="s">
        <v>45</v>
      </c>
      <c r="B620" s="25" t="s">
        <v>201</v>
      </c>
      <c r="C620" s="53" t="s">
        <v>46</v>
      </c>
      <c r="D620" s="35" t="s">
        <v>373</v>
      </c>
      <c r="E620" s="162">
        <v>0.7</v>
      </c>
      <c r="F620" s="163"/>
      <c r="G620" s="163"/>
      <c r="H620" s="163"/>
      <c r="I620" s="163"/>
      <c r="J620" s="163"/>
      <c r="K620" s="163"/>
      <c r="L620" s="163"/>
      <c r="M620" s="163"/>
      <c r="N620" s="163"/>
      <c r="O620" s="163"/>
      <c r="P620" s="163"/>
      <c r="Q620" s="164"/>
    </row>
    <row r="621" spans="1:133" ht="36" customHeight="1" x14ac:dyDescent="0.25">
      <c r="A621" s="70" t="s">
        <v>47</v>
      </c>
      <c r="B621" s="25" t="s">
        <v>37</v>
      </c>
      <c r="C621" s="53" t="s">
        <v>48</v>
      </c>
      <c r="D621" s="35" t="s">
        <v>374</v>
      </c>
      <c r="E621" s="159">
        <f>(F622*F627+G622*G627+H622*H627+I622*I627+J622*J627+K622*K627+L622*L627+M622*M627+N622*N627+O622*O627+P622*P627+Q622*Q627)/(F616*F611*F614+G616*G614*G611+H616*H611*H614+I616*I614*I611+J616*J614*J611+K616*K614*K611+L616*L614*L611+M616*M614*M611+N616*N614*N611+O616*O611*O614+P616*P614*P611+Q616*Q614*Q611)</f>
        <v>0.93853847459659978</v>
      </c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1"/>
    </row>
    <row r="622" spans="1:133" s="9" customFormat="1" ht="46.8" x14ac:dyDescent="0.4">
      <c r="A622" s="71" t="s">
        <v>49</v>
      </c>
      <c r="B622" s="25" t="s">
        <v>37</v>
      </c>
      <c r="C622" s="53" t="s">
        <v>50</v>
      </c>
      <c r="D622" s="53" t="s">
        <v>375</v>
      </c>
      <c r="E622" s="72">
        <f>AVERAGE(F622:Q622)</f>
        <v>0.60592893399371917</v>
      </c>
      <c r="F622" s="72">
        <f>IF(F626&lt;283,0,IF(F626&gt;303,1,EXP(($E$623*(F626-$E$624))/($E$625*$E$624*F626))))</f>
        <v>0.21347704492026076</v>
      </c>
      <c r="G622" s="72">
        <f t="shared" ref="G622:Q622" si="82">IF(G626&lt;283,0,IF(G626&gt;303,1,EXP(($E$623*(G626-$E$624))/($E$625*$E$624*G626))))</f>
        <v>0.37002059672690846</v>
      </c>
      <c r="H622" s="72">
        <f t="shared" si="82"/>
        <v>0.40465607403307924</v>
      </c>
      <c r="I622" s="72">
        <f t="shared" si="82"/>
        <v>0.52733825786216582</v>
      </c>
      <c r="J622" s="72">
        <f t="shared" si="82"/>
        <v>0.77675425208684001</v>
      </c>
      <c r="K622" s="72">
        <f t="shared" si="82"/>
        <v>0.88152221926734242</v>
      </c>
      <c r="L622" s="72">
        <f t="shared" si="82"/>
        <v>1</v>
      </c>
      <c r="M622" s="72">
        <f t="shared" si="82"/>
        <v>0.95843738031531212</v>
      </c>
      <c r="N622" s="72">
        <f t="shared" si="82"/>
        <v>1</v>
      </c>
      <c r="O622" s="72">
        <f t="shared" si="82"/>
        <v>0.55084569341606926</v>
      </c>
      <c r="P622" s="72">
        <f t="shared" si="82"/>
        <v>0.35374940126825682</v>
      </c>
      <c r="Q622" s="72">
        <f t="shared" si="82"/>
        <v>0.23434628802839541</v>
      </c>
      <c r="R622" s="78"/>
      <c r="S622" s="78"/>
      <c r="T622" s="78"/>
      <c r="U622" s="78"/>
      <c r="V622" s="78"/>
      <c r="W622" s="78"/>
      <c r="X622" s="78"/>
      <c r="Y622" s="78"/>
      <c r="Z622" s="78"/>
      <c r="AA622" s="78"/>
      <c r="AB622" s="78"/>
      <c r="AC622" s="78"/>
      <c r="AD622" s="78"/>
      <c r="AE622" s="78"/>
      <c r="AF622" s="78"/>
      <c r="AG622" s="78"/>
      <c r="AH622" s="78"/>
      <c r="AI622" s="78"/>
      <c r="AJ622" s="78"/>
      <c r="AK622" s="78"/>
      <c r="AL622" s="78"/>
      <c r="AM622" s="78"/>
      <c r="AN622" s="78"/>
      <c r="AO622" s="78"/>
      <c r="AP622" s="78"/>
      <c r="AQ622" s="78"/>
      <c r="AR622" s="78"/>
      <c r="AS622" s="78"/>
      <c r="AT622" s="78"/>
      <c r="AU622" s="78"/>
      <c r="AV622" s="78"/>
      <c r="AW622" s="78"/>
      <c r="AX622" s="78"/>
      <c r="AY622" s="78"/>
      <c r="AZ622" s="78"/>
      <c r="BA622" s="78"/>
      <c r="BB622" s="78"/>
      <c r="BC622" s="78"/>
      <c r="BD622" s="78"/>
      <c r="BE622" s="78"/>
      <c r="BF622" s="78"/>
      <c r="BG622" s="78"/>
      <c r="BH622" s="78"/>
      <c r="BI622" s="78"/>
      <c r="BJ622" s="78"/>
      <c r="BK622" s="78"/>
      <c r="BL622" s="78"/>
      <c r="BM622" s="78"/>
      <c r="BN622" s="78"/>
      <c r="BO622" s="78"/>
      <c r="BP622" s="78"/>
      <c r="BQ622" s="78"/>
      <c r="BR622" s="78"/>
      <c r="BS622" s="78"/>
      <c r="BT622" s="78"/>
      <c r="BU622" s="78"/>
      <c r="BV622" s="78"/>
      <c r="BW622" s="78"/>
      <c r="BX622" s="78"/>
      <c r="BY622" s="78"/>
      <c r="BZ622" s="78"/>
      <c r="CA622" s="78"/>
      <c r="CB622" s="78"/>
      <c r="CC622" s="78"/>
      <c r="CD622" s="78"/>
      <c r="CE622" s="78"/>
      <c r="CF622" s="78"/>
      <c r="CG622" s="78"/>
      <c r="CH622" s="78"/>
      <c r="CI622" s="78"/>
      <c r="CJ622" s="78"/>
      <c r="CK622" s="78"/>
      <c r="CL622" s="78"/>
      <c r="CM622" s="78"/>
      <c r="CN622" s="78"/>
      <c r="CO622" s="78"/>
      <c r="CP622" s="78"/>
      <c r="CQ622" s="78"/>
      <c r="CR622" s="78"/>
      <c r="CS622" s="78"/>
      <c r="CT622" s="78"/>
      <c r="CU622" s="78"/>
      <c r="CV622" s="78"/>
      <c r="CW622" s="78"/>
      <c r="CX622" s="78"/>
      <c r="CY622" s="78"/>
      <c r="CZ622" s="78"/>
      <c r="DA622" s="78"/>
      <c r="DB622" s="78"/>
      <c r="DC622" s="78"/>
      <c r="DD622" s="78"/>
      <c r="DE622" s="78"/>
      <c r="DF622" s="78"/>
      <c r="DG622" s="78"/>
      <c r="DH622" s="78"/>
      <c r="DI622" s="78"/>
      <c r="DJ622" s="78"/>
      <c r="DK622" s="78"/>
      <c r="DL622" s="78"/>
      <c r="DM622" s="78"/>
      <c r="DN622" s="78"/>
      <c r="DO622" s="78"/>
      <c r="DP622" s="78"/>
      <c r="DQ622" s="78"/>
      <c r="DR622" s="78"/>
      <c r="DS622" s="78"/>
      <c r="DT622" s="78"/>
      <c r="DU622" s="78"/>
      <c r="DV622" s="78"/>
      <c r="DW622" s="78"/>
      <c r="DX622" s="78"/>
      <c r="DY622" s="78"/>
      <c r="DZ622" s="78"/>
      <c r="EA622" s="78"/>
      <c r="EB622" s="78"/>
      <c r="EC622" s="78"/>
    </row>
    <row r="623" spans="1:133" s="9" customFormat="1" x14ac:dyDescent="0.25">
      <c r="A623" s="73" t="s">
        <v>51</v>
      </c>
      <c r="B623" s="60" t="s">
        <v>202</v>
      </c>
      <c r="C623" s="53" t="s">
        <v>53</v>
      </c>
      <c r="D623" s="53" t="s">
        <v>376</v>
      </c>
      <c r="E623" s="162">
        <v>15175</v>
      </c>
      <c r="F623" s="163"/>
      <c r="G623" s="163"/>
      <c r="H623" s="163"/>
      <c r="I623" s="163"/>
      <c r="J623" s="163"/>
      <c r="K623" s="163"/>
      <c r="L623" s="163"/>
      <c r="M623" s="163"/>
      <c r="N623" s="163"/>
      <c r="O623" s="163"/>
      <c r="P623" s="163"/>
      <c r="Q623" s="164"/>
      <c r="R623" s="78"/>
      <c r="S623" s="78"/>
      <c r="T623" s="78"/>
      <c r="U623" s="78"/>
      <c r="V623" s="78"/>
      <c r="W623" s="78"/>
      <c r="X623" s="78"/>
      <c r="Y623" s="78"/>
      <c r="Z623" s="78"/>
      <c r="AA623" s="78"/>
      <c r="AB623" s="78"/>
      <c r="AC623" s="78"/>
      <c r="AD623" s="78"/>
      <c r="AE623" s="78"/>
      <c r="AF623" s="78"/>
      <c r="AG623" s="78"/>
      <c r="AH623" s="78"/>
      <c r="AI623" s="78"/>
      <c r="AJ623" s="78"/>
      <c r="AK623" s="78"/>
      <c r="AL623" s="78"/>
      <c r="AM623" s="78"/>
      <c r="AN623" s="78"/>
      <c r="AO623" s="78"/>
      <c r="AP623" s="78"/>
      <c r="AQ623" s="78"/>
      <c r="AR623" s="78"/>
      <c r="AS623" s="78"/>
      <c r="AT623" s="78"/>
      <c r="AU623" s="78"/>
      <c r="AV623" s="78"/>
      <c r="AW623" s="78"/>
      <c r="AX623" s="78"/>
      <c r="AY623" s="78"/>
      <c r="AZ623" s="78"/>
      <c r="BA623" s="78"/>
      <c r="BB623" s="78"/>
      <c r="BC623" s="78"/>
      <c r="BD623" s="78"/>
      <c r="BE623" s="78"/>
      <c r="BF623" s="78"/>
      <c r="BG623" s="78"/>
      <c r="BH623" s="78"/>
      <c r="BI623" s="78"/>
      <c r="BJ623" s="78"/>
      <c r="BK623" s="78"/>
      <c r="BL623" s="78"/>
      <c r="BM623" s="78"/>
      <c r="BN623" s="78"/>
      <c r="BO623" s="78"/>
      <c r="BP623" s="78"/>
      <c r="BQ623" s="78"/>
      <c r="BR623" s="78"/>
      <c r="BS623" s="78"/>
      <c r="BT623" s="78"/>
      <c r="BU623" s="78"/>
      <c r="BV623" s="78"/>
      <c r="BW623" s="78"/>
      <c r="BX623" s="78"/>
      <c r="BY623" s="78"/>
      <c r="BZ623" s="78"/>
      <c r="CA623" s="78"/>
      <c r="CB623" s="78"/>
      <c r="CC623" s="78"/>
      <c r="CD623" s="78"/>
      <c r="CE623" s="78"/>
      <c r="CF623" s="78"/>
      <c r="CG623" s="78"/>
      <c r="CH623" s="78"/>
      <c r="CI623" s="78"/>
      <c r="CJ623" s="78"/>
      <c r="CK623" s="78"/>
      <c r="CL623" s="78"/>
      <c r="CM623" s="78"/>
      <c r="CN623" s="78"/>
      <c r="CO623" s="78"/>
      <c r="CP623" s="78"/>
      <c r="CQ623" s="78"/>
      <c r="CR623" s="78"/>
      <c r="CS623" s="78"/>
      <c r="CT623" s="78"/>
      <c r="CU623" s="78"/>
      <c r="CV623" s="78"/>
      <c r="CW623" s="78"/>
      <c r="CX623" s="78"/>
      <c r="CY623" s="78"/>
      <c r="CZ623" s="78"/>
      <c r="DA623" s="78"/>
      <c r="DB623" s="78"/>
      <c r="DC623" s="78"/>
      <c r="DD623" s="78"/>
      <c r="DE623" s="78"/>
      <c r="DF623" s="78"/>
      <c r="DG623" s="78"/>
      <c r="DH623" s="78"/>
      <c r="DI623" s="78"/>
      <c r="DJ623" s="78"/>
      <c r="DK623" s="78"/>
      <c r="DL623" s="78"/>
      <c r="DM623" s="78"/>
      <c r="DN623" s="78"/>
      <c r="DO623" s="78"/>
      <c r="DP623" s="78"/>
      <c r="DQ623" s="78"/>
      <c r="DR623" s="78"/>
      <c r="DS623" s="78"/>
      <c r="DT623" s="78"/>
      <c r="DU623" s="78"/>
      <c r="DV623" s="78"/>
      <c r="DW623" s="78"/>
      <c r="DX623" s="78"/>
      <c r="DY623" s="78"/>
      <c r="DZ623" s="78"/>
      <c r="EA623" s="78"/>
      <c r="EB623" s="78"/>
      <c r="EC623" s="78"/>
    </row>
    <row r="624" spans="1:133" s="9" customFormat="1" ht="18" x14ac:dyDescent="0.25">
      <c r="A624" s="73" t="s">
        <v>54</v>
      </c>
      <c r="B624" s="60" t="s">
        <v>203</v>
      </c>
      <c r="C624" s="53" t="s">
        <v>56</v>
      </c>
      <c r="D624" s="53" t="s">
        <v>376</v>
      </c>
      <c r="E624" s="162">
        <v>303.16000000000003</v>
      </c>
      <c r="F624" s="163"/>
      <c r="G624" s="163"/>
      <c r="H624" s="163"/>
      <c r="I624" s="163"/>
      <c r="J624" s="163"/>
      <c r="K624" s="163"/>
      <c r="L624" s="163"/>
      <c r="M624" s="163"/>
      <c r="N624" s="163"/>
      <c r="O624" s="163"/>
      <c r="P624" s="163"/>
      <c r="Q624" s="164"/>
      <c r="R624" s="78"/>
      <c r="S624" s="78"/>
      <c r="T624" s="78"/>
      <c r="U624" s="78"/>
      <c r="V624" s="78"/>
      <c r="W624" s="78"/>
      <c r="X624" s="78"/>
      <c r="Y624" s="78"/>
      <c r="Z624" s="78"/>
      <c r="AA624" s="78"/>
      <c r="AB624" s="78"/>
      <c r="AC624" s="78"/>
      <c r="AD624" s="78"/>
      <c r="AE624" s="78"/>
      <c r="AF624" s="78"/>
      <c r="AG624" s="78"/>
      <c r="AH624" s="78"/>
      <c r="AI624" s="78"/>
      <c r="AJ624" s="78"/>
      <c r="AK624" s="78"/>
      <c r="AL624" s="78"/>
      <c r="AM624" s="78"/>
      <c r="AN624" s="78"/>
      <c r="AO624" s="78"/>
      <c r="AP624" s="78"/>
      <c r="AQ624" s="78"/>
      <c r="AR624" s="78"/>
      <c r="AS624" s="78"/>
      <c r="AT624" s="78"/>
      <c r="AU624" s="78"/>
      <c r="AV624" s="78"/>
      <c r="AW624" s="78"/>
      <c r="AX624" s="78"/>
      <c r="AY624" s="78"/>
      <c r="AZ624" s="78"/>
      <c r="BA624" s="78"/>
      <c r="BB624" s="78"/>
      <c r="BC624" s="78"/>
      <c r="BD624" s="78"/>
      <c r="BE624" s="78"/>
      <c r="BF624" s="78"/>
      <c r="BG624" s="78"/>
      <c r="BH624" s="78"/>
      <c r="BI624" s="78"/>
      <c r="BJ624" s="78"/>
      <c r="BK624" s="78"/>
      <c r="BL624" s="78"/>
      <c r="BM624" s="78"/>
      <c r="BN624" s="78"/>
      <c r="BO624" s="78"/>
      <c r="BP624" s="78"/>
      <c r="BQ624" s="78"/>
      <c r="BR624" s="78"/>
      <c r="BS624" s="78"/>
      <c r="BT624" s="78"/>
      <c r="BU624" s="78"/>
      <c r="BV624" s="78"/>
      <c r="BW624" s="78"/>
      <c r="BX624" s="78"/>
      <c r="BY624" s="78"/>
      <c r="BZ624" s="78"/>
      <c r="CA624" s="78"/>
      <c r="CB624" s="78"/>
      <c r="CC624" s="78"/>
      <c r="CD624" s="78"/>
      <c r="CE624" s="78"/>
      <c r="CF624" s="78"/>
      <c r="CG624" s="78"/>
      <c r="CH624" s="78"/>
      <c r="CI624" s="78"/>
      <c r="CJ624" s="78"/>
      <c r="CK624" s="78"/>
      <c r="CL624" s="78"/>
      <c r="CM624" s="78"/>
      <c r="CN624" s="78"/>
      <c r="CO624" s="78"/>
      <c r="CP624" s="78"/>
      <c r="CQ624" s="78"/>
      <c r="CR624" s="78"/>
      <c r="CS624" s="78"/>
      <c r="CT624" s="78"/>
      <c r="CU624" s="78"/>
      <c r="CV624" s="78"/>
      <c r="CW624" s="78"/>
      <c r="CX624" s="78"/>
      <c r="CY624" s="78"/>
      <c r="CZ624" s="78"/>
      <c r="DA624" s="78"/>
      <c r="DB624" s="78"/>
      <c r="DC624" s="78"/>
      <c r="DD624" s="78"/>
      <c r="DE624" s="78"/>
      <c r="DF624" s="78"/>
      <c r="DG624" s="78"/>
      <c r="DH624" s="78"/>
      <c r="DI624" s="78"/>
      <c r="DJ624" s="78"/>
      <c r="DK624" s="78"/>
      <c r="DL624" s="78"/>
      <c r="DM624" s="78"/>
      <c r="DN624" s="78"/>
      <c r="DO624" s="78"/>
      <c r="DP624" s="78"/>
      <c r="DQ624" s="78"/>
      <c r="DR624" s="78"/>
      <c r="DS624" s="78"/>
      <c r="DT624" s="78"/>
      <c r="DU624" s="78"/>
      <c r="DV624" s="78"/>
      <c r="DW624" s="78"/>
      <c r="DX624" s="78"/>
      <c r="DY624" s="78"/>
      <c r="DZ624" s="78"/>
      <c r="EA624" s="78"/>
      <c r="EB624" s="78"/>
      <c r="EC624" s="78"/>
    </row>
    <row r="625" spans="1:133" s="9" customFormat="1" x14ac:dyDescent="0.25">
      <c r="A625" s="73" t="s">
        <v>57</v>
      </c>
      <c r="B625" s="60" t="s">
        <v>204</v>
      </c>
      <c r="C625" s="53" t="s">
        <v>59</v>
      </c>
      <c r="D625" s="53" t="s">
        <v>376</v>
      </c>
      <c r="E625" s="162">
        <v>1.9870000000000001</v>
      </c>
      <c r="F625" s="163"/>
      <c r="G625" s="163"/>
      <c r="H625" s="163"/>
      <c r="I625" s="163"/>
      <c r="J625" s="163"/>
      <c r="K625" s="163"/>
      <c r="L625" s="163"/>
      <c r="M625" s="163"/>
      <c r="N625" s="163"/>
      <c r="O625" s="163"/>
      <c r="P625" s="163"/>
      <c r="Q625" s="164"/>
      <c r="R625" s="78"/>
      <c r="S625" s="78"/>
      <c r="T625" s="78"/>
      <c r="U625" s="78"/>
      <c r="V625" s="78"/>
      <c r="W625" s="78"/>
      <c r="X625" s="78"/>
      <c r="Y625" s="78"/>
      <c r="Z625" s="78"/>
      <c r="AA625" s="78"/>
      <c r="AB625" s="78"/>
      <c r="AC625" s="78"/>
      <c r="AD625" s="78"/>
      <c r="AE625" s="78"/>
      <c r="AF625" s="78"/>
      <c r="AG625" s="78"/>
      <c r="AH625" s="78"/>
      <c r="AI625" s="78"/>
      <c r="AJ625" s="78"/>
      <c r="AK625" s="78"/>
      <c r="AL625" s="78"/>
      <c r="AM625" s="78"/>
      <c r="AN625" s="78"/>
      <c r="AO625" s="78"/>
      <c r="AP625" s="78"/>
      <c r="AQ625" s="78"/>
      <c r="AR625" s="78"/>
      <c r="AS625" s="78"/>
      <c r="AT625" s="78"/>
      <c r="AU625" s="78"/>
      <c r="AV625" s="78"/>
      <c r="AW625" s="78"/>
      <c r="AX625" s="78"/>
      <c r="AY625" s="78"/>
      <c r="AZ625" s="78"/>
      <c r="BA625" s="78"/>
      <c r="BB625" s="78"/>
      <c r="BC625" s="78"/>
      <c r="BD625" s="78"/>
      <c r="BE625" s="78"/>
      <c r="BF625" s="78"/>
      <c r="BG625" s="78"/>
      <c r="BH625" s="78"/>
      <c r="BI625" s="78"/>
      <c r="BJ625" s="78"/>
      <c r="BK625" s="78"/>
      <c r="BL625" s="78"/>
      <c r="BM625" s="78"/>
      <c r="BN625" s="78"/>
      <c r="BO625" s="78"/>
      <c r="BP625" s="78"/>
      <c r="BQ625" s="78"/>
      <c r="BR625" s="78"/>
      <c r="BS625" s="78"/>
      <c r="BT625" s="78"/>
      <c r="BU625" s="78"/>
      <c r="BV625" s="78"/>
      <c r="BW625" s="78"/>
      <c r="BX625" s="78"/>
      <c r="BY625" s="78"/>
      <c r="BZ625" s="78"/>
      <c r="CA625" s="78"/>
      <c r="CB625" s="78"/>
      <c r="CC625" s="78"/>
      <c r="CD625" s="78"/>
      <c r="CE625" s="78"/>
      <c r="CF625" s="78"/>
      <c r="CG625" s="78"/>
      <c r="CH625" s="78"/>
      <c r="CI625" s="78"/>
      <c r="CJ625" s="78"/>
      <c r="CK625" s="78"/>
      <c r="CL625" s="78"/>
      <c r="CM625" s="78"/>
      <c r="CN625" s="78"/>
      <c r="CO625" s="78"/>
      <c r="CP625" s="78"/>
      <c r="CQ625" s="78"/>
      <c r="CR625" s="78"/>
      <c r="CS625" s="78"/>
      <c r="CT625" s="78"/>
      <c r="CU625" s="78"/>
      <c r="CV625" s="78"/>
      <c r="CW625" s="78"/>
      <c r="CX625" s="78"/>
      <c r="CY625" s="78"/>
      <c r="CZ625" s="78"/>
      <c r="DA625" s="78"/>
      <c r="DB625" s="78"/>
      <c r="DC625" s="78"/>
      <c r="DD625" s="78"/>
      <c r="DE625" s="78"/>
      <c r="DF625" s="78"/>
      <c r="DG625" s="78"/>
      <c r="DH625" s="78"/>
      <c r="DI625" s="78"/>
      <c r="DJ625" s="78"/>
      <c r="DK625" s="78"/>
      <c r="DL625" s="78"/>
      <c r="DM625" s="78"/>
      <c r="DN625" s="78"/>
      <c r="DO625" s="78"/>
      <c r="DP625" s="78"/>
      <c r="DQ625" s="78"/>
      <c r="DR625" s="78"/>
      <c r="DS625" s="78"/>
      <c r="DT625" s="78"/>
      <c r="DU625" s="78"/>
      <c r="DV625" s="78"/>
      <c r="DW625" s="78"/>
      <c r="DX625" s="78"/>
      <c r="DY625" s="78"/>
      <c r="DZ625" s="78"/>
      <c r="EA625" s="78"/>
      <c r="EB625" s="78"/>
      <c r="EC625" s="78"/>
    </row>
    <row r="626" spans="1:133" s="9" customFormat="1" ht="31.2" x14ac:dyDescent="0.25">
      <c r="A626" s="73" t="s">
        <v>60</v>
      </c>
      <c r="B626" s="60" t="s">
        <v>203</v>
      </c>
      <c r="C626" s="53" t="s">
        <v>61</v>
      </c>
      <c r="D626" s="143" t="s">
        <v>363</v>
      </c>
      <c r="E626" s="98">
        <f>AVERAGE(F626:Q626)</f>
        <v>295.85833333333341</v>
      </c>
      <c r="F626" s="60">
        <v>285.64999999999998</v>
      </c>
      <c r="G626" s="60">
        <v>291.64999999999998</v>
      </c>
      <c r="H626" s="60">
        <v>292.64999999999998</v>
      </c>
      <c r="I626" s="60">
        <v>295.64999999999998</v>
      </c>
      <c r="J626" s="60">
        <v>300.14999999999998</v>
      </c>
      <c r="K626" s="60">
        <v>301.64999999999998</v>
      </c>
      <c r="L626" s="60">
        <v>303.14999999999998</v>
      </c>
      <c r="M626" s="60">
        <v>302.64999999999998</v>
      </c>
      <c r="N626" s="60">
        <v>303.14999999999998</v>
      </c>
      <c r="O626" s="60">
        <v>296.14999999999998</v>
      </c>
      <c r="P626" s="60">
        <v>291.14999999999998</v>
      </c>
      <c r="Q626" s="60">
        <v>286.64999999999998</v>
      </c>
      <c r="R626" s="78"/>
      <c r="S626" s="78"/>
      <c r="T626" s="78"/>
      <c r="U626" s="78"/>
      <c r="V626" s="78"/>
      <c r="W626" s="78"/>
      <c r="X626" s="78"/>
      <c r="Y626" s="78"/>
      <c r="Z626" s="78"/>
      <c r="AA626" s="78"/>
      <c r="AB626" s="78"/>
      <c r="AC626" s="78"/>
      <c r="AD626" s="78"/>
      <c r="AE626" s="78"/>
      <c r="AF626" s="78"/>
      <c r="AG626" s="78"/>
      <c r="AH626" s="78"/>
      <c r="AI626" s="78"/>
      <c r="AJ626" s="78"/>
      <c r="AK626" s="78"/>
      <c r="AL626" s="78"/>
      <c r="AM626" s="78"/>
      <c r="AN626" s="78"/>
      <c r="AO626" s="78"/>
      <c r="AP626" s="78"/>
      <c r="AQ626" s="78"/>
      <c r="AR626" s="78"/>
      <c r="AS626" s="78"/>
      <c r="AT626" s="78"/>
      <c r="AU626" s="78"/>
      <c r="AV626" s="78"/>
      <c r="AW626" s="78"/>
      <c r="AX626" s="78"/>
      <c r="AY626" s="78"/>
      <c r="AZ626" s="78"/>
      <c r="BA626" s="78"/>
      <c r="BB626" s="78"/>
      <c r="BC626" s="78"/>
      <c r="BD626" s="78"/>
      <c r="BE626" s="78"/>
      <c r="BF626" s="78"/>
      <c r="BG626" s="78"/>
      <c r="BH626" s="78"/>
      <c r="BI626" s="78"/>
      <c r="BJ626" s="78"/>
      <c r="BK626" s="78"/>
      <c r="BL626" s="78"/>
      <c r="BM626" s="78"/>
      <c r="BN626" s="78"/>
      <c r="BO626" s="78"/>
      <c r="BP626" s="78"/>
      <c r="BQ626" s="78"/>
      <c r="BR626" s="78"/>
      <c r="BS626" s="78"/>
      <c r="BT626" s="78"/>
      <c r="BU626" s="78"/>
      <c r="BV626" s="78"/>
      <c r="BW626" s="78"/>
      <c r="BX626" s="78"/>
      <c r="BY626" s="78"/>
      <c r="BZ626" s="78"/>
      <c r="CA626" s="78"/>
      <c r="CB626" s="78"/>
      <c r="CC626" s="78"/>
      <c r="CD626" s="78"/>
      <c r="CE626" s="78"/>
      <c r="CF626" s="78"/>
      <c r="CG626" s="78"/>
      <c r="CH626" s="78"/>
      <c r="CI626" s="78"/>
      <c r="CJ626" s="78"/>
      <c r="CK626" s="78"/>
      <c r="CL626" s="78"/>
      <c r="CM626" s="78"/>
      <c r="CN626" s="78"/>
      <c r="CO626" s="78"/>
      <c r="CP626" s="78"/>
      <c r="CQ626" s="78"/>
      <c r="CR626" s="78"/>
      <c r="CS626" s="78"/>
      <c r="CT626" s="78"/>
      <c r="CU626" s="78"/>
      <c r="CV626" s="78"/>
      <c r="CW626" s="78"/>
      <c r="CX626" s="78"/>
      <c r="CY626" s="78"/>
      <c r="CZ626" s="78"/>
      <c r="DA626" s="78"/>
      <c r="DB626" s="78"/>
      <c r="DC626" s="78"/>
      <c r="DD626" s="78"/>
      <c r="DE626" s="78"/>
      <c r="DF626" s="78"/>
      <c r="DG626" s="78"/>
      <c r="DH626" s="78"/>
      <c r="DI626" s="78"/>
      <c r="DJ626" s="78"/>
      <c r="DK626" s="78"/>
      <c r="DL626" s="78"/>
      <c r="DM626" s="78"/>
      <c r="DN626" s="78"/>
      <c r="DO626" s="78"/>
      <c r="DP626" s="78"/>
      <c r="DQ626" s="78"/>
      <c r="DR626" s="78"/>
      <c r="DS626" s="78"/>
      <c r="DT626" s="78"/>
      <c r="DU626" s="78"/>
      <c r="DV626" s="78"/>
      <c r="DW626" s="78"/>
      <c r="DX626" s="78"/>
      <c r="DY626" s="78"/>
      <c r="DZ626" s="78"/>
      <c r="EA626" s="78"/>
      <c r="EB626" s="78"/>
      <c r="EC626" s="78"/>
    </row>
    <row r="627" spans="1:133" s="9" customFormat="1" ht="31.2" x14ac:dyDescent="0.4">
      <c r="A627" s="71" t="s">
        <v>62</v>
      </c>
      <c r="B627" s="60" t="s">
        <v>196</v>
      </c>
      <c r="C627" s="53" t="s">
        <v>63</v>
      </c>
      <c r="D627" s="53" t="s">
        <v>377</v>
      </c>
      <c r="E627" s="74">
        <f>SUM(F627:Q627)</f>
        <v>1110.7547376664465</v>
      </c>
      <c r="F627" s="74">
        <f>F616*F611*F614+(1-F622)*'Baseline Emissions 2020'!Q627</f>
        <v>140.46187537199128</v>
      </c>
      <c r="G627" s="74">
        <f t="shared" ref="G627:Q627" si="83">G616*G611*G614+(1-G622)*F627</f>
        <v>132.77129476767624</v>
      </c>
      <c r="H627" s="74">
        <f t="shared" si="83"/>
        <v>128.1086335653238</v>
      </c>
      <c r="I627" s="74">
        <f t="shared" si="83"/>
        <v>108.02178928811784</v>
      </c>
      <c r="J627" s="74">
        <f t="shared" si="83"/>
        <v>80.049576571071071</v>
      </c>
      <c r="K627" s="74">
        <f t="shared" si="83"/>
        <v>58.677904079146629</v>
      </c>
      <c r="L627" s="74">
        <f t="shared" si="83"/>
        <v>50.839302988510255</v>
      </c>
      <c r="M627" s="74">
        <f t="shared" si="83"/>
        <v>52.940964584661373</v>
      </c>
      <c r="N627" s="74">
        <f>N616*N611*N614+(1-N622)*0</f>
        <v>54.133597740497372</v>
      </c>
      <c r="O627" s="74">
        <f t="shared" si="83"/>
        <v>80.284596925117071</v>
      </c>
      <c r="P627" s="74">
        <f t="shared" si="83"/>
        <v>99.350322882723447</v>
      </c>
      <c r="Q627" s="74">
        <f t="shared" si="83"/>
        <v>125.11487890161011</v>
      </c>
      <c r="R627" s="78"/>
      <c r="S627" s="78"/>
      <c r="T627" s="78"/>
      <c r="U627" s="78"/>
      <c r="V627" s="78"/>
      <c r="W627" s="78"/>
      <c r="X627" s="78"/>
      <c r="Y627" s="78"/>
      <c r="Z627" s="78"/>
      <c r="AA627" s="78"/>
      <c r="AB627" s="78"/>
      <c r="AC627" s="78"/>
      <c r="AD627" s="78"/>
      <c r="AE627" s="78"/>
      <c r="AF627" s="78"/>
      <c r="AG627" s="78"/>
      <c r="AH627" s="78"/>
      <c r="AI627" s="78"/>
      <c r="AJ627" s="78"/>
      <c r="AK627" s="78"/>
      <c r="AL627" s="78"/>
      <c r="AM627" s="78"/>
      <c r="AN627" s="78"/>
      <c r="AO627" s="78"/>
      <c r="AP627" s="78"/>
      <c r="AQ627" s="78"/>
      <c r="AR627" s="78"/>
      <c r="AS627" s="78"/>
      <c r="AT627" s="78"/>
      <c r="AU627" s="78"/>
      <c r="AV627" s="78"/>
      <c r="AW627" s="78"/>
      <c r="AX627" s="78"/>
      <c r="AY627" s="78"/>
      <c r="AZ627" s="78"/>
      <c r="BA627" s="78"/>
      <c r="BB627" s="78"/>
      <c r="BC627" s="78"/>
      <c r="BD627" s="78"/>
      <c r="BE627" s="78"/>
      <c r="BF627" s="78"/>
      <c r="BG627" s="78"/>
      <c r="BH627" s="78"/>
      <c r="BI627" s="78"/>
      <c r="BJ627" s="78"/>
      <c r="BK627" s="78"/>
      <c r="BL627" s="78"/>
      <c r="BM627" s="78"/>
      <c r="BN627" s="78"/>
      <c r="BO627" s="78"/>
      <c r="BP627" s="78"/>
      <c r="BQ627" s="78"/>
      <c r="BR627" s="78"/>
      <c r="BS627" s="78"/>
      <c r="BT627" s="78"/>
      <c r="BU627" s="78"/>
      <c r="BV627" s="78"/>
      <c r="BW627" s="78"/>
      <c r="BX627" s="78"/>
      <c r="BY627" s="78"/>
      <c r="BZ627" s="78"/>
      <c r="CA627" s="78"/>
      <c r="CB627" s="78"/>
      <c r="CC627" s="78"/>
      <c r="CD627" s="78"/>
      <c r="CE627" s="78"/>
      <c r="CF627" s="78"/>
      <c r="CG627" s="78"/>
      <c r="CH627" s="78"/>
      <c r="CI627" s="78"/>
      <c r="CJ627" s="78"/>
      <c r="CK627" s="78"/>
      <c r="CL627" s="78"/>
      <c r="CM627" s="78"/>
      <c r="CN627" s="78"/>
      <c r="CO627" s="78"/>
      <c r="CP627" s="78"/>
      <c r="CQ627" s="78"/>
      <c r="CR627" s="78"/>
      <c r="CS627" s="78"/>
      <c r="CT627" s="78"/>
      <c r="CU627" s="78"/>
      <c r="CV627" s="78"/>
      <c r="CW627" s="78"/>
      <c r="CX627" s="78"/>
      <c r="CY627" s="78"/>
      <c r="CZ627" s="78"/>
      <c r="DA627" s="78"/>
      <c r="DB627" s="78"/>
      <c r="DC627" s="78"/>
      <c r="DD627" s="78"/>
      <c r="DE627" s="78"/>
      <c r="DF627" s="78"/>
      <c r="DG627" s="78"/>
      <c r="DH627" s="78"/>
      <c r="DI627" s="78"/>
      <c r="DJ627" s="78"/>
      <c r="DK627" s="78"/>
      <c r="DL627" s="78"/>
      <c r="DM627" s="78"/>
      <c r="DN627" s="78"/>
      <c r="DO627" s="78"/>
      <c r="DP627" s="78"/>
      <c r="DQ627" s="78"/>
      <c r="DR627" s="78"/>
      <c r="DS627" s="78"/>
      <c r="DT627" s="78"/>
      <c r="DU627" s="78"/>
      <c r="DV627" s="78"/>
      <c r="DW627" s="78"/>
      <c r="DX627" s="78"/>
      <c r="DY627" s="78"/>
      <c r="DZ627" s="78"/>
      <c r="EA627" s="78"/>
      <c r="EB627" s="78"/>
      <c r="EC627" s="78"/>
    </row>
    <row r="629" spans="1:133" ht="15.6" customHeight="1" x14ac:dyDescent="0.25">
      <c r="A629" s="36" t="s">
        <v>64</v>
      </c>
      <c r="B629" s="36"/>
      <c r="C629" s="36"/>
      <c r="D629" s="36"/>
      <c r="E629" s="36"/>
    </row>
    <row r="630" spans="1:133" x14ac:dyDescent="0.25">
      <c r="A630" s="57" t="s">
        <v>8</v>
      </c>
      <c r="B630" s="58" t="s">
        <v>9</v>
      </c>
      <c r="C630" s="34" t="s">
        <v>10</v>
      </c>
      <c r="D630" s="34" t="s">
        <v>340</v>
      </c>
      <c r="E630" s="16" t="s">
        <v>65</v>
      </c>
    </row>
    <row r="631" spans="1:133" ht="46.8" x14ac:dyDescent="0.25">
      <c r="A631" s="59" t="s">
        <v>66</v>
      </c>
      <c r="B631" s="60" t="s">
        <v>14</v>
      </c>
      <c r="C631" s="53" t="s">
        <v>67</v>
      </c>
      <c r="D631" s="53" t="s">
        <v>68</v>
      </c>
      <c r="E631" s="75">
        <v>0</v>
      </c>
    </row>
    <row r="632" spans="1:133" ht="46.8" x14ac:dyDescent="0.25">
      <c r="A632" s="63" t="s">
        <v>69</v>
      </c>
      <c r="B632" s="25" t="s">
        <v>70</v>
      </c>
      <c r="C632" s="35" t="s">
        <v>71</v>
      </c>
      <c r="D632" s="53" t="str">
        <f>D638</f>
        <v>Historical data on site in the FSR (It was calculated with conservative value)</v>
      </c>
      <c r="E632" s="74">
        <f>E638</f>
        <v>374.04821863786128</v>
      </c>
    </row>
    <row r="634" spans="1:133" ht="15.6" customHeight="1" x14ac:dyDescent="0.25">
      <c r="A634" s="90" t="s">
        <v>72</v>
      </c>
      <c r="B634" s="90"/>
      <c r="C634" s="91"/>
      <c r="D634" s="91"/>
      <c r="E634" s="90"/>
    </row>
    <row r="635" spans="1:133" x14ac:dyDescent="0.25">
      <c r="A635" s="59" t="s">
        <v>8</v>
      </c>
      <c r="B635" s="16" t="s">
        <v>9</v>
      </c>
      <c r="C635" s="38" t="s">
        <v>10</v>
      </c>
      <c r="D635" s="38" t="s">
        <v>340</v>
      </c>
      <c r="E635" s="16" t="s">
        <v>65</v>
      </c>
    </row>
    <row r="636" spans="1:133" ht="33.6" x14ac:dyDescent="0.4">
      <c r="A636" s="76" t="s">
        <v>73</v>
      </c>
      <c r="B636" s="25" t="s">
        <v>74</v>
      </c>
      <c r="C636" s="35" t="s">
        <v>75</v>
      </c>
      <c r="D636" s="35" t="s">
        <v>378</v>
      </c>
      <c r="E636" s="50">
        <f>E637*E640*E641*E642*E643*E644</f>
        <v>1.5192832358298589</v>
      </c>
    </row>
    <row r="637" spans="1:133" ht="46.8" x14ac:dyDescent="0.4">
      <c r="A637" s="77" t="s">
        <v>207</v>
      </c>
      <c r="B637" s="25" t="s">
        <v>76</v>
      </c>
      <c r="C637" s="35" t="s">
        <v>77</v>
      </c>
      <c r="D637" s="35" t="s">
        <v>379</v>
      </c>
      <c r="E637" s="52">
        <f>E638/E639</f>
        <v>74.809643727572251</v>
      </c>
    </row>
    <row r="638" spans="1:133" ht="46.8" x14ac:dyDescent="0.25">
      <c r="A638" s="63" t="s">
        <v>208</v>
      </c>
      <c r="B638" s="25" t="s">
        <v>78</v>
      </c>
      <c r="C638" s="35" t="s">
        <v>79</v>
      </c>
      <c r="D638" s="53" t="s">
        <v>352</v>
      </c>
      <c r="E638" s="52">
        <f>0.000186861494131401*E611</f>
        <v>374.04821863786128</v>
      </c>
    </row>
    <row r="639" spans="1:133" ht="31.2" x14ac:dyDescent="0.25">
      <c r="A639" s="63" t="s">
        <v>209</v>
      </c>
      <c r="B639" s="25" t="s">
        <v>80</v>
      </c>
      <c r="C639" s="35" t="s">
        <v>81</v>
      </c>
      <c r="D639" s="35" t="s">
        <v>353</v>
      </c>
      <c r="E639" s="25">
        <f>5</f>
        <v>5</v>
      </c>
    </row>
    <row r="640" spans="1:133" s="13" customFormat="1" ht="62.4" x14ac:dyDescent="0.25">
      <c r="A640" s="63" t="s">
        <v>210</v>
      </c>
      <c r="B640" s="25" t="s">
        <v>82</v>
      </c>
      <c r="C640" s="35" t="s">
        <v>83</v>
      </c>
      <c r="D640" s="53" t="s">
        <v>354</v>
      </c>
      <c r="E640" s="25">
        <f>15*2</f>
        <v>30</v>
      </c>
      <c r="R640" s="14"/>
      <c r="S640" s="14"/>
      <c r="T640" s="14"/>
      <c r="U640" s="14"/>
      <c r="V640" s="14"/>
      <c r="W640" s="14"/>
      <c r="X640" s="14"/>
      <c r="Y640" s="14"/>
      <c r="Z640" s="14"/>
      <c r="AA640" s="14"/>
      <c r="AB640" s="14"/>
      <c r="AC640" s="14"/>
      <c r="AD640" s="14"/>
      <c r="AE640" s="14"/>
      <c r="AF640" s="14"/>
      <c r="AG640" s="14"/>
      <c r="AH640" s="14"/>
      <c r="AI640" s="14"/>
      <c r="AJ640" s="14"/>
      <c r="AK640" s="14"/>
      <c r="AL640" s="14"/>
      <c r="AM640" s="14"/>
      <c r="AN640" s="14"/>
      <c r="AO640" s="14"/>
      <c r="AP640" s="14"/>
      <c r="AQ640" s="14"/>
      <c r="AR640" s="14"/>
      <c r="AS640" s="14"/>
      <c r="AT640" s="14"/>
      <c r="AU640" s="14"/>
      <c r="AV640" s="14"/>
      <c r="AW640" s="14"/>
      <c r="AX640" s="14"/>
      <c r="AY640" s="14"/>
      <c r="AZ640" s="14"/>
      <c r="BA640" s="14"/>
      <c r="BB640" s="14"/>
      <c r="BC640" s="14"/>
      <c r="BD640" s="14"/>
      <c r="BE640" s="14"/>
      <c r="BF640" s="14"/>
      <c r="BG640" s="14"/>
      <c r="BH640" s="14"/>
      <c r="BI640" s="14"/>
      <c r="BJ640" s="14"/>
      <c r="BK640" s="14"/>
      <c r="BL640" s="14"/>
      <c r="BM640" s="14"/>
      <c r="BN640" s="14"/>
      <c r="BO640" s="14"/>
      <c r="BP640" s="14"/>
      <c r="BQ640" s="14"/>
      <c r="BR640" s="14"/>
      <c r="BS640" s="14"/>
      <c r="BT640" s="14"/>
      <c r="BU640" s="14"/>
      <c r="BV640" s="14"/>
      <c r="BW640" s="14"/>
      <c r="BX640" s="14"/>
      <c r="BY640" s="14"/>
      <c r="BZ640" s="14"/>
      <c r="CA640" s="14"/>
      <c r="CB640" s="14"/>
      <c r="CC640" s="14"/>
      <c r="CD640" s="14"/>
      <c r="CE640" s="14"/>
      <c r="CF640" s="14"/>
      <c r="CG640" s="14"/>
      <c r="CH640" s="14"/>
      <c r="CI640" s="14"/>
      <c r="CJ640" s="14"/>
      <c r="CK640" s="14"/>
      <c r="CL640" s="14"/>
      <c r="CM640" s="14"/>
      <c r="CN640" s="14"/>
      <c r="CO640" s="14"/>
      <c r="CP640" s="14"/>
      <c r="CQ640" s="14"/>
      <c r="CR640" s="14"/>
      <c r="CS640" s="14"/>
      <c r="CT640" s="14"/>
      <c r="CU640" s="14"/>
      <c r="CV640" s="14"/>
      <c r="CW640" s="14"/>
      <c r="CX640" s="14"/>
      <c r="CY640" s="14"/>
      <c r="CZ640" s="14"/>
      <c r="DA640" s="14"/>
      <c r="DB640" s="14"/>
      <c r="DC640" s="14"/>
      <c r="DD640" s="14"/>
      <c r="DE640" s="14"/>
      <c r="DF640" s="14"/>
      <c r="DG640" s="14"/>
      <c r="DH640" s="14"/>
      <c r="DI640" s="14"/>
      <c r="DJ640" s="14"/>
      <c r="DK640" s="14"/>
      <c r="DL640" s="14"/>
      <c r="DM640" s="14"/>
      <c r="DN640" s="14"/>
      <c r="DO640" s="14"/>
      <c r="DP640" s="14"/>
      <c r="DQ640" s="14"/>
      <c r="DR640" s="14"/>
      <c r="DS640" s="14"/>
      <c r="DT640" s="14"/>
      <c r="DU640" s="14"/>
      <c r="DV640" s="14"/>
      <c r="DW640" s="14"/>
      <c r="DX640" s="14"/>
      <c r="DY640" s="14"/>
      <c r="DZ640" s="14"/>
      <c r="EA640" s="14"/>
      <c r="EB640" s="14"/>
      <c r="EC640" s="14"/>
    </row>
    <row r="641" spans="1:133" s="13" customFormat="1" ht="172.2" x14ac:dyDescent="0.25">
      <c r="A641" s="63" t="s">
        <v>211</v>
      </c>
      <c r="B641" s="25" t="s">
        <v>84</v>
      </c>
      <c r="C641" s="35" t="s">
        <v>85</v>
      </c>
      <c r="D641" s="35" t="s">
        <v>355</v>
      </c>
      <c r="E641" s="25">
        <f>25.1/100</f>
        <v>0.251</v>
      </c>
      <c r="R641" s="14"/>
      <c r="S641" s="14"/>
      <c r="T641" s="14"/>
      <c r="U641" s="14"/>
      <c r="V641" s="14"/>
      <c r="W641" s="14"/>
      <c r="X641" s="14"/>
      <c r="Y641" s="14"/>
      <c r="Z641" s="14"/>
      <c r="AA641" s="14"/>
      <c r="AB641" s="14"/>
      <c r="AC641" s="14"/>
      <c r="AD641" s="14"/>
      <c r="AE641" s="14"/>
      <c r="AF641" s="14"/>
      <c r="AG641" s="14"/>
      <c r="AH641" s="14"/>
      <c r="AI641" s="14"/>
      <c r="AJ641" s="14"/>
      <c r="AK641" s="14"/>
      <c r="AL641" s="14"/>
      <c r="AM641" s="14"/>
      <c r="AN641" s="14"/>
      <c r="AO641" s="14"/>
      <c r="AP641" s="14"/>
      <c r="AQ641" s="14"/>
      <c r="AR641" s="14"/>
      <c r="AS641" s="14"/>
      <c r="AT641" s="14"/>
      <c r="AU641" s="14"/>
      <c r="AV641" s="14"/>
      <c r="AW641" s="14"/>
      <c r="AX641" s="14"/>
      <c r="AY641" s="14"/>
      <c r="AZ641" s="14"/>
      <c r="BA641" s="14"/>
      <c r="BB641" s="14"/>
      <c r="BC641" s="14"/>
      <c r="BD641" s="14"/>
      <c r="BE641" s="14"/>
      <c r="BF641" s="14"/>
      <c r="BG641" s="14"/>
      <c r="BH641" s="14"/>
      <c r="BI641" s="14"/>
      <c r="BJ641" s="14"/>
      <c r="BK641" s="14"/>
      <c r="BL641" s="14"/>
      <c r="BM641" s="14"/>
      <c r="BN641" s="14"/>
      <c r="BO641" s="14"/>
      <c r="BP641" s="14"/>
      <c r="BQ641" s="14"/>
      <c r="BR641" s="14"/>
      <c r="BS641" s="14"/>
      <c r="BT641" s="14"/>
      <c r="BU641" s="14"/>
      <c r="BV641" s="14"/>
      <c r="BW641" s="14"/>
      <c r="BX641" s="14"/>
      <c r="BY641" s="14"/>
      <c r="BZ641" s="14"/>
      <c r="CA641" s="14"/>
      <c r="CB641" s="14"/>
      <c r="CC641" s="14"/>
      <c r="CD641" s="14"/>
      <c r="CE641" s="14"/>
      <c r="CF641" s="14"/>
      <c r="CG641" s="14"/>
      <c r="CH641" s="14"/>
      <c r="CI641" s="14"/>
      <c r="CJ641" s="14"/>
      <c r="CK641" s="14"/>
      <c r="CL641" s="14"/>
      <c r="CM641" s="14"/>
      <c r="CN641" s="14"/>
      <c r="CO641" s="14"/>
      <c r="CP641" s="14"/>
      <c r="CQ641" s="14"/>
      <c r="CR641" s="14"/>
      <c r="CS641" s="14"/>
      <c r="CT641" s="14"/>
      <c r="CU641" s="14"/>
      <c r="CV641" s="14"/>
      <c r="CW641" s="14"/>
      <c r="CX641" s="14"/>
      <c r="CY641" s="14"/>
      <c r="CZ641" s="14"/>
      <c r="DA641" s="14"/>
      <c r="DB641" s="14"/>
      <c r="DC641" s="14"/>
      <c r="DD641" s="14"/>
      <c r="DE641" s="14"/>
      <c r="DF641" s="14"/>
      <c r="DG641" s="14"/>
      <c r="DH641" s="14"/>
      <c r="DI641" s="14"/>
      <c r="DJ641" s="14"/>
      <c r="DK641" s="14"/>
      <c r="DL641" s="14"/>
      <c r="DM641" s="14"/>
      <c r="DN641" s="14"/>
      <c r="DO641" s="14"/>
      <c r="DP641" s="14"/>
      <c r="DQ641" s="14"/>
      <c r="DR641" s="14"/>
      <c r="DS641" s="14"/>
      <c r="DT641" s="14"/>
      <c r="DU641" s="14"/>
      <c r="DV641" s="14"/>
      <c r="DW641" s="14"/>
      <c r="DX641" s="14"/>
      <c r="DY641" s="14"/>
      <c r="DZ641" s="14"/>
      <c r="EA641" s="14"/>
      <c r="EB641" s="14"/>
      <c r="EC641" s="14"/>
    </row>
    <row r="642" spans="1:133" s="13" customFormat="1" ht="140.4" x14ac:dyDescent="0.25">
      <c r="A642" s="63" t="s">
        <v>212</v>
      </c>
      <c r="B642" s="25" t="s">
        <v>87</v>
      </c>
      <c r="C642" s="35" t="s">
        <v>86</v>
      </c>
      <c r="D642" s="35" t="s">
        <v>356</v>
      </c>
      <c r="E642" s="25">
        <f>0.84/1000</f>
        <v>8.3999999999999993E-4</v>
      </c>
      <c r="R642" s="14"/>
      <c r="S642" s="14"/>
      <c r="T642" s="14"/>
      <c r="U642" s="14"/>
      <c r="V642" s="14"/>
      <c r="W642" s="14"/>
      <c r="X642" s="14"/>
      <c r="Y642" s="14"/>
      <c r="Z642" s="14"/>
      <c r="AA642" s="14"/>
      <c r="AB642" s="14"/>
      <c r="AC642" s="14"/>
      <c r="AD642" s="14"/>
      <c r="AE642" s="14"/>
      <c r="AF642" s="14"/>
      <c r="AG642" s="14"/>
      <c r="AH642" s="14"/>
      <c r="AI642" s="14"/>
      <c r="AJ642" s="14"/>
      <c r="AK642" s="14"/>
      <c r="AL642" s="14"/>
      <c r="AM642" s="14"/>
      <c r="AN642" s="14"/>
      <c r="AO642" s="14"/>
      <c r="AP642" s="14"/>
      <c r="AQ642" s="14"/>
      <c r="AR642" s="14"/>
      <c r="AS642" s="14"/>
      <c r="AT642" s="14"/>
      <c r="AU642" s="14"/>
      <c r="AV642" s="14"/>
      <c r="AW642" s="14"/>
      <c r="AX642" s="14"/>
      <c r="AY642" s="14"/>
      <c r="AZ642" s="14"/>
      <c r="BA642" s="14"/>
      <c r="BB642" s="14"/>
      <c r="BC642" s="14"/>
      <c r="BD642" s="14"/>
      <c r="BE642" s="14"/>
      <c r="BF642" s="14"/>
      <c r="BG642" s="14"/>
      <c r="BH642" s="14"/>
      <c r="BI642" s="14"/>
      <c r="BJ642" s="14"/>
      <c r="BK642" s="14"/>
      <c r="BL642" s="14"/>
      <c r="BM642" s="14"/>
      <c r="BN642" s="14"/>
      <c r="BO642" s="14"/>
      <c r="BP642" s="14"/>
      <c r="BQ642" s="14"/>
      <c r="BR642" s="14"/>
      <c r="BS642" s="14"/>
      <c r="BT642" s="14"/>
      <c r="BU642" s="14"/>
      <c r="BV642" s="14"/>
      <c r="BW642" s="14"/>
      <c r="BX642" s="14"/>
      <c r="BY642" s="14"/>
      <c r="BZ642" s="14"/>
      <c r="CA642" s="14"/>
      <c r="CB642" s="14"/>
      <c r="CC642" s="14"/>
      <c r="CD642" s="14"/>
      <c r="CE642" s="14"/>
      <c r="CF642" s="14"/>
      <c r="CG642" s="14"/>
      <c r="CH642" s="14"/>
      <c r="CI642" s="14"/>
      <c r="CJ642" s="14"/>
      <c r="CK642" s="14"/>
      <c r="CL642" s="14"/>
      <c r="CM642" s="14"/>
      <c r="CN642" s="14"/>
      <c r="CO642" s="14"/>
      <c r="CP642" s="14"/>
      <c r="CQ642" s="14"/>
      <c r="CR642" s="14"/>
      <c r="CS642" s="14"/>
      <c r="CT642" s="14"/>
      <c r="CU642" s="14"/>
      <c r="CV642" s="14"/>
      <c r="CW642" s="14"/>
      <c r="CX642" s="14"/>
      <c r="CY642" s="14"/>
      <c r="CZ642" s="14"/>
      <c r="DA642" s="14"/>
      <c r="DB642" s="14"/>
      <c r="DC642" s="14"/>
      <c r="DD642" s="14"/>
      <c r="DE642" s="14"/>
      <c r="DF642" s="14"/>
      <c r="DG642" s="14"/>
      <c r="DH642" s="14"/>
      <c r="DI642" s="14"/>
      <c r="DJ642" s="14"/>
      <c r="DK642" s="14"/>
      <c r="DL642" s="14"/>
      <c r="DM642" s="14"/>
      <c r="DN642" s="14"/>
      <c r="DO642" s="14"/>
      <c r="DP642" s="14"/>
      <c r="DQ642" s="14"/>
      <c r="DR642" s="14"/>
      <c r="DS642" s="14"/>
      <c r="DT642" s="14"/>
      <c r="DU642" s="14"/>
      <c r="DV642" s="14"/>
      <c r="DW642" s="14"/>
      <c r="DX642" s="14"/>
      <c r="DY642" s="14"/>
      <c r="DZ642" s="14"/>
      <c r="EA642" s="14"/>
      <c r="EB642" s="14"/>
      <c r="EC642" s="14"/>
    </row>
    <row r="643" spans="1:133" s="13" customFormat="1" ht="140.4" x14ac:dyDescent="0.25">
      <c r="A643" s="63" t="s">
        <v>213</v>
      </c>
      <c r="B643" s="25" t="s">
        <v>88</v>
      </c>
      <c r="C643" s="35" t="s">
        <v>89</v>
      </c>
      <c r="D643" s="35" t="s">
        <v>357</v>
      </c>
      <c r="E643" s="25">
        <f>43.33/1000</f>
        <v>4.333E-2</v>
      </c>
      <c r="R643" s="14"/>
      <c r="S643" s="14"/>
      <c r="T643" s="14"/>
      <c r="U643" s="14"/>
      <c r="V643" s="14"/>
      <c r="W643" s="14"/>
      <c r="X643" s="14"/>
      <c r="Y643" s="14"/>
      <c r="Z643" s="14"/>
      <c r="AA643" s="14"/>
      <c r="AB643" s="14"/>
      <c r="AC643" s="14"/>
      <c r="AD643" s="14"/>
      <c r="AE643" s="14"/>
      <c r="AF643" s="14"/>
      <c r="AG643" s="14"/>
      <c r="AH643" s="14"/>
      <c r="AI643" s="14"/>
      <c r="AJ643" s="14"/>
      <c r="AK643" s="14"/>
      <c r="AL643" s="14"/>
      <c r="AM643" s="14"/>
      <c r="AN643" s="14"/>
      <c r="AO643" s="14"/>
      <c r="AP643" s="14"/>
      <c r="AQ643" s="14"/>
      <c r="AR643" s="14"/>
      <c r="AS643" s="14"/>
      <c r="AT643" s="14"/>
      <c r="AU643" s="14"/>
      <c r="AV643" s="14"/>
      <c r="AW643" s="14"/>
      <c r="AX643" s="14"/>
      <c r="AY643" s="14"/>
      <c r="AZ643" s="14"/>
      <c r="BA643" s="14"/>
      <c r="BB643" s="14"/>
      <c r="BC643" s="14"/>
      <c r="BD643" s="14"/>
      <c r="BE643" s="14"/>
      <c r="BF643" s="14"/>
      <c r="BG643" s="14"/>
      <c r="BH643" s="14"/>
      <c r="BI643" s="14"/>
      <c r="BJ643" s="14"/>
      <c r="BK643" s="14"/>
      <c r="BL643" s="14"/>
      <c r="BM643" s="14"/>
      <c r="BN643" s="14"/>
      <c r="BO643" s="14"/>
      <c r="BP643" s="14"/>
      <c r="BQ643" s="14"/>
      <c r="BR643" s="14"/>
      <c r="BS643" s="14"/>
      <c r="BT643" s="14"/>
      <c r="BU643" s="14"/>
      <c r="BV643" s="14"/>
      <c r="BW643" s="14"/>
      <c r="BX643" s="14"/>
      <c r="BY643" s="14"/>
      <c r="BZ643" s="14"/>
      <c r="CA643" s="14"/>
      <c r="CB643" s="14"/>
      <c r="CC643" s="14"/>
      <c r="CD643" s="14"/>
      <c r="CE643" s="14"/>
      <c r="CF643" s="14"/>
      <c r="CG643" s="14"/>
      <c r="CH643" s="14"/>
      <c r="CI643" s="14"/>
      <c r="CJ643" s="14"/>
      <c r="CK643" s="14"/>
      <c r="CL643" s="14"/>
      <c r="CM643" s="14"/>
      <c r="CN643" s="14"/>
      <c r="CO643" s="14"/>
      <c r="CP643" s="14"/>
      <c r="CQ643" s="14"/>
      <c r="CR643" s="14"/>
      <c r="CS643" s="14"/>
      <c r="CT643" s="14"/>
      <c r="CU643" s="14"/>
      <c r="CV643" s="14"/>
      <c r="CW643" s="14"/>
      <c r="CX643" s="14"/>
      <c r="CY643" s="14"/>
      <c r="CZ643" s="14"/>
      <c r="DA643" s="14"/>
      <c r="DB643" s="14"/>
      <c r="DC643" s="14"/>
      <c r="DD643" s="14"/>
      <c r="DE643" s="14"/>
      <c r="DF643" s="14"/>
      <c r="DG643" s="14"/>
      <c r="DH643" s="14"/>
      <c r="DI643" s="14"/>
      <c r="DJ643" s="14"/>
      <c r="DK643" s="14"/>
      <c r="DL643" s="14"/>
      <c r="DM643" s="14"/>
      <c r="DN643" s="14"/>
      <c r="DO643" s="14"/>
      <c r="DP643" s="14"/>
      <c r="DQ643" s="14"/>
      <c r="DR643" s="14"/>
      <c r="DS643" s="14"/>
      <c r="DT643" s="14"/>
      <c r="DU643" s="14"/>
      <c r="DV643" s="14"/>
      <c r="DW643" s="14"/>
      <c r="DX643" s="14"/>
      <c r="DY643" s="14"/>
      <c r="DZ643" s="14"/>
      <c r="EA643" s="14"/>
      <c r="EB643" s="14"/>
      <c r="EC643" s="14"/>
    </row>
    <row r="644" spans="1:133" s="13" customFormat="1" ht="62.4" x14ac:dyDescent="0.25">
      <c r="A644" s="63" t="s">
        <v>214</v>
      </c>
      <c r="B644" s="25" t="s">
        <v>90</v>
      </c>
      <c r="C644" s="35" t="s">
        <v>91</v>
      </c>
      <c r="D644" s="35" t="s">
        <v>358</v>
      </c>
      <c r="E644" s="25">
        <v>74.099999999999994</v>
      </c>
      <c r="R644" s="14"/>
      <c r="S644" s="14"/>
      <c r="T644" s="14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4"/>
      <c r="AF644" s="14"/>
      <c r="AG644" s="14"/>
      <c r="AH644" s="14"/>
      <c r="AI644" s="14"/>
      <c r="AJ644" s="14"/>
      <c r="AK644" s="14"/>
      <c r="AL644" s="14"/>
      <c r="AM644" s="14"/>
      <c r="AN644" s="14"/>
      <c r="AO644" s="14"/>
      <c r="AP644" s="14"/>
      <c r="AQ644" s="14"/>
      <c r="AR644" s="14"/>
      <c r="AS644" s="14"/>
      <c r="AT644" s="14"/>
      <c r="AU644" s="14"/>
      <c r="AV644" s="14"/>
      <c r="AW644" s="14"/>
      <c r="AX644" s="14"/>
      <c r="AY644" s="14"/>
      <c r="AZ644" s="14"/>
      <c r="BA644" s="14"/>
      <c r="BB644" s="14"/>
      <c r="BC644" s="14"/>
      <c r="BD644" s="14"/>
      <c r="BE644" s="14"/>
      <c r="BF644" s="14"/>
      <c r="BG644" s="14"/>
      <c r="BH644" s="14"/>
      <c r="BI644" s="14"/>
      <c r="BJ644" s="14"/>
      <c r="BK644" s="14"/>
      <c r="BL644" s="14"/>
      <c r="BM644" s="14"/>
      <c r="BN644" s="14"/>
      <c r="BO644" s="14"/>
      <c r="BP644" s="14"/>
      <c r="BQ644" s="14"/>
      <c r="BR644" s="14"/>
      <c r="BS644" s="14"/>
      <c r="BT644" s="14"/>
      <c r="BU644" s="14"/>
      <c r="BV644" s="14"/>
      <c r="BW644" s="14"/>
      <c r="BX644" s="14"/>
      <c r="BY644" s="14"/>
      <c r="BZ644" s="14"/>
      <c r="CA644" s="14"/>
      <c r="CB644" s="14"/>
      <c r="CC644" s="14"/>
      <c r="CD644" s="14"/>
      <c r="CE644" s="14"/>
      <c r="CF644" s="14"/>
      <c r="CG644" s="14"/>
      <c r="CH644" s="14"/>
      <c r="CI644" s="14"/>
      <c r="CJ644" s="14"/>
      <c r="CK644" s="14"/>
      <c r="CL644" s="14"/>
      <c r="CM644" s="14"/>
      <c r="CN644" s="14"/>
      <c r="CO644" s="14"/>
      <c r="CP644" s="14"/>
      <c r="CQ644" s="14"/>
      <c r="CR644" s="14"/>
      <c r="CS644" s="14"/>
      <c r="CT644" s="14"/>
      <c r="CU644" s="14"/>
      <c r="CV644" s="14"/>
      <c r="CW644" s="14"/>
      <c r="CX644" s="14"/>
      <c r="CY644" s="14"/>
      <c r="CZ644" s="14"/>
      <c r="DA644" s="14"/>
      <c r="DB644" s="14"/>
      <c r="DC644" s="14"/>
      <c r="DD644" s="14"/>
      <c r="DE644" s="14"/>
      <c r="DF644" s="14"/>
      <c r="DG644" s="14"/>
      <c r="DH644" s="14"/>
      <c r="DI644" s="14"/>
      <c r="DJ644" s="14"/>
      <c r="DK644" s="14"/>
      <c r="DL644" s="14"/>
      <c r="DM644" s="14"/>
      <c r="DN644" s="14"/>
      <c r="DO644" s="14"/>
      <c r="DP644" s="14"/>
      <c r="DQ644" s="14"/>
      <c r="DR644" s="14"/>
      <c r="DS644" s="14"/>
      <c r="DT644" s="14"/>
      <c r="DU644" s="14"/>
      <c r="DV644" s="14"/>
      <c r="DW644" s="14"/>
      <c r="DX644" s="14"/>
      <c r="DY644" s="14"/>
      <c r="DZ644" s="14"/>
      <c r="EA644" s="14"/>
      <c r="EB644" s="14"/>
      <c r="EC644" s="14"/>
    </row>
    <row r="646" spans="1:133" s="13" customFormat="1" ht="15.6" customHeight="1" x14ac:dyDescent="0.25">
      <c r="A646" s="36" t="s">
        <v>93</v>
      </c>
      <c r="B646" s="36"/>
      <c r="C646" s="36"/>
      <c r="D646" s="36"/>
      <c r="E646" s="36"/>
      <c r="R646" s="14"/>
      <c r="S646" s="14"/>
      <c r="T646" s="14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4"/>
      <c r="AF646" s="14"/>
      <c r="AG646" s="14"/>
      <c r="AH646" s="14"/>
      <c r="AI646" s="14"/>
      <c r="AJ646" s="14"/>
      <c r="AK646" s="14"/>
      <c r="AL646" s="14"/>
      <c r="AM646" s="14"/>
      <c r="AN646" s="14"/>
      <c r="AO646" s="14"/>
      <c r="AP646" s="14"/>
      <c r="AQ646" s="14"/>
      <c r="AR646" s="14"/>
      <c r="AS646" s="14"/>
      <c r="AT646" s="14"/>
      <c r="AU646" s="14"/>
      <c r="AV646" s="14"/>
      <c r="AW646" s="14"/>
      <c r="AX646" s="14"/>
      <c r="AY646" s="14"/>
      <c r="AZ646" s="14"/>
      <c r="BA646" s="14"/>
      <c r="BB646" s="14"/>
      <c r="BC646" s="14"/>
      <c r="BD646" s="14"/>
      <c r="BE646" s="14"/>
      <c r="BF646" s="14"/>
      <c r="BG646" s="14"/>
      <c r="BH646" s="14"/>
      <c r="BI646" s="14"/>
      <c r="BJ646" s="14"/>
      <c r="BK646" s="14"/>
      <c r="BL646" s="14"/>
      <c r="BM646" s="14"/>
      <c r="BN646" s="14"/>
      <c r="BO646" s="14"/>
      <c r="BP646" s="14"/>
      <c r="BQ646" s="14"/>
      <c r="BR646" s="14"/>
      <c r="BS646" s="14"/>
      <c r="BT646" s="14"/>
      <c r="BU646" s="14"/>
      <c r="BV646" s="14"/>
      <c r="BW646" s="14"/>
      <c r="BX646" s="14"/>
      <c r="BY646" s="14"/>
      <c r="BZ646" s="14"/>
      <c r="CA646" s="14"/>
      <c r="CB646" s="14"/>
      <c r="CC646" s="14"/>
      <c r="CD646" s="14"/>
      <c r="CE646" s="14"/>
      <c r="CF646" s="14"/>
      <c r="CG646" s="14"/>
      <c r="CH646" s="14"/>
      <c r="CI646" s="14"/>
      <c r="CJ646" s="14"/>
      <c r="CK646" s="14"/>
      <c r="CL646" s="14"/>
      <c r="CM646" s="14"/>
      <c r="CN646" s="14"/>
      <c r="CO646" s="14"/>
      <c r="CP646" s="14"/>
      <c r="CQ646" s="14"/>
      <c r="CR646" s="14"/>
      <c r="CS646" s="14"/>
      <c r="CT646" s="14"/>
      <c r="CU646" s="14"/>
      <c r="CV646" s="14"/>
      <c r="CW646" s="14"/>
      <c r="CX646" s="14"/>
      <c r="CY646" s="14"/>
      <c r="CZ646" s="14"/>
      <c r="DA646" s="14"/>
      <c r="DB646" s="14"/>
      <c r="DC646" s="14"/>
      <c r="DD646" s="14"/>
      <c r="DE646" s="14"/>
      <c r="DF646" s="14"/>
      <c r="DG646" s="14"/>
      <c r="DH646" s="14"/>
      <c r="DI646" s="14"/>
      <c r="DJ646" s="14"/>
      <c r="DK646" s="14"/>
      <c r="DL646" s="14"/>
      <c r="DM646" s="14"/>
      <c r="DN646" s="14"/>
      <c r="DO646" s="14"/>
      <c r="DP646" s="14"/>
      <c r="DQ646" s="14"/>
      <c r="DR646" s="14"/>
      <c r="DS646" s="14"/>
      <c r="DT646" s="14"/>
      <c r="DU646" s="14"/>
      <c r="DV646" s="14"/>
      <c r="DW646" s="14"/>
      <c r="DX646" s="14"/>
      <c r="DY646" s="14"/>
      <c r="DZ646" s="14"/>
      <c r="EA646" s="14"/>
      <c r="EB646" s="14"/>
      <c r="EC646" s="14"/>
    </row>
    <row r="647" spans="1:133" s="13" customFormat="1" x14ac:dyDescent="0.25">
      <c r="A647" s="57" t="s">
        <v>8</v>
      </c>
      <c r="B647" s="58" t="s">
        <v>9</v>
      </c>
      <c r="C647" s="34" t="s">
        <v>10</v>
      </c>
      <c r="D647" s="34" t="s">
        <v>340</v>
      </c>
      <c r="E647" s="16" t="s">
        <v>65</v>
      </c>
      <c r="R647" s="14"/>
      <c r="S647" s="14"/>
      <c r="T647" s="14"/>
      <c r="U647" s="14"/>
      <c r="V647" s="14"/>
      <c r="W647" s="14"/>
      <c r="X647" s="14"/>
      <c r="Y647" s="14"/>
      <c r="Z647" s="14"/>
      <c r="AA647" s="14"/>
      <c r="AB647" s="14"/>
      <c r="AC647" s="14"/>
      <c r="AD647" s="14"/>
      <c r="AE647" s="14"/>
      <c r="AF647" s="14"/>
      <c r="AG647" s="14"/>
      <c r="AH647" s="14"/>
      <c r="AI647" s="14"/>
      <c r="AJ647" s="14"/>
      <c r="AK647" s="14"/>
      <c r="AL647" s="14"/>
      <c r="AM647" s="14"/>
      <c r="AN647" s="14"/>
      <c r="AO647" s="14"/>
      <c r="AP647" s="14"/>
      <c r="AQ647" s="14"/>
      <c r="AR647" s="14"/>
      <c r="AS647" s="14"/>
      <c r="AT647" s="14"/>
      <c r="AU647" s="14"/>
      <c r="AV647" s="14"/>
      <c r="AW647" s="14"/>
      <c r="AX647" s="14"/>
      <c r="AY647" s="14"/>
      <c r="AZ647" s="14"/>
      <c r="BA647" s="14"/>
      <c r="BB647" s="14"/>
      <c r="BC647" s="14"/>
      <c r="BD647" s="14"/>
      <c r="BE647" s="14"/>
      <c r="BF647" s="14"/>
      <c r="BG647" s="14"/>
      <c r="BH647" s="14"/>
      <c r="BI647" s="14"/>
      <c r="BJ647" s="14"/>
      <c r="BK647" s="14"/>
      <c r="BL647" s="14"/>
      <c r="BM647" s="14"/>
      <c r="BN647" s="14"/>
      <c r="BO647" s="14"/>
      <c r="BP647" s="14"/>
      <c r="BQ647" s="14"/>
      <c r="BR647" s="14"/>
      <c r="BS647" s="14"/>
      <c r="BT647" s="14"/>
      <c r="BU647" s="14"/>
      <c r="BV647" s="14"/>
      <c r="BW647" s="14"/>
      <c r="BX647" s="14"/>
      <c r="BY647" s="14"/>
      <c r="BZ647" s="14"/>
      <c r="CA647" s="14"/>
      <c r="CB647" s="14"/>
      <c r="CC647" s="14"/>
      <c r="CD647" s="14"/>
      <c r="CE647" s="14"/>
      <c r="CF647" s="14"/>
      <c r="CG647" s="14"/>
      <c r="CH647" s="14"/>
      <c r="CI647" s="14"/>
      <c r="CJ647" s="14"/>
      <c r="CK647" s="14"/>
      <c r="CL647" s="14"/>
      <c r="CM647" s="14"/>
      <c r="CN647" s="14"/>
      <c r="CO647" s="14"/>
      <c r="CP647" s="14"/>
      <c r="CQ647" s="14"/>
      <c r="CR647" s="14"/>
      <c r="CS647" s="14"/>
      <c r="CT647" s="14"/>
      <c r="CU647" s="14"/>
      <c r="CV647" s="14"/>
      <c r="CW647" s="14"/>
      <c r="CX647" s="14"/>
      <c r="CY647" s="14"/>
      <c r="CZ647" s="14"/>
      <c r="DA647" s="14"/>
      <c r="DB647" s="14"/>
      <c r="DC647" s="14"/>
      <c r="DD647" s="14"/>
      <c r="DE647" s="14"/>
      <c r="DF647" s="14"/>
      <c r="DG647" s="14"/>
      <c r="DH647" s="14"/>
      <c r="DI647" s="14"/>
      <c r="DJ647" s="14"/>
      <c r="DK647" s="14"/>
      <c r="DL647" s="14"/>
      <c r="DM647" s="14"/>
      <c r="DN647" s="14"/>
      <c r="DO647" s="14"/>
      <c r="DP647" s="14"/>
      <c r="DQ647" s="14"/>
      <c r="DR647" s="14"/>
      <c r="DS647" s="14"/>
      <c r="DT647" s="14"/>
      <c r="DU647" s="14"/>
      <c r="DV647" s="14"/>
      <c r="DW647" s="14"/>
      <c r="DX647" s="14"/>
      <c r="DY647" s="14"/>
      <c r="DZ647" s="14"/>
      <c r="EA647" s="14"/>
      <c r="EB647" s="14"/>
      <c r="EC647" s="14"/>
    </row>
    <row r="648" spans="1:133" s="13" customFormat="1" ht="64.8" x14ac:dyDescent="0.25">
      <c r="A648" s="15" t="s">
        <v>94</v>
      </c>
      <c r="B648" s="25" t="s">
        <v>95</v>
      </c>
      <c r="C648" s="35" t="s">
        <v>96</v>
      </c>
      <c r="D648" s="35" t="s">
        <v>97</v>
      </c>
      <c r="E648" s="16">
        <v>0</v>
      </c>
      <c r="R648" s="14"/>
      <c r="S648" s="14"/>
      <c r="T648" s="14"/>
      <c r="U648" s="14"/>
      <c r="V648" s="14"/>
      <c r="W648" s="14"/>
      <c r="X648" s="14"/>
      <c r="Y648" s="14"/>
      <c r="Z648" s="14"/>
      <c r="AA648" s="14"/>
      <c r="AB648" s="14"/>
      <c r="AC648" s="14"/>
      <c r="AD648" s="14"/>
      <c r="AE648" s="14"/>
      <c r="AF648" s="14"/>
      <c r="AG648" s="14"/>
      <c r="AH648" s="14"/>
      <c r="AI648" s="14"/>
      <c r="AJ648" s="14"/>
      <c r="AK648" s="14"/>
      <c r="AL648" s="14"/>
      <c r="AM648" s="14"/>
      <c r="AN648" s="14"/>
      <c r="AO648" s="14"/>
      <c r="AP648" s="14"/>
      <c r="AQ648" s="14"/>
      <c r="AR648" s="14"/>
      <c r="AS648" s="14"/>
      <c r="AT648" s="14"/>
      <c r="AU648" s="14"/>
      <c r="AV648" s="14"/>
      <c r="AW648" s="14"/>
      <c r="AX648" s="14"/>
      <c r="AY648" s="14"/>
      <c r="AZ648" s="14"/>
      <c r="BA648" s="14"/>
      <c r="BB648" s="14"/>
      <c r="BC648" s="14"/>
      <c r="BD648" s="14"/>
      <c r="BE648" s="14"/>
      <c r="BF648" s="14"/>
      <c r="BG648" s="14"/>
      <c r="BH648" s="14"/>
      <c r="BI648" s="14"/>
      <c r="BJ648" s="14"/>
      <c r="BK648" s="14"/>
      <c r="BL648" s="14"/>
      <c r="BM648" s="14"/>
      <c r="BN648" s="14"/>
      <c r="BO648" s="14"/>
      <c r="BP648" s="14"/>
      <c r="BQ648" s="14"/>
      <c r="BR648" s="14"/>
      <c r="BS648" s="14"/>
      <c r="BT648" s="14"/>
      <c r="BU648" s="14"/>
      <c r="BV648" s="14"/>
      <c r="BW648" s="14"/>
      <c r="BX648" s="14"/>
      <c r="BY648" s="14"/>
      <c r="BZ648" s="14"/>
      <c r="CA648" s="14"/>
      <c r="CB648" s="14"/>
      <c r="CC648" s="14"/>
      <c r="CD648" s="14"/>
      <c r="CE648" s="14"/>
      <c r="CF648" s="14"/>
      <c r="CG648" s="14"/>
      <c r="CH648" s="14"/>
      <c r="CI648" s="14"/>
      <c r="CJ648" s="14"/>
      <c r="CK648" s="14"/>
      <c r="CL648" s="14"/>
      <c r="CM648" s="14"/>
      <c r="CN648" s="14"/>
      <c r="CO648" s="14"/>
      <c r="CP648" s="14"/>
      <c r="CQ648" s="14"/>
      <c r="CR648" s="14"/>
      <c r="CS648" s="14"/>
      <c r="CT648" s="14"/>
      <c r="CU648" s="14"/>
      <c r="CV648" s="14"/>
      <c r="CW648" s="14"/>
      <c r="CX648" s="14"/>
      <c r="CY648" s="14"/>
      <c r="CZ648" s="14"/>
      <c r="DA648" s="14"/>
      <c r="DB648" s="14"/>
      <c r="DC648" s="14"/>
      <c r="DD648" s="14"/>
      <c r="DE648" s="14"/>
      <c r="DF648" s="14"/>
      <c r="DG648" s="14"/>
      <c r="DH648" s="14"/>
      <c r="DI648" s="14"/>
      <c r="DJ648" s="14"/>
      <c r="DK648" s="14"/>
      <c r="DL648" s="14"/>
      <c r="DM648" s="14"/>
      <c r="DN648" s="14"/>
      <c r="DO648" s="14"/>
      <c r="DP648" s="14"/>
      <c r="DQ648" s="14"/>
      <c r="DR648" s="14"/>
      <c r="DS648" s="14"/>
      <c r="DT648" s="14"/>
      <c r="DU648" s="14"/>
      <c r="DV648" s="14"/>
      <c r="DW648" s="14"/>
      <c r="DX648" s="14"/>
      <c r="DY648" s="14"/>
      <c r="DZ648" s="14"/>
      <c r="EA648" s="14"/>
      <c r="EB648" s="14"/>
      <c r="EC648" s="14"/>
    </row>
    <row r="650" spans="1:133" s="13" customFormat="1" ht="15.6" customHeight="1" x14ac:dyDescent="0.25">
      <c r="A650" s="36" t="s">
        <v>98</v>
      </c>
      <c r="B650" s="36"/>
      <c r="C650" s="36"/>
      <c r="D650" s="36"/>
      <c r="E650" s="36"/>
      <c r="R650" s="14"/>
      <c r="S650" s="14"/>
      <c r="T650" s="14"/>
      <c r="U650" s="14"/>
      <c r="V650" s="14"/>
      <c r="W650" s="14"/>
      <c r="X650" s="14"/>
      <c r="Y650" s="14"/>
      <c r="Z650" s="14"/>
      <c r="AA650" s="14"/>
      <c r="AB650" s="14"/>
      <c r="AC650" s="14"/>
      <c r="AD650" s="14"/>
      <c r="AE650" s="14"/>
      <c r="AF650" s="14"/>
      <c r="AG650" s="14"/>
      <c r="AH650" s="14"/>
      <c r="AI650" s="14"/>
      <c r="AJ650" s="14"/>
      <c r="AK650" s="14"/>
      <c r="AL650" s="14"/>
      <c r="AM650" s="14"/>
      <c r="AN650" s="14"/>
      <c r="AO650" s="14"/>
      <c r="AP650" s="14"/>
      <c r="AQ650" s="14"/>
      <c r="AR650" s="14"/>
      <c r="AS650" s="14"/>
      <c r="AT650" s="14"/>
      <c r="AU650" s="14"/>
      <c r="AV650" s="14"/>
      <c r="AW650" s="14"/>
      <c r="AX650" s="14"/>
      <c r="AY650" s="14"/>
      <c r="AZ650" s="14"/>
      <c r="BA650" s="14"/>
      <c r="BB650" s="14"/>
      <c r="BC650" s="14"/>
      <c r="BD650" s="14"/>
      <c r="BE650" s="14"/>
      <c r="BF650" s="14"/>
      <c r="BG650" s="14"/>
      <c r="BH650" s="14"/>
      <c r="BI650" s="14"/>
      <c r="BJ650" s="14"/>
      <c r="BK650" s="14"/>
      <c r="BL650" s="14"/>
      <c r="BM650" s="14"/>
      <c r="BN650" s="14"/>
      <c r="BO650" s="14"/>
      <c r="BP650" s="14"/>
      <c r="BQ650" s="14"/>
      <c r="BR650" s="14"/>
      <c r="BS650" s="14"/>
      <c r="BT650" s="14"/>
      <c r="BU650" s="14"/>
      <c r="BV650" s="14"/>
      <c r="BW650" s="14"/>
      <c r="BX650" s="14"/>
      <c r="BY650" s="14"/>
      <c r="BZ650" s="14"/>
      <c r="CA650" s="14"/>
      <c r="CB650" s="14"/>
      <c r="CC650" s="14"/>
      <c r="CD650" s="14"/>
      <c r="CE650" s="14"/>
      <c r="CF650" s="14"/>
      <c r="CG650" s="14"/>
      <c r="CH650" s="14"/>
      <c r="CI650" s="14"/>
      <c r="CJ650" s="14"/>
      <c r="CK650" s="14"/>
      <c r="CL650" s="14"/>
      <c r="CM650" s="14"/>
      <c r="CN650" s="14"/>
      <c r="CO650" s="14"/>
      <c r="CP650" s="14"/>
      <c r="CQ650" s="14"/>
      <c r="CR650" s="14"/>
      <c r="CS650" s="14"/>
      <c r="CT650" s="14"/>
      <c r="CU650" s="14"/>
      <c r="CV650" s="14"/>
      <c r="CW650" s="14"/>
      <c r="CX650" s="14"/>
      <c r="CY650" s="14"/>
      <c r="CZ650" s="14"/>
      <c r="DA650" s="14"/>
      <c r="DB650" s="14"/>
      <c r="DC650" s="14"/>
      <c r="DD650" s="14"/>
      <c r="DE650" s="14"/>
      <c r="DF650" s="14"/>
      <c r="DG650" s="14"/>
      <c r="DH650" s="14"/>
      <c r="DI650" s="14"/>
      <c r="DJ650" s="14"/>
      <c r="DK650" s="14"/>
      <c r="DL650" s="14"/>
      <c r="DM650" s="14"/>
      <c r="DN650" s="14"/>
      <c r="DO650" s="14"/>
      <c r="DP650" s="14"/>
      <c r="DQ650" s="14"/>
      <c r="DR650" s="14"/>
      <c r="DS650" s="14"/>
      <c r="DT650" s="14"/>
      <c r="DU650" s="14"/>
      <c r="DV650" s="14"/>
      <c r="DW650" s="14"/>
      <c r="DX650" s="14"/>
      <c r="DY650" s="14"/>
      <c r="DZ650" s="14"/>
      <c r="EA650" s="14"/>
      <c r="EB650" s="14"/>
      <c r="EC650" s="14"/>
    </row>
    <row r="651" spans="1:133" s="13" customFormat="1" x14ac:dyDescent="0.25">
      <c r="A651" s="57" t="s">
        <v>8</v>
      </c>
      <c r="B651" s="58" t="s">
        <v>9</v>
      </c>
      <c r="C651" s="34" t="s">
        <v>10</v>
      </c>
      <c r="D651" s="34" t="s">
        <v>340</v>
      </c>
      <c r="E651" s="16" t="s">
        <v>65</v>
      </c>
      <c r="R651" s="14"/>
      <c r="S651" s="14"/>
      <c r="T651" s="14"/>
      <c r="U651" s="14"/>
      <c r="V651" s="14"/>
      <c r="W651" s="14"/>
      <c r="X651" s="14"/>
      <c r="Y651" s="14"/>
      <c r="Z651" s="14"/>
      <c r="AA651" s="14"/>
      <c r="AB651" s="14"/>
      <c r="AC651" s="14"/>
      <c r="AD651" s="14"/>
      <c r="AE651" s="14"/>
      <c r="AF651" s="14"/>
      <c r="AG651" s="14"/>
      <c r="AH651" s="14"/>
      <c r="AI651" s="14"/>
      <c r="AJ651" s="14"/>
      <c r="AK651" s="14"/>
      <c r="AL651" s="14"/>
      <c r="AM651" s="14"/>
      <c r="AN651" s="14"/>
      <c r="AO651" s="14"/>
      <c r="AP651" s="14"/>
      <c r="AQ651" s="14"/>
      <c r="AR651" s="14"/>
      <c r="AS651" s="14"/>
      <c r="AT651" s="14"/>
      <c r="AU651" s="14"/>
      <c r="AV651" s="14"/>
      <c r="AW651" s="14"/>
      <c r="AX651" s="14"/>
      <c r="AY651" s="14"/>
      <c r="AZ651" s="14"/>
      <c r="BA651" s="14"/>
      <c r="BB651" s="14"/>
      <c r="BC651" s="14"/>
      <c r="BD651" s="14"/>
      <c r="BE651" s="14"/>
      <c r="BF651" s="14"/>
      <c r="BG651" s="14"/>
      <c r="BH651" s="14"/>
      <c r="BI651" s="14"/>
      <c r="BJ651" s="14"/>
      <c r="BK651" s="14"/>
      <c r="BL651" s="14"/>
      <c r="BM651" s="14"/>
      <c r="BN651" s="14"/>
      <c r="BO651" s="14"/>
      <c r="BP651" s="14"/>
      <c r="BQ651" s="14"/>
      <c r="BR651" s="14"/>
      <c r="BS651" s="14"/>
      <c r="BT651" s="14"/>
      <c r="BU651" s="14"/>
      <c r="BV651" s="14"/>
      <c r="BW651" s="14"/>
      <c r="BX651" s="14"/>
      <c r="BY651" s="14"/>
      <c r="BZ651" s="14"/>
      <c r="CA651" s="14"/>
      <c r="CB651" s="14"/>
      <c r="CC651" s="14"/>
      <c r="CD651" s="14"/>
      <c r="CE651" s="14"/>
      <c r="CF651" s="14"/>
      <c r="CG651" s="14"/>
      <c r="CH651" s="14"/>
      <c r="CI651" s="14"/>
      <c r="CJ651" s="14"/>
      <c r="CK651" s="14"/>
      <c r="CL651" s="14"/>
      <c r="CM651" s="14"/>
      <c r="CN651" s="14"/>
      <c r="CO651" s="14"/>
      <c r="CP651" s="14"/>
      <c r="CQ651" s="14"/>
      <c r="CR651" s="14"/>
      <c r="CS651" s="14"/>
      <c r="CT651" s="14"/>
      <c r="CU651" s="14"/>
      <c r="CV651" s="14"/>
      <c r="CW651" s="14"/>
      <c r="CX651" s="14"/>
      <c r="CY651" s="14"/>
      <c r="CZ651" s="14"/>
      <c r="DA651" s="14"/>
      <c r="DB651" s="14"/>
      <c r="DC651" s="14"/>
      <c r="DD651" s="14"/>
      <c r="DE651" s="14"/>
      <c r="DF651" s="14"/>
      <c r="DG651" s="14"/>
      <c r="DH651" s="14"/>
      <c r="DI651" s="14"/>
      <c r="DJ651" s="14"/>
      <c r="DK651" s="14"/>
      <c r="DL651" s="14"/>
      <c r="DM651" s="14"/>
      <c r="DN651" s="14"/>
      <c r="DO651" s="14"/>
      <c r="DP651" s="14"/>
      <c r="DQ651" s="14"/>
      <c r="DR651" s="14"/>
      <c r="DS651" s="14"/>
      <c r="DT651" s="14"/>
      <c r="DU651" s="14"/>
      <c r="DV651" s="14"/>
      <c r="DW651" s="14"/>
      <c r="DX651" s="14"/>
      <c r="DY651" s="14"/>
      <c r="DZ651" s="14"/>
      <c r="EA651" s="14"/>
      <c r="EB651" s="14"/>
      <c r="EC651" s="14"/>
    </row>
    <row r="652" spans="1:133" s="13" customFormat="1" ht="49.2" x14ac:dyDescent="0.25">
      <c r="A652" s="15" t="s">
        <v>99</v>
      </c>
      <c r="B652" s="25" t="s">
        <v>95</v>
      </c>
      <c r="C652" s="35" t="s">
        <v>100</v>
      </c>
      <c r="D652" s="35" t="s">
        <v>101</v>
      </c>
      <c r="E652" s="16">
        <v>0</v>
      </c>
      <c r="R652" s="14"/>
      <c r="S652" s="14"/>
      <c r="T652" s="14"/>
      <c r="U652" s="14"/>
      <c r="V652" s="14"/>
      <c r="W652" s="14"/>
      <c r="X652" s="14"/>
      <c r="Y652" s="14"/>
      <c r="Z652" s="14"/>
      <c r="AA652" s="14"/>
      <c r="AB652" s="14"/>
      <c r="AC652" s="14"/>
      <c r="AD652" s="14"/>
      <c r="AE652" s="14"/>
      <c r="AF652" s="14"/>
      <c r="AG652" s="14"/>
      <c r="AH652" s="14"/>
      <c r="AI652" s="14"/>
      <c r="AJ652" s="14"/>
      <c r="AK652" s="14"/>
      <c r="AL652" s="14"/>
      <c r="AM652" s="14"/>
      <c r="AN652" s="14"/>
      <c r="AO652" s="14"/>
      <c r="AP652" s="14"/>
      <c r="AQ652" s="14"/>
      <c r="AR652" s="14"/>
      <c r="AS652" s="14"/>
      <c r="AT652" s="14"/>
      <c r="AU652" s="14"/>
      <c r="AV652" s="14"/>
      <c r="AW652" s="14"/>
      <c r="AX652" s="14"/>
      <c r="AY652" s="14"/>
      <c r="AZ652" s="14"/>
      <c r="BA652" s="14"/>
      <c r="BB652" s="14"/>
      <c r="BC652" s="14"/>
      <c r="BD652" s="14"/>
      <c r="BE652" s="14"/>
      <c r="BF652" s="14"/>
      <c r="BG652" s="14"/>
      <c r="BH652" s="14"/>
      <c r="BI652" s="14"/>
      <c r="BJ652" s="14"/>
      <c r="BK652" s="14"/>
      <c r="BL652" s="14"/>
      <c r="BM652" s="14"/>
      <c r="BN652" s="14"/>
      <c r="BO652" s="14"/>
      <c r="BP652" s="14"/>
      <c r="BQ652" s="14"/>
      <c r="BR652" s="14"/>
      <c r="BS652" s="14"/>
      <c r="BT652" s="14"/>
      <c r="BU652" s="14"/>
      <c r="BV652" s="14"/>
      <c r="BW652" s="14"/>
      <c r="BX652" s="14"/>
      <c r="BY652" s="14"/>
      <c r="BZ652" s="14"/>
      <c r="CA652" s="14"/>
      <c r="CB652" s="14"/>
      <c r="CC652" s="14"/>
      <c r="CD652" s="14"/>
      <c r="CE652" s="14"/>
      <c r="CF652" s="14"/>
      <c r="CG652" s="14"/>
      <c r="CH652" s="14"/>
      <c r="CI652" s="14"/>
      <c r="CJ652" s="14"/>
      <c r="CK652" s="14"/>
      <c r="CL652" s="14"/>
      <c r="CM652" s="14"/>
      <c r="CN652" s="14"/>
      <c r="CO652" s="14"/>
      <c r="CP652" s="14"/>
      <c r="CQ652" s="14"/>
      <c r="CR652" s="14"/>
      <c r="CS652" s="14"/>
      <c r="CT652" s="14"/>
      <c r="CU652" s="14"/>
      <c r="CV652" s="14"/>
      <c r="CW652" s="14"/>
      <c r="CX652" s="14"/>
      <c r="CY652" s="14"/>
      <c r="CZ652" s="14"/>
      <c r="DA652" s="14"/>
      <c r="DB652" s="14"/>
      <c r="DC652" s="14"/>
      <c r="DD652" s="14"/>
      <c r="DE652" s="14"/>
      <c r="DF652" s="14"/>
      <c r="DG652" s="14"/>
      <c r="DH652" s="14"/>
      <c r="DI652" s="14"/>
      <c r="DJ652" s="14"/>
      <c r="DK652" s="14"/>
      <c r="DL652" s="14"/>
      <c r="DM652" s="14"/>
      <c r="DN652" s="14"/>
      <c r="DO652" s="14"/>
      <c r="DP652" s="14"/>
      <c r="DQ652" s="14"/>
      <c r="DR652" s="14"/>
      <c r="DS652" s="14"/>
      <c r="DT652" s="14"/>
      <c r="DU652" s="14"/>
      <c r="DV652" s="14"/>
      <c r="DW652" s="14"/>
      <c r="DX652" s="14"/>
      <c r="DY652" s="14"/>
      <c r="DZ652" s="14"/>
      <c r="EA652" s="14"/>
      <c r="EB652" s="14"/>
      <c r="EC652" s="14"/>
    </row>
    <row r="654" spans="1:133" s="13" customFormat="1" x14ac:dyDescent="0.25">
      <c r="A654" s="57" t="s">
        <v>8</v>
      </c>
      <c r="B654" s="58" t="s">
        <v>9</v>
      </c>
      <c r="C654" s="34" t="s">
        <v>10</v>
      </c>
      <c r="D654" s="34" t="s">
        <v>340</v>
      </c>
      <c r="E654" s="16" t="s">
        <v>65</v>
      </c>
      <c r="R654" s="14"/>
      <c r="S654" s="14"/>
      <c r="T654" s="14"/>
      <c r="U654" s="14"/>
      <c r="V654" s="14"/>
      <c r="W654" s="14"/>
      <c r="X654" s="14"/>
      <c r="Y654" s="14"/>
      <c r="Z654" s="14"/>
      <c r="AA654" s="14"/>
      <c r="AB654" s="14"/>
      <c r="AC654" s="14"/>
      <c r="AD654" s="14"/>
      <c r="AE654" s="14"/>
      <c r="AF654" s="14"/>
      <c r="AG654" s="14"/>
      <c r="AH654" s="14"/>
      <c r="AI654" s="14"/>
      <c r="AJ654" s="14"/>
      <c r="AK654" s="14"/>
      <c r="AL654" s="14"/>
      <c r="AM654" s="14"/>
      <c r="AN654" s="14"/>
      <c r="AO654" s="14"/>
      <c r="AP654" s="14"/>
      <c r="AQ654" s="14"/>
      <c r="AR654" s="14"/>
      <c r="AS654" s="14"/>
      <c r="AT654" s="14"/>
      <c r="AU654" s="14"/>
      <c r="AV654" s="14"/>
      <c r="AW654" s="14"/>
      <c r="AX654" s="14"/>
      <c r="AY654" s="14"/>
      <c r="AZ654" s="14"/>
      <c r="BA654" s="14"/>
      <c r="BB654" s="14"/>
      <c r="BC654" s="14"/>
      <c r="BD654" s="14"/>
      <c r="BE654" s="14"/>
      <c r="BF654" s="14"/>
      <c r="BG654" s="14"/>
      <c r="BH654" s="14"/>
      <c r="BI654" s="14"/>
      <c r="BJ654" s="14"/>
      <c r="BK654" s="14"/>
      <c r="BL654" s="14"/>
      <c r="BM654" s="14"/>
      <c r="BN654" s="14"/>
      <c r="BO654" s="14"/>
      <c r="BP654" s="14"/>
      <c r="BQ654" s="14"/>
      <c r="BR654" s="14"/>
      <c r="BS654" s="14"/>
      <c r="BT654" s="14"/>
      <c r="BU654" s="14"/>
      <c r="BV654" s="14"/>
      <c r="BW654" s="14"/>
      <c r="BX654" s="14"/>
      <c r="BY654" s="14"/>
      <c r="BZ654" s="14"/>
      <c r="CA654" s="14"/>
      <c r="CB654" s="14"/>
      <c r="CC654" s="14"/>
      <c r="CD654" s="14"/>
      <c r="CE654" s="14"/>
      <c r="CF654" s="14"/>
      <c r="CG654" s="14"/>
      <c r="CH654" s="14"/>
      <c r="CI654" s="14"/>
      <c r="CJ654" s="14"/>
      <c r="CK654" s="14"/>
      <c r="CL654" s="14"/>
      <c r="CM654" s="14"/>
      <c r="CN654" s="14"/>
      <c r="CO654" s="14"/>
      <c r="CP654" s="14"/>
      <c r="CQ654" s="14"/>
      <c r="CR654" s="14"/>
      <c r="CS654" s="14"/>
      <c r="CT654" s="14"/>
      <c r="CU654" s="14"/>
      <c r="CV654" s="14"/>
      <c r="CW654" s="14"/>
      <c r="CX654" s="14"/>
      <c r="CY654" s="14"/>
      <c r="CZ654" s="14"/>
      <c r="DA654" s="14"/>
      <c r="DB654" s="14"/>
      <c r="DC654" s="14"/>
      <c r="DD654" s="14"/>
      <c r="DE654" s="14"/>
      <c r="DF654" s="14"/>
      <c r="DG654" s="14"/>
      <c r="DH654" s="14"/>
      <c r="DI654" s="14"/>
      <c r="DJ654" s="14"/>
      <c r="DK654" s="14"/>
      <c r="DL654" s="14"/>
      <c r="DM654" s="14"/>
      <c r="DN654" s="14"/>
      <c r="DO654" s="14"/>
      <c r="DP654" s="14"/>
      <c r="DQ654" s="14"/>
      <c r="DR654" s="14"/>
      <c r="DS654" s="14"/>
      <c r="DT654" s="14"/>
      <c r="DU654" s="14"/>
      <c r="DV654" s="14"/>
      <c r="DW654" s="14"/>
      <c r="DX654" s="14"/>
      <c r="DY654" s="14"/>
      <c r="DZ654" s="14"/>
      <c r="EA654" s="14"/>
      <c r="EB654" s="14"/>
      <c r="EC654" s="14"/>
    </row>
    <row r="655" spans="1:133" s="13" customFormat="1" ht="18" x14ac:dyDescent="0.25">
      <c r="A655" s="59" t="s">
        <v>102</v>
      </c>
      <c r="B655" s="25" t="s">
        <v>103</v>
      </c>
      <c r="C655" s="35" t="s">
        <v>104</v>
      </c>
      <c r="D655" s="53" t="s">
        <v>380</v>
      </c>
      <c r="E655" s="18">
        <f>ROUNDDOWN(E605+E636+E631+E648+E652,0)</f>
        <v>2075</v>
      </c>
      <c r="R655" s="14"/>
      <c r="S655" s="14"/>
      <c r="T655" s="14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4"/>
      <c r="AF655" s="14"/>
      <c r="AG655" s="14"/>
      <c r="AH655" s="14"/>
      <c r="AI655" s="14"/>
      <c r="AJ655" s="14"/>
      <c r="AK655" s="14"/>
      <c r="AL655" s="14"/>
      <c r="AM655" s="14"/>
      <c r="AN655" s="14"/>
      <c r="AO655" s="14"/>
      <c r="AP655" s="14"/>
      <c r="AQ655" s="14"/>
      <c r="AR655" s="14"/>
      <c r="AS655" s="14"/>
      <c r="AT655" s="14"/>
      <c r="AU655" s="14"/>
      <c r="AV655" s="14"/>
      <c r="AW655" s="14"/>
      <c r="AX655" s="14"/>
      <c r="AY655" s="14"/>
      <c r="AZ655" s="14"/>
      <c r="BA655" s="14"/>
      <c r="BB655" s="14"/>
      <c r="BC655" s="14"/>
      <c r="BD655" s="14"/>
      <c r="BE655" s="14"/>
      <c r="BF655" s="14"/>
      <c r="BG655" s="14"/>
      <c r="BH655" s="14"/>
      <c r="BI655" s="14"/>
      <c r="BJ655" s="14"/>
      <c r="BK655" s="14"/>
      <c r="BL655" s="14"/>
      <c r="BM655" s="14"/>
      <c r="BN655" s="14"/>
      <c r="BO655" s="14"/>
      <c r="BP655" s="14"/>
      <c r="BQ655" s="14"/>
      <c r="BR655" s="14"/>
      <c r="BS655" s="14"/>
      <c r="BT655" s="14"/>
      <c r="BU655" s="14"/>
      <c r="BV655" s="14"/>
      <c r="BW655" s="14"/>
      <c r="BX655" s="14"/>
      <c r="BY655" s="14"/>
      <c r="BZ655" s="14"/>
      <c r="CA655" s="14"/>
      <c r="CB655" s="14"/>
      <c r="CC655" s="14"/>
      <c r="CD655" s="14"/>
      <c r="CE655" s="14"/>
      <c r="CF655" s="14"/>
      <c r="CG655" s="14"/>
      <c r="CH655" s="14"/>
      <c r="CI655" s="14"/>
      <c r="CJ655" s="14"/>
      <c r="CK655" s="14"/>
      <c r="CL655" s="14"/>
      <c r="CM655" s="14"/>
      <c r="CN655" s="14"/>
      <c r="CO655" s="14"/>
      <c r="CP655" s="14"/>
      <c r="CQ655" s="14"/>
      <c r="CR655" s="14"/>
      <c r="CS655" s="14"/>
      <c r="CT655" s="14"/>
      <c r="CU655" s="14"/>
      <c r="CV655" s="14"/>
      <c r="CW655" s="14"/>
      <c r="CX655" s="14"/>
      <c r="CY655" s="14"/>
      <c r="CZ655" s="14"/>
      <c r="DA655" s="14"/>
      <c r="DB655" s="14"/>
      <c r="DC655" s="14"/>
      <c r="DD655" s="14"/>
      <c r="DE655" s="14"/>
      <c r="DF655" s="14"/>
      <c r="DG655" s="14"/>
      <c r="DH655" s="14"/>
      <c r="DI655" s="14"/>
      <c r="DJ655" s="14"/>
      <c r="DK655" s="14"/>
      <c r="DL655" s="14"/>
      <c r="DM655" s="14"/>
      <c r="DN655" s="14"/>
      <c r="DO655" s="14"/>
      <c r="DP655" s="14"/>
      <c r="DQ655" s="14"/>
      <c r="DR655" s="14"/>
      <c r="DS655" s="14"/>
      <c r="DT655" s="14"/>
      <c r="DU655" s="14"/>
      <c r="DV655" s="14"/>
      <c r="DW655" s="14"/>
      <c r="DX655" s="14"/>
      <c r="DY655" s="14"/>
      <c r="DZ655" s="14"/>
      <c r="EA655" s="14"/>
      <c r="EB655" s="14"/>
      <c r="EC655" s="14"/>
    </row>
    <row r="656" spans="1:133" s="167" customFormat="1" ht="43.2" customHeight="1" x14ac:dyDescent="0.25">
      <c r="A656" s="171" t="s">
        <v>232</v>
      </c>
      <c r="B656" s="172"/>
      <c r="C656" s="172"/>
      <c r="D656" s="172"/>
      <c r="E656" s="172"/>
      <c r="F656" s="172"/>
      <c r="G656" s="172"/>
      <c r="H656" s="172"/>
      <c r="I656" s="172"/>
      <c r="J656" s="172"/>
      <c r="K656" s="172"/>
      <c r="L656" s="172"/>
      <c r="M656" s="172"/>
      <c r="N656" s="172"/>
      <c r="O656" s="172"/>
      <c r="P656" s="172"/>
      <c r="Q656" s="172"/>
      <c r="R656" s="172"/>
      <c r="S656" s="172"/>
      <c r="T656" s="172"/>
      <c r="U656" s="172"/>
      <c r="V656" s="172"/>
      <c r="W656" s="172"/>
      <c r="X656" s="172"/>
      <c r="Y656" s="172"/>
      <c r="Z656" s="172"/>
      <c r="AA656" s="172"/>
      <c r="AB656" s="172"/>
      <c r="AC656" s="172"/>
      <c r="AD656" s="172"/>
      <c r="AE656" s="172"/>
      <c r="AF656" s="172"/>
      <c r="AG656" s="172"/>
      <c r="AH656" s="172"/>
      <c r="AI656" s="172"/>
      <c r="AJ656" s="172"/>
      <c r="AK656" s="172"/>
      <c r="AL656" s="172"/>
      <c r="AM656" s="172"/>
      <c r="AN656" s="172"/>
      <c r="AO656" s="172"/>
      <c r="AP656" s="172"/>
      <c r="AQ656" s="172"/>
      <c r="AR656" s="172"/>
      <c r="AS656" s="172"/>
      <c r="AT656" s="172"/>
      <c r="AU656" s="172"/>
      <c r="AV656" s="172"/>
      <c r="AW656" s="172"/>
      <c r="AX656" s="172"/>
      <c r="AY656" s="172"/>
      <c r="AZ656" s="172"/>
      <c r="BA656" s="172"/>
      <c r="BB656" s="172"/>
      <c r="BC656" s="172"/>
      <c r="BD656" s="172"/>
      <c r="BE656" s="172"/>
      <c r="BF656" s="172"/>
      <c r="BG656" s="172"/>
      <c r="BH656" s="172"/>
      <c r="BI656" s="172"/>
      <c r="BJ656" s="172"/>
      <c r="BK656" s="172"/>
      <c r="BL656" s="172"/>
      <c r="BM656" s="172"/>
      <c r="BN656" s="172"/>
      <c r="BO656" s="172"/>
      <c r="BP656" s="172"/>
      <c r="BQ656" s="172"/>
      <c r="BR656" s="172"/>
      <c r="BS656" s="172"/>
      <c r="BT656" s="172"/>
      <c r="BU656" s="172"/>
      <c r="BV656" s="172"/>
      <c r="BW656" s="172"/>
      <c r="BX656" s="172"/>
      <c r="BY656" s="172"/>
      <c r="BZ656" s="172"/>
      <c r="CA656" s="172"/>
      <c r="CB656" s="172"/>
      <c r="CC656" s="172"/>
      <c r="CD656" s="172"/>
      <c r="CE656" s="172"/>
      <c r="CF656" s="172"/>
      <c r="CG656" s="172"/>
      <c r="CH656" s="172"/>
      <c r="CI656" s="172"/>
      <c r="CJ656" s="172"/>
      <c r="CK656" s="172"/>
      <c r="CL656" s="172"/>
      <c r="CM656" s="172"/>
      <c r="CN656" s="172"/>
      <c r="CO656" s="172"/>
      <c r="CP656" s="172"/>
      <c r="CQ656" s="172"/>
      <c r="CR656" s="172"/>
      <c r="CS656" s="172"/>
      <c r="CT656" s="172"/>
      <c r="CU656" s="172"/>
      <c r="CV656" s="172"/>
      <c r="CW656" s="172"/>
      <c r="CX656" s="172"/>
      <c r="CY656" s="172"/>
      <c r="CZ656" s="172"/>
      <c r="DA656" s="172"/>
      <c r="DB656" s="172"/>
      <c r="DC656" s="172"/>
      <c r="DD656" s="172"/>
      <c r="DE656" s="172"/>
      <c r="DF656" s="172"/>
      <c r="DG656" s="172"/>
      <c r="DH656" s="172"/>
      <c r="DI656" s="172"/>
      <c r="DJ656" s="172"/>
      <c r="DK656" s="172"/>
      <c r="DL656" s="172"/>
      <c r="DM656" s="172"/>
      <c r="DN656" s="172"/>
      <c r="DO656" s="172"/>
      <c r="DP656" s="172"/>
      <c r="DQ656" s="172"/>
      <c r="DR656" s="172"/>
      <c r="DS656" s="172"/>
      <c r="DT656" s="172"/>
      <c r="DU656" s="172"/>
      <c r="DV656" s="172"/>
      <c r="DW656" s="172"/>
      <c r="DX656" s="172"/>
      <c r="DY656" s="172"/>
      <c r="DZ656" s="172"/>
      <c r="EA656" s="172"/>
      <c r="EB656" s="172"/>
      <c r="EC656" s="173"/>
    </row>
    <row r="657" spans="1:133" s="56" customFormat="1" ht="31.2" x14ac:dyDescent="0.25">
      <c r="A657" s="92" t="s">
        <v>8</v>
      </c>
      <c r="B657" s="93" t="s">
        <v>9</v>
      </c>
      <c r="C657" s="94" t="s">
        <v>10</v>
      </c>
      <c r="D657" s="93" t="s">
        <v>341</v>
      </c>
      <c r="E657" s="93" t="s">
        <v>11</v>
      </c>
      <c r="F657" s="16" t="s">
        <v>312</v>
      </c>
      <c r="G657" s="16" t="s">
        <v>313</v>
      </c>
      <c r="H657" s="16" t="s">
        <v>314</v>
      </c>
      <c r="I657" s="16" t="s">
        <v>315</v>
      </c>
      <c r="J657" s="16" t="s">
        <v>316</v>
      </c>
      <c r="K657" s="16" t="s">
        <v>317</v>
      </c>
      <c r="L657" s="16" t="s">
        <v>318</v>
      </c>
      <c r="M657" s="16" t="s">
        <v>319</v>
      </c>
      <c r="N657" s="16" t="s">
        <v>320</v>
      </c>
      <c r="O657" s="16" t="s">
        <v>293</v>
      </c>
      <c r="P657" s="16" t="s">
        <v>294</v>
      </c>
      <c r="Q657" s="16" t="s">
        <v>295</v>
      </c>
      <c r="R657" s="54"/>
      <c r="S657" s="54"/>
      <c r="T657" s="54"/>
      <c r="U657" s="54"/>
      <c r="V657" s="54"/>
      <c r="W657" s="54"/>
      <c r="X657" s="54"/>
      <c r="Y657" s="54"/>
      <c r="Z657" s="54"/>
      <c r="AA657" s="54"/>
      <c r="AB657" s="54"/>
      <c r="AC657" s="54"/>
      <c r="AD657" s="54"/>
      <c r="AE657" s="54"/>
      <c r="AF657" s="54"/>
      <c r="AG657" s="54"/>
      <c r="AH657" s="54"/>
      <c r="AI657" s="54"/>
      <c r="AJ657" s="54"/>
      <c r="AK657" s="54"/>
      <c r="AL657" s="54"/>
      <c r="AM657" s="54"/>
      <c r="AN657" s="54"/>
      <c r="AO657" s="54"/>
      <c r="AP657" s="54"/>
      <c r="AQ657" s="54"/>
      <c r="AR657" s="54"/>
      <c r="AS657" s="54"/>
      <c r="AT657" s="54"/>
      <c r="AU657" s="54"/>
      <c r="AV657" s="54"/>
      <c r="AW657" s="54"/>
      <c r="AX657" s="54"/>
      <c r="AY657" s="54"/>
      <c r="AZ657" s="54"/>
      <c r="BA657" s="54"/>
      <c r="BB657" s="54"/>
      <c r="BC657" s="54"/>
      <c r="BD657" s="54"/>
      <c r="BE657" s="54"/>
      <c r="BF657" s="54"/>
      <c r="BG657" s="54"/>
      <c r="BH657" s="54"/>
      <c r="BI657" s="54"/>
      <c r="BJ657" s="54"/>
      <c r="BK657" s="54"/>
      <c r="BL657" s="54"/>
      <c r="BM657" s="54"/>
      <c r="BN657" s="54"/>
      <c r="BO657" s="54"/>
      <c r="BP657" s="54"/>
      <c r="BQ657" s="54"/>
      <c r="BR657" s="54"/>
      <c r="BS657" s="54"/>
      <c r="BT657" s="54"/>
      <c r="BU657" s="54"/>
      <c r="BV657" s="54"/>
      <c r="BW657" s="54"/>
      <c r="BX657" s="54"/>
      <c r="BY657" s="54"/>
      <c r="BZ657" s="54"/>
      <c r="CA657" s="54"/>
      <c r="CB657" s="54"/>
      <c r="CC657" s="54"/>
      <c r="CD657" s="54"/>
      <c r="CE657" s="54"/>
      <c r="CF657" s="54"/>
      <c r="CG657" s="54"/>
      <c r="CH657" s="54"/>
      <c r="CI657" s="54"/>
      <c r="CJ657" s="54"/>
      <c r="CK657" s="54"/>
      <c r="CL657" s="54"/>
      <c r="CM657" s="54"/>
      <c r="CN657" s="54"/>
      <c r="CO657" s="54"/>
      <c r="CP657" s="54"/>
      <c r="CQ657" s="54"/>
      <c r="CR657" s="54"/>
      <c r="CS657" s="54"/>
      <c r="CT657" s="54"/>
      <c r="CU657" s="54"/>
      <c r="CV657" s="54"/>
      <c r="CW657" s="54"/>
      <c r="CX657" s="54"/>
      <c r="CY657" s="54"/>
      <c r="CZ657" s="54"/>
      <c r="DA657" s="54"/>
      <c r="DB657" s="54"/>
      <c r="DC657" s="54"/>
      <c r="DD657" s="54"/>
      <c r="DE657" s="54"/>
      <c r="DF657" s="54"/>
      <c r="DG657" s="54"/>
      <c r="DH657" s="54"/>
      <c r="DI657" s="54"/>
      <c r="DJ657" s="54"/>
      <c r="DK657" s="54"/>
      <c r="DL657" s="54"/>
      <c r="DM657" s="54"/>
      <c r="DN657" s="54"/>
      <c r="DO657" s="54"/>
      <c r="DP657" s="54"/>
      <c r="DQ657" s="54"/>
      <c r="DR657" s="54"/>
      <c r="DS657" s="54"/>
      <c r="DT657" s="54"/>
      <c r="DU657" s="54"/>
      <c r="DV657" s="54"/>
      <c r="DW657" s="54"/>
      <c r="DX657" s="54"/>
      <c r="DY657" s="54"/>
      <c r="DZ657" s="54"/>
      <c r="EA657" s="54"/>
      <c r="EB657" s="54"/>
      <c r="EC657" s="54"/>
    </row>
    <row r="658" spans="1:133" s="56" customFormat="1" x14ac:dyDescent="0.25">
      <c r="A658" s="58" t="s">
        <v>12</v>
      </c>
      <c r="B658" s="58"/>
      <c r="C658" s="34"/>
      <c r="D658" s="34"/>
      <c r="E658" s="58"/>
      <c r="F658" s="16">
        <v>31</v>
      </c>
      <c r="G658" s="16">
        <v>28</v>
      </c>
      <c r="H658" s="16">
        <v>31</v>
      </c>
      <c r="I658" s="16">
        <v>30</v>
      </c>
      <c r="J658" s="16">
        <v>31</v>
      </c>
      <c r="K658" s="16">
        <v>30</v>
      </c>
      <c r="L658" s="16">
        <v>31</v>
      </c>
      <c r="M658" s="16">
        <v>31</v>
      </c>
      <c r="N658" s="16">
        <v>30</v>
      </c>
      <c r="O658" s="16">
        <v>31</v>
      </c>
      <c r="P658" s="16">
        <v>30</v>
      </c>
      <c r="Q658" s="16">
        <v>31</v>
      </c>
      <c r="R658" s="54"/>
      <c r="S658" s="54"/>
      <c r="T658" s="54"/>
      <c r="U658" s="54"/>
      <c r="V658" s="54"/>
      <c r="W658" s="54"/>
      <c r="X658" s="54"/>
      <c r="Y658" s="54"/>
      <c r="Z658" s="54"/>
      <c r="AA658" s="54"/>
      <c r="AB658" s="54"/>
      <c r="AC658" s="54"/>
      <c r="AD658" s="54"/>
      <c r="AE658" s="54"/>
      <c r="AF658" s="54"/>
      <c r="AG658" s="54"/>
      <c r="AH658" s="54"/>
      <c r="AI658" s="54"/>
      <c r="AJ658" s="54"/>
      <c r="AK658" s="54"/>
      <c r="AL658" s="54"/>
      <c r="AM658" s="54"/>
      <c r="AN658" s="54"/>
      <c r="AO658" s="54"/>
      <c r="AP658" s="54"/>
      <c r="AQ658" s="54"/>
      <c r="AR658" s="54"/>
      <c r="AS658" s="54"/>
      <c r="AT658" s="54"/>
      <c r="AU658" s="54"/>
      <c r="AV658" s="54"/>
      <c r="AW658" s="54"/>
      <c r="AX658" s="54"/>
      <c r="AY658" s="54"/>
      <c r="AZ658" s="54"/>
      <c r="BA658" s="54"/>
      <c r="BB658" s="54"/>
      <c r="BC658" s="54"/>
      <c r="BD658" s="54"/>
      <c r="BE658" s="54"/>
      <c r="BF658" s="54"/>
      <c r="BG658" s="54"/>
      <c r="BH658" s="54"/>
      <c r="BI658" s="54"/>
      <c r="BJ658" s="54"/>
      <c r="BK658" s="54"/>
      <c r="BL658" s="54"/>
      <c r="BM658" s="54"/>
      <c r="BN658" s="54"/>
      <c r="BO658" s="54"/>
      <c r="BP658" s="54"/>
      <c r="BQ658" s="54"/>
      <c r="BR658" s="54"/>
      <c r="BS658" s="54"/>
      <c r="BT658" s="54"/>
      <c r="BU658" s="54"/>
      <c r="BV658" s="54"/>
      <c r="BW658" s="54"/>
      <c r="BX658" s="54"/>
      <c r="BY658" s="54"/>
      <c r="BZ658" s="54"/>
      <c r="CA658" s="54"/>
      <c r="CB658" s="54"/>
      <c r="CC658" s="54"/>
      <c r="CD658" s="54"/>
      <c r="CE658" s="54"/>
      <c r="CF658" s="54"/>
      <c r="CG658" s="54"/>
      <c r="CH658" s="54"/>
      <c r="CI658" s="54"/>
      <c r="CJ658" s="54"/>
      <c r="CK658" s="54"/>
      <c r="CL658" s="54"/>
      <c r="CM658" s="54"/>
      <c r="CN658" s="54"/>
      <c r="CO658" s="54"/>
      <c r="CP658" s="54"/>
      <c r="CQ658" s="54"/>
      <c r="CR658" s="54"/>
      <c r="CS658" s="54"/>
      <c r="CT658" s="54"/>
      <c r="CU658" s="54"/>
      <c r="CV658" s="54"/>
      <c r="CW658" s="54"/>
      <c r="CX658" s="54"/>
      <c r="CY658" s="54"/>
      <c r="CZ658" s="54"/>
      <c r="DA658" s="54"/>
      <c r="DB658" s="54"/>
      <c r="DC658" s="54"/>
      <c r="DD658" s="54"/>
      <c r="DE658" s="54"/>
      <c r="DF658" s="54"/>
      <c r="DG658" s="54"/>
      <c r="DH658" s="54"/>
      <c r="DI658" s="54"/>
      <c r="DJ658" s="54"/>
      <c r="DK658" s="54"/>
      <c r="DL658" s="54"/>
      <c r="DM658" s="54"/>
      <c r="DN658" s="54"/>
      <c r="DO658" s="54"/>
      <c r="DP658" s="54"/>
      <c r="DQ658" s="54"/>
      <c r="DR658" s="54"/>
      <c r="DS658" s="54"/>
      <c r="DT658" s="54"/>
      <c r="DU658" s="54"/>
      <c r="DV658" s="54"/>
      <c r="DW658" s="54"/>
      <c r="DX658" s="54"/>
      <c r="DY658" s="54"/>
      <c r="DZ658" s="54"/>
      <c r="EA658" s="54"/>
      <c r="EB658" s="54"/>
      <c r="EC658" s="54"/>
    </row>
    <row r="659" spans="1:133" ht="46.8" x14ac:dyDescent="0.25">
      <c r="A659" s="59" t="s">
        <v>13</v>
      </c>
      <c r="B659" s="60" t="s">
        <v>14</v>
      </c>
      <c r="C659" s="53" t="s">
        <v>15</v>
      </c>
      <c r="D659" s="53" t="s">
        <v>369</v>
      </c>
      <c r="E659" s="61">
        <f>SUM(F659:Q659)</f>
        <v>3777.3842010421786</v>
      </c>
      <c r="F659" s="62">
        <f>$E$660*$E$661*F662*$E$673</f>
        <v>311.89691106067835</v>
      </c>
      <c r="G659" s="62">
        <f t="shared" ref="G659:Q659" si="84">$E$660*$E$661*G662*$E$673</f>
        <v>281.6198223349985</v>
      </c>
      <c r="H659" s="62">
        <f t="shared" si="84"/>
        <v>311.99068723836552</v>
      </c>
      <c r="I659" s="62">
        <f t="shared" si="84"/>
        <v>301.64171538913706</v>
      </c>
      <c r="J659" s="62">
        <f t="shared" si="84"/>
        <v>349.21825316491442</v>
      </c>
      <c r="K659" s="62">
        <f t="shared" si="84"/>
        <v>300.0122008763982</v>
      </c>
      <c r="L659" s="62">
        <f t="shared" si="84"/>
        <v>309.97542486832128</v>
      </c>
      <c r="M659" s="62">
        <f t="shared" si="84"/>
        <v>309.35552552527821</v>
      </c>
      <c r="N659" s="62">
        <f t="shared" si="84"/>
        <v>338.21058004200643</v>
      </c>
      <c r="O659" s="62">
        <f t="shared" si="84"/>
        <v>349.70549107540666</v>
      </c>
      <c r="P659" s="62">
        <f t="shared" si="84"/>
        <v>301.89784256245997</v>
      </c>
      <c r="Q659" s="62">
        <f t="shared" si="84"/>
        <v>311.85974690421421</v>
      </c>
    </row>
    <row r="660" spans="1:133" ht="31.2" x14ac:dyDescent="0.25">
      <c r="A660" s="63" t="s">
        <v>16</v>
      </c>
      <c r="B660" s="60" t="s">
        <v>193</v>
      </c>
      <c r="C660" s="35" t="s">
        <v>17</v>
      </c>
      <c r="D660" s="35" t="s">
        <v>205</v>
      </c>
      <c r="E660" s="168">
        <v>28</v>
      </c>
      <c r="F660" s="169"/>
      <c r="G660" s="169"/>
      <c r="H660" s="169"/>
      <c r="I660" s="169"/>
      <c r="J660" s="169"/>
      <c r="K660" s="169"/>
      <c r="L660" s="169"/>
      <c r="M660" s="169"/>
      <c r="N660" s="169"/>
      <c r="O660" s="169"/>
      <c r="P660" s="169"/>
      <c r="Q660" s="170"/>
    </row>
    <row r="661" spans="1:133" ht="64.8" x14ac:dyDescent="0.25">
      <c r="A661" s="63" t="s">
        <v>18</v>
      </c>
      <c r="B661" s="25" t="s">
        <v>194</v>
      </c>
      <c r="C661" s="35" t="s">
        <v>20</v>
      </c>
      <c r="D661" s="35" t="s">
        <v>394</v>
      </c>
      <c r="E661" s="168">
        <v>0.21</v>
      </c>
      <c r="F661" s="169"/>
      <c r="G661" s="169"/>
      <c r="H661" s="169"/>
      <c r="I661" s="169"/>
      <c r="J661" s="169"/>
      <c r="K661" s="169"/>
      <c r="L661" s="169"/>
      <c r="M661" s="169"/>
      <c r="N661" s="169"/>
      <c r="O661" s="169"/>
      <c r="P661" s="169"/>
      <c r="Q661" s="170"/>
    </row>
    <row r="662" spans="1:133" ht="46.8" x14ac:dyDescent="0.25">
      <c r="A662" s="35" t="s">
        <v>21</v>
      </c>
      <c r="B662" s="25" t="s">
        <v>195</v>
      </c>
      <c r="C662" s="53" t="s">
        <v>22</v>
      </c>
      <c r="D662" s="53" t="s">
        <v>370</v>
      </c>
      <c r="E662" s="64">
        <f t="shared" ref="E662:Q662" si="85">E670*E663</f>
        <v>1100.5512215312035</v>
      </c>
      <c r="F662" s="64">
        <f t="shared" si="85"/>
        <v>90.872018357289107</v>
      </c>
      <c r="G662" s="64">
        <f t="shared" si="85"/>
        <v>82.050705721878018</v>
      </c>
      <c r="H662" s="64">
        <f t="shared" si="85"/>
        <v>90.899340303220796</v>
      </c>
      <c r="I662" s="64">
        <f t="shared" si="85"/>
        <v>87.884139041162783</v>
      </c>
      <c r="J662" s="64">
        <f t="shared" si="85"/>
        <v>101.74569348693799</v>
      </c>
      <c r="K662" s="64">
        <f t="shared" si="85"/>
        <v>87.409375529682336</v>
      </c>
      <c r="L662" s="64">
        <f t="shared" si="85"/>
        <v>90.31218809814564</v>
      </c>
      <c r="M662" s="64">
        <f t="shared" si="85"/>
        <v>90.13157872856543</v>
      </c>
      <c r="N662" s="64">
        <f t="shared" si="85"/>
        <v>98.538577806650508</v>
      </c>
      <c r="O662" s="64">
        <f t="shared" si="85"/>
        <v>101.88765158519567</v>
      </c>
      <c r="P662" s="64">
        <f t="shared" si="85"/>
        <v>87.958762393849568</v>
      </c>
      <c r="Q662" s="64">
        <f t="shared" si="85"/>
        <v>90.861190478625744</v>
      </c>
    </row>
    <row r="663" spans="1:133" ht="46.8" x14ac:dyDescent="0.25">
      <c r="A663" s="35" t="s">
        <v>23</v>
      </c>
      <c r="B663" s="25" t="s">
        <v>197</v>
      </c>
      <c r="C663" s="35" t="s">
        <v>191</v>
      </c>
      <c r="D663" s="35" t="s">
        <v>371</v>
      </c>
      <c r="E663" s="20">
        <f>SUM(F663:Q663)</f>
        <v>1149.6062531393243</v>
      </c>
      <c r="F663" s="20">
        <f>F665*F668</f>
        <v>94.922470208688154</v>
      </c>
      <c r="G663" s="20">
        <f t="shared" ref="G663:Q663" si="86">G665*G668</f>
        <v>85.707963906604149</v>
      </c>
      <c r="H663" s="20">
        <f t="shared" si="86"/>
        <v>94.95100997973789</v>
      </c>
      <c r="I663" s="20">
        <f t="shared" si="86"/>
        <v>91.801411707962046</v>
      </c>
      <c r="J663" s="20">
        <f t="shared" si="86"/>
        <v>106.2808192605914</v>
      </c>
      <c r="K663" s="20">
        <f t="shared" si="86"/>
        <v>91.305486492595008</v>
      </c>
      <c r="L663" s="20">
        <f t="shared" si="86"/>
        <v>94.337686552991954</v>
      </c>
      <c r="M663" s="20">
        <f t="shared" si="86"/>
        <v>94.149026855394155</v>
      </c>
      <c r="N663" s="20">
        <f t="shared" si="86"/>
        <v>102.93075234097086</v>
      </c>
      <c r="O663" s="20">
        <f t="shared" si="86"/>
        <v>106.4291048780602</v>
      </c>
      <c r="P663" s="20">
        <f t="shared" si="86"/>
        <v>91.879361258333347</v>
      </c>
      <c r="Q663" s="20">
        <f t="shared" si="86"/>
        <v>94.911159697395163</v>
      </c>
    </row>
    <row r="664" spans="1:133" ht="62.4" x14ac:dyDescent="0.25">
      <c r="A664" s="17" t="s">
        <v>335</v>
      </c>
      <c r="B664" s="60" t="s">
        <v>192</v>
      </c>
      <c r="C664" s="35" t="s">
        <v>25</v>
      </c>
      <c r="D664" s="35" t="s">
        <v>333</v>
      </c>
      <c r="E664" s="121">
        <f>AVERAGE(F664:Q664)</f>
        <v>6298.797721415769</v>
      </c>
      <c r="F664" s="121">
        <v>5940.0670967741944</v>
      </c>
      <c r="G664" s="121">
        <v>5939.7564999999986</v>
      </c>
      <c r="H664" s="121">
        <v>5940.7037096774193</v>
      </c>
      <c r="I664" s="121">
        <v>5940.5163999999986</v>
      </c>
      <c r="J664" s="121">
        <v>6658.1701612903225</v>
      </c>
      <c r="K664" s="121">
        <v>6658.0488999999998</v>
      </c>
      <c r="L664" s="121">
        <v>6657.5095161290328</v>
      </c>
      <c r="M664" s="121">
        <v>6656.203032258064</v>
      </c>
      <c r="N664" s="121">
        <v>6656.3145666666669</v>
      </c>
      <c r="O664" s="121">
        <v>6656.9192258064522</v>
      </c>
      <c r="P664" s="121">
        <v>5940.7000000000007</v>
      </c>
      <c r="Q664" s="121">
        <v>5940.6635483870969</v>
      </c>
    </row>
    <row r="665" spans="1:133" ht="46.8" x14ac:dyDescent="0.25">
      <c r="A665" s="35" t="s">
        <v>26</v>
      </c>
      <c r="B665" s="60" t="s">
        <v>198</v>
      </c>
      <c r="C665" s="35" t="s">
        <v>27</v>
      </c>
      <c r="D665" s="35" t="s">
        <v>206</v>
      </c>
      <c r="E665" s="65">
        <f>SUM(F665:Q665)</f>
        <v>2300137.9029999999</v>
      </c>
      <c r="F665" s="65">
        <f>F664*F658</f>
        <v>184142.08000000002</v>
      </c>
      <c r="G665" s="65">
        <f t="shared" ref="G665:Q665" si="87">G664*G658</f>
        <v>166313.18199999997</v>
      </c>
      <c r="H665" s="65">
        <f t="shared" si="87"/>
        <v>184161.815</v>
      </c>
      <c r="I665" s="65">
        <f t="shared" si="87"/>
        <v>178215.49199999997</v>
      </c>
      <c r="J665" s="65">
        <f t="shared" si="87"/>
        <v>206403.27499999999</v>
      </c>
      <c r="K665" s="65">
        <f t="shared" si="87"/>
        <v>199741.467</v>
      </c>
      <c r="L665" s="65">
        <f t="shared" si="87"/>
        <v>206382.79500000001</v>
      </c>
      <c r="M665" s="65">
        <f t="shared" si="87"/>
        <v>206342.29399999999</v>
      </c>
      <c r="N665" s="65">
        <f t="shared" si="87"/>
        <v>199689.43700000001</v>
      </c>
      <c r="O665" s="65">
        <f t="shared" si="87"/>
        <v>206364.49600000001</v>
      </c>
      <c r="P665" s="65">
        <f t="shared" si="87"/>
        <v>178221.00000000003</v>
      </c>
      <c r="Q665" s="65">
        <f t="shared" si="87"/>
        <v>184160.57</v>
      </c>
    </row>
    <row r="666" spans="1:133" ht="62.4" x14ac:dyDescent="0.25">
      <c r="A666" s="35" t="s">
        <v>28</v>
      </c>
      <c r="B666" s="60" t="s">
        <v>199</v>
      </c>
      <c r="C666" s="35" t="s">
        <v>29</v>
      </c>
      <c r="D666" s="35" t="s">
        <v>332</v>
      </c>
      <c r="E666" s="125">
        <f>AVERAGE(F666:Q666)</f>
        <v>500.75281753137733</v>
      </c>
      <c r="F666" s="125">
        <v>515.48494623655904</v>
      </c>
      <c r="G666" s="125">
        <v>515.34077380952385</v>
      </c>
      <c r="H666" s="125">
        <v>515.58467741935476</v>
      </c>
      <c r="I666" s="125">
        <v>515.11465517241368</v>
      </c>
      <c r="J666" s="125">
        <v>514.91827956989243</v>
      </c>
      <c r="K666" s="125">
        <v>457.1183333333334</v>
      </c>
      <c r="L666" s="125">
        <v>457.10053763440868</v>
      </c>
      <c r="M666" s="125">
        <v>456.27595307917903</v>
      </c>
      <c r="N666" s="125">
        <v>515.45416666666677</v>
      </c>
      <c r="O666" s="125">
        <v>515.73360215053754</v>
      </c>
      <c r="P666" s="125">
        <v>515.53611111111115</v>
      </c>
      <c r="Q666" s="125">
        <v>515.37177419354839</v>
      </c>
    </row>
    <row r="667" spans="1:133" ht="62.4" x14ac:dyDescent="0.25">
      <c r="A667" s="35" t="s">
        <v>30</v>
      </c>
      <c r="B667" s="60" t="s">
        <v>199</v>
      </c>
      <c r="C667" s="35" t="s">
        <v>31</v>
      </c>
      <c r="D667" s="35" t="s">
        <v>331</v>
      </c>
      <c r="E667" s="125">
        <f>AVERAGE(F667:Q667)</f>
        <v>20.074424574583432</v>
      </c>
      <c r="F667" s="125">
        <v>20.623118279569894</v>
      </c>
      <c r="G667" s="125">
        <v>20.277083333333334</v>
      </c>
      <c r="H667" s="125">
        <v>20.26586021505376</v>
      </c>
      <c r="I667" s="125">
        <v>20.343103448275858</v>
      </c>
      <c r="J667" s="125">
        <v>20.066129032258065</v>
      </c>
      <c r="K667" s="125">
        <v>19.479166666666668</v>
      </c>
      <c r="L667" s="125">
        <v>20.118010752688175</v>
      </c>
      <c r="M667" s="125">
        <v>19.483284457478003</v>
      </c>
      <c r="N667" s="125">
        <v>19.529722222222226</v>
      </c>
      <c r="O667" s="125">
        <v>20.55806451612904</v>
      </c>
      <c r="P667" s="125">
        <v>20.036111111111108</v>
      </c>
      <c r="Q667" s="125">
        <v>20.113440860215057</v>
      </c>
    </row>
    <row r="668" spans="1:133" ht="62.4" x14ac:dyDescent="0.25">
      <c r="A668" s="35" t="s">
        <v>32</v>
      </c>
      <c r="B668" s="60" t="s">
        <v>200</v>
      </c>
      <c r="C668" s="35" t="s">
        <v>34</v>
      </c>
      <c r="D668" s="35" t="s">
        <v>338</v>
      </c>
      <c r="E668" s="122">
        <f>E666/1000000</f>
        <v>5.0075281753137737E-4</v>
      </c>
      <c r="F668" s="120">
        <f>F666/1000000</f>
        <v>5.1548494623655902E-4</v>
      </c>
      <c r="G668" s="120">
        <f t="shared" ref="G668:Q669" si="88">G666/1000000</f>
        <v>5.1534077380952382E-4</v>
      </c>
      <c r="H668" s="120">
        <f t="shared" si="88"/>
        <v>5.155846774193548E-4</v>
      </c>
      <c r="I668" s="120">
        <f t="shared" si="88"/>
        <v>5.1511465517241372E-4</v>
      </c>
      <c r="J668" s="120">
        <f t="shared" si="88"/>
        <v>5.1491827956989247E-4</v>
      </c>
      <c r="K668" s="120">
        <f t="shared" si="88"/>
        <v>4.5711833333333338E-4</v>
      </c>
      <c r="L668" s="120">
        <f t="shared" si="88"/>
        <v>4.5710053763440867E-4</v>
      </c>
      <c r="M668" s="120">
        <f t="shared" si="88"/>
        <v>4.5627595307917902E-4</v>
      </c>
      <c r="N668" s="120">
        <f t="shared" si="88"/>
        <v>5.1545416666666673E-4</v>
      </c>
      <c r="O668" s="120">
        <f t="shared" si="88"/>
        <v>5.1573360215053754E-4</v>
      </c>
      <c r="P668" s="120">
        <f t="shared" si="88"/>
        <v>5.1553611111111112E-4</v>
      </c>
      <c r="Q668" s="120">
        <f t="shared" si="88"/>
        <v>5.1537177419354839E-4</v>
      </c>
    </row>
    <row r="669" spans="1:133" ht="62.4" x14ac:dyDescent="0.25">
      <c r="A669" s="35" t="s">
        <v>30</v>
      </c>
      <c r="B669" s="60" t="s">
        <v>33</v>
      </c>
      <c r="C669" s="35" t="s">
        <v>35</v>
      </c>
      <c r="D669" s="35" t="s">
        <v>339</v>
      </c>
      <c r="E669" s="122">
        <f>E667/1000000</f>
        <v>2.0074424574583432E-5</v>
      </c>
      <c r="F669" s="120">
        <f>F667/1000000</f>
        <v>2.0623118279569894E-5</v>
      </c>
      <c r="G669" s="120">
        <f t="shared" si="88"/>
        <v>2.0277083333333333E-5</v>
      </c>
      <c r="H669" s="120">
        <f t="shared" si="88"/>
        <v>2.026586021505376E-5</v>
      </c>
      <c r="I669" s="120">
        <f t="shared" si="88"/>
        <v>2.034310344827586E-5</v>
      </c>
      <c r="J669" s="120">
        <f t="shared" si="88"/>
        <v>2.0066129032258064E-5</v>
      </c>
      <c r="K669" s="120">
        <f t="shared" si="88"/>
        <v>1.9479166666666668E-5</v>
      </c>
      <c r="L669" s="120">
        <f t="shared" si="88"/>
        <v>2.0118010752688175E-5</v>
      </c>
      <c r="M669" s="120">
        <f t="shared" si="88"/>
        <v>1.9483284457478002E-5</v>
      </c>
      <c r="N669" s="120">
        <f t="shared" si="88"/>
        <v>1.9529722222222225E-5</v>
      </c>
      <c r="O669" s="120">
        <f t="shared" si="88"/>
        <v>2.0558064516129041E-5</v>
      </c>
      <c r="P669" s="120">
        <f t="shared" si="88"/>
        <v>2.0036111111111108E-5</v>
      </c>
      <c r="Q669" s="120">
        <f t="shared" si="88"/>
        <v>2.0113440860215056E-5</v>
      </c>
    </row>
    <row r="670" spans="1:133" ht="46.8" x14ac:dyDescent="0.25">
      <c r="A670" s="63" t="s">
        <v>36</v>
      </c>
      <c r="B670" s="25" t="s">
        <v>201</v>
      </c>
      <c r="C670" s="35" t="s">
        <v>38</v>
      </c>
      <c r="D670" s="35" t="s">
        <v>368</v>
      </c>
      <c r="E670" s="68">
        <f>(1-(E671/E672))</f>
        <v>0.95732884065812784</v>
      </c>
      <c r="F670" s="68">
        <f>E670</f>
        <v>0.95732884065812784</v>
      </c>
      <c r="G670" s="68">
        <f>E670</f>
        <v>0.95732884065812784</v>
      </c>
      <c r="H670" s="68">
        <f>E670</f>
        <v>0.95732884065812784</v>
      </c>
      <c r="I670" s="68">
        <f>E670</f>
        <v>0.95732884065812784</v>
      </c>
      <c r="J670" s="68">
        <f>E670</f>
        <v>0.95732884065812784</v>
      </c>
      <c r="K670" s="68">
        <f>E670</f>
        <v>0.95732884065812784</v>
      </c>
      <c r="L670" s="68">
        <f>E670</f>
        <v>0.95732884065812784</v>
      </c>
      <c r="M670" s="68">
        <f>E670</f>
        <v>0.95732884065812784</v>
      </c>
      <c r="N670" s="68">
        <f>E670</f>
        <v>0.95732884065812784</v>
      </c>
      <c r="O670" s="68">
        <f>E670</f>
        <v>0.95732884065812784</v>
      </c>
      <c r="P670" s="68">
        <f>E670</f>
        <v>0.95732884065812784</v>
      </c>
      <c r="Q670" s="68">
        <f>E670</f>
        <v>0.95732884065812784</v>
      </c>
    </row>
    <row r="671" spans="1:133" ht="31.2" x14ac:dyDescent="0.25">
      <c r="A671" s="35" t="s">
        <v>39</v>
      </c>
      <c r="B671" s="25" t="s">
        <v>196</v>
      </c>
      <c r="C671" s="35" t="s">
        <v>40</v>
      </c>
      <c r="D671" s="35" t="s">
        <v>351</v>
      </c>
      <c r="E671" s="52">
        <f>SUM(F671:Q671)</f>
        <v>47.169475782499994</v>
      </c>
      <c r="F671" s="52">
        <v>4.0061746554999997</v>
      </c>
      <c r="G671" s="52">
        <v>3.6184803340000005</v>
      </c>
      <c r="H671" s="52">
        <v>4.0061746554999997</v>
      </c>
      <c r="I671" s="52">
        <v>3.8769432150000003</v>
      </c>
      <c r="J671" s="52">
        <v>4.0061746554999997</v>
      </c>
      <c r="K671" s="52">
        <v>3.8769432150000003</v>
      </c>
      <c r="L671" s="52">
        <v>4.0061746554999997</v>
      </c>
      <c r="M671" s="52">
        <v>4.0061746554999997</v>
      </c>
      <c r="N671" s="52">
        <v>3.8769432150000003</v>
      </c>
      <c r="O671" s="52">
        <v>4.0061746554999997</v>
      </c>
      <c r="P671" s="52">
        <v>3.8769432150000003</v>
      </c>
      <c r="Q671" s="52">
        <v>4.0061746554999997</v>
      </c>
    </row>
    <row r="672" spans="1:133" ht="31.2" x14ac:dyDescent="0.25">
      <c r="A672" s="63" t="s">
        <v>41</v>
      </c>
      <c r="B672" s="25" t="s">
        <v>24</v>
      </c>
      <c r="C672" s="35" t="s">
        <v>42</v>
      </c>
      <c r="D672" s="35" t="s">
        <v>351</v>
      </c>
      <c r="E672" s="52">
        <f>SUM(F672:Q672)</f>
        <v>1105.4181913500001</v>
      </c>
      <c r="F672" s="52">
        <v>93.884832689999996</v>
      </c>
      <c r="G672" s="52">
        <v>84.799203720000008</v>
      </c>
      <c r="H672" s="52">
        <v>93.884832689999996</v>
      </c>
      <c r="I672" s="52">
        <v>90.856289700000005</v>
      </c>
      <c r="J672" s="52">
        <v>93.884832689999996</v>
      </c>
      <c r="K672" s="52">
        <v>90.856289700000005</v>
      </c>
      <c r="L672" s="52">
        <v>93.884832689999996</v>
      </c>
      <c r="M672" s="52">
        <v>93.884832689999996</v>
      </c>
      <c r="N672" s="52">
        <v>90.856289700000005</v>
      </c>
      <c r="O672" s="52">
        <v>93.884832689999996</v>
      </c>
      <c r="P672" s="52">
        <v>90.856289700000005</v>
      </c>
      <c r="Q672" s="52">
        <v>93.884832689999996</v>
      </c>
    </row>
    <row r="673" spans="1:133" ht="31.2" x14ac:dyDescent="0.25">
      <c r="A673" s="53" t="s">
        <v>43</v>
      </c>
      <c r="B673" s="25" t="s">
        <v>201</v>
      </c>
      <c r="C673" s="53" t="s">
        <v>44</v>
      </c>
      <c r="D673" s="35" t="s">
        <v>372</v>
      </c>
      <c r="E673" s="192">
        <f>E674*E675*0.89</f>
        <v>0.58371865527077771</v>
      </c>
      <c r="F673" s="193"/>
      <c r="G673" s="193"/>
      <c r="H673" s="193"/>
      <c r="I673" s="193"/>
      <c r="J673" s="193"/>
      <c r="K673" s="193"/>
      <c r="L673" s="193"/>
      <c r="M673" s="193"/>
      <c r="N673" s="193"/>
      <c r="O673" s="193"/>
      <c r="P673" s="193"/>
      <c r="Q673" s="194"/>
    </row>
    <row r="674" spans="1:133" ht="31.2" x14ac:dyDescent="0.25">
      <c r="A674" s="70" t="s">
        <v>45</v>
      </c>
      <c r="B674" s="25" t="s">
        <v>201</v>
      </c>
      <c r="C674" s="53" t="s">
        <v>46</v>
      </c>
      <c r="D674" s="35" t="s">
        <v>373</v>
      </c>
      <c r="E674" s="162">
        <v>0.7</v>
      </c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4"/>
    </row>
    <row r="675" spans="1:133" ht="36" customHeight="1" x14ac:dyDescent="0.25">
      <c r="A675" s="70" t="s">
        <v>47</v>
      </c>
      <c r="B675" s="25" t="s">
        <v>37</v>
      </c>
      <c r="C675" s="53" t="s">
        <v>48</v>
      </c>
      <c r="D675" s="35" t="s">
        <v>374</v>
      </c>
      <c r="E675" s="159">
        <f>(F676*F681+G676*G681+H676*H681+I676*I681+J676*J681+K676*K681+L676*L681+M676*M681+N676*N681+O676*O681+P676*P681+Q676*Q681)/(F670*F665*F668+G670*G668*G665+H670*H665*H668+I670*I668*I665+J670*J668*J665+K670*K668*K665+L670*L668*L665+M670*M668*M665+N670*N668*N665+O670*O665*O668+P670*P668*P665+Q670*Q668*Q665)</f>
        <v>0.93694808229659343</v>
      </c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1"/>
    </row>
    <row r="676" spans="1:133" s="9" customFormat="1" ht="46.8" x14ac:dyDescent="0.4">
      <c r="A676" s="71" t="s">
        <v>49</v>
      </c>
      <c r="B676" s="25" t="s">
        <v>37</v>
      </c>
      <c r="C676" s="53" t="s">
        <v>50</v>
      </c>
      <c r="D676" s="53" t="s">
        <v>375</v>
      </c>
      <c r="E676" s="72">
        <f>AVERAGE(F676:Q676)</f>
        <v>0.60592893399371917</v>
      </c>
      <c r="F676" s="72">
        <f>IF(F680&lt;283,0,IF(F680&gt;303,1,EXP(($E$677*(F680-$E$678))/($E$679*$E$678*F680))))</f>
        <v>0.21347704492026076</v>
      </c>
      <c r="G676" s="72">
        <f t="shared" ref="G676:Q676" si="89">IF(G680&lt;283,0,IF(G680&gt;303,1,EXP(($E$677*(G680-$E$678))/($E$679*$E$678*G680))))</f>
        <v>0.37002059672690846</v>
      </c>
      <c r="H676" s="72">
        <f t="shared" si="89"/>
        <v>0.40465607403307924</v>
      </c>
      <c r="I676" s="72">
        <f t="shared" si="89"/>
        <v>0.52733825786216582</v>
      </c>
      <c r="J676" s="72">
        <f t="shared" si="89"/>
        <v>0.77675425208684001</v>
      </c>
      <c r="K676" s="72">
        <f t="shared" si="89"/>
        <v>0.88152221926734242</v>
      </c>
      <c r="L676" s="72">
        <f t="shared" si="89"/>
        <v>1</v>
      </c>
      <c r="M676" s="72">
        <f t="shared" si="89"/>
        <v>0.95843738031531212</v>
      </c>
      <c r="N676" s="72">
        <f t="shared" si="89"/>
        <v>1</v>
      </c>
      <c r="O676" s="72">
        <f t="shared" si="89"/>
        <v>0.55084569341606926</v>
      </c>
      <c r="P676" s="72">
        <f t="shared" si="89"/>
        <v>0.35374940126825682</v>
      </c>
      <c r="Q676" s="72">
        <f t="shared" si="89"/>
        <v>0.23434628802839541</v>
      </c>
      <c r="R676" s="78"/>
      <c r="S676" s="78"/>
      <c r="T676" s="78"/>
      <c r="U676" s="78"/>
      <c r="V676" s="78"/>
      <c r="W676" s="78"/>
      <c r="X676" s="78"/>
      <c r="Y676" s="78"/>
      <c r="Z676" s="78"/>
      <c r="AA676" s="78"/>
      <c r="AB676" s="78"/>
      <c r="AC676" s="78"/>
      <c r="AD676" s="78"/>
      <c r="AE676" s="78"/>
      <c r="AF676" s="78"/>
      <c r="AG676" s="78"/>
      <c r="AH676" s="78"/>
      <c r="AI676" s="78"/>
      <c r="AJ676" s="78"/>
      <c r="AK676" s="78"/>
      <c r="AL676" s="78"/>
      <c r="AM676" s="78"/>
      <c r="AN676" s="78"/>
      <c r="AO676" s="78"/>
      <c r="AP676" s="78"/>
      <c r="AQ676" s="78"/>
      <c r="AR676" s="78"/>
      <c r="AS676" s="78"/>
      <c r="AT676" s="78"/>
      <c r="AU676" s="78"/>
      <c r="AV676" s="78"/>
      <c r="AW676" s="78"/>
      <c r="AX676" s="78"/>
      <c r="AY676" s="78"/>
      <c r="AZ676" s="78"/>
      <c r="BA676" s="78"/>
      <c r="BB676" s="78"/>
      <c r="BC676" s="78"/>
      <c r="BD676" s="78"/>
      <c r="BE676" s="78"/>
      <c r="BF676" s="78"/>
      <c r="BG676" s="78"/>
      <c r="BH676" s="78"/>
      <c r="BI676" s="78"/>
      <c r="BJ676" s="78"/>
      <c r="BK676" s="78"/>
      <c r="BL676" s="78"/>
      <c r="BM676" s="78"/>
      <c r="BN676" s="78"/>
      <c r="BO676" s="78"/>
      <c r="BP676" s="78"/>
      <c r="BQ676" s="78"/>
      <c r="BR676" s="78"/>
      <c r="BS676" s="78"/>
      <c r="BT676" s="78"/>
      <c r="BU676" s="78"/>
      <c r="BV676" s="78"/>
      <c r="BW676" s="78"/>
      <c r="BX676" s="78"/>
      <c r="BY676" s="78"/>
      <c r="BZ676" s="78"/>
      <c r="CA676" s="78"/>
      <c r="CB676" s="78"/>
      <c r="CC676" s="78"/>
      <c r="CD676" s="78"/>
      <c r="CE676" s="78"/>
      <c r="CF676" s="78"/>
      <c r="CG676" s="78"/>
      <c r="CH676" s="78"/>
      <c r="CI676" s="78"/>
      <c r="CJ676" s="78"/>
      <c r="CK676" s="78"/>
      <c r="CL676" s="78"/>
      <c r="CM676" s="78"/>
      <c r="CN676" s="78"/>
      <c r="CO676" s="78"/>
      <c r="CP676" s="78"/>
      <c r="CQ676" s="78"/>
      <c r="CR676" s="78"/>
      <c r="CS676" s="78"/>
      <c r="CT676" s="78"/>
      <c r="CU676" s="78"/>
      <c r="CV676" s="78"/>
      <c r="CW676" s="78"/>
      <c r="CX676" s="78"/>
      <c r="CY676" s="78"/>
      <c r="CZ676" s="78"/>
      <c r="DA676" s="78"/>
      <c r="DB676" s="78"/>
      <c r="DC676" s="78"/>
      <c r="DD676" s="78"/>
      <c r="DE676" s="78"/>
      <c r="DF676" s="78"/>
      <c r="DG676" s="78"/>
      <c r="DH676" s="78"/>
      <c r="DI676" s="78"/>
      <c r="DJ676" s="78"/>
      <c r="DK676" s="78"/>
      <c r="DL676" s="78"/>
      <c r="DM676" s="78"/>
      <c r="DN676" s="78"/>
      <c r="DO676" s="78"/>
      <c r="DP676" s="78"/>
      <c r="DQ676" s="78"/>
      <c r="DR676" s="78"/>
      <c r="DS676" s="78"/>
      <c r="DT676" s="78"/>
      <c r="DU676" s="78"/>
      <c r="DV676" s="78"/>
      <c r="DW676" s="78"/>
      <c r="DX676" s="78"/>
      <c r="DY676" s="78"/>
      <c r="DZ676" s="78"/>
      <c r="EA676" s="78"/>
      <c r="EB676" s="78"/>
      <c r="EC676" s="78"/>
    </row>
    <row r="677" spans="1:133" s="9" customFormat="1" x14ac:dyDescent="0.25">
      <c r="A677" s="73" t="s">
        <v>51</v>
      </c>
      <c r="B677" s="60" t="s">
        <v>202</v>
      </c>
      <c r="C677" s="53" t="s">
        <v>53</v>
      </c>
      <c r="D677" s="53" t="s">
        <v>376</v>
      </c>
      <c r="E677" s="162">
        <v>15175</v>
      </c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4"/>
      <c r="R677" s="78"/>
      <c r="S677" s="78"/>
      <c r="T677" s="78"/>
      <c r="U677" s="78"/>
      <c r="V677" s="78"/>
      <c r="W677" s="78"/>
      <c r="X677" s="78"/>
      <c r="Y677" s="78"/>
      <c r="Z677" s="78"/>
      <c r="AA677" s="78"/>
      <c r="AB677" s="78"/>
      <c r="AC677" s="78"/>
      <c r="AD677" s="78"/>
      <c r="AE677" s="78"/>
      <c r="AF677" s="78"/>
      <c r="AG677" s="78"/>
      <c r="AH677" s="78"/>
      <c r="AI677" s="78"/>
      <c r="AJ677" s="78"/>
      <c r="AK677" s="78"/>
      <c r="AL677" s="78"/>
      <c r="AM677" s="78"/>
      <c r="AN677" s="78"/>
      <c r="AO677" s="78"/>
      <c r="AP677" s="78"/>
      <c r="AQ677" s="78"/>
      <c r="AR677" s="78"/>
      <c r="AS677" s="78"/>
      <c r="AT677" s="78"/>
      <c r="AU677" s="78"/>
      <c r="AV677" s="78"/>
      <c r="AW677" s="78"/>
      <c r="AX677" s="78"/>
      <c r="AY677" s="78"/>
      <c r="AZ677" s="78"/>
      <c r="BA677" s="78"/>
      <c r="BB677" s="78"/>
      <c r="BC677" s="78"/>
      <c r="BD677" s="78"/>
      <c r="BE677" s="78"/>
      <c r="BF677" s="78"/>
      <c r="BG677" s="78"/>
      <c r="BH677" s="78"/>
      <c r="BI677" s="78"/>
      <c r="BJ677" s="78"/>
      <c r="BK677" s="78"/>
      <c r="BL677" s="78"/>
      <c r="BM677" s="78"/>
      <c r="BN677" s="78"/>
      <c r="BO677" s="78"/>
      <c r="BP677" s="78"/>
      <c r="BQ677" s="78"/>
      <c r="BR677" s="78"/>
      <c r="BS677" s="78"/>
      <c r="BT677" s="78"/>
      <c r="BU677" s="78"/>
      <c r="BV677" s="78"/>
      <c r="BW677" s="78"/>
      <c r="BX677" s="78"/>
      <c r="BY677" s="78"/>
      <c r="BZ677" s="78"/>
      <c r="CA677" s="78"/>
      <c r="CB677" s="78"/>
      <c r="CC677" s="78"/>
      <c r="CD677" s="78"/>
      <c r="CE677" s="78"/>
      <c r="CF677" s="78"/>
      <c r="CG677" s="78"/>
      <c r="CH677" s="78"/>
      <c r="CI677" s="78"/>
      <c r="CJ677" s="78"/>
      <c r="CK677" s="78"/>
      <c r="CL677" s="78"/>
      <c r="CM677" s="78"/>
      <c r="CN677" s="78"/>
      <c r="CO677" s="78"/>
      <c r="CP677" s="78"/>
      <c r="CQ677" s="78"/>
      <c r="CR677" s="78"/>
      <c r="CS677" s="78"/>
      <c r="CT677" s="78"/>
      <c r="CU677" s="78"/>
      <c r="CV677" s="78"/>
      <c r="CW677" s="78"/>
      <c r="CX677" s="78"/>
      <c r="CY677" s="78"/>
      <c r="CZ677" s="78"/>
      <c r="DA677" s="78"/>
      <c r="DB677" s="78"/>
      <c r="DC677" s="78"/>
      <c r="DD677" s="78"/>
      <c r="DE677" s="78"/>
      <c r="DF677" s="78"/>
      <c r="DG677" s="78"/>
      <c r="DH677" s="78"/>
      <c r="DI677" s="78"/>
      <c r="DJ677" s="78"/>
      <c r="DK677" s="78"/>
      <c r="DL677" s="78"/>
      <c r="DM677" s="78"/>
      <c r="DN677" s="78"/>
      <c r="DO677" s="78"/>
      <c r="DP677" s="78"/>
      <c r="DQ677" s="78"/>
      <c r="DR677" s="78"/>
      <c r="DS677" s="78"/>
      <c r="DT677" s="78"/>
      <c r="DU677" s="78"/>
      <c r="DV677" s="78"/>
      <c r="DW677" s="78"/>
      <c r="DX677" s="78"/>
      <c r="DY677" s="78"/>
      <c r="DZ677" s="78"/>
      <c r="EA677" s="78"/>
      <c r="EB677" s="78"/>
      <c r="EC677" s="78"/>
    </row>
    <row r="678" spans="1:133" s="9" customFormat="1" ht="18" x14ac:dyDescent="0.25">
      <c r="A678" s="73" t="s">
        <v>54</v>
      </c>
      <c r="B678" s="60" t="s">
        <v>203</v>
      </c>
      <c r="C678" s="53" t="s">
        <v>56</v>
      </c>
      <c r="D678" s="53" t="s">
        <v>376</v>
      </c>
      <c r="E678" s="162">
        <v>303.16000000000003</v>
      </c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4"/>
      <c r="R678" s="78"/>
      <c r="S678" s="78"/>
      <c r="T678" s="78"/>
      <c r="U678" s="78"/>
      <c r="V678" s="78"/>
      <c r="W678" s="78"/>
      <c r="X678" s="78"/>
      <c r="Y678" s="78"/>
      <c r="Z678" s="78"/>
      <c r="AA678" s="78"/>
      <c r="AB678" s="78"/>
      <c r="AC678" s="78"/>
      <c r="AD678" s="78"/>
      <c r="AE678" s="78"/>
      <c r="AF678" s="78"/>
      <c r="AG678" s="78"/>
      <c r="AH678" s="78"/>
      <c r="AI678" s="78"/>
      <c r="AJ678" s="78"/>
      <c r="AK678" s="78"/>
      <c r="AL678" s="78"/>
      <c r="AM678" s="78"/>
      <c r="AN678" s="78"/>
      <c r="AO678" s="78"/>
      <c r="AP678" s="78"/>
      <c r="AQ678" s="78"/>
      <c r="AR678" s="78"/>
      <c r="AS678" s="78"/>
      <c r="AT678" s="78"/>
      <c r="AU678" s="78"/>
      <c r="AV678" s="78"/>
      <c r="AW678" s="78"/>
      <c r="AX678" s="78"/>
      <c r="AY678" s="78"/>
      <c r="AZ678" s="78"/>
      <c r="BA678" s="78"/>
      <c r="BB678" s="78"/>
      <c r="BC678" s="78"/>
      <c r="BD678" s="78"/>
      <c r="BE678" s="78"/>
      <c r="BF678" s="78"/>
      <c r="BG678" s="78"/>
      <c r="BH678" s="78"/>
      <c r="BI678" s="78"/>
      <c r="BJ678" s="78"/>
      <c r="BK678" s="78"/>
      <c r="BL678" s="78"/>
      <c r="BM678" s="78"/>
      <c r="BN678" s="78"/>
      <c r="BO678" s="78"/>
      <c r="BP678" s="78"/>
      <c r="BQ678" s="78"/>
      <c r="BR678" s="78"/>
      <c r="BS678" s="78"/>
      <c r="BT678" s="78"/>
      <c r="BU678" s="78"/>
      <c r="BV678" s="78"/>
      <c r="BW678" s="78"/>
      <c r="BX678" s="78"/>
      <c r="BY678" s="78"/>
      <c r="BZ678" s="78"/>
      <c r="CA678" s="78"/>
      <c r="CB678" s="78"/>
      <c r="CC678" s="78"/>
      <c r="CD678" s="78"/>
      <c r="CE678" s="78"/>
      <c r="CF678" s="78"/>
      <c r="CG678" s="78"/>
      <c r="CH678" s="78"/>
      <c r="CI678" s="78"/>
      <c r="CJ678" s="78"/>
      <c r="CK678" s="78"/>
      <c r="CL678" s="78"/>
      <c r="CM678" s="78"/>
      <c r="CN678" s="78"/>
      <c r="CO678" s="78"/>
      <c r="CP678" s="78"/>
      <c r="CQ678" s="78"/>
      <c r="CR678" s="78"/>
      <c r="CS678" s="78"/>
      <c r="CT678" s="78"/>
      <c r="CU678" s="78"/>
      <c r="CV678" s="78"/>
      <c r="CW678" s="78"/>
      <c r="CX678" s="78"/>
      <c r="CY678" s="78"/>
      <c r="CZ678" s="78"/>
      <c r="DA678" s="78"/>
      <c r="DB678" s="78"/>
      <c r="DC678" s="78"/>
      <c r="DD678" s="78"/>
      <c r="DE678" s="78"/>
      <c r="DF678" s="78"/>
      <c r="DG678" s="78"/>
      <c r="DH678" s="78"/>
      <c r="DI678" s="78"/>
      <c r="DJ678" s="78"/>
      <c r="DK678" s="78"/>
      <c r="DL678" s="78"/>
      <c r="DM678" s="78"/>
      <c r="DN678" s="78"/>
      <c r="DO678" s="78"/>
      <c r="DP678" s="78"/>
      <c r="DQ678" s="78"/>
      <c r="DR678" s="78"/>
      <c r="DS678" s="78"/>
      <c r="DT678" s="78"/>
      <c r="DU678" s="78"/>
      <c r="DV678" s="78"/>
      <c r="DW678" s="78"/>
      <c r="DX678" s="78"/>
      <c r="DY678" s="78"/>
      <c r="DZ678" s="78"/>
      <c r="EA678" s="78"/>
      <c r="EB678" s="78"/>
      <c r="EC678" s="78"/>
    </row>
    <row r="679" spans="1:133" s="9" customFormat="1" x14ac:dyDescent="0.25">
      <c r="A679" s="73" t="s">
        <v>57</v>
      </c>
      <c r="B679" s="60" t="s">
        <v>204</v>
      </c>
      <c r="C679" s="53" t="s">
        <v>59</v>
      </c>
      <c r="D679" s="53" t="s">
        <v>376</v>
      </c>
      <c r="E679" s="162">
        <v>1.9870000000000001</v>
      </c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4"/>
      <c r="R679" s="78"/>
      <c r="S679" s="78"/>
      <c r="T679" s="78"/>
      <c r="U679" s="78"/>
      <c r="V679" s="78"/>
      <c r="W679" s="78"/>
      <c r="X679" s="78"/>
      <c r="Y679" s="78"/>
      <c r="Z679" s="78"/>
      <c r="AA679" s="78"/>
      <c r="AB679" s="78"/>
      <c r="AC679" s="78"/>
      <c r="AD679" s="78"/>
      <c r="AE679" s="78"/>
      <c r="AF679" s="78"/>
      <c r="AG679" s="78"/>
      <c r="AH679" s="78"/>
      <c r="AI679" s="78"/>
      <c r="AJ679" s="78"/>
      <c r="AK679" s="78"/>
      <c r="AL679" s="78"/>
      <c r="AM679" s="78"/>
      <c r="AN679" s="78"/>
      <c r="AO679" s="78"/>
      <c r="AP679" s="78"/>
      <c r="AQ679" s="78"/>
      <c r="AR679" s="78"/>
      <c r="AS679" s="78"/>
      <c r="AT679" s="78"/>
      <c r="AU679" s="78"/>
      <c r="AV679" s="78"/>
      <c r="AW679" s="78"/>
      <c r="AX679" s="78"/>
      <c r="AY679" s="78"/>
      <c r="AZ679" s="78"/>
      <c r="BA679" s="78"/>
      <c r="BB679" s="78"/>
      <c r="BC679" s="78"/>
      <c r="BD679" s="78"/>
      <c r="BE679" s="78"/>
      <c r="BF679" s="78"/>
      <c r="BG679" s="78"/>
      <c r="BH679" s="78"/>
      <c r="BI679" s="78"/>
      <c r="BJ679" s="78"/>
      <c r="BK679" s="78"/>
      <c r="BL679" s="78"/>
      <c r="BM679" s="78"/>
      <c r="BN679" s="78"/>
      <c r="BO679" s="78"/>
      <c r="BP679" s="78"/>
      <c r="BQ679" s="78"/>
      <c r="BR679" s="78"/>
      <c r="BS679" s="78"/>
      <c r="BT679" s="78"/>
      <c r="BU679" s="78"/>
      <c r="BV679" s="78"/>
      <c r="BW679" s="78"/>
      <c r="BX679" s="78"/>
      <c r="BY679" s="78"/>
      <c r="BZ679" s="78"/>
      <c r="CA679" s="78"/>
      <c r="CB679" s="78"/>
      <c r="CC679" s="78"/>
      <c r="CD679" s="78"/>
      <c r="CE679" s="78"/>
      <c r="CF679" s="78"/>
      <c r="CG679" s="78"/>
      <c r="CH679" s="78"/>
      <c r="CI679" s="78"/>
      <c r="CJ679" s="78"/>
      <c r="CK679" s="78"/>
      <c r="CL679" s="78"/>
      <c r="CM679" s="78"/>
      <c r="CN679" s="78"/>
      <c r="CO679" s="78"/>
      <c r="CP679" s="78"/>
      <c r="CQ679" s="78"/>
      <c r="CR679" s="78"/>
      <c r="CS679" s="78"/>
      <c r="CT679" s="78"/>
      <c r="CU679" s="78"/>
      <c r="CV679" s="78"/>
      <c r="CW679" s="78"/>
      <c r="CX679" s="78"/>
      <c r="CY679" s="78"/>
      <c r="CZ679" s="78"/>
      <c r="DA679" s="78"/>
      <c r="DB679" s="78"/>
      <c r="DC679" s="78"/>
      <c r="DD679" s="78"/>
      <c r="DE679" s="78"/>
      <c r="DF679" s="78"/>
      <c r="DG679" s="78"/>
      <c r="DH679" s="78"/>
      <c r="DI679" s="78"/>
      <c r="DJ679" s="78"/>
      <c r="DK679" s="78"/>
      <c r="DL679" s="78"/>
      <c r="DM679" s="78"/>
      <c r="DN679" s="78"/>
      <c r="DO679" s="78"/>
      <c r="DP679" s="78"/>
      <c r="DQ679" s="78"/>
      <c r="DR679" s="78"/>
      <c r="DS679" s="78"/>
      <c r="DT679" s="78"/>
      <c r="DU679" s="78"/>
      <c r="DV679" s="78"/>
      <c r="DW679" s="78"/>
      <c r="DX679" s="78"/>
      <c r="DY679" s="78"/>
      <c r="DZ679" s="78"/>
      <c r="EA679" s="78"/>
      <c r="EB679" s="78"/>
      <c r="EC679" s="78"/>
    </row>
    <row r="680" spans="1:133" s="9" customFormat="1" ht="31.2" x14ac:dyDescent="0.25">
      <c r="A680" s="73" t="s">
        <v>60</v>
      </c>
      <c r="B680" s="60" t="s">
        <v>203</v>
      </c>
      <c r="C680" s="53" t="s">
        <v>61</v>
      </c>
      <c r="D680" s="143" t="s">
        <v>363</v>
      </c>
      <c r="E680" s="98">
        <f>AVERAGE(F680:Q680)</f>
        <v>295.85833333333341</v>
      </c>
      <c r="F680" s="60">
        <v>285.64999999999998</v>
      </c>
      <c r="G680" s="60">
        <v>291.64999999999998</v>
      </c>
      <c r="H680" s="60">
        <v>292.64999999999998</v>
      </c>
      <c r="I680" s="60">
        <v>295.64999999999998</v>
      </c>
      <c r="J680" s="60">
        <v>300.14999999999998</v>
      </c>
      <c r="K680" s="60">
        <v>301.64999999999998</v>
      </c>
      <c r="L680" s="60">
        <v>303.14999999999998</v>
      </c>
      <c r="M680" s="60">
        <v>302.64999999999998</v>
      </c>
      <c r="N680" s="60">
        <v>303.14999999999998</v>
      </c>
      <c r="O680" s="60">
        <v>296.14999999999998</v>
      </c>
      <c r="P680" s="60">
        <v>291.14999999999998</v>
      </c>
      <c r="Q680" s="60">
        <v>286.64999999999998</v>
      </c>
      <c r="R680" s="78"/>
      <c r="S680" s="78"/>
      <c r="T680" s="78"/>
      <c r="U680" s="78"/>
      <c r="V680" s="78"/>
      <c r="W680" s="78"/>
      <c r="X680" s="78"/>
      <c r="Y680" s="78"/>
      <c r="Z680" s="78"/>
      <c r="AA680" s="78"/>
      <c r="AB680" s="78"/>
      <c r="AC680" s="78"/>
      <c r="AD680" s="78"/>
      <c r="AE680" s="78"/>
      <c r="AF680" s="78"/>
      <c r="AG680" s="78"/>
      <c r="AH680" s="78"/>
      <c r="AI680" s="78"/>
      <c r="AJ680" s="78"/>
      <c r="AK680" s="78"/>
      <c r="AL680" s="78"/>
      <c r="AM680" s="78"/>
      <c r="AN680" s="78"/>
      <c r="AO680" s="78"/>
      <c r="AP680" s="78"/>
      <c r="AQ680" s="78"/>
      <c r="AR680" s="78"/>
      <c r="AS680" s="78"/>
      <c r="AT680" s="78"/>
      <c r="AU680" s="78"/>
      <c r="AV680" s="78"/>
      <c r="AW680" s="78"/>
      <c r="AX680" s="78"/>
      <c r="AY680" s="78"/>
      <c r="AZ680" s="78"/>
      <c r="BA680" s="78"/>
      <c r="BB680" s="78"/>
      <c r="BC680" s="78"/>
      <c r="BD680" s="78"/>
      <c r="BE680" s="78"/>
      <c r="BF680" s="78"/>
      <c r="BG680" s="78"/>
      <c r="BH680" s="78"/>
      <c r="BI680" s="78"/>
      <c r="BJ680" s="78"/>
      <c r="BK680" s="78"/>
      <c r="BL680" s="78"/>
      <c r="BM680" s="78"/>
      <c r="BN680" s="78"/>
      <c r="BO680" s="78"/>
      <c r="BP680" s="78"/>
      <c r="BQ680" s="78"/>
      <c r="BR680" s="78"/>
      <c r="BS680" s="78"/>
      <c r="BT680" s="78"/>
      <c r="BU680" s="78"/>
      <c r="BV680" s="78"/>
      <c r="BW680" s="78"/>
      <c r="BX680" s="78"/>
      <c r="BY680" s="78"/>
      <c r="BZ680" s="78"/>
      <c r="CA680" s="78"/>
      <c r="CB680" s="78"/>
      <c r="CC680" s="78"/>
      <c r="CD680" s="78"/>
      <c r="CE680" s="78"/>
      <c r="CF680" s="78"/>
      <c r="CG680" s="78"/>
      <c r="CH680" s="78"/>
      <c r="CI680" s="78"/>
      <c r="CJ680" s="78"/>
      <c r="CK680" s="78"/>
      <c r="CL680" s="78"/>
      <c r="CM680" s="78"/>
      <c r="CN680" s="78"/>
      <c r="CO680" s="78"/>
      <c r="CP680" s="78"/>
      <c r="CQ680" s="78"/>
      <c r="CR680" s="78"/>
      <c r="CS680" s="78"/>
      <c r="CT680" s="78"/>
      <c r="CU680" s="78"/>
      <c r="CV680" s="78"/>
      <c r="CW680" s="78"/>
      <c r="CX680" s="78"/>
      <c r="CY680" s="78"/>
      <c r="CZ680" s="78"/>
      <c r="DA680" s="78"/>
      <c r="DB680" s="78"/>
      <c r="DC680" s="78"/>
      <c r="DD680" s="78"/>
      <c r="DE680" s="78"/>
      <c r="DF680" s="78"/>
      <c r="DG680" s="78"/>
      <c r="DH680" s="78"/>
      <c r="DI680" s="78"/>
      <c r="DJ680" s="78"/>
      <c r="DK680" s="78"/>
      <c r="DL680" s="78"/>
      <c r="DM680" s="78"/>
      <c r="DN680" s="78"/>
      <c r="DO680" s="78"/>
      <c r="DP680" s="78"/>
      <c r="DQ680" s="78"/>
      <c r="DR680" s="78"/>
      <c r="DS680" s="78"/>
      <c r="DT680" s="78"/>
      <c r="DU680" s="78"/>
      <c r="DV680" s="78"/>
      <c r="DW680" s="78"/>
      <c r="DX680" s="78"/>
      <c r="DY680" s="78"/>
      <c r="DZ680" s="78"/>
      <c r="EA680" s="78"/>
      <c r="EB680" s="78"/>
      <c r="EC680" s="78"/>
    </row>
    <row r="681" spans="1:133" s="9" customFormat="1" ht="31.2" x14ac:dyDescent="0.4">
      <c r="A681" s="71" t="s">
        <v>62</v>
      </c>
      <c r="B681" s="60" t="s">
        <v>196</v>
      </c>
      <c r="C681" s="53" t="s">
        <v>63</v>
      </c>
      <c r="D681" s="53" t="s">
        <v>377</v>
      </c>
      <c r="E681" s="74">
        <f>SUM(F681:Q681)</f>
        <v>2033.7974183245944</v>
      </c>
      <c r="F681" s="74">
        <f>F670*F665*F668+(1-F676)*'Baseline Emissions 2020'!Q681</f>
        <v>258.9650471844958</v>
      </c>
      <c r="G681" s="74">
        <f t="shared" ref="G681:Q681" si="90">G670*G665*G668+(1-G676)*F681</f>
        <v>245.19335161575466</v>
      </c>
      <c r="H681" s="74">
        <f t="shared" si="90"/>
        <v>236.87371287513182</v>
      </c>
      <c r="I681" s="74">
        <f t="shared" si="90"/>
        <v>199.8452808353797</v>
      </c>
      <c r="J681" s="74">
        <f t="shared" si="90"/>
        <v>146.36030267394784</v>
      </c>
      <c r="K681" s="74">
        <f t="shared" si="90"/>
        <v>104.74981937785172</v>
      </c>
      <c r="L681" s="74">
        <f t="shared" si="90"/>
        <v>90.31218809814564</v>
      </c>
      <c r="M681" s="74">
        <f t="shared" si="90"/>
        <v>93.885189855380673</v>
      </c>
      <c r="N681" s="74">
        <f>N670*N665*N668+(1-N676)*0</f>
        <v>98.538577806650494</v>
      </c>
      <c r="O681" s="74">
        <f t="shared" si="90"/>
        <v>146.14667817170849</v>
      </c>
      <c r="P681" s="74">
        <f t="shared" si="90"/>
        <v>182.40614066497156</v>
      </c>
      <c r="Q681" s="74">
        <f t="shared" si="90"/>
        <v>230.52112916517586</v>
      </c>
      <c r="R681" s="78"/>
      <c r="S681" s="78"/>
      <c r="T681" s="78"/>
      <c r="U681" s="78"/>
      <c r="V681" s="78"/>
      <c r="W681" s="78"/>
      <c r="X681" s="78"/>
      <c r="Y681" s="78"/>
      <c r="Z681" s="78"/>
      <c r="AA681" s="78"/>
      <c r="AB681" s="78"/>
      <c r="AC681" s="78"/>
      <c r="AD681" s="78"/>
      <c r="AE681" s="78"/>
      <c r="AF681" s="78"/>
      <c r="AG681" s="78"/>
      <c r="AH681" s="78"/>
      <c r="AI681" s="78"/>
      <c r="AJ681" s="78"/>
      <c r="AK681" s="78"/>
      <c r="AL681" s="78"/>
      <c r="AM681" s="78"/>
      <c r="AN681" s="78"/>
      <c r="AO681" s="78"/>
      <c r="AP681" s="78"/>
      <c r="AQ681" s="78"/>
      <c r="AR681" s="78"/>
      <c r="AS681" s="78"/>
      <c r="AT681" s="78"/>
      <c r="AU681" s="78"/>
      <c r="AV681" s="78"/>
      <c r="AW681" s="78"/>
      <c r="AX681" s="78"/>
      <c r="AY681" s="78"/>
      <c r="AZ681" s="78"/>
      <c r="BA681" s="78"/>
      <c r="BB681" s="78"/>
      <c r="BC681" s="78"/>
      <c r="BD681" s="78"/>
      <c r="BE681" s="78"/>
      <c r="BF681" s="78"/>
      <c r="BG681" s="78"/>
      <c r="BH681" s="78"/>
      <c r="BI681" s="78"/>
      <c r="BJ681" s="78"/>
      <c r="BK681" s="78"/>
      <c r="BL681" s="78"/>
      <c r="BM681" s="78"/>
      <c r="BN681" s="78"/>
      <c r="BO681" s="78"/>
      <c r="BP681" s="78"/>
      <c r="BQ681" s="78"/>
      <c r="BR681" s="78"/>
      <c r="BS681" s="78"/>
      <c r="BT681" s="78"/>
      <c r="BU681" s="78"/>
      <c r="BV681" s="78"/>
      <c r="BW681" s="78"/>
      <c r="BX681" s="78"/>
      <c r="BY681" s="78"/>
      <c r="BZ681" s="78"/>
      <c r="CA681" s="78"/>
      <c r="CB681" s="78"/>
      <c r="CC681" s="78"/>
      <c r="CD681" s="78"/>
      <c r="CE681" s="78"/>
      <c r="CF681" s="78"/>
      <c r="CG681" s="78"/>
      <c r="CH681" s="78"/>
      <c r="CI681" s="78"/>
      <c r="CJ681" s="78"/>
      <c r="CK681" s="78"/>
      <c r="CL681" s="78"/>
      <c r="CM681" s="78"/>
      <c r="CN681" s="78"/>
      <c r="CO681" s="78"/>
      <c r="CP681" s="78"/>
      <c r="CQ681" s="78"/>
      <c r="CR681" s="78"/>
      <c r="CS681" s="78"/>
      <c r="CT681" s="78"/>
      <c r="CU681" s="78"/>
      <c r="CV681" s="78"/>
      <c r="CW681" s="78"/>
      <c r="CX681" s="78"/>
      <c r="CY681" s="78"/>
      <c r="CZ681" s="78"/>
      <c r="DA681" s="78"/>
      <c r="DB681" s="78"/>
      <c r="DC681" s="78"/>
      <c r="DD681" s="78"/>
      <c r="DE681" s="78"/>
      <c r="DF681" s="78"/>
      <c r="DG681" s="78"/>
      <c r="DH681" s="78"/>
      <c r="DI681" s="78"/>
      <c r="DJ681" s="78"/>
      <c r="DK681" s="78"/>
      <c r="DL681" s="78"/>
      <c r="DM681" s="78"/>
      <c r="DN681" s="78"/>
      <c r="DO681" s="78"/>
      <c r="DP681" s="78"/>
      <c r="DQ681" s="78"/>
      <c r="DR681" s="78"/>
      <c r="DS681" s="78"/>
      <c r="DT681" s="78"/>
      <c r="DU681" s="78"/>
      <c r="DV681" s="78"/>
      <c r="DW681" s="78"/>
      <c r="DX681" s="78"/>
      <c r="DY681" s="78"/>
      <c r="DZ681" s="78"/>
      <c r="EA681" s="78"/>
      <c r="EB681" s="78"/>
      <c r="EC681" s="78"/>
    </row>
    <row r="683" spans="1:133" ht="15.6" customHeight="1" x14ac:dyDescent="0.25">
      <c r="A683" s="36" t="s">
        <v>64</v>
      </c>
      <c r="B683" s="36"/>
      <c r="C683" s="36"/>
      <c r="D683" s="36"/>
      <c r="E683" s="36"/>
    </row>
    <row r="684" spans="1:133" x14ac:dyDescent="0.25">
      <c r="A684" s="57" t="s">
        <v>8</v>
      </c>
      <c r="B684" s="58" t="s">
        <v>9</v>
      </c>
      <c r="C684" s="34" t="s">
        <v>10</v>
      </c>
      <c r="D684" s="34" t="s">
        <v>340</v>
      </c>
      <c r="E684" s="16" t="s">
        <v>65</v>
      </c>
    </row>
    <row r="685" spans="1:133" ht="46.8" x14ac:dyDescent="0.25">
      <c r="A685" s="59" t="s">
        <v>66</v>
      </c>
      <c r="B685" s="60" t="s">
        <v>14</v>
      </c>
      <c r="C685" s="53" t="s">
        <v>67</v>
      </c>
      <c r="D685" s="53" t="s">
        <v>68</v>
      </c>
      <c r="E685" s="75">
        <v>0</v>
      </c>
    </row>
    <row r="686" spans="1:133" ht="46.8" x14ac:dyDescent="0.25">
      <c r="A686" s="63" t="s">
        <v>69</v>
      </c>
      <c r="B686" s="25" t="s">
        <v>70</v>
      </c>
      <c r="C686" s="35" t="s">
        <v>71</v>
      </c>
      <c r="D686" s="53" t="str">
        <f>D692</f>
        <v>Historical data on site in the FSR (It was calculated with conservative value)</v>
      </c>
      <c r="E686" s="74">
        <f>E692</f>
        <v>427.85189192763431</v>
      </c>
    </row>
    <row r="688" spans="1:133" s="13" customFormat="1" ht="15.6" customHeight="1" x14ac:dyDescent="0.25">
      <c r="A688" s="90" t="s">
        <v>72</v>
      </c>
      <c r="B688" s="90"/>
      <c r="C688" s="91"/>
      <c r="D688" s="91"/>
      <c r="E688" s="90"/>
      <c r="R688" s="14"/>
      <c r="S688" s="14"/>
      <c r="T688" s="14"/>
      <c r="U688" s="14"/>
      <c r="V688" s="14"/>
      <c r="W688" s="14"/>
      <c r="X688" s="14"/>
      <c r="Y688" s="14"/>
      <c r="Z688" s="14"/>
      <c r="AA688" s="14"/>
      <c r="AB688" s="14"/>
      <c r="AC688" s="14"/>
      <c r="AD688" s="14"/>
      <c r="AE688" s="14"/>
      <c r="AF688" s="14"/>
      <c r="AG688" s="14"/>
      <c r="AH688" s="14"/>
      <c r="AI688" s="14"/>
      <c r="AJ688" s="14"/>
      <c r="AK688" s="14"/>
      <c r="AL688" s="14"/>
      <c r="AM688" s="14"/>
      <c r="AN688" s="14"/>
      <c r="AO688" s="14"/>
      <c r="AP688" s="14"/>
      <c r="AQ688" s="14"/>
      <c r="AR688" s="14"/>
      <c r="AS688" s="14"/>
      <c r="AT688" s="14"/>
      <c r="AU688" s="14"/>
      <c r="AV688" s="14"/>
      <c r="AW688" s="14"/>
      <c r="AX688" s="14"/>
      <c r="AY688" s="14"/>
      <c r="AZ688" s="14"/>
      <c r="BA688" s="14"/>
      <c r="BB688" s="14"/>
      <c r="BC688" s="14"/>
      <c r="BD688" s="14"/>
      <c r="BE688" s="14"/>
      <c r="BF688" s="14"/>
      <c r="BG688" s="14"/>
      <c r="BH688" s="14"/>
      <c r="BI688" s="14"/>
      <c r="BJ688" s="14"/>
      <c r="BK688" s="14"/>
      <c r="BL688" s="14"/>
      <c r="BM688" s="14"/>
      <c r="BN688" s="14"/>
      <c r="BO688" s="14"/>
      <c r="BP688" s="14"/>
      <c r="BQ688" s="14"/>
      <c r="BR688" s="14"/>
      <c r="BS688" s="14"/>
      <c r="BT688" s="14"/>
      <c r="BU688" s="14"/>
      <c r="BV688" s="14"/>
      <c r="BW688" s="14"/>
      <c r="BX688" s="14"/>
      <c r="BY688" s="14"/>
      <c r="BZ688" s="14"/>
      <c r="CA688" s="14"/>
      <c r="CB688" s="14"/>
      <c r="CC688" s="14"/>
      <c r="CD688" s="14"/>
      <c r="CE688" s="14"/>
      <c r="CF688" s="14"/>
      <c r="CG688" s="14"/>
      <c r="CH688" s="14"/>
      <c r="CI688" s="14"/>
      <c r="CJ688" s="14"/>
      <c r="CK688" s="14"/>
      <c r="CL688" s="14"/>
      <c r="CM688" s="14"/>
      <c r="CN688" s="14"/>
      <c r="CO688" s="14"/>
      <c r="CP688" s="14"/>
      <c r="CQ688" s="14"/>
      <c r="CR688" s="14"/>
      <c r="CS688" s="14"/>
      <c r="CT688" s="14"/>
      <c r="CU688" s="14"/>
      <c r="CV688" s="14"/>
      <c r="CW688" s="14"/>
      <c r="CX688" s="14"/>
      <c r="CY688" s="14"/>
      <c r="CZ688" s="14"/>
      <c r="DA688" s="14"/>
      <c r="DB688" s="14"/>
      <c r="DC688" s="14"/>
      <c r="DD688" s="14"/>
      <c r="DE688" s="14"/>
      <c r="DF688" s="14"/>
      <c r="DG688" s="14"/>
      <c r="DH688" s="14"/>
      <c r="DI688" s="14"/>
      <c r="DJ688" s="14"/>
      <c r="DK688" s="14"/>
      <c r="DL688" s="14"/>
      <c r="DM688" s="14"/>
      <c r="DN688" s="14"/>
      <c r="DO688" s="14"/>
      <c r="DP688" s="14"/>
      <c r="DQ688" s="14"/>
      <c r="DR688" s="14"/>
      <c r="DS688" s="14"/>
      <c r="DT688" s="14"/>
      <c r="DU688" s="14"/>
      <c r="DV688" s="14"/>
      <c r="DW688" s="14"/>
      <c r="DX688" s="14"/>
      <c r="DY688" s="14"/>
      <c r="DZ688" s="14"/>
      <c r="EA688" s="14"/>
      <c r="EB688" s="14"/>
      <c r="EC688" s="14"/>
    </row>
    <row r="689" spans="1:133" s="13" customFormat="1" x14ac:dyDescent="0.25">
      <c r="A689" s="59" t="s">
        <v>8</v>
      </c>
      <c r="B689" s="16" t="s">
        <v>9</v>
      </c>
      <c r="C689" s="38" t="s">
        <v>10</v>
      </c>
      <c r="D689" s="38" t="s">
        <v>340</v>
      </c>
      <c r="E689" s="16" t="s">
        <v>65</v>
      </c>
      <c r="R689" s="14"/>
      <c r="S689" s="14"/>
      <c r="T689" s="14"/>
      <c r="U689" s="14"/>
      <c r="V689" s="14"/>
      <c r="W689" s="14"/>
      <c r="X689" s="14"/>
      <c r="Y689" s="14"/>
      <c r="Z689" s="14"/>
      <c r="AA689" s="14"/>
      <c r="AB689" s="14"/>
      <c r="AC689" s="14"/>
      <c r="AD689" s="14"/>
      <c r="AE689" s="14"/>
      <c r="AF689" s="14"/>
      <c r="AG689" s="14"/>
      <c r="AH689" s="14"/>
      <c r="AI689" s="14"/>
      <c r="AJ689" s="14"/>
      <c r="AK689" s="14"/>
      <c r="AL689" s="14"/>
      <c r="AM689" s="14"/>
      <c r="AN689" s="14"/>
      <c r="AO689" s="14"/>
      <c r="AP689" s="14"/>
      <c r="AQ689" s="14"/>
      <c r="AR689" s="14"/>
      <c r="AS689" s="14"/>
      <c r="AT689" s="14"/>
      <c r="AU689" s="14"/>
      <c r="AV689" s="14"/>
      <c r="AW689" s="14"/>
      <c r="AX689" s="14"/>
      <c r="AY689" s="14"/>
      <c r="AZ689" s="14"/>
      <c r="BA689" s="14"/>
      <c r="BB689" s="14"/>
      <c r="BC689" s="14"/>
      <c r="BD689" s="14"/>
      <c r="BE689" s="14"/>
      <c r="BF689" s="14"/>
      <c r="BG689" s="14"/>
      <c r="BH689" s="14"/>
      <c r="BI689" s="14"/>
      <c r="BJ689" s="14"/>
      <c r="BK689" s="14"/>
      <c r="BL689" s="14"/>
      <c r="BM689" s="14"/>
      <c r="BN689" s="14"/>
      <c r="BO689" s="14"/>
      <c r="BP689" s="14"/>
      <c r="BQ689" s="14"/>
      <c r="BR689" s="14"/>
      <c r="BS689" s="14"/>
      <c r="BT689" s="14"/>
      <c r="BU689" s="14"/>
      <c r="BV689" s="14"/>
      <c r="BW689" s="14"/>
      <c r="BX689" s="14"/>
      <c r="BY689" s="14"/>
      <c r="BZ689" s="14"/>
      <c r="CA689" s="14"/>
      <c r="CB689" s="14"/>
      <c r="CC689" s="14"/>
      <c r="CD689" s="14"/>
      <c r="CE689" s="14"/>
      <c r="CF689" s="14"/>
      <c r="CG689" s="14"/>
      <c r="CH689" s="14"/>
      <c r="CI689" s="14"/>
      <c r="CJ689" s="14"/>
      <c r="CK689" s="14"/>
      <c r="CL689" s="14"/>
      <c r="CM689" s="14"/>
      <c r="CN689" s="14"/>
      <c r="CO689" s="14"/>
      <c r="CP689" s="14"/>
      <c r="CQ689" s="14"/>
      <c r="CR689" s="14"/>
      <c r="CS689" s="14"/>
      <c r="CT689" s="14"/>
      <c r="CU689" s="14"/>
      <c r="CV689" s="14"/>
      <c r="CW689" s="14"/>
      <c r="CX689" s="14"/>
      <c r="CY689" s="14"/>
      <c r="CZ689" s="14"/>
      <c r="DA689" s="14"/>
      <c r="DB689" s="14"/>
      <c r="DC689" s="14"/>
      <c r="DD689" s="14"/>
      <c r="DE689" s="14"/>
      <c r="DF689" s="14"/>
      <c r="DG689" s="14"/>
      <c r="DH689" s="14"/>
      <c r="DI689" s="14"/>
      <c r="DJ689" s="14"/>
      <c r="DK689" s="14"/>
      <c r="DL689" s="14"/>
      <c r="DM689" s="14"/>
      <c r="DN689" s="14"/>
      <c r="DO689" s="14"/>
      <c r="DP689" s="14"/>
      <c r="DQ689" s="14"/>
      <c r="DR689" s="14"/>
      <c r="DS689" s="14"/>
      <c r="DT689" s="14"/>
      <c r="DU689" s="14"/>
      <c r="DV689" s="14"/>
      <c r="DW689" s="14"/>
      <c r="DX689" s="14"/>
      <c r="DY689" s="14"/>
      <c r="DZ689" s="14"/>
      <c r="EA689" s="14"/>
      <c r="EB689" s="14"/>
      <c r="EC689" s="14"/>
    </row>
    <row r="690" spans="1:133" s="13" customFormat="1" ht="33.6" x14ac:dyDescent="0.4">
      <c r="A690" s="76" t="s">
        <v>73</v>
      </c>
      <c r="B690" s="25" t="s">
        <v>74</v>
      </c>
      <c r="C690" s="35" t="s">
        <v>75</v>
      </c>
      <c r="D690" s="35" t="s">
        <v>378</v>
      </c>
      <c r="E690" s="50">
        <f>E691*E694*E695*E696*E697*E698</f>
        <v>1.7378192822061667</v>
      </c>
      <c r="R690" s="14"/>
      <c r="S690" s="14"/>
      <c r="T690" s="14"/>
      <c r="U690" s="14"/>
      <c r="V690" s="14"/>
      <c r="W690" s="14"/>
      <c r="X690" s="14"/>
      <c r="Y690" s="14"/>
      <c r="Z690" s="14"/>
      <c r="AA690" s="14"/>
      <c r="AB690" s="14"/>
      <c r="AC690" s="14"/>
      <c r="AD690" s="14"/>
      <c r="AE690" s="14"/>
      <c r="AF690" s="14"/>
      <c r="AG690" s="14"/>
      <c r="AH690" s="14"/>
      <c r="AI690" s="14"/>
      <c r="AJ690" s="14"/>
      <c r="AK690" s="14"/>
      <c r="AL690" s="14"/>
      <c r="AM690" s="14"/>
      <c r="AN690" s="14"/>
      <c r="AO690" s="14"/>
      <c r="AP690" s="14"/>
      <c r="AQ690" s="14"/>
      <c r="AR690" s="14"/>
      <c r="AS690" s="14"/>
      <c r="AT690" s="14"/>
      <c r="AU690" s="14"/>
      <c r="AV690" s="14"/>
      <c r="AW690" s="14"/>
      <c r="AX690" s="14"/>
      <c r="AY690" s="14"/>
      <c r="AZ690" s="14"/>
      <c r="BA690" s="14"/>
      <c r="BB690" s="14"/>
      <c r="BC690" s="14"/>
      <c r="BD690" s="14"/>
      <c r="BE690" s="14"/>
      <c r="BF690" s="14"/>
      <c r="BG690" s="14"/>
      <c r="BH690" s="14"/>
      <c r="BI690" s="14"/>
      <c r="BJ690" s="14"/>
      <c r="BK690" s="14"/>
      <c r="BL690" s="14"/>
      <c r="BM690" s="14"/>
      <c r="BN690" s="14"/>
      <c r="BO690" s="14"/>
      <c r="BP690" s="14"/>
      <c r="BQ690" s="14"/>
      <c r="BR690" s="14"/>
      <c r="BS690" s="14"/>
      <c r="BT690" s="14"/>
      <c r="BU690" s="14"/>
      <c r="BV690" s="14"/>
      <c r="BW690" s="14"/>
      <c r="BX690" s="14"/>
      <c r="BY690" s="14"/>
      <c r="BZ690" s="14"/>
      <c r="CA690" s="14"/>
      <c r="CB690" s="14"/>
      <c r="CC690" s="14"/>
      <c r="CD690" s="14"/>
      <c r="CE690" s="14"/>
      <c r="CF690" s="14"/>
      <c r="CG690" s="14"/>
      <c r="CH690" s="14"/>
      <c r="CI690" s="14"/>
      <c r="CJ690" s="14"/>
      <c r="CK690" s="14"/>
      <c r="CL690" s="14"/>
      <c r="CM690" s="14"/>
      <c r="CN690" s="14"/>
      <c r="CO690" s="14"/>
      <c r="CP690" s="14"/>
      <c r="CQ690" s="14"/>
      <c r="CR690" s="14"/>
      <c r="CS690" s="14"/>
      <c r="CT690" s="14"/>
      <c r="CU690" s="14"/>
      <c r="CV690" s="14"/>
      <c r="CW690" s="14"/>
      <c r="CX690" s="14"/>
      <c r="CY690" s="14"/>
      <c r="CZ690" s="14"/>
      <c r="DA690" s="14"/>
      <c r="DB690" s="14"/>
      <c r="DC690" s="14"/>
      <c r="DD690" s="14"/>
      <c r="DE690" s="14"/>
      <c r="DF690" s="14"/>
      <c r="DG690" s="14"/>
      <c r="DH690" s="14"/>
      <c r="DI690" s="14"/>
      <c r="DJ690" s="14"/>
      <c r="DK690" s="14"/>
      <c r="DL690" s="14"/>
      <c r="DM690" s="14"/>
      <c r="DN690" s="14"/>
      <c r="DO690" s="14"/>
      <c r="DP690" s="14"/>
      <c r="DQ690" s="14"/>
      <c r="DR690" s="14"/>
      <c r="DS690" s="14"/>
      <c r="DT690" s="14"/>
      <c r="DU690" s="14"/>
      <c r="DV690" s="14"/>
      <c r="DW690" s="14"/>
      <c r="DX690" s="14"/>
      <c r="DY690" s="14"/>
      <c r="DZ690" s="14"/>
      <c r="EA690" s="14"/>
      <c r="EB690" s="14"/>
      <c r="EC690" s="14"/>
    </row>
    <row r="691" spans="1:133" s="13" customFormat="1" ht="46.8" x14ac:dyDescent="0.4">
      <c r="A691" s="77" t="s">
        <v>207</v>
      </c>
      <c r="B691" s="25" t="s">
        <v>76</v>
      </c>
      <c r="C691" s="35" t="s">
        <v>77</v>
      </c>
      <c r="D691" s="35" t="s">
        <v>379</v>
      </c>
      <c r="E691" s="52">
        <f>E692/E693</f>
        <v>85.570378385526865</v>
      </c>
      <c r="R691" s="14"/>
      <c r="S691" s="14"/>
      <c r="T691" s="14"/>
      <c r="U691" s="14"/>
      <c r="V691" s="14"/>
      <c r="W691" s="14"/>
      <c r="X691" s="14"/>
      <c r="Y691" s="14"/>
      <c r="Z691" s="14"/>
      <c r="AA691" s="14"/>
      <c r="AB691" s="14"/>
      <c r="AC691" s="14"/>
      <c r="AD691" s="14"/>
      <c r="AE691" s="14"/>
      <c r="AF691" s="14"/>
      <c r="AG691" s="14"/>
      <c r="AH691" s="14"/>
      <c r="AI691" s="14"/>
      <c r="AJ691" s="14"/>
      <c r="AK691" s="14"/>
      <c r="AL691" s="14"/>
      <c r="AM691" s="14"/>
      <c r="AN691" s="14"/>
      <c r="AO691" s="14"/>
      <c r="AP691" s="14"/>
      <c r="AQ691" s="14"/>
      <c r="AR691" s="14"/>
      <c r="AS691" s="14"/>
      <c r="AT691" s="14"/>
      <c r="AU691" s="14"/>
      <c r="AV691" s="14"/>
      <c r="AW691" s="14"/>
      <c r="AX691" s="14"/>
      <c r="AY691" s="14"/>
      <c r="AZ691" s="14"/>
      <c r="BA691" s="14"/>
      <c r="BB691" s="14"/>
      <c r="BC691" s="14"/>
      <c r="BD691" s="14"/>
      <c r="BE691" s="14"/>
      <c r="BF691" s="14"/>
      <c r="BG691" s="14"/>
      <c r="BH691" s="14"/>
      <c r="BI691" s="14"/>
      <c r="BJ691" s="14"/>
      <c r="BK691" s="14"/>
      <c r="BL691" s="14"/>
      <c r="BM691" s="14"/>
      <c r="BN691" s="14"/>
      <c r="BO691" s="14"/>
      <c r="BP691" s="14"/>
      <c r="BQ691" s="14"/>
      <c r="BR691" s="14"/>
      <c r="BS691" s="14"/>
      <c r="BT691" s="14"/>
      <c r="BU691" s="14"/>
      <c r="BV691" s="14"/>
      <c r="BW691" s="14"/>
      <c r="BX691" s="14"/>
      <c r="BY691" s="14"/>
      <c r="BZ691" s="14"/>
      <c r="CA691" s="14"/>
      <c r="CB691" s="14"/>
      <c r="CC691" s="14"/>
      <c r="CD691" s="14"/>
      <c r="CE691" s="14"/>
      <c r="CF691" s="14"/>
      <c r="CG691" s="14"/>
      <c r="CH691" s="14"/>
      <c r="CI691" s="14"/>
      <c r="CJ691" s="14"/>
      <c r="CK691" s="14"/>
      <c r="CL691" s="14"/>
      <c r="CM691" s="14"/>
      <c r="CN691" s="14"/>
      <c r="CO691" s="14"/>
      <c r="CP691" s="14"/>
      <c r="CQ691" s="14"/>
      <c r="CR691" s="14"/>
      <c r="CS691" s="14"/>
      <c r="CT691" s="14"/>
      <c r="CU691" s="14"/>
      <c r="CV691" s="14"/>
      <c r="CW691" s="14"/>
      <c r="CX691" s="14"/>
      <c r="CY691" s="14"/>
      <c r="CZ691" s="14"/>
      <c r="DA691" s="14"/>
      <c r="DB691" s="14"/>
      <c r="DC691" s="14"/>
      <c r="DD691" s="14"/>
      <c r="DE691" s="14"/>
      <c r="DF691" s="14"/>
      <c r="DG691" s="14"/>
      <c r="DH691" s="14"/>
      <c r="DI691" s="14"/>
      <c r="DJ691" s="14"/>
      <c r="DK691" s="14"/>
      <c r="DL691" s="14"/>
      <c r="DM691" s="14"/>
      <c r="DN691" s="14"/>
      <c r="DO691" s="14"/>
      <c r="DP691" s="14"/>
      <c r="DQ691" s="14"/>
      <c r="DR691" s="14"/>
      <c r="DS691" s="14"/>
      <c r="DT691" s="14"/>
      <c r="DU691" s="14"/>
      <c r="DV691" s="14"/>
      <c r="DW691" s="14"/>
      <c r="DX691" s="14"/>
      <c r="DY691" s="14"/>
      <c r="DZ691" s="14"/>
      <c r="EA691" s="14"/>
      <c r="EB691" s="14"/>
      <c r="EC691" s="14"/>
    </row>
    <row r="692" spans="1:133" s="13" customFormat="1" ht="46.8" x14ac:dyDescent="0.25">
      <c r="A692" s="63" t="s">
        <v>208</v>
      </c>
      <c r="B692" s="25" t="s">
        <v>78</v>
      </c>
      <c r="C692" s="35" t="s">
        <v>79</v>
      </c>
      <c r="D692" s="53" t="s">
        <v>352</v>
      </c>
      <c r="E692" s="52">
        <f>0.000186011408867964*E665</f>
        <v>427.85189192763431</v>
      </c>
      <c r="R692" s="14"/>
      <c r="S692" s="14"/>
      <c r="T692" s="14"/>
      <c r="U692" s="14"/>
      <c r="V692" s="14"/>
      <c r="W692" s="14"/>
      <c r="X692" s="14"/>
      <c r="Y692" s="14"/>
      <c r="Z692" s="14"/>
      <c r="AA692" s="14"/>
      <c r="AB692" s="14"/>
      <c r="AC692" s="14"/>
      <c r="AD692" s="14"/>
      <c r="AE692" s="14"/>
      <c r="AF692" s="14"/>
      <c r="AG692" s="14"/>
      <c r="AH692" s="14"/>
      <c r="AI692" s="14"/>
      <c r="AJ692" s="14"/>
      <c r="AK692" s="14"/>
      <c r="AL692" s="14"/>
      <c r="AM692" s="14"/>
      <c r="AN692" s="14"/>
      <c r="AO692" s="14"/>
      <c r="AP692" s="14"/>
      <c r="AQ692" s="14"/>
      <c r="AR692" s="14"/>
      <c r="AS692" s="14"/>
      <c r="AT692" s="14"/>
      <c r="AU692" s="14"/>
      <c r="AV692" s="14"/>
      <c r="AW692" s="14"/>
      <c r="AX692" s="14"/>
      <c r="AY692" s="14"/>
      <c r="AZ692" s="14"/>
      <c r="BA692" s="14"/>
      <c r="BB692" s="14"/>
      <c r="BC692" s="14"/>
      <c r="BD692" s="14"/>
      <c r="BE692" s="14"/>
      <c r="BF692" s="14"/>
      <c r="BG692" s="14"/>
      <c r="BH692" s="14"/>
      <c r="BI692" s="14"/>
      <c r="BJ692" s="14"/>
      <c r="BK692" s="14"/>
      <c r="BL692" s="14"/>
      <c r="BM692" s="14"/>
      <c r="BN692" s="14"/>
      <c r="BO692" s="14"/>
      <c r="BP692" s="14"/>
      <c r="BQ692" s="14"/>
      <c r="BR692" s="14"/>
      <c r="BS692" s="14"/>
      <c r="BT692" s="14"/>
      <c r="BU692" s="14"/>
      <c r="BV692" s="14"/>
      <c r="BW692" s="14"/>
      <c r="BX692" s="14"/>
      <c r="BY692" s="14"/>
      <c r="BZ692" s="14"/>
      <c r="CA692" s="14"/>
      <c r="CB692" s="14"/>
      <c r="CC692" s="14"/>
      <c r="CD692" s="14"/>
      <c r="CE692" s="14"/>
      <c r="CF692" s="14"/>
      <c r="CG692" s="14"/>
      <c r="CH692" s="14"/>
      <c r="CI692" s="14"/>
      <c r="CJ692" s="14"/>
      <c r="CK692" s="14"/>
      <c r="CL692" s="14"/>
      <c r="CM692" s="14"/>
      <c r="CN692" s="14"/>
      <c r="CO692" s="14"/>
      <c r="CP692" s="14"/>
      <c r="CQ692" s="14"/>
      <c r="CR692" s="14"/>
      <c r="CS692" s="14"/>
      <c r="CT692" s="14"/>
      <c r="CU692" s="14"/>
      <c r="CV692" s="14"/>
      <c r="CW692" s="14"/>
      <c r="CX692" s="14"/>
      <c r="CY692" s="14"/>
      <c r="CZ692" s="14"/>
      <c r="DA692" s="14"/>
      <c r="DB692" s="14"/>
      <c r="DC692" s="14"/>
      <c r="DD692" s="14"/>
      <c r="DE692" s="14"/>
      <c r="DF692" s="14"/>
      <c r="DG692" s="14"/>
      <c r="DH692" s="14"/>
      <c r="DI692" s="14"/>
      <c r="DJ692" s="14"/>
      <c r="DK692" s="14"/>
      <c r="DL692" s="14"/>
      <c r="DM692" s="14"/>
      <c r="DN692" s="14"/>
      <c r="DO692" s="14"/>
      <c r="DP692" s="14"/>
      <c r="DQ692" s="14"/>
      <c r="DR692" s="14"/>
      <c r="DS692" s="14"/>
      <c r="DT692" s="14"/>
      <c r="DU692" s="14"/>
      <c r="DV692" s="14"/>
      <c r="DW692" s="14"/>
      <c r="DX692" s="14"/>
      <c r="DY692" s="14"/>
      <c r="DZ692" s="14"/>
      <c r="EA692" s="14"/>
      <c r="EB692" s="14"/>
      <c r="EC692" s="14"/>
    </row>
    <row r="693" spans="1:133" s="13" customFormat="1" ht="31.2" x14ac:dyDescent="0.25">
      <c r="A693" s="63" t="s">
        <v>209</v>
      </c>
      <c r="B693" s="25" t="s">
        <v>80</v>
      </c>
      <c r="C693" s="35" t="s">
        <v>81</v>
      </c>
      <c r="D693" s="35" t="s">
        <v>353</v>
      </c>
      <c r="E693" s="25">
        <f>5</f>
        <v>5</v>
      </c>
      <c r="R693" s="14"/>
      <c r="S693" s="14"/>
      <c r="T693" s="14"/>
      <c r="U693" s="14"/>
      <c r="V693" s="14"/>
      <c r="W693" s="14"/>
      <c r="X693" s="14"/>
      <c r="Y693" s="14"/>
      <c r="Z693" s="14"/>
      <c r="AA693" s="14"/>
      <c r="AB693" s="14"/>
      <c r="AC693" s="14"/>
      <c r="AD693" s="14"/>
      <c r="AE693" s="14"/>
      <c r="AF693" s="14"/>
      <c r="AG693" s="14"/>
      <c r="AH693" s="14"/>
      <c r="AI693" s="14"/>
      <c r="AJ693" s="14"/>
      <c r="AK693" s="14"/>
      <c r="AL693" s="14"/>
      <c r="AM693" s="14"/>
      <c r="AN693" s="14"/>
      <c r="AO693" s="14"/>
      <c r="AP693" s="14"/>
      <c r="AQ693" s="14"/>
      <c r="AR693" s="14"/>
      <c r="AS693" s="14"/>
      <c r="AT693" s="14"/>
      <c r="AU693" s="14"/>
      <c r="AV693" s="14"/>
      <c r="AW693" s="14"/>
      <c r="AX693" s="14"/>
      <c r="AY693" s="14"/>
      <c r="AZ693" s="14"/>
      <c r="BA693" s="14"/>
      <c r="BB693" s="14"/>
      <c r="BC693" s="14"/>
      <c r="BD693" s="14"/>
      <c r="BE693" s="14"/>
      <c r="BF693" s="14"/>
      <c r="BG693" s="14"/>
      <c r="BH693" s="14"/>
      <c r="BI693" s="14"/>
      <c r="BJ693" s="14"/>
      <c r="BK693" s="14"/>
      <c r="BL693" s="14"/>
      <c r="BM693" s="14"/>
      <c r="BN693" s="14"/>
      <c r="BO693" s="14"/>
      <c r="BP693" s="14"/>
      <c r="BQ693" s="14"/>
      <c r="BR693" s="14"/>
      <c r="BS693" s="14"/>
      <c r="BT693" s="14"/>
      <c r="BU693" s="14"/>
      <c r="BV693" s="14"/>
      <c r="BW693" s="14"/>
      <c r="BX693" s="14"/>
      <c r="BY693" s="14"/>
      <c r="BZ693" s="14"/>
      <c r="CA693" s="14"/>
      <c r="CB693" s="14"/>
      <c r="CC693" s="14"/>
      <c r="CD693" s="14"/>
      <c r="CE693" s="14"/>
      <c r="CF693" s="14"/>
      <c r="CG693" s="14"/>
      <c r="CH693" s="14"/>
      <c r="CI693" s="14"/>
      <c r="CJ693" s="14"/>
      <c r="CK693" s="14"/>
      <c r="CL693" s="14"/>
      <c r="CM693" s="14"/>
      <c r="CN693" s="14"/>
      <c r="CO693" s="14"/>
      <c r="CP693" s="14"/>
      <c r="CQ693" s="14"/>
      <c r="CR693" s="14"/>
      <c r="CS693" s="14"/>
      <c r="CT693" s="14"/>
      <c r="CU693" s="14"/>
      <c r="CV693" s="14"/>
      <c r="CW693" s="14"/>
      <c r="CX693" s="14"/>
      <c r="CY693" s="14"/>
      <c r="CZ693" s="14"/>
      <c r="DA693" s="14"/>
      <c r="DB693" s="14"/>
      <c r="DC693" s="14"/>
      <c r="DD693" s="14"/>
      <c r="DE693" s="14"/>
      <c r="DF693" s="14"/>
      <c r="DG693" s="14"/>
      <c r="DH693" s="14"/>
      <c r="DI693" s="14"/>
      <c r="DJ693" s="14"/>
      <c r="DK693" s="14"/>
      <c r="DL693" s="14"/>
      <c r="DM693" s="14"/>
      <c r="DN693" s="14"/>
      <c r="DO693" s="14"/>
      <c r="DP693" s="14"/>
      <c r="DQ693" s="14"/>
      <c r="DR693" s="14"/>
      <c r="DS693" s="14"/>
      <c r="DT693" s="14"/>
      <c r="DU693" s="14"/>
      <c r="DV693" s="14"/>
      <c r="DW693" s="14"/>
      <c r="DX693" s="14"/>
      <c r="DY693" s="14"/>
      <c r="DZ693" s="14"/>
      <c r="EA693" s="14"/>
      <c r="EB693" s="14"/>
      <c r="EC693" s="14"/>
    </row>
    <row r="694" spans="1:133" s="13" customFormat="1" ht="62.4" x14ac:dyDescent="0.25">
      <c r="A694" s="63" t="s">
        <v>210</v>
      </c>
      <c r="B694" s="25" t="s">
        <v>82</v>
      </c>
      <c r="C694" s="35" t="s">
        <v>83</v>
      </c>
      <c r="D694" s="53" t="s">
        <v>354</v>
      </c>
      <c r="E694" s="25">
        <f>15*2</f>
        <v>30</v>
      </c>
      <c r="R694" s="14"/>
      <c r="S694" s="14"/>
      <c r="T694" s="14"/>
      <c r="U694" s="14"/>
      <c r="V694" s="14"/>
      <c r="W694" s="14"/>
      <c r="X694" s="14"/>
      <c r="Y694" s="14"/>
      <c r="Z694" s="14"/>
      <c r="AA694" s="14"/>
      <c r="AB694" s="14"/>
      <c r="AC694" s="14"/>
      <c r="AD694" s="14"/>
      <c r="AE694" s="14"/>
      <c r="AF694" s="14"/>
      <c r="AG694" s="14"/>
      <c r="AH694" s="14"/>
      <c r="AI694" s="14"/>
      <c r="AJ694" s="14"/>
      <c r="AK694" s="14"/>
      <c r="AL694" s="14"/>
      <c r="AM694" s="14"/>
      <c r="AN694" s="14"/>
      <c r="AO694" s="14"/>
      <c r="AP694" s="14"/>
      <c r="AQ694" s="14"/>
      <c r="AR694" s="14"/>
      <c r="AS694" s="14"/>
      <c r="AT694" s="14"/>
      <c r="AU694" s="14"/>
      <c r="AV694" s="14"/>
      <c r="AW694" s="14"/>
      <c r="AX694" s="14"/>
      <c r="AY694" s="14"/>
      <c r="AZ694" s="14"/>
      <c r="BA694" s="14"/>
      <c r="BB694" s="14"/>
      <c r="BC694" s="14"/>
      <c r="BD694" s="14"/>
      <c r="BE694" s="14"/>
      <c r="BF694" s="14"/>
      <c r="BG694" s="14"/>
      <c r="BH694" s="14"/>
      <c r="BI694" s="14"/>
      <c r="BJ694" s="14"/>
      <c r="BK694" s="14"/>
      <c r="BL694" s="14"/>
      <c r="BM694" s="14"/>
      <c r="BN694" s="14"/>
      <c r="BO694" s="14"/>
      <c r="BP694" s="14"/>
      <c r="BQ694" s="14"/>
      <c r="BR694" s="14"/>
      <c r="BS694" s="14"/>
      <c r="BT694" s="14"/>
      <c r="BU694" s="14"/>
      <c r="BV694" s="14"/>
      <c r="BW694" s="14"/>
      <c r="BX694" s="14"/>
      <c r="BY694" s="14"/>
      <c r="BZ694" s="14"/>
      <c r="CA694" s="14"/>
      <c r="CB694" s="14"/>
      <c r="CC694" s="14"/>
      <c r="CD694" s="14"/>
      <c r="CE694" s="14"/>
      <c r="CF694" s="14"/>
      <c r="CG694" s="14"/>
      <c r="CH694" s="14"/>
      <c r="CI694" s="14"/>
      <c r="CJ694" s="14"/>
      <c r="CK694" s="14"/>
      <c r="CL694" s="14"/>
      <c r="CM694" s="14"/>
      <c r="CN694" s="14"/>
      <c r="CO694" s="14"/>
      <c r="CP694" s="14"/>
      <c r="CQ694" s="14"/>
      <c r="CR694" s="14"/>
      <c r="CS694" s="14"/>
      <c r="CT694" s="14"/>
      <c r="CU694" s="14"/>
      <c r="CV694" s="14"/>
      <c r="CW694" s="14"/>
      <c r="CX694" s="14"/>
      <c r="CY694" s="14"/>
      <c r="CZ694" s="14"/>
      <c r="DA694" s="14"/>
      <c r="DB694" s="14"/>
      <c r="DC694" s="14"/>
      <c r="DD694" s="14"/>
      <c r="DE694" s="14"/>
      <c r="DF694" s="14"/>
      <c r="DG694" s="14"/>
      <c r="DH694" s="14"/>
      <c r="DI694" s="14"/>
      <c r="DJ694" s="14"/>
      <c r="DK694" s="14"/>
      <c r="DL694" s="14"/>
      <c r="DM694" s="14"/>
      <c r="DN694" s="14"/>
      <c r="DO694" s="14"/>
      <c r="DP694" s="14"/>
      <c r="DQ694" s="14"/>
      <c r="DR694" s="14"/>
      <c r="DS694" s="14"/>
      <c r="DT694" s="14"/>
      <c r="DU694" s="14"/>
      <c r="DV694" s="14"/>
      <c r="DW694" s="14"/>
      <c r="DX694" s="14"/>
      <c r="DY694" s="14"/>
      <c r="DZ694" s="14"/>
      <c r="EA694" s="14"/>
      <c r="EB694" s="14"/>
      <c r="EC694" s="14"/>
    </row>
    <row r="695" spans="1:133" s="13" customFormat="1" ht="172.2" x14ac:dyDescent="0.25">
      <c r="A695" s="63" t="s">
        <v>211</v>
      </c>
      <c r="B695" s="25" t="s">
        <v>84</v>
      </c>
      <c r="C695" s="35" t="s">
        <v>85</v>
      </c>
      <c r="D695" s="35" t="s">
        <v>355</v>
      </c>
      <c r="E695" s="25">
        <f>25.1/100</f>
        <v>0.251</v>
      </c>
      <c r="R695" s="14"/>
      <c r="S695" s="14"/>
      <c r="T695" s="14"/>
      <c r="U695" s="14"/>
      <c r="V695" s="14"/>
      <c r="W695" s="14"/>
      <c r="X695" s="14"/>
      <c r="Y695" s="14"/>
      <c r="Z695" s="14"/>
      <c r="AA695" s="14"/>
      <c r="AB695" s="14"/>
      <c r="AC695" s="14"/>
      <c r="AD695" s="14"/>
      <c r="AE695" s="14"/>
      <c r="AF695" s="14"/>
      <c r="AG695" s="14"/>
      <c r="AH695" s="14"/>
      <c r="AI695" s="14"/>
      <c r="AJ695" s="14"/>
      <c r="AK695" s="14"/>
      <c r="AL695" s="14"/>
      <c r="AM695" s="14"/>
      <c r="AN695" s="14"/>
      <c r="AO695" s="14"/>
      <c r="AP695" s="14"/>
      <c r="AQ695" s="14"/>
      <c r="AR695" s="14"/>
      <c r="AS695" s="14"/>
      <c r="AT695" s="14"/>
      <c r="AU695" s="14"/>
      <c r="AV695" s="14"/>
      <c r="AW695" s="14"/>
      <c r="AX695" s="14"/>
      <c r="AY695" s="14"/>
      <c r="AZ695" s="14"/>
      <c r="BA695" s="14"/>
      <c r="BB695" s="14"/>
      <c r="BC695" s="14"/>
      <c r="BD695" s="14"/>
      <c r="BE695" s="14"/>
      <c r="BF695" s="14"/>
      <c r="BG695" s="14"/>
      <c r="BH695" s="14"/>
      <c r="BI695" s="14"/>
      <c r="BJ695" s="14"/>
      <c r="BK695" s="14"/>
      <c r="BL695" s="14"/>
      <c r="BM695" s="14"/>
      <c r="BN695" s="14"/>
      <c r="BO695" s="14"/>
      <c r="BP695" s="14"/>
      <c r="BQ695" s="14"/>
      <c r="BR695" s="14"/>
      <c r="BS695" s="14"/>
      <c r="BT695" s="14"/>
      <c r="BU695" s="14"/>
      <c r="BV695" s="14"/>
      <c r="BW695" s="14"/>
      <c r="BX695" s="14"/>
      <c r="BY695" s="14"/>
      <c r="BZ695" s="14"/>
      <c r="CA695" s="14"/>
      <c r="CB695" s="14"/>
      <c r="CC695" s="14"/>
      <c r="CD695" s="14"/>
      <c r="CE695" s="14"/>
      <c r="CF695" s="14"/>
      <c r="CG695" s="14"/>
      <c r="CH695" s="14"/>
      <c r="CI695" s="14"/>
      <c r="CJ695" s="14"/>
      <c r="CK695" s="14"/>
      <c r="CL695" s="14"/>
      <c r="CM695" s="14"/>
      <c r="CN695" s="14"/>
      <c r="CO695" s="14"/>
      <c r="CP695" s="14"/>
      <c r="CQ695" s="14"/>
      <c r="CR695" s="14"/>
      <c r="CS695" s="14"/>
      <c r="CT695" s="14"/>
      <c r="CU695" s="14"/>
      <c r="CV695" s="14"/>
      <c r="CW695" s="14"/>
      <c r="CX695" s="14"/>
      <c r="CY695" s="14"/>
      <c r="CZ695" s="14"/>
      <c r="DA695" s="14"/>
      <c r="DB695" s="14"/>
      <c r="DC695" s="14"/>
      <c r="DD695" s="14"/>
      <c r="DE695" s="14"/>
      <c r="DF695" s="14"/>
      <c r="DG695" s="14"/>
      <c r="DH695" s="14"/>
      <c r="DI695" s="14"/>
      <c r="DJ695" s="14"/>
      <c r="DK695" s="14"/>
      <c r="DL695" s="14"/>
      <c r="DM695" s="14"/>
      <c r="DN695" s="14"/>
      <c r="DO695" s="14"/>
      <c r="DP695" s="14"/>
      <c r="DQ695" s="14"/>
      <c r="DR695" s="14"/>
      <c r="DS695" s="14"/>
      <c r="DT695" s="14"/>
      <c r="DU695" s="14"/>
      <c r="DV695" s="14"/>
      <c r="DW695" s="14"/>
      <c r="DX695" s="14"/>
      <c r="DY695" s="14"/>
      <c r="DZ695" s="14"/>
      <c r="EA695" s="14"/>
      <c r="EB695" s="14"/>
      <c r="EC695" s="14"/>
    </row>
    <row r="696" spans="1:133" s="13" customFormat="1" ht="140.4" x14ac:dyDescent="0.25">
      <c r="A696" s="63" t="s">
        <v>212</v>
      </c>
      <c r="B696" s="25" t="s">
        <v>87</v>
      </c>
      <c r="C696" s="35" t="s">
        <v>86</v>
      </c>
      <c r="D696" s="35" t="s">
        <v>356</v>
      </c>
      <c r="E696" s="25">
        <f>0.84/1000</f>
        <v>8.3999999999999993E-4</v>
      </c>
      <c r="R696" s="14"/>
      <c r="S696" s="14"/>
      <c r="T696" s="14"/>
      <c r="U696" s="14"/>
      <c r="V696" s="14"/>
      <c r="W696" s="14"/>
      <c r="X696" s="14"/>
      <c r="Y696" s="14"/>
      <c r="Z696" s="14"/>
      <c r="AA696" s="14"/>
      <c r="AB696" s="14"/>
      <c r="AC696" s="14"/>
      <c r="AD696" s="14"/>
      <c r="AE696" s="14"/>
      <c r="AF696" s="14"/>
      <c r="AG696" s="14"/>
      <c r="AH696" s="14"/>
      <c r="AI696" s="14"/>
      <c r="AJ696" s="14"/>
      <c r="AK696" s="14"/>
      <c r="AL696" s="14"/>
      <c r="AM696" s="14"/>
      <c r="AN696" s="14"/>
      <c r="AO696" s="14"/>
      <c r="AP696" s="14"/>
      <c r="AQ696" s="14"/>
      <c r="AR696" s="14"/>
      <c r="AS696" s="14"/>
      <c r="AT696" s="14"/>
      <c r="AU696" s="14"/>
      <c r="AV696" s="14"/>
      <c r="AW696" s="14"/>
      <c r="AX696" s="14"/>
      <c r="AY696" s="14"/>
      <c r="AZ696" s="14"/>
      <c r="BA696" s="14"/>
      <c r="BB696" s="14"/>
      <c r="BC696" s="14"/>
      <c r="BD696" s="14"/>
      <c r="BE696" s="14"/>
      <c r="BF696" s="14"/>
      <c r="BG696" s="14"/>
      <c r="BH696" s="14"/>
      <c r="BI696" s="14"/>
      <c r="BJ696" s="14"/>
      <c r="BK696" s="14"/>
      <c r="BL696" s="14"/>
      <c r="BM696" s="14"/>
      <c r="BN696" s="14"/>
      <c r="BO696" s="14"/>
      <c r="BP696" s="14"/>
      <c r="BQ696" s="14"/>
      <c r="BR696" s="14"/>
      <c r="BS696" s="14"/>
      <c r="BT696" s="14"/>
      <c r="BU696" s="14"/>
      <c r="BV696" s="14"/>
      <c r="BW696" s="14"/>
      <c r="BX696" s="14"/>
      <c r="BY696" s="14"/>
      <c r="BZ696" s="14"/>
      <c r="CA696" s="14"/>
      <c r="CB696" s="14"/>
      <c r="CC696" s="14"/>
      <c r="CD696" s="14"/>
      <c r="CE696" s="14"/>
      <c r="CF696" s="14"/>
      <c r="CG696" s="14"/>
      <c r="CH696" s="14"/>
      <c r="CI696" s="14"/>
      <c r="CJ696" s="14"/>
      <c r="CK696" s="14"/>
      <c r="CL696" s="14"/>
      <c r="CM696" s="14"/>
      <c r="CN696" s="14"/>
      <c r="CO696" s="14"/>
      <c r="CP696" s="14"/>
      <c r="CQ696" s="14"/>
      <c r="CR696" s="14"/>
      <c r="CS696" s="14"/>
      <c r="CT696" s="14"/>
      <c r="CU696" s="14"/>
      <c r="CV696" s="14"/>
      <c r="CW696" s="14"/>
      <c r="CX696" s="14"/>
      <c r="CY696" s="14"/>
      <c r="CZ696" s="14"/>
      <c r="DA696" s="14"/>
      <c r="DB696" s="14"/>
      <c r="DC696" s="14"/>
      <c r="DD696" s="14"/>
      <c r="DE696" s="14"/>
      <c r="DF696" s="14"/>
      <c r="DG696" s="14"/>
      <c r="DH696" s="14"/>
      <c r="DI696" s="14"/>
      <c r="DJ696" s="14"/>
      <c r="DK696" s="14"/>
      <c r="DL696" s="14"/>
      <c r="DM696" s="14"/>
      <c r="DN696" s="14"/>
      <c r="DO696" s="14"/>
      <c r="DP696" s="14"/>
      <c r="DQ696" s="14"/>
      <c r="DR696" s="14"/>
      <c r="DS696" s="14"/>
      <c r="DT696" s="14"/>
      <c r="DU696" s="14"/>
      <c r="DV696" s="14"/>
      <c r="DW696" s="14"/>
      <c r="DX696" s="14"/>
      <c r="DY696" s="14"/>
      <c r="DZ696" s="14"/>
      <c r="EA696" s="14"/>
      <c r="EB696" s="14"/>
      <c r="EC696" s="14"/>
    </row>
    <row r="697" spans="1:133" s="13" customFormat="1" ht="140.4" x14ac:dyDescent="0.25">
      <c r="A697" s="63" t="s">
        <v>213</v>
      </c>
      <c r="B697" s="25" t="s">
        <v>88</v>
      </c>
      <c r="C697" s="35" t="s">
        <v>89</v>
      </c>
      <c r="D697" s="35" t="s">
        <v>357</v>
      </c>
      <c r="E697" s="25">
        <f>43.33/1000</f>
        <v>4.333E-2</v>
      </c>
      <c r="R697" s="14"/>
      <c r="S697" s="14"/>
      <c r="T697" s="14"/>
      <c r="U697" s="14"/>
      <c r="V697" s="14"/>
      <c r="W697" s="14"/>
      <c r="X697" s="14"/>
      <c r="Y697" s="14"/>
      <c r="Z697" s="14"/>
      <c r="AA697" s="14"/>
      <c r="AB697" s="14"/>
      <c r="AC697" s="14"/>
      <c r="AD697" s="14"/>
      <c r="AE697" s="14"/>
      <c r="AF697" s="14"/>
      <c r="AG697" s="14"/>
      <c r="AH697" s="14"/>
      <c r="AI697" s="14"/>
      <c r="AJ697" s="14"/>
      <c r="AK697" s="14"/>
      <c r="AL697" s="14"/>
      <c r="AM697" s="14"/>
      <c r="AN697" s="14"/>
      <c r="AO697" s="14"/>
      <c r="AP697" s="14"/>
      <c r="AQ697" s="14"/>
      <c r="AR697" s="14"/>
      <c r="AS697" s="14"/>
      <c r="AT697" s="14"/>
      <c r="AU697" s="14"/>
      <c r="AV697" s="14"/>
      <c r="AW697" s="14"/>
      <c r="AX697" s="14"/>
      <c r="AY697" s="14"/>
      <c r="AZ697" s="14"/>
      <c r="BA697" s="14"/>
      <c r="BB697" s="14"/>
      <c r="BC697" s="14"/>
      <c r="BD697" s="14"/>
      <c r="BE697" s="14"/>
      <c r="BF697" s="14"/>
      <c r="BG697" s="14"/>
      <c r="BH697" s="14"/>
      <c r="BI697" s="14"/>
      <c r="BJ697" s="14"/>
      <c r="BK697" s="14"/>
      <c r="BL697" s="14"/>
      <c r="BM697" s="14"/>
      <c r="BN697" s="14"/>
      <c r="BO697" s="14"/>
      <c r="BP697" s="14"/>
      <c r="BQ697" s="14"/>
      <c r="BR697" s="14"/>
      <c r="BS697" s="14"/>
      <c r="BT697" s="14"/>
      <c r="BU697" s="14"/>
      <c r="BV697" s="14"/>
      <c r="BW697" s="14"/>
      <c r="BX697" s="14"/>
      <c r="BY697" s="14"/>
      <c r="BZ697" s="14"/>
      <c r="CA697" s="14"/>
      <c r="CB697" s="14"/>
      <c r="CC697" s="14"/>
      <c r="CD697" s="14"/>
      <c r="CE697" s="14"/>
      <c r="CF697" s="14"/>
      <c r="CG697" s="14"/>
      <c r="CH697" s="14"/>
      <c r="CI697" s="14"/>
      <c r="CJ697" s="14"/>
      <c r="CK697" s="14"/>
      <c r="CL697" s="14"/>
      <c r="CM697" s="14"/>
      <c r="CN697" s="14"/>
      <c r="CO697" s="14"/>
      <c r="CP697" s="14"/>
      <c r="CQ697" s="14"/>
      <c r="CR697" s="14"/>
      <c r="CS697" s="14"/>
      <c r="CT697" s="14"/>
      <c r="CU697" s="14"/>
      <c r="CV697" s="14"/>
      <c r="CW697" s="14"/>
      <c r="CX697" s="14"/>
      <c r="CY697" s="14"/>
      <c r="CZ697" s="14"/>
      <c r="DA697" s="14"/>
      <c r="DB697" s="14"/>
      <c r="DC697" s="14"/>
      <c r="DD697" s="14"/>
      <c r="DE697" s="14"/>
      <c r="DF697" s="14"/>
      <c r="DG697" s="14"/>
      <c r="DH697" s="14"/>
      <c r="DI697" s="14"/>
      <c r="DJ697" s="14"/>
      <c r="DK697" s="14"/>
      <c r="DL697" s="14"/>
      <c r="DM697" s="14"/>
      <c r="DN697" s="14"/>
      <c r="DO697" s="14"/>
      <c r="DP697" s="14"/>
      <c r="DQ697" s="14"/>
      <c r="DR697" s="14"/>
      <c r="DS697" s="14"/>
      <c r="DT697" s="14"/>
      <c r="DU697" s="14"/>
      <c r="DV697" s="14"/>
      <c r="DW697" s="14"/>
      <c r="DX697" s="14"/>
      <c r="DY697" s="14"/>
      <c r="DZ697" s="14"/>
      <c r="EA697" s="14"/>
      <c r="EB697" s="14"/>
      <c r="EC697" s="14"/>
    </row>
    <row r="698" spans="1:133" s="13" customFormat="1" ht="62.4" x14ac:dyDescent="0.25">
      <c r="A698" s="63" t="s">
        <v>214</v>
      </c>
      <c r="B698" s="25" t="s">
        <v>90</v>
      </c>
      <c r="C698" s="35" t="s">
        <v>91</v>
      </c>
      <c r="D698" s="35" t="s">
        <v>358</v>
      </c>
      <c r="E698" s="25">
        <v>74.099999999999994</v>
      </c>
      <c r="R698" s="14"/>
      <c r="S698" s="14"/>
      <c r="T698" s="14"/>
      <c r="U698" s="14"/>
      <c r="V698" s="14"/>
      <c r="W698" s="14"/>
      <c r="X698" s="14"/>
      <c r="Y698" s="14"/>
      <c r="Z698" s="14"/>
      <c r="AA698" s="14"/>
      <c r="AB698" s="14"/>
      <c r="AC698" s="14"/>
      <c r="AD698" s="14"/>
      <c r="AE698" s="14"/>
      <c r="AF698" s="14"/>
      <c r="AG698" s="14"/>
      <c r="AH698" s="14"/>
      <c r="AI698" s="14"/>
      <c r="AJ698" s="14"/>
      <c r="AK698" s="14"/>
      <c r="AL698" s="14"/>
      <c r="AM698" s="14"/>
      <c r="AN698" s="14"/>
      <c r="AO698" s="14"/>
      <c r="AP698" s="14"/>
      <c r="AQ698" s="14"/>
      <c r="AR698" s="14"/>
      <c r="AS698" s="14"/>
      <c r="AT698" s="14"/>
      <c r="AU698" s="14"/>
      <c r="AV698" s="14"/>
      <c r="AW698" s="14"/>
      <c r="AX698" s="14"/>
      <c r="AY698" s="14"/>
      <c r="AZ698" s="14"/>
      <c r="BA698" s="14"/>
      <c r="BB698" s="14"/>
      <c r="BC698" s="14"/>
      <c r="BD698" s="14"/>
      <c r="BE698" s="14"/>
      <c r="BF698" s="14"/>
      <c r="BG698" s="14"/>
      <c r="BH698" s="14"/>
      <c r="BI698" s="14"/>
      <c r="BJ698" s="14"/>
      <c r="BK698" s="14"/>
      <c r="BL698" s="14"/>
      <c r="BM698" s="14"/>
      <c r="BN698" s="14"/>
      <c r="BO698" s="14"/>
      <c r="BP698" s="14"/>
      <c r="BQ698" s="14"/>
      <c r="BR698" s="14"/>
      <c r="BS698" s="14"/>
      <c r="BT698" s="14"/>
      <c r="BU698" s="14"/>
      <c r="BV698" s="14"/>
      <c r="BW698" s="14"/>
      <c r="BX698" s="14"/>
      <c r="BY698" s="14"/>
      <c r="BZ698" s="14"/>
      <c r="CA698" s="14"/>
      <c r="CB698" s="14"/>
      <c r="CC698" s="14"/>
      <c r="CD698" s="14"/>
      <c r="CE698" s="14"/>
      <c r="CF698" s="14"/>
      <c r="CG698" s="14"/>
      <c r="CH698" s="14"/>
      <c r="CI698" s="14"/>
      <c r="CJ698" s="14"/>
      <c r="CK698" s="14"/>
      <c r="CL698" s="14"/>
      <c r="CM698" s="14"/>
      <c r="CN698" s="14"/>
      <c r="CO698" s="14"/>
      <c r="CP698" s="14"/>
      <c r="CQ698" s="14"/>
      <c r="CR698" s="14"/>
      <c r="CS698" s="14"/>
      <c r="CT698" s="14"/>
      <c r="CU698" s="14"/>
      <c r="CV698" s="14"/>
      <c r="CW698" s="14"/>
      <c r="CX698" s="14"/>
      <c r="CY698" s="14"/>
      <c r="CZ698" s="14"/>
      <c r="DA698" s="14"/>
      <c r="DB698" s="14"/>
      <c r="DC698" s="14"/>
      <c r="DD698" s="14"/>
      <c r="DE698" s="14"/>
      <c r="DF698" s="14"/>
      <c r="DG698" s="14"/>
      <c r="DH698" s="14"/>
      <c r="DI698" s="14"/>
      <c r="DJ698" s="14"/>
      <c r="DK698" s="14"/>
      <c r="DL698" s="14"/>
      <c r="DM698" s="14"/>
      <c r="DN698" s="14"/>
      <c r="DO698" s="14"/>
      <c r="DP698" s="14"/>
      <c r="DQ698" s="14"/>
      <c r="DR698" s="14"/>
      <c r="DS698" s="14"/>
      <c r="DT698" s="14"/>
      <c r="DU698" s="14"/>
      <c r="DV698" s="14"/>
      <c r="DW698" s="14"/>
      <c r="DX698" s="14"/>
      <c r="DY698" s="14"/>
      <c r="DZ698" s="14"/>
      <c r="EA698" s="14"/>
      <c r="EB698" s="14"/>
      <c r="EC698" s="14"/>
    </row>
    <row r="700" spans="1:133" s="13" customFormat="1" ht="15.6" customHeight="1" x14ac:dyDescent="0.25">
      <c r="A700" s="36" t="s">
        <v>93</v>
      </c>
      <c r="B700" s="36"/>
      <c r="C700" s="36"/>
      <c r="D700" s="36"/>
      <c r="E700" s="36"/>
      <c r="R700" s="14"/>
      <c r="S700" s="14"/>
      <c r="T700" s="14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4"/>
      <c r="AF700" s="14"/>
      <c r="AG700" s="14"/>
      <c r="AH700" s="14"/>
      <c r="AI700" s="14"/>
      <c r="AJ700" s="14"/>
      <c r="AK700" s="14"/>
      <c r="AL700" s="14"/>
      <c r="AM700" s="14"/>
      <c r="AN700" s="14"/>
      <c r="AO700" s="14"/>
      <c r="AP700" s="14"/>
      <c r="AQ700" s="14"/>
      <c r="AR700" s="14"/>
      <c r="AS700" s="14"/>
      <c r="AT700" s="14"/>
      <c r="AU700" s="14"/>
      <c r="AV700" s="14"/>
      <c r="AW700" s="14"/>
      <c r="AX700" s="14"/>
      <c r="AY700" s="14"/>
      <c r="AZ700" s="14"/>
      <c r="BA700" s="14"/>
      <c r="BB700" s="14"/>
      <c r="BC700" s="14"/>
      <c r="BD700" s="14"/>
      <c r="BE700" s="14"/>
      <c r="BF700" s="14"/>
      <c r="BG700" s="14"/>
      <c r="BH700" s="14"/>
      <c r="BI700" s="14"/>
      <c r="BJ700" s="14"/>
      <c r="BK700" s="14"/>
      <c r="BL700" s="14"/>
      <c r="BM700" s="14"/>
      <c r="BN700" s="14"/>
      <c r="BO700" s="14"/>
      <c r="BP700" s="14"/>
      <c r="BQ700" s="14"/>
      <c r="BR700" s="14"/>
      <c r="BS700" s="14"/>
      <c r="BT700" s="14"/>
      <c r="BU700" s="14"/>
      <c r="BV700" s="14"/>
      <c r="BW700" s="14"/>
      <c r="BX700" s="14"/>
      <c r="BY700" s="14"/>
      <c r="BZ700" s="14"/>
      <c r="CA700" s="14"/>
      <c r="CB700" s="14"/>
      <c r="CC700" s="14"/>
      <c r="CD700" s="14"/>
      <c r="CE700" s="14"/>
      <c r="CF700" s="14"/>
      <c r="CG700" s="14"/>
      <c r="CH700" s="14"/>
      <c r="CI700" s="14"/>
      <c r="CJ700" s="14"/>
      <c r="CK700" s="14"/>
      <c r="CL700" s="14"/>
      <c r="CM700" s="14"/>
      <c r="CN700" s="14"/>
      <c r="CO700" s="14"/>
      <c r="CP700" s="14"/>
      <c r="CQ700" s="14"/>
      <c r="CR700" s="14"/>
      <c r="CS700" s="14"/>
      <c r="CT700" s="14"/>
      <c r="CU700" s="14"/>
      <c r="CV700" s="14"/>
      <c r="CW700" s="14"/>
      <c r="CX700" s="14"/>
      <c r="CY700" s="14"/>
      <c r="CZ700" s="14"/>
      <c r="DA700" s="14"/>
      <c r="DB700" s="14"/>
      <c r="DC700" s="14"/>
      <c r="DD700" s="14"/>
      <c r="DE700" s="14"/>
      <c r="DF700" s="14"/>
      <c r="DG700" s="14"/>
      <c r="DH700" s="14"/>
      <c r="DI700" s="14"/>
      <c r="DJ700" s="14"/>
      <c r="DK700" s="14"/>
      <c r="DL700" s="14"/>
      <c r="DM700" s="14"/>
      <c r="DN700" s="14"/>
      <c r="DO700" s="14"/>
      <c r="DP700" s="14"/>
      <c r="DQ700" s="14"/>
      <c r="DR700" s="14"/>
      <c r="DS700" s="14"/>
      <c r="DT700" s="14"/>
      <c r="DU700" s="14"/>
      <c r="DV700" s="14"/>
      <c r="DW700" s="14"/>
      <c r="DX700" s="14"/>
      <c r="DY700" s="14"/>
      <c r="DZ700" s="14"/>
      <c r="EA700" s="14"/>
      <c r="EB700" s="14"/>
      <c r="EC700" s="14"/>
    </row>
    <row r="701" spans="1:133" s="13" customFormat="1" x14ac:dyDescent="0.25">
      <c r="A701" s="57" t="s">
        <v>8</v>
      </c>
      <c r="B701" s="58" t="s">
        <v>9</v>
      </c>
      <c r="C701" s="34" t="s">
        <v>10</v>
      </c>
      <c r="D701" s="34" t="s">
        <v>340</v>
      </c>
      <c r="E701" s="16" t="s">
        <v>65</v>
      </c>
      <c r="R701" s="14"/>
      <c r="S701" s="14"/>
      <c r="T701" s="14"/>
      <c r="U701" s="14"/>
      <c r="V701" s="14"/>
      <c r="W701" s="14"/>
      <c r="X701" s="14"/>
      <c r="Y701" s="14"/>
      <c r="Z701" s="14"/>
      <c r="AA701" s="14"/>
      <c r="AB701" s="14"/>
      <c r="AC701" s="14"/>
      <c r="AD701" s="14"/>
      <c r="AE701" s="14"/>
      <c r="AF701" s="14"/>
      <c r="AG701" s="14"/>
      <c r="AH701" s="14"/>
      <c r="AI701" s="14"/>
      <c r="AJ701" s="14"/>
      <c r="AK701" s="14"/>
      <c r="AL701" s="14"/>
      <c r="AM701" s="14"/>
      <c r="AN701" s="14"/>
      <c r="AO701" s="14"/>
      <c r="AP701" s="14"/>
      <c r="AQ701" s="14"/>
      <c r="AR701" s="14"/>
      <c r="AS701" s="14"/>
      <c r="AT701" s="14"/>
      <c r="AU701" s="14"/>
      <c r="AV701" s="14"/>
      <c r="AW701" s="14"/>
      <c r="AX701" s="14"/>
      <c r="AY701" s="14"/>
      <c r="AZ701" s="14"/>
      <c r="BA701" s="14"/>
      <c r="BB701" s="14"/>
      <c r="BC701" s="14"/>
      <c r="BD701" s="14"/>
      <c r="BE701" s="14"/>
      <c r="BF701" s="14"/>
      <c r="BG701" s="14"/>
      <c r="BH701" s="14"/>
      <c r="BI701" s="14"/>
      <c r="BJ701" s="14"/>
      <c r="BK701" s="14"/>
      <c r="BL701" s="14"/>
      <c r="BM701" s="14"/>
      <c r="BN701" s="14"/>
      <c r="BO701" s="14"/>
      <c r="BP701" s="14"/>
      <c r="BQ701" s="14"/>
      <c r="BR701" s="14"/>
      <c r="BS701" s="14"/>
      <c r="BT701" s="14"/>
      <c r="BU701" s="14"/>
      <c r="BV701" s="14"/>
      <c r="BW701" s="14"/>
      <c r="BX701" s="14"/>
      <c r="BY701" s="14"/>
      <c r="BZ701" s="14"/>
      <c r="CA701" s="14"/>
      <c r="CB701" s="14"/>
      <c r="CC701" s="14"/>
      <c r="CD701" s="14"/>
      <c r="CE701" s="14"/>
      <c r="CF701" s="14"/>
      <c r="CG701" s="14"/>
      <c r="CH701" s="14"/>
      <c r="CI701" s="14"/>
      <c r="CJ701" s="14"/>
      <c r="CK701" s="14"/>
      <c r="CL701" s="14"/>
      <c r="CM701" s="14"/>
      <c r="CN701" s="14"/>
      <c r="CO701" s="14"/>
      <c r="CP701" s="14"/>
      <c r="CQ701" s="14"/>
      <c r="CR701" s="14"/>
      <c r="CS701" s="14"/>
      <c r="CT701" s="14"/>
      <c r="CU701" s="14"/>
      <c r="CV701" s="14"/>
      <c r="CW701" s="14"/>
      <c r="CX701" s="14"/>
      <c r="CY701" s="14"/>
      <c r="CZ701" s="14"/>
      <c r="DA701" s="14"/>
      <c r="DB701" s="14"/>
      <c r="DC701" s="14"/>
      <c r="DD701" s="14"/>
      <c r="DE701" s="14"/>
      <c r="DF701" s="14"/>
      <c r="DG701" s="14"/>
      <c r="DH701" s="14"/>
      <c r="DI701" s="14"/>
      <c r="DJ701" s="14"/>
      <c r="DK701" s="14"/>
      <c r="DL701" s="14"/>
      <c r="DM701" s="14"/>
      <c r="DN701" s="14"/>
      <c r="DO701" s="14"/>
      <c r="DP701" s="14"/>
      <c r="DQ701" s="14"/>
      <c r="DR701" s="14"/>
      <c r="DS701" s="14"/>
      <c r="DT701" s="14"/>
      <c r="DU701" s="14"/>
      <c r="DV701" s="14"/>
      <c r="DW701" s="14"/>
      <c r="DX701" s="14"/>
      <c r="DY701" s="14"/>
      <c r="DZ701" s="14"/>
      <c r="EA701" s="14"/>
      <c r="EB701" s="14"/>
      <c r="EC701" s="14"/>
    </row>
    <row r="702" spans="1:133" s="13" customFormat="1" ht="64.8" x14ac:dyDescent="0.25">
      <c r="A702" s="15" t="s">
        <v>94</v>
      </c>
      <c r="B702" s="25" t="s">
        <v>95</v>
      </c>
      <c r="C702" s="35" t="s">
        <v>96</v>
      </c>
      <c r="D702" s="35" t="s">
        <v>97</v>
      </c>
      <c r="E702" s="16">
        <v>0</v>
      </c>
      <c r="R702" s="14"/>
      <c r="S702" s="14"/>
      <c r="T702" s="14"/>
      <c r="U702" s="14"/>
      <c r="V702" s="14"/>
      <c r="W702" s="14"/>
      <c r="X702" s="14"/>
      <c r="Y702" s="14"/>
      <c r="Z702" s="14"/>
      <c r="AA702" s="14"/>
      <c r="AB702" s="14"/>
      <c r="AC702" s="14"/>
      <c r="AD702" s="14"/>
      <c r="AE702" s="14"/>
      <c r="AF702" s="14"/>
      <c r="AG702" s="14"/>
      <c r="AH702" s="14"/>
      <c r="AI702" s="14"/>
      <c r="AJ702" s="14"/>
      <c r="AK702" s="14"/>
      <c r="AL702" s="14"/>
      <c r="AM702" s="14"/>
      <c r="AN702" s="14"/>
      <c r="AO702" s="14"/>
      <c r="AP702" s="14"/>
      <c r="AQ702" s="14"/>
      <c r="AR702" s="14"/>
      <c r="AS702" s="14"/>
      <c r="AT702" s="14"/>
      <c r="AU702" s="14"/>
      <c r="AV702" s="14"/>
      <c r="AW702" s="14"/>
      <c r="AX702" s="14"/>
      <c r="AY702" s="14"/>
      <c r="AZ702" s="14"/>
      <c r="BA702" s="14"/>
      <c r="BB702" s="14"/>
      <c r="BC702" s="14"/>
      <c r="BD702" s="14"/>
      <c r="BE702" s="14"/>
      <c r="BF702" s="14"/>
      <c r="BG702" s="14"/>
      <c r="BH702" s="14"/>
      <c r="BI702" s="14"/>
      <c r="BJ702" s="14"/>
      <c r="BK702" s="14"/>
      <c r="BL702" s="14"/>
      <c r="BM702" s="14"/>
      <c r="BN702" s="14"/>
      <c r="BO702" s="14"/>
      <c r="BP702" s="14"/>
      <c r="BQ702" s="14"/>
      <c r="BR702" s="14"/>
      <c r="BS702" s="14"/>
      <c r="BT702" s="14"/>
      <c r="BU702" s="14"/>
      <c r="BV702" s="14"/>
      <c r="BW702" s="14"/>
      <c r="BX702" s="14"/>
      <c r="BY702" s="14"/>
      <c r="BZ702" s="14"/>
      <c r="CA702" s="14"/>
      <c r="CB702" s="14"/>
      <c r="CC702" s="14"/>
      <c r="CD702" s="14"/>
      <c r="CE702" s="14"/>
      <c r="CF702" s="14"/>
      <c r="CG702" s="14"/>
      <c r="CH702" s="14"/>
      <c r="CI702" s="14"/>
      <c r="CJ702" s="14"/>
      <c r="CK702" s="14"/>
      <c r="CL702" s="14"/>
      <c r="CM702" s="14"/>
      <c r="CN702" s="14"/>
      <c r="CO702" s="14"/>
      <c r="CP702" s="14"/>
      <c r="CQ702" s="14"/>
      <c r="CR702" s="14"/>
      <c r="CS702" s="14"/>
      <c r="CT702" s="14"/>
      <c r="CU702" s="14"/>
      <c r="CV702" s="14"/>
      <c r="CW702" s="14"/>
      <c r="CX702" s="14"/>
      <c r="CY702" s="14"/>
      <c r="CZ702" s="14"/>
      <c r="DA702" s="14"/>
      <c r="DB702" s="14"/>
      <c r="DC702" s="14"/>
      <c r="DD702" s="14"/>
      <c r="DE702" s="14"/>
      <c r="DF702" s="14"/>
      <c r="DG702" s="14"/>
      <c r="DH702" s="14"/>
      <c r="DI702" s="14"/>
      <c r="DJ702" s="14"/>
      <c r="DK702" s="14"/>
      <c r="DL702" s="14"/>
      <c r="DM702" s="14"/>
      <c r="DN702" s="14"/>
      <c r="DO702" s="14"/>
      <c r="DP702" s="14"/>
      <c r="DQ702" s="14"/>
      <c r="DR702" s="14"/>
      <c r="DS702" s="14"/>
      <c r="DT702" s="14"/>
      <c r="DU702" s="14"/>
      <c r="DV702" s="14"/>
      <c r="DW702" s="14"/>
      <c r="DX702" s="14"/>
      <c r="DY702" s="14"/>
      <c r="DZ702" s="14"/>
      <c r="EA702" s="14"/>
      <c r="EB702" s="14"/>
      <c r="EC702" s="14"/>
    </row>
    <row r="704" spans="1:133" ht="15.6" customHeight="1" x14ac:dyDescent="0.25">
      <c r="A704" s="36" t="s">
        <v>98</v>
      </c>
      <c r="B704" s="36"/>
      <c r="C704" s="36"/>
      <c r="D704" s="36"/>
      <c r="E704" s="36"/>
    </row>
    <row r="705" spans="1:133" x14ac:dyDescent="0.25">
      <c r="A705" s="57" t="s">
        <v>8</v>
      </c>
      <c r="B705" s="58" t="s">
        <v>9</v>
      </c>
      <c r="C705" s="34" t="s">
        <v>10</v>
      </c>
      <c r="D705" s="34" t="s">
        <v>340</v>
      </c>
      <c r="E705" s="16" t="s">
        <v>65</v>
      </c>
    </row>
    <row r="706" spans="1:133" ht="49.2" x14ac:dyDescent="0.25">
      <c r="A706" s="15" t="s">
        <v>99</v>
      </c>
      <c r="B706" s="25" t="s">
        <v>95</v>
      </c>
      <c r="C706" s="35" t="s">
        <v>100</v>
      </c>
      <c r="D706" s="35" t="s">
        <v>101</v>
      </c>
      <c r="E706" s="16">
        <v>0</v>
      </c>
    </row>
    <row r="708" spans="1:133" x14ac:dyDescent="0.25">
      <c r="A708" s="57" t="s">
        <v>8</v>
      </c>
      <c r="B708" s="58" t="s">
        <v>9</v>
      </c>
      <c r="C708" s="34" t="s">
        <v>10</v>
      </c>
      <c r="D708" s="34" t="s">
        <v>340</v>
      </c>
      <c r="E708" s="16" t="s">
        <v>65</v>
      </c>
    </row>
    <row r="709" spans="1:133" ht="18" x14ac:dyDescent="0.25">
      <c r="A709" s="59" t="s">
        <v>102</v>
      </c>
      <c r="B709" s="25" t="s">
        <v>103</v>
      </c>
      <c r="C709" s="35" t="s">
        <v>104</v>
      </c>
      <c r="D709" s="53" t="s">
        <v>380</v>
      </c>
      <c r="E709" s="18">
        <f>ROUNDDOWN(E659+E690+E685+E702+E706,0)</f>
        <v>3779</v>
      </c>
    </row>
    <row r="710" spans="1:133" s="165" customFormat="1" ht="38.4" customHeight="1" x14ac:dyDescent="0.25">
      <c r="A710" s="185" t="s">
        <v>233</v>
      </c>
      <c r="B710" s="186"/>
      <c r="C710" s="186"/>
      <c r="D710" s="186"/>
      <c r="E710" s="186"/>
      <c r="F710" s="186"/>
      <c r="G710" s="186"/>
      <c r="H710" s="186"/>
      <c r="I710" s="186"/>
      <c r="J710" s="186"/>
      <c r="K710" s="186"/>
      <c r="L710" s="186"/>
      <c r="M710" s="186"/>
      <c r="N710" s="186"/>
      <c r="O710" s="186"/>
      <c r="P710" s="186"/>
      <c r="Q710" s="186"/>
      <c r="R710" s="186"/>
      <c r="S710" s="186"/>
      <c r="T710" s="186"/>
      <c r="U710" s="186"/>
      <c r="V710" s="186"/>
      <c r="W710" s="186"/>
      <c r="X710" s="186"/>
      <c r="Y710" s="186"/>
      <c r="Z710" s="186"/>
      <c r="AA710" s="186"/>
      <c r="AB710" s="186"/>
      <c r="AC710" s="186"/>
      <c r="AD710" s="186"/>
      <c r="AE710" s="186"/>
      <c r="AF710" s="186"/>
      <c r="AG710" s="186"/>
      <c r="AH710" s="186"/>
      <c r="AI710" s="186"/>
      <c r="AJ710" s="186"/>
      <c r="AK710" s="186"/>
      <c r="AL710" s="186"/>
      <c r="AM710" s="186"/>
      <c r="AN710" s="186"/>
      <c r="AO710" s="186"/>
      <c r="AP710" s="186"/>
      <c r="AQ710" s="186"/>
      <c r="AR710" s="186"/>
      <c r="AS710" s="186"/>
      <c r="AT710" s="186"/>
      <c r="AU710" s="186"/>
      <c r="AV710" s="186"/>
      <c r="AW710" s="186"/>
      <c r="AX710" s="186"/>
      <c r="AY710" s="186"/>
      <c r="AZ710" s="186"/>
      <c r="BA710" s="186"/>
      <c r="BB710" s="186"/>
      <c r="BC710" s="186"/>
      <c r="BD710" s="186"/>
      <c r="BE710" s="186"/>
      <c r="BF710" s="186"/>
      <c r="BG710" s="186"/>
      <c r="BH710" s="186"/>
      <c r="BI710" s="186"/>
      <c r="BJ710" s="186"/>
      <c r="BK710" s="186"/>
      <c r="BL710" s="186"/>
      <c r="BM710" s="186"/>
      <c r="BN710" s="186"/>
      <c r="BO710" s="186"/>
      <c r="BP710" s="186"/>
      <c r="BQ710" s="186"/>
      <c r="BR710" s="186"/>
      <c r="BS710" s="186"/>
      <c r="BT710" s="186"/>
      <c r="BU710" s="186"/>
      <c r="BV710" s="186"/>
      <c r="BW710" s="186"/>
      <c r="BX710" s="186"/>
      <c r="BY710" s="186"/>
      <c r="BZ710" s="186"/>
      <c r="CA710" s="186"/>
      <c r="CB710" s="186"/>
      <c r="CC710" s="186"/>
      <c r="CD710" s="186"/>
      <c r="CE710" s="186"/>
      <c r="CF710" s="186"/>
      <c r="CG710" s="186"/>
      <c r="CH710" s="186"/>
      <c r="CI710" s="186"/>
      <c r="CJ710" s="186"/>
      <c r="CK710" s="186"/>
      <c r="CL710" s="186"/>
      <c r="CM710" s="186"/>
      <c r="CN710" s="186"/>
      <c r="CO710" s="186"/>
      <c r="CP710" s="186"/>
      <c r="CQ710" s="186"/>
      <c r="CR710" s="186"/>
      <c r="CS710" s="186"/>
      <c r="CT710" s="186"/>
      <c r="CU710" s="186"/>
      <c r="CV710" s="186"/>
      <c r="CW710" s="186"/>
      <c r="CX710" s="186"/>
      <c r="CY710" s="186"/>
      <c r="CZ710" s="186"/>
      <c r="DA710" s="186"/>
      <c r="DB710" s="186"/>
      <c r="DC710" s="186"/>
      <c r="DD710" s="186"/>
      <c r="DE710" s="186"/>
      <c r="DF710" s="186"/>
      <c r="DG710" s="186"/>
      <c r="DH710" s="186"/>
      <c r="DI710" s="186"/>
      <c r="DJ710" s="186"/>
      <c r="DK710" s="186"/>
      <c r="DL710" s="186"/>
      <c r="DM710" s="186"/>
      <c r="DN710" s="186"/>
      <c r="DO710" s="186"/>
      <c r="DP710" s="186"/>
      <c r="DQ710" s="186"/>
      <c r="DR710" s="186"/>
      <c r="DS710" s="186"/>
      <c r="DT710" s="186"/>
      <c r="DU710" s="186"/>
      <c r="DV710" s="186"/>
      <c r="DW710" s="186"/>
      <c r="DX710" s="186"/>
      <c r="DY710" s="186"/>
      <c r="DZ710" s="186"/>
      <c r="EA710" s="186"/>
      <c r="EB710" s="186"/>
      <c r="EC710" s="187"/>
    </row>
    <row r="711" spans="1:133" s="167" customFormat="1" ht="43.2" customHeight="1" x14ac:dyDescent="0.25">
      <c r="A711" s="171" t="s">
        <v>234</v>
      </c>
      <c r="B711" s="172"/>
      <c r="C711" s="172"/>
      <c r="D711" s="172"/>
      <c r="E711" s="172"/>
      <c r="F711" s="172"/>
      <c r="G711" s="172"/>
      <c r="H711" s="172"/>
      <c r="I711" s="172"/>
      <c r="J711" s="172"/>
      <c r="K711" s="172"/>
      <c r="L711" s="172"/>
      <c r="M711" s="172"/>
      <c r="N711" s="172"/>
      <c r="O711" s="172"/>
      <c r="P711" s="172"/>
      <c r="Q711" s="172"/>
      <c r="R711" s="172"/>
      <c r="S711" s="172"/>
      <c r="T711" s="172"/>
      <c r="U711" s="172"/>
      <c r="V711" s="172"/>
      <c r="W711" s="172"/>
      <c r="X711" s="172"/>
      <c r="Y711" s="172"/>
      <c r="Z711" s="172"/>
      <c r="AA711" s="172"/>
      <c r="AB711" s="172"/>
      <c r="AC711" s="172"/>
      <c r="AD711" s="172"/>
      <c r="AE711" s="172"/>
      <c r="AF711" s="172"/>
      <c r="AG711" s="172"/>
      <c r="AH711" s="172"/>
      <c r="AI711" s="172"/>
      <c r="AJ711" s="172"/>
      <c r="AK711" s="172"/>
      <c r="AL711" s="172"/>
      <c r="AM711" s="172"/>
      <c r="AN711" s="172"/>
      <c r="AO711" s="172"/>
      <c r="AP711" s="172"/>
      <c r="AQ711" s="172"/>
      <c r="AR711" s="172"/>
      <c r="AS711" s="172"/>
      <c r="AT711" s="172"/>
      <c r="AU711" s="172"/>
      <c r="AV711" s="172"/>
      <c r="AW711" s="172"/>
      <c r="AX711" s="172"/>
      <c r="AY711" s="172"/>
      <c r="AZ711" s="172"/>
      <c r="BA711" s="172"/>
      <c r="BB711" s="172"/>
      <c r="BC711" s="172"/>
      <c r="BD711" s="172"/>
      <c r="BE711" s="172"/>
      <c r="BF711" s="172"/>
      <c r="BG711" s="172"/>
      <c r="BH711" s="172"/>
      <c r="BI711" s="172"/>
      <c r="BJ711" s="172"/>
      <c r="BK711" s="172"/>
      <c r="BL711" s="172"/>
      <c r="BM711" s="172"/>
      <c r="BN711" s="172"/>
      <c r="BO711" s="172"/>
      <c r="BP711" s="172"/>
      <c r="BQ711" s="172"/>
      <c r="BR711" s="172"/>
      <c r="BS711" s="172"/>
      <c r="BT711" s="172"/>
      <c r="BU711" s="172"/>
      <c r="BV711" s="172"/>
      <c r="BW711" s="172"/>
      <c r="BX711" s="172"/>
      <c r="BY711" s="172"/>
      <c r="BZ711" s="172"/>
      <c r="CA711" s="172"/>
      <c r="CB711" s="172"/>
      <c r="CC711" s="172"/>
      <c r="CD711" s="172"/>
      <c r="CE711" s="172"/>
      <c r="CF711" s="172"/>
      <c r="CG711" s="172"/>
      <c r="CH711" s="172"/>
      <c r="CI711" s="172"/>
      <c r="CJ711" s="172"/>
      <c r="CK711" s="172"/>
      <c r="CL711" s="172"/>
      <c r="CM711" s="172"/>
      <c r="CN711" s="172"/>
      <c r="CO711" s="172"/>
      <c r="CP711" s="172"/>
      <c r="CQ711" s="172"/>
      <c r="CR711" s="172"/>
      <c r="CS711" s="172"/>
      <c r="CT711" s="172"/>
      <c r="CU711" s="172"/>
      <c r="CV711" s="172"/>
      <c r="CW711" s="172"/>
      <c r="CX711" s="172"/>
      <c r="CY711" s="172"/>
      <c r="CZ711" s="172"/>
      <c r="DA711" s="172"/>
      <c r="DB711" s="172"/>
      <c r="DC711" s="172"/>
      <c r="DD711" s="172"/>
      <c r="DE711" s="172"/>
      <c r="DF711" s="172"/>
      <c r="DG711" s="172"/>
      <c r="DH711" s="172"/>
      <c r="DI711" s="172"/>
      <c r="DJ711" s="172"/>
      <c r="DK711" s="172"/>
      <c r="DL711" s="172"/>
      <c r="DM711" s="172"/>
      <c r="DN711" s="172"/>
      <c r="DO711" s="172"/>
      <c r="DP711" s="172"/>
      <c r="DQ711" s="172"/>
      <c r="DR711" s="172"/>
      <c r="DS711" s="172"/>
      <c r="DT711" s="172"/>
      <c r="DU711" s="172"/>
      <c r="DV711" s="172"/>
      <c r="DW711" s="172"/>
      <c r="DX711" s="172"/>
      <c r="DY711" s="172"/>
      <c r="DZ711" s="172"/>
      <c r="EA711" s="172"/>
      <c r="EB711" s="172"/>
      <c r="EC711" s="173"/>
    </row>
    <row r="712" spans="1:133" s="56" customFormat="1" ht="31.2" x14ac:dyDescent="0.25">
      <c r="A712" s="92" t="s">
        <v>8</v>
      </c>
      <c r="B712" s="93" t="s">
        <v>9</v>
      </c>
      <c r="C712" s="94" t="s">
        <v>10</v>
      </c>
      <c r="D712" s="93" t="s">
        <v>341</v>
      </c>
      <c r="E712" s="93" t="s">
        <v>11</v>
      </c>
      <c r="F712" s="16" t="s">
        <v>312</v>
      </c>
      <c r="G712" s="16" t="s">
        <v>313</v>
      </c>
      <c r="H712" s="16" t="s">
        <v>314</v>
      </c>
      <c r="I712" s="16" t="s">
        <v>315</v>
      </c>
      <c r="J712" s="16" t="s">
        <v>316</v>
      </c>
      <c r="K712" s="16" t="s">
        <v>317</v>
      </c>
      <c r="L712" s="16" t="s">
        <v>318</v>
      </c>
      <c r="M712" s="16" t="s">
        <v>319</v>
      </c>
      <c r="N712" s="16" t="s">
        <v>320</v>
      </c>
      <c r="O712" s="16" t="s">
        <v>293</v>
      </c>
      <c r="P712" s="16" t="s">
        <v>294</v>
      </c>
      <c r="Q712" s="16" t="s">
        <v>295</v>
      </c>
      <c r="R712" s="54"/>
      <c r="S712" s="54"/>
      <c r="T712" s="54"/>
      <c r="U712" s="54"/>
      <c r="V712" s="54"/>
      <c r="W712" s="54"/>
      <c r="X712" s="54"/>
      <c r="Y712" s="54"/>
      <c r="Z712" s="54"/>
      <c r="AA712" s="54"/>
      <c r="AB712" s="54"/>
      <c r="AC712" s="54"/>
      <c r="AD712" s="54"/>
      <c r="AE712" s="54"/>
      <c r="AF712" s="54"/>
      <c r="AG712" s="54"/>
      <c r="AH712" s="54"/>
      <c r="AI712" s="54"/>
      <c r="AJ712" s="54"/>
      <c r="AK712" s="54"/>
      <c r="AL712" s="54"/>
      <c r="AM712" s="54"/>
      <c r="AN712" s="54"/>
      <c r="AO712" s="54"/>
      <c r="AP712" s="54"/>
      <c r="AQ712" s="54"/>
      <c r="AR712" s="54"/>
      <c r="AS712" s="54"/>
      <c r="AT712" s="54"/>
      <c r="AU712" s="54"/>
      <c r="AV712" s="54"/>
      <c r="AW712" s="54"/>
      <c r="AX712" s="54"/>
      <c r="AY712" s="54"/>
      <c r="AZ712" s="54"/>
      <c r="BA712" s="54"/>
      <c r="BB712" s="54"/>
      <c r="BC712" s="54"/>
      <c r="BD712" s="54"/>
      <c r="BE712" s="54"/>
      <c r="BF712" s="54"/>
      <c r="BG712" s="54"/>
      <c r="BH712" s="54"/>
      <c r="BI712" s="54"/>
      <c r="BJ712" s="54"/>
      <c r="BK712" s="54"/>
      <c r="BL712" s="54"/>
      <c r="BM712" s="54"/>
      <c r="BN712" s="54"/>
      <c r="BO712" s="54"/>
      <c r="BP712" s="54"/>
      <c r="BQ712" s="54"/>
      <c r="BR712" s="54"/>
      <c r="BS712" s="54"/>
      <c r="BT712" s="54"/>
      <c r="BU712" s="54"/>
      <c r="BV712" s="54"/>
      <c r="BW712" s="54"/>
      <c r="BX712" s="54"/>
      <c r="BY712" s="54"/>
      <c r="BZ712" s="54"/>
      <c r="CA712" s="54"/>
      <c r="CB712" s="54"/>
      <c r="CC712" s="54"/>
      <c r="CD712" s="54"/>
      <c r="CE712" s="54"/>
      <c r="CF712" s="54"/>
      <c r="CG712" s="54"/>
      <c r="CH712" s="54"/>
      <c r="CI712" s="54"/>
      <c r="CJ712" s="54"/>
      <c r="CK712" s="54"/>
      <c r="CL712" s="54"/>
      <c r="CM712" s="54"/>
      <c r="CN712" s="54"/>
      <c r="CO712" s="54"/>
      <c r="CP712" s="54"/>
      <c r="CQ712" s="54"/>
      <c r="CR712" s="54"/>
      <c r="CS712" s="54"/>
      <c r="CT712" s="54"/>
      <c r="CU712" s="54"/>
      <c r="CV712" s="54"/>
      <c r="CW712" s="54"/>
      <c r="CX712" s="54"/>
      <c r="CY712" s="54"/>
      <c r="CZ712" s="54"/>
      <c r="DA712" s="54"/>
      <c r="DB712" s="54"/>
      <c r="DC712" s="54"/>
      <c r="DD712" s="54"/>
      <c r="DE712" s="54"/>
      <c r="DF712" s="54"/>
      <c r="DG712" s="54"/>
      <c r="DH712" s="54"/>
      <c r="DI712" s="54"/>
      <c r="DJ712" s="54"/>
      <c r="DK712" s="54"/>
      <c r="DL712" s="54"/>
      <c r="DM712" s="54"/>
      <c r="DN712" s="54"/>
      <c r="DO712" s="54"/>
      <c r="DP712" s="54"/>
      <c r="DQ712" s="54"/>
      <c r="DR712" s="54"/>
      <c r="DS712" s="54"/>
      <c r="DT712" s="54"/>
      <c r="DU712" s="54"/>
      <c r="DV712" s="54"/>
      <c r="DW712" s="54"/>
      <c r="DX712" s="54"/>
      <c r="DY712" s="54"/>
      <c r="DZ712" s="54"/>
      <c r="EA712" s="54"/>
      <c r="EB712" s="54"/>
      <c r="EC712" s="54"/>
    </row>
    <row r="713" spans="1:133" s="56" customFormat="1" x14ac:dyDescent="0.25">
      <c r="A713" s="58" t="s">
        <v>12</v>
      </c>
      <c r="B713" s="58"/>
      <c r="C713" s="34"/>
      <c r="D713" s="34"/>
      <c r="E713" s="58"/>
      <c r="F713" s="16">
        <v>31</v>
      </c>
      <c r="G713" s="16">
        <v>28</v>
      </c>
      <c r="H713" s="16">
        <v>31</v>
      </c>
      <c r="I713" s="16">
        <v>30</v>
      </c>
      <c r="J713" s="16">
        <v>31</v>
      </c>
      <c r="K713" s="16">
        <v>30</v>
      </c>
      <c r="L713" s="16">
        <v>31</v>
      </c>
      <c r="M713" s="16">
        <v>31</v>
      </c>
      <c r="N713" s="16">
        <v>30</v>
      </c>
      <c r="O713" s="16">
        <v>31</v>
      </c>
      <c r="P713" s="16">
        <v>30</v>
      </c>
      <c r="Q713" s="16">
        <v>31</v>
      </c>
      <c r="R713" s="54"/>
      <c r="S713" s="54"/>
      <c r="T713" s="54"/>
      <c r="U713" s="54"/>
      <c r="V713" s="54"/>
      <c r="W713" s="54"/>
      <c r="X713" s="54"/>
      <c r="Y713" s="54"/>
      <c r="Z713" s="54"/>
      <c r="AA713" s="54"/>
      <c r="AB713" s="54"/>
      <c r="AC713" s="54"/>
      <c r="AD713" s="54"/>
      <c r="AE713" s="54"/>
      <c r="AF713" s="54"/>
      <c r="AG713" s="54"/>
      <c r="AH713" s="54"/>
      <c r="AI713" s="54"/>
      <c r="AJ713" s="54"/>
      <c r="AK713" s="54"/>
      <c r="AL713" s="54"/>
      <c r="AM713" s="54"/>
      <c r="AN713" s="54"/>
      <c r="AO713" s="54"/>
      <c r="AP713" s="54"/>
      <c r="AQ713" s="54"/>
      <c r="AR713" s="54"/>
      <c r="AS713" s="54"/>
      <c r="AT713" s="54"/>
      <c r="AU713" s="54"/>
      <c r="AV713" s="54"/>
      <c r="AW713" s="54"/>
      <c r="AX713" s="54"/>
      <c r="AY713" s="54"/>
      <c r="AZ713" s="54"/>
      <c r="BA713" s="54"/>
      <c r="BB713" s="54"/>
      <c r="BC713" s="54"/>
      <c r="BD713" s="54"/>
      <c r="BE713" s="54"/>
      <c r="BF713" s="54"/>
      <c r="BG713" s="54"/>
      <c r="BH713" s="54"/>
      <c r="BI713" s="54"/>
      <c r="BJ713" s="54"/>
      <c r="BK713" s="54"/>
      <c r="BL713" s="54"/>
      <c r="BM713" s="54"/>
      <c r="BN713" s="54"/>
      <c r="BO713" s="54"/>
      <c r="BP713" s="54"/>
      <c r="BQ713" s="54"/>
      <c r="BR713" s="54"/>
      <c r="BS713" s="54"/>
      <c r="BT713" s="54"/>
      <c r="BU713" s="54"/>
      <c r="BV713" s="54"/>
      <c r="BW713" s="54"/>
      <c r="BX713" s="54"/>
      <c r="BY713" s="54"/>
      <c r="BZ713" s="54"/>
      <c r="CA713" s="54"/>
      <c r="CB713" s="54"/>
      <c r="CC713" s="54"/>
      <c r="CD713" s="54"/>
      <c r="CE713" s="54"/>
      <c r="CF713" s="54"/>
      <c r="CG713" s="54"/>
      <c r="CH713" s="54"/>
      <c r="CI713" s="54"/>
      <c r="CJ713" s="54"/>
      <c r="CK713" s="54"/>
      <c r="CL713" s="54"/>
      <c r="CM713" s="54"/>
      <c r="CN713" s="54"/>
      <c r="CO713" s="54"/>
      <c r="CP713" s="54"/>
      <c r="CQ713" s="54"/>
      <c r="CR713" s="54"/>
      <c r="CS713" s="54"/>
      <c r="CT713" s="54"/>
      <c r="CU713" s="54"/>
      <c r="CV713" s="54"/>
      <c r="CW713" s="54"/>
      <c r="CX713" s="54"/>
      <c r="CY713" s="54"/>
      <c r="CZ713" s="54"/>
      <c r="DA713" s="54"/>
      <c r="DB713" s="54"/>
      <c r="DC713" s="54"/>
      <c r="DD713" s="54"/>
      <c r="DE713" s="54"/>
      <c r="DF713" s="54"/>
      <c r="DG713" s="54"/>
      <c r="DH713" s="54"/>
      <c r="DI713" s="54"/>
      <c r="DJ713" s="54"/>
      <c r="DK713" s="54"/>
      <c r="DL713" s="54"/>
      <c r="DM713" s="54"/>
      <c r="DN713" s="54"/>
      <c r="DO713" s="54"/>
      <c r="DP713" s="54"/>
      <c r="DQ713" s="54"/>
      <c r="DR713" s="54"/>
      <c r="DS713" s="54"/>
      <c r="DT713" s="54"/>
      <c r="DU713" s="54"/>
      <c r="DV713" s="54"/>
      <c r="DW713" s="54"/>
      <c r="DX713" s="54"/>
      <c r="DY713" s="54"/>
      <c r="DZ713" s="54"/>
      <c r="EA713" s="54"/>
      <c r="EB713" s="54"/>
      <c r="EC713" s="54"/>
    </row>
    <row r="714" spans="1:133" ht="46.8" x14ac:dyDescent="0.25">
      <c r="A714" s="59" t="s">
        <v>13</v>
      </c>
      <c r="B714" s="60" t="s">
        <v>14</v>
      </c>
      <c r="C714" s="53" t="s">
        <v>15</v>
      </c>
      <c r="D714" s="53" t="s">
        <v>369</v>
      </c>
      <c r="E714" s="61">
        <f>SUM(F714:Q714)</f>
        <v>12199.832010326412</v>
      </c>
      <c r="F714" s="62">
        <f>$E$715*$E$716*F717*$E$728</f>
        <v>1040.7526419654623</v>
      </c>
      <c r="G714" s="62">
        <f t="shared" ref="G714:Q714" si="91">$E$715*$E$716*G717*$E$728</f>
        <v>939.90203112685754</v>
      </c>
      <c r="H714" s="62">
        <f t="shared" si="91"/>
        <v>1040.0223291397124</v>
      </c>
      <c r="I714" s="62">
        <f t="shared" si="91"/>
        <v>1005.7035456451647</v>
      </c>
      <c r="J714" s="62">
        <f t="shared" si="91"/>
        <v>1093.8665307621827</v>
      </c>
      <c r="K714" s="62">
        <f t="shared" si="91"/>
        <v>938.45522046054339</v>
      </c>
      <c r="L714" s="62">
        <f t="shared" si="91"/>
        <v>970.23619118699173</v>
      </c>
      <c r="M714" s="62">
        <f t="shared" si="91"/>
        <v>970.18781578142648</v>
      </c>
      <c r="N714" s="62">
        <f t="shared" si="91"/>
        <v>1058.8039589424084</v>
      </c>
      <c r="O714" s="62">
        <f t="shared" si="91"/>
        <v>1094.8096030535492</v>
      </c>
      <c r="P714" s="62">
        <f t="shared" si="91"/>
        <v>1006.3392540689441</v>
      </c>
      <c r="Q714" s="62">
        <f t="shared" si="91"/>
        <v>1040.7528881931676</v>
      </c>
    </row>
    <row r="715" spans="1:133" ht="31.2" x14ac:dyDescent="0.25">
      <c r="A715" s="63" t="s">
        <v>16</v>
      </c>
      <c r="B715" s="60" t="s">
        <v>193</v>
      </c>
      <c r="C715" s="35" t="s">
        <v>17</v>
      </c>
      <c r="D715" s="35" t="s">
        <v>205</v>
      </c>
      <c r="E715" s="168">
        <v>28</v>
      </c>
      <c r="F715" s="169"/>
      <c r="G715" s="169"/>
      <c r="H715" s="169"/>
      <c r="I715" s="169"/>
      <c r="J715" s="169"/>
      <c r="K715" s="169"/>
      <c r="L715" s="169"/>
      <c r="M715" s="169"/>
      <c r="N715" s="169"/>
      <c r="O715" s="169"/>
      <c r="P715" s="169"/>
      <c r="Q715" s="170"/>
    </row>
    <row r="716" spans="1:133" ht="64.8" x14ac:dyDescent="0.25">
      <c r="A716" s="63" t="s">
        <v>18</v>
      </c>
      <c r="B716" s="25" t="s">
        <v>194</v>
      </c>
      <c r="C716" s="35" t="s">
        <v>20</v>
      </c>
      <c r="D716" s="35" t="s">
        <v>394</v>
      </c>
      <c r="E716" s="168">
        <v>0.21</v>
      </c>
      <c r="F716" s="169"/>
      <c r="G716" s="169"/>
      <c r="H716" s="169"/>
      <c r="I716" s="169"/>
      <c r="J716" s="169"/>
      <c r="K716" s="169"/>
      <c r="L716" s="169"/>
      <c r="M716" s="169"/>
      <c r="N716" s="169"/>
      <c r="O716" s="169"/>
      <c r="P716" s="169"/>
      <c r="Q716" s="170"/>
    </row>
    <row r="717" spans="1:133" ht="46.8" x14ac:dyDescent="0.25">
      <c r="A717" s="35" t="s">
        <v>21</v>
      </c>
      <c r="B717" s="25" t="s">
        <v>195</v>
      </c>
      <c r="C717" s="53" t="s">
        <v>22</v>
      </c>
      <c r="D717" s="53" t="s">
        <v>370</v>
      </c>
      <c r="E717" s="64">
        <f t="shared" ref="E717:Q717" si="92">E725*E718</f>
        <v>3500.3577598114848</v>
      </c>
      <c r="F717" s="64">
        <f t="shared" si="92"/>
        <v>298.61120901210182</v>
      </c>
      <c r="G717" s="64">
        <f t="shared" si="92"/>
        <v>269.67530088387235</v>
      </c>
      <c r="H717" s="64">
        <f t="shared" si="92"/>
        <v>298.40166873609314</v>
      </c>
      <c r="I717" s="64">
        <f t="shared" si="92"/>
        <v>288.55497412499119</v>
      </c>
      <c r="J717" s="64">
        <f t="shared" si="92"/>
        <v>313.85056744310293</v>
      </c>
      <c r="K717" s="64">
        <f t="shared" si="92"/>
        <v>269.26018410697543</v>
      </c>
      <c r="L717" s="64">
        <f t="shared" si="92"/>
        <v>278.37873323146363</v>
      </c>
      <c r="M717" s="64">
        <f t="shared" si="92"/>
        <v>278.36485343163434</v>
      </c>
      <c r="N717" s="64">
        <f t="shared" si="92"/>
        <v>303.79046618560943</v>
      </c>
      <c r="O717" s="64">
        <f t="shared" si="92"/>
        <v>314.12115235036669</v>
      </c>
      <c r="P717" s="64">
        <f t="shared" si="92"/>
        <v>288.73737064588346</v>
      </c>
      <c r="Q717" s="64">
        <f t="shared" si="92"/>
        <v>298.61127965939096</v>
      </c>
    </row>
    <row r="718" spans="1:133" ht="46.8" x14ac:dyDescent="0.25">
      <c r="A718" s="35" t="s">
        <v>23</v>
      </c>
      <c r="B718" s="25" t="s">
        <v>197</v>
      </c>
      <c r="C718" s="35" t="s">
        <v>191</v>
      </c>
      <c r="D718" s="35" t="s">
        <v>371</v>
      </c>
      <c r="E718" s="20">
        <f>SUM(F718:Q718)</f>
        <v>3547.8363939695228</v>
      </c>
      <c r="F718" s="20">
        <f>F720*F723</f>
        <v>302.6615528115135</v>
      </c>
      <c r="G718" s="20">
        <f t="shared" ref="G718:Q718" si="93">G720*G723</f>
        <v>273.33315983164283</v>
      </c>
      <c r="H718" s="20">
        <f t="shared" si="93"/>
        <v>302.44917034428073</v>
      </c>
      <c r="I718" s="20">
        <f t="shared" si="93"/>
        <v>292.46891578211495</v>
      </c>
      <c r="J718" s="20">
        <f t="shared" si="93"/>
        <v>318.10761694901578</v>
      </c>
      <c r="K718" s="20">
        <f t="shared" si="93"/>
        <v>272.91241243669606</v>
      </c>
      <c r="L718" s="20">
        <f t="shared" si="93"/>
        <v>282.15464499231933</v>
      </c>
      <c r="M718" s="20">
        <f t="shared" si="93"/>
        <v>282.14057692775157</v>
      </c>
      <c r="N718" s="20">
        <f t="shared" si="93"/>
        <v>307.91106110602783</v>
      </c>
      <c r="O718" s="20">
        <f t="shared" si="93"/>
        <v>318.38187205307145</v>
      </c>
      <c r="P718" s="20">
        <f t="shared" si="93"/>
        <v>292.65378631803122</v>
      </c>
      <c r="Q718" s="20">
        <f t="shared" si="93"/>
        <v>302.66162441705802</v>
      </c>
    </row>
    <row r="719" spans="1:133" ht="62.4" x14ac:dyDescent="0.25">
      <c r="A719" s="17" t="s">
        <v>335</v>
      </c>
      <c r="B719" s="60" t="s">
        <v>192</v>
      </c>
      <c r="C719" s="35" t="s">
        <v>25</v>
      </c>
      <c r="D719" s="35" t="s">
        <v>333</v>
      </c>
      <c r="E719" s="121">
        <f>AVERAGE(F719:Q719)</f>
        <v>19421.595197772655</v>
      </c>
      <c r="F719" s="121">
        <v>18929.459645161292</v>
      </c>
      <c r="G719" s="121">
        <v>18928.506857142856</v>
      </c>
      <c r="H719" s="121">
        <v>18933.119612903225</v>
      </c>
      <c r="I719" s="121">
        <v>18926.341333333337</v>
      </c>
      <c r="J719" s="121">
        <v>19913.889064516123</v>
      </c>
      <c r="K719" s="121">
        <v>19914.629966666667</v>
      </c>
      <c r="L719" s="121">
        <v>19919.56377419355</v>
      </c>
      <c r="M719" s="121">
        <v>19913.626645161286</v>
      </c>
      <c r="N719" s="121">
        <v>19909.115433333332</v>
      </c>
      <c r="O719" s="121">
        <v>19913.003161290319</v>
      </c>
      <c r="P719" s="121">
        <v>18928.67926666667</v>
      </c>
      <c r="Q719" s="121">
        <v>18929.207612903221</v>
      </c>
    </row>
    <row r="720" spans="1:133" ht="46.8" x14ac:dyDescent="0.25">
      <c r="A720" s="35" t="s">
        <v>26</v>
      </c>
      <c r="B720" s="60" t="s">
        <v>198</v>
      </c>
      <c r="C720" s="35" t="s">
        <v>27</v>
      </c>
      <c r="D720" s="35" t="s">
        <v>206</v>
      </c>
      <c r="E720" s="65">
        <f>SUM(F720:Q720)</f>
        <v>7090369.1270000003</v>
      </c>
      <c r="F720" s="65">
        <f>F719*F713</f>
        <v>586813.24900000007</v>
      </c>
      <c r="G720" s="65">
        <f t="shared" ref="G720:Q720" si="94">G719*G713</f>
        <v>529998.19200000004</v>
      </c>
      <c r="H720" s="65">
        <f t="shared" si="94"/>
        <v>586926.70799999998</v>
      </c>
      <c r="I720" s="65">
        <f t="shared" si="94"/>
        <v>567790.24000000011</v>
      </c>
      <c r="J720" s="65">
        <f t="shared" si="94"/>
        <v>617330.56099999975</v>
      </c>
      <c r="K720" s="65">
        <f t="shared" si="94"/>
        <v>597438.89899999998</v>
      </c>
      <c r="L720" s="65">
        <f t="shared" si="94"/>
        <v>617506.47700000007</v>
      </c>
      <c r="M720" s="65">
        <f t="shared" si="94"/>
        <v>617322.42599999986</v>
      </c>
      <c r="N720" s="65">
        <f t="shared" si="94"/>
        <v>597273.46299999999</v>
      </c>
      <c r="O720" s="65">
        <f t="shared" si="94"/>
        <v>617303.09799999988</v>
      </c>
      <c r="P720" s="65">
        <f t="shared" si="94"/>
        <v>567860.37800000014</v>
      </c>
      <c r="Q720" s="65">
        <f t="shared" si="94"/>
        <v>586805.43599999987</v>
      </c>
    </row>
    <row r="721" spans="1:133" ht="62.4" x14ac:dyDescent="0.25">
      <c r="A721" s="35" t="s">
        <v>28</v>
      </c>
      <c r="B721" s="60" t="s">
        <v>199</v>
      </c>
      <c r="C721" s="35" t="s">
        <v>29</v>
      </c>
      <c r="D721" s="35" t="s">
        <v>332</v>
      </c>
      <c r="E721" s="125">
        <f>AVERAGE(F721:Q721)</f>
        <v>500.86682859519101</v>
      </c>
      <c r="F721" s="125">
        <v>515.77150537634407</v>
      </c>
      <c r="G721" s="125">
        <v>515.72470238095229</v>
      </c>
      <c r="H721" s="125">
        <v>515.30994623655931</v>
      </c>
      <c r="I721" s="125">
        <v>515.10028735632181</v>
      </c>
      <c r="J721" s="125">
        <v>515.29543010752695</v>
      </c>
      <c r="K721" s="125">
        <v>456.80388888888888</v>
      </c>
      <c r="L721" s="125">
        <v>456.9258064516128</v>
      </c>
      <c r="M721" s="125">
        <v>457.03924731182798</v>
      </c>
      <c r="N721" s="125">
        <v>515.52777777777783</v>
      </c>
      <c r="O721" s="125">
        <v>515.76263440860214</v>
      </c>
      <c r="P721" s="125">
        <v>515.36222222222227</v>
      </c>
      <c r="Q721" s="125">
        <v>515.778494623656</v>
      </c>
    </row>
    <row r="722" spans="1:133" ht="62.4" x14ac:dyDescent="0.25">
      <c r="A722" s="35" t="s">
        <v>30</v>
      </c>
      <c r="B722" s="60" t="s">
        <v>199</v>
      </c>
      <c r="C722" s="35" t="s">
        <v>31</v>
      </c>
      <c r="D722" s="35" t="s">
        <v>331</v>
      </c>
      <c r="E722" s="125">
        <f>AVERAGE(F722:Q722)</f>
        <v>20.211660656167052</v>
      </c>
      <c r="F722" s="125">
        <v>20.673655913978489</v>
      </c>
      <c r="G722" s="125">
        <v>20.403571428571421</v>
      </c>
      <c r="H722" s="125">
        <v>20.337634408602153</v>
      </c>
      <c r="I722" s="125">
        <v>20.114080459770118</v>
      </c>
      <c r="J722" s="125">
        <v>20.166935483870969</v>
      </c>
      <c r="K722" s="125">
        <v>19.721666666666668</v>
      </c>
      <c r="L722" s="125">
        <v>20.290860215053762</v>
      </c>
      <c r="M722" s="125">
        <v>19.612365591397854</v>
      </c>
      <c r="N722" s="125">
        <v>20.576388888888893</v>
      </c>
      <c r="O722" s="125">
        <v>20.462096774193547</v>
      </c>
      <c r="P722" s="125">
        <v>20.317499999999995</v>
      </c>
      <c r="Q722" s="125">
        <v>19.863172043010749</v>
      </c>
    </row>
    <row r="723" spans="1:133" ht="62.4" x14ac:dyDescent="0.25">
      <c r="A723" s="35" t="s">
        <v>32</v>
      </c>
      <c r="B723" s="60" t="s">
        <v>200</v>
      </c>
      <c r="C723" s="35" t="s">
        <v>34</v>
      </c>
      <c r="D723" s="35" t="s">
        <v>338</v>
      </c>
      <c r="E723" s="122">
        <f>E721/1000000</f>
        <v>5.0086682859519103E-4</v>
      </c>
      <c r="F723" s="120">
        <f>F721/1000000</f>
        <v>5.1577150537634412E-4</v>
      </c>
      <c r="G723" s="120">
        <f t="shared" ref="G723:Q724" si="95">G721/1000000</f>
        <v>5.1572470238095229E-4</v>
      </c>
      <c r="H723" s="120">
        <f t="shared" si="95"/>
        <v>5.153099462365593E-4</v>
      </c>
      <c r="I723" s="120">
        <f t="shared" si="95"/>
        <v>5.1510028735632179E-4</v>
      </c>
      <c r="J723" s="120">
        <f t="shared" si="95"/>
        <v>5.1529543010752699E-4</v>
      </c>
      <c r="K723" s="120">
        <f t="shared" si="95"/>
        <v>4.5680388888888886E-4</v>
      </c>
      <c r="L723" s="120">
        <f t="shared" si="95"/>
        <v>4.569258064516128E-4</v>
      </c>
      <c r="M723" s="120">
        <f t="shared" si="95"/>
        <v>4.5703924731182798E-4</v>
      </c>
      <c r="N723" s="120">
        <f t="shared" si="95"/>
        <v>5.1552777777777784E-4</v>
      </c>
      <c r="O723" s="120">
        <f t="shared" si="95"/>
        <v>5.1576263440860216E-4</v>
      </c>
      <c r="P723" s="120">
        <f t="shared" si="95"/>
        <v>5.1536222222222229E-4</v>
      </c>
      <c r="Q723" s="120">
        <f t="shared" si="95"/>
        <v>5.1577849462365599E-4</v>
      </c>
    </row>
    <row r="724" spans="1:133" ht="62.4" x14ac:dyDescent="0.25">
      <c r="A724" s="35" t="s">
        <v>30</v>
      </c>
      <c r="B724" s="60" t="s">
        <v>33</v>
      </c>
      <c r="C724" s="35" t="s">
        <v>35</v>
      </c>
      <c r="D724" s="35" t="s">
        <v>339</v>
      </c>
      <c r="E724" s="122">
        <f>E722/1000000</f>
        <v>2.0211660656167051E-5</v>
      </c>
      <c r="F724" s="120">
        <f>F722/1000000</f>
        <v>2.067365591397849E-5</v>
      </c>
      <c r="G724" s="120">
        <f t="shared" si="95"/>
        <v>2.040357142857142E-5</v>
      </c>
      <c r="H724" s="120">
        <f t="shared" si="95"/>
        <v>2.0337634408602154E-5</v>
      </c>
      <c r="I724" s="120">
        <f t="shared" si="95"/>
        <v>2.0114080459770117E-5</v>
      </c>
      <c r="J724" s="120">
        <f t="shared" si="95"/>
        <v>2.016693548387097E-5</v>
      </c>
      <c r="K724" s="120">
        <f t="shared" si="95"/>
        <v>1.9721666666666668E-5</v>
      </c>
      <c r="L724" s="120">
        <f t="shared" si="95"/>
        <v>2.0290860215053761E-5</v>
      </c>
      <c r="M724" s="120">
        <f t="shared" si="95"/>
        <v>1.9612365591397855E-5</v>
      </c>
      <c r="N724" s="120">
        <f t="shared" si="95"/>
        <v>2.0576388888888893E-5</v>
      </c>
      <c r="O724" s="120">
        <f t="shared" si="95"/>
        <v>2.0462096774193546E-5</v>
      </c>
      <c r="P724" s="120">
        <f t="shared" si="95"/>
        <v>2.0317499999999996E-5</v>
      </c>
      <c r="Q724" s="120">
        <f t="shared" si="95"/>
        <v>1.9863172043010751E-5</v>
      </c>
    </row>
    <row r="725" spans="1:133" ht="46.8" x14ac:dyDescent="0.25">
      <c r="A725" s="63" t="s">
        <v>36</v>
      </c>
      <c r="B725" s="25" t="s">
        <v>201</v>
      </c>
      <c r="C725" s="35" t="s">
        <v>38</v>
      </c>
      <c r="D725" s="35" t="s">
        <v>368</v>
      </c>
      <c r="E725" s="68">
        <f>(1-(E726/E727))</f>
        <v>0.98661758072081895</v>
      </c>
      <c r="F725" s="68">
        <f>E725</f>
        <v>0.98661758072081895</v>
      </c>
      <c r="G725" s="68">
        <f>E725</f>
        <v>0.98661758072081895</v>
      </c>
      <c r="H725" s="68">
        <f>E725</f>
        <v>0.98661758072081895</v>
      </c>
      <c r="I725" s="68">
        <f>E725</f>
        <v>0.98661758072081895</v>
      </c>
      <c r="J725" s="68">
        <f>E725</f>
        <v>0.98661758072081895</v>
      </c>
      <c r="K725" s="68">
        <f>E725</f>
        <v>0.98661758072081895</v>
      </c>
      <c r="L725" s="68">
        <f>E725</f>
        <v>0.98661758072081895</v>
      </c>
      <c r="M725" s="68">
        <f>E725</f>
        <v>0.98661758072081895</v>
      </c>
      <c r="N725" s="68">
        <f>E725</f>
        <v>0.98661758072081895</v>
      </c>
      <c r="O725" s="68">
        <f>E725</f>
        <v>0.98661758072081895</v>
      </c>
      <c r="P725" s="68">
        <f>E725</f>
        <v>0.98661758072081895</v>
      </c>
      <c r="Q725" s="68">
        <f>E725</f>
        <v>0.98661758072081895</v>
      </c>
    </row>
    <row r="726" spans="1:133" ht="31.2" x14ac:dyDescent="0.25">
      <c r="A726" s="35" t="s">
        <v>39</v>
      </c>
      <c r="B726" s="25" t="s">
        <v>196</v>
      </c>
      <c r="C726" s="35" t="s">
        <v>40</v>
      </c>
      <c r="D726" s="35" t="s">
        <v>351</v>
      </c>
      <c r="E726" s="52">
        <f>SUM(F726:Q726)</f>
        <v>47.169475782499994</v>
      </c>
      <c r="F726" s="52">
        <v>4.0061746554999997</v>
      </c>
      <c r="G726" s="52">
        <v>3.6184803340000005</v>
      </c>
      <c r="H726" s="52">
        <v>4.0061746554999997</v>
      </c>
      <c r="I726" s="52">
        <v>3.8769432150000003</v>
      </c>
      <c r="J726" s="52">
        <v>4.0061746554999997</v>
      </c>
      <c r="K726" s="52">
        <v>3.8769432150000003</v>
      </c>
      <c r="L726" s="52">
        <v>4.0061746554999997</v>
      </c>
      <c r="M726" s="52">
        <v>4.0061746554999997</v>
      </c>
      <c r="N726" s="52">
        <v>3.8769432150000003</v>
      </c>
      <c r="O726" s="52">
        <v>4.0061746554999997</v>
      </c>
      <c r="P726" s="52">
        <v>3.8769432150000003</v>
      </c>
      <c r="Q726" s="52">
        <v>4.0061746554999997</v>
      </c>
    </row>
    <row r="727" spans="1:133" ht="31.2" x14ac:dyDescent="0.25">
      <c r="A727" s="63" t="s">
        <v>41</v>
      </c>
      <c r="B727" s="25" t="s">
        <v>24</v>
      </c>
      <c r="C727" s="35" t="s">
        <v>42</v>
      </c>
      <c r="D727" s="35" t="s">
        <v>351</v>
      </c>
      <c r="E727" s="52">
        <f>SUM(F727:Q727)</f>
        <v>3524.7345639424998</v>
      </c>
      <c r="F727" s="52">
        <v>299.36101775949999</v>
      </c>
      <c r="G727" s="52">
        <v>270.39059668599998</v>
      </c>
      <c r="H727" s="52">
        <v>299.36101775949999</v>
      </c>
      <c r="I727" s="52">
        <v>289.704210735</v>
      </c>
      <c r="J727" s="52">
        <v>299.36101775949999</v>
      </c>
      <c r="K727" s="52">
        <v>289.704210735</v>
      </c>
      <c r="L727" s="52">
        <v>299.36101775949999</v>
      </c>
      <c r="M727" s="52">
        <v>299.36101775949999</v>
      </c>
      <c r="N727" s="52">
        <v>289.704210735</v>
      </c>
      <c r="O727" s="52">
        <v>299.36101775949999</v>
      </c>
      <c r="P727" s="52">
        <v>289.704210735</v>
      </c>
      <c r="Q727" s="52">
        <v>299.36101775949999</v>
      </c>
    </row>
    <row r="728" spans="1:133" ht="31.2" x14ac:dyDescent="0.25">
      <c r="A728" s="53" t="s">
        <v>43</v>
      </c>
      <c r="B728" s="25" t="s">
        <v>201</v>
      </c>
      <c r="C728" s="53" t="s">
        <v>44</v>
      </c>
      <c r="D728" s="35" t="s">
        <v>372</v>
      </c>
      <c r="E728" s="192">
        <f>E729*E730*0.89</f>
        <v>0.592739801091689</v>
      </c>
      <c r="F728" s="193"/>
      <c r="G728" s="193"/>
      <c r="H728" s="193"/>
      <c r="I728" s="193"/>
      <c r="J728" s="193"/>
      <c r="K728" s="193"/>
      <c r="L728" s="193"/>
      <c r="M728" s="193"/>
      <c r="N728" s="193"/>
      <c r="O728" s="193"/>
      <c r="P728" s="193"/>
      <c r="Q728" s="194"/>
    </row>
    <row r="729" spans="1:133" ht="31.2" x14ac:dyDescent="0.25">
      <c r="A729" s="70" t="s">
        <v>45</v>
      </c>
      <c r="B729" s="25" t="s">
        <v>201</v>
      </c>
      <c r="C729" s="53" t="s">
        <v>46</v>
      </c>
      <c r="D729" s="35" t="s">
        <v>373</v>
      </c>
      <c r="E729" s="162">
        <v>0.7</v>
      </c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4"/>
    </row>
    <row r="730" spans="1:133" ht="36" customHeight="1" x14ac:dyDescent="0.25">
      <c r="A730" s="70" t="s">
        <v>47</v>
      </c>
      <c r="B730" s="25" t="s">
        <v>37</v>
      </c>
      <c r="C730" s="53" t="s">
        <v>48</v>
      </c>
      <c r="D730" s="35" t="s">
        <v>374</v>
      </c>
      <c r="E730" s="159">
        <f>(F731*F736+G731*G736+H731*H736+I731*I736+J731*J736+K731*K736+L731*L736+M731*M736+N731*N736+O731*O736+P731*P736+Q731*Q736)/(F725*F720*F723+G725*G723*G720+H725*H720*H723+I725*I723*I720+J725*J723*J720+K725*K723*K720+L725*L723*L720+M725*M723*M720+N725*N723*N720+O725*O720*O723+P725*P723*P720+Q725*Q723*Q720)</f>
        <v>0.95142825215359395</v>
      </c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1"/>
    </row>
    <row r="731" spans="1:133" s="9" customFormat="1" ht="46.8" x14ac:dyDescent="0.4">
      <c r="A731" s="71" t="s">
        <v>49</v>
      </c>
      <c r="B731" s="25" t="s">
        <v>37</v>
      </c>
      <c r="C731" s="53" t="s">
        <v>50</v>
      </c>
      <c r="D731" s="53" t="s">
        <v>375</v>
      </c>
      <c r="E731" s="72">
        <f>AVERAGE(F731:Q731)</f>
        <v>0.6404944159004976</v>
      </c>
      <c r="F731" s="72">
        <f t="shared" ref="F731:Q731" si="96">IF(F735&lt;283,0,IF(F735&gt;303,1,EXP(($E$23*(F735-$E$24))/($E$25*$E$24*F735))))</f>
        <v>0.26921004737855481</v>
      </c>
      <c r="G731" s="72">
        <f t="shared" si="96"/>
        <v>0.38698063689870399</v>
      </c>
      <c r="H731" s="72">
        <f t="shared" si="96"/>
        <v>0.48307557293036196</v>
      </c>
      <c r="I731" s="72">
        <f t="shared" si="96"/>
        <v>0.57531644493802248</v>
      </c>
      <c r="J731" s="72">
        <f t="shared" si="96"/>
        <v>0.84523513966163832</v>
      </c>
      <c r="K731" s="72">
        <f t="shared" si="96"/>
        <v>0.84523513966163832</v>
      </c>
      <c r="L731" s="72">
        <f t="shared" si="96"/>
        <v>0.91923925774048054</v>
      </c>
      <c r="M731" s="72">
        <f t="shared" si="96"/>
        <v>0.91923925774048054</v>
      </c>
      <c r="N731" s="72">
        <f t="shared" si="96"/>
        <v>0.95843738031531212</v>
      </c>
      <c r="O731" s="72">
        <f t="shared" si="96"/>
        <v>0.6835684899717327</v>
      </c>
      <c r="P731" s="72">
        <f t="shared" si="96"/>
        <v>0.46225423409862509</v>
      </c>
      <c r="Q731" s="72">
        <f t="shared" si="96"/>
        <v>0.33814138947042022</v>
      </c>
      <c r="R731" s="78"/>
      <c r="S731" s="78"/>
      <c r="T731" s="78"/>
      <c r="U731" s="78"/>
      <c r="V731" s="78"/>
      <c r="W731" s="78"/>
      <c r="X731" s="78"/>
      <c r="Y731" s="78"/>
      <c r="Z731" s="78"/>
      <c r="AA731" s="78"/>
      <c r="AB731" s="78"/>
      <c r="AC731" s="78"/>
      <c r="AD731" s="78"/>
      <c r="AE731" s="78"/>
      <c r="AF731" s="78"/>
      <c r="AG731" s="78"/>
      <c r="AH731" s="78"/>
      <c r="AI731" s="78"/>
      <c r="AJ731" s="78"/>
      <c r="AK731" s="78"/>
      <c r="AL731" s="78"/>
      <c r="AM731" s="78"/>
      <c r="AN731" s="78"/>
      <c r="AO731" s="78"/>
      <c r="AP731" s="78"/>
      <c r="AQ731" s="78"/>
      <c r="AR731" s="78"/>
      <c r="AS731" s="78"/>
      <c r="AT731" s="78"/>
      <c r="AU731" s="78"/>
      <c r="AV731" s="78"/>
      <c r="AW731" s="78"/>
      <c r="AX731" s="78"/>
      <c r="AY731" s="78"/>
      <c r="AZ731" s="78"/>
      <c r="BA731" s="78"/>
      <c r="BB731" s="78"/>
      <c r="BC731" s="78"/>
      <c r="BD731" s="78"/>
      <c r="BE731" s="78"/>
      <c r="BF731" s="78"/>
      <c r="BG731" s="78"/>
      <c r="BH731" s="78"/>
      <c r="BI731" s="78"/>
      <c r="BJ731" s="78"/>
      <c r="BK731" s="78"/>
      <c r="BL731" s="78"/>
      <c r="BM731" s="78"/>
      <c r="BN731" s="78"/>
      <c r="BO731" s="78"/>
      <c r="BP731" s="78"/>
      <c r="BQ731" s="78"/>
      <c r="BR731" s="78"/>
      <c r="BS731" s="78"/>
      <c r="BT731" s="78"/>
      <c r="BU731" s="78"/>
      <c r="BV731" s="78"/>
      <c r="BW731" s="78"/>
      <c r="BX731" s="78"/>
      <c r="BY731" s="78"/>
      <c r="BZ731" s="78"/>
      <c r="CA731" s="78"/>
      <c r="CB731" s="78"/>
      <c r="CC731" s="78"/>
      <c r="CD731" s="78"/>
      <c r="CE731" s="78"/>
      <c r="CF731" s="78"/>
      <c r="CG731" s="78"/>
      <c r="CH731" s="78"/>
      <c r="CI731" s="78"/>
      <c r="CJ731" s="78"/>
      <c r="CK731" s="78"/>
      <c r="CL731" s="78"/>
      <c r="CM731" s="78"/>
      <c r="CN731" s="78"/>
      <c r="CO731" s="78"/>
      <c r="CP731" s="78"/>
      <c r="CQ731" s="78"/>
      <c r="CR731" s="78"/>
      <c r="CS731" s="78"/>
      <c r="CT731" s="78"/>
      <c r="CU731" s="78"/>
      <c r="CV731" s="78"/>
      <c r="CW731" s="78"/>
      <c r="CX731" s="78"/>
      <c r="CY731" s="78"/>
      <c r="CZ731" s="78"/>
      <c r="DA731" s="78"/>
      <c r="DB731" s="78"/>
      <c r="DC731" s="78"/>
      <c r="DD731" s="78"/>
      <c r="DE731" s="78"/>
      <c r="DF731" s="78"/>
      <c r="DG731" s="78"/>
      <c r="DH731" s="78"/>
      <c r="DI731" s="78"/>
      <c r="DJ731" s="78"/>
      <c r="DK731" s="78"/>
      <c r="DL731" s="78"/>
      <c r="DM731" s="78"/>
      <c r="DN731" s="78"/>
      <c r="DO731" s="78"/>
      <c r="DP731" s="78"/>
      <c r="DQ731" s="78"/>
      <c r="DR731" s="78"/>
      <c r="DS731" s="78"/>
      <c r="DT731" s="78"/>
      <c r="DU731" s="78"/>
      <c r="DV731" s="78"/>
      <c r="DW731" s="78"/>
      <c r="DX731" s="78"/>
      <c r="DY731" s="78"/>
      <c r="DZ731" s="78"/>
      <c r="EA731" s="78"/>
      <c r="EB731" s="78"/>
      <c r="EC731" s="78"/>
    </row>
    <row r="732" spans="1:133" s="9" customFormat="1" x14ac:dyDescent="0.25">
      <c r="A732" s="73" t="s">
        <v>51</v>
      </c>
      <c r="B732" s="60" t="s">
        <v>202</v>
      </c>
      <c r="C732" s="53" t="s">
        <v>53</v>
      </c>
      <c r="D732" s="53" t="s">
        <v>376</v>
      </c>
      <c r="E732" s="162">
        <v>15175</v>
      </c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4"/>
      <c r="R732" s="78"/>
      <c r="S732" s="78"/>
      <c r="T732" s="78"/>
      <c r="U732" s="78"/>
      <c r="V732" s="78"/>
      <c r="W732" s="78"/>
      <c r="X732" s="78"/>
      <c r="Y732" s="78"/>
      <c r="Z732" s="78"/>
      <c r="AA732" s="78"/>
      <c r="AB732" s="78"/>
      <c r="AC732" s="78"/>
      <c r="AD732" s="78"/>
      <c r="AE732" s="78"/>
      <c r="AF732" s="78"/>
      <c r="AG732" s="78"/>
      <c r="AH732" s="78"/>
      <c r="AI732" s="78"/>
      <c r="AJ732" s="78"/>
      <c r="AK732" s="78"/>
      <c r="AL732" s="78"/>
      <c r="AM732" s="78"/>
      <c r="AN732" s="78"/>
      <c r="AO732" s="78"/>
      <c r="AP732" s="78"/>
      <c r="AQ732" s="78"/>
      <c r="AR732" s="78"/>
      <c r="AS732" s="78"/>
      <c r="AT732" s="78"/>
      <c r="AU732" s="78"/>
      <c r="AV732" s="78"/>
      <c r="AW732" s="78"/>
      <c r="AX732" s="78"/>
      <c r="AY732" s="78"/>
      <c r="AZ732" s="78"/>
      <c r="BA732" s="78"/>
      <c r="BB732" s="78"/>
      <c r="BC732" s="78"/>
      <c r="BD732" s="78"/>
      <c r="BE732" s="78"/>
      <c r="BF732" s="78"/>
      <c r="BG732" s="78"/>
      <c r="BH732" s="78"/>
      <c r="BI732" s="78"/>
      <c r="BJ732" s="78"/>
      <c r="BK732" s="78"/>
      <c r="BL732" s="78"/>
      <c r="BM732" s="78"/>
      <c r="BN732" s="78"/>
      <c r="BO732" s="78"/>
      <c r="BP732" s="78"/>
      <c r="BQ732" s="78"/>
      <c r="BR732" s="78"/>
      <c r="BS732" s="78"/>
      <c r="BT732" s="78"/>
      <c r="BU732" s="78"/>
      <c r="BV732" s="78"/>
      <c r="BW732" s="78"/>
      <c r="BX732" s="78"/>
      <c r="BY732" s="78"/>
      <c r="BZ732" s="78"/>
      <c r="CA732" s="78"/>
      <c r="CB732" s="78"/>
      <c r="CC732" s="78"/>
      <c r="CD732" s="78"/>
      <c r="CE732" s="78"/>
      <c r="CF732" s="78"/>
      <c r="CG732" s="78"/>
      <c r="CH732" s="78"/>
      <c r="CI732" s="78"/>
      <c r="CJ732" s="78"/>
      <c r="CK732" s="78"/>
      <c r="CL732" s="78"/>
      <c r="CM732" s="78"/>
      <c r="CN732" s="78"/>
      <c r="CO732" s="78"/>
      <c r="CP732" s="78"/>
      <c r="CQ732" s="78"/>
      <c r="CR732" s="78"/>
      <c r="CS732" s="78"/>
      <c r="CT732" s="78"/>
      <c r="CU732" s="78"/>
      <c r="CV732" s="78"/>
      <c r="CW732" s="78"/>
      <c r="CX732" s="78"/>
      <c r="CY732" s="78"/>
      <c r="CZ732" s="78"/>
      <c r="DA732" s="78"/>
      <c r="DB732" s="78"/>
      <c r="DC732" s="78"/>
      <c r="DD732" s="78"/>
      <c r="DE732" s="78"/>
      <c r="DF732" s="78"/>
      <c r="DG732" s="78"/>
      <c r="DH732" s="78"/>
      <c r="DI732" s="78"/>
      <c r="DJ732" s="78"/>
      <c r="DK732" s="78"/>
      <c r="DL732" s="78"/>
      <c r="DM732" s="78"/>
      <c r="DN732" s="78"/>
      <c r="DO732" s="78"/>
      <c r="DP732" s="78"/>
      <c r="DQ732" s="78"/>
      <c r="DR732" s="78"/>
      <c r="DS732" s="78"/>
      <c r="DT732" s="78"/>
      <c r="DU732" s="78"/>
      <c r="DV732" s="78"/>
      <c r="DW732" s="78"/>
      <c r="DX732" s="78"/>
      <c r="DY732" s="78"/>
      <c r="DZ732" s="78"/>
      <c r="EA732" s="78"/>
      <c r="EB732" s="78"/>
      <c r="EC732" s="78"/>
    </row>
    <row r="733" spans="1:133" s="9" customFormat="1" ht="18" x14ac:dyDescent="0.25">
      <c r="A733" s="73" t="s">
        <v>54</v>
      </c>
      <c r="B733" s="60" t="s">
        <v>203</v>
      </c>
      <c r="C733" s="53" t="s">
        <v>56</v>
      </c>
      <c r="D733" s="53" t="s">
        <v>376</v>
      </c>
      <c r="E733" s="162">
        <v>303.16000000000003</v>
      </c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4"/>
      <c r="R733" s="78"/>
      <c r="S733" s="78"/>
      <c r="T733" s="78"/>
      <c r="U733" s="78"/>
      <c r="V733" s="78"/>
      <c r="W733" s="78"/>
      <c r="X733" s="78"/>
      <c r="Y733" s="78"/>
      <c r="Z733" s="78"/>
      <c r="AA733" s="78"/>
      <c r="AB733" s="78"/>
      <c r="AC733" s="78"/>
      <c r="AD733" s="78"/>
      <c r="AE733" s="78"/>
      <c r="AF733" s="78"/>
      <c r="AG733" s="78"/>
      <c r="AH733" s="78"/>
      <c r="AI733" s="78"/>
      <c r="AJ733" s="78"/>
      <c r="AK733" s="78"/>
      <c r="AL733" s="78"/>
      <c r="AM733" s="78"/>
      <c r="AN733" s="78"/>
      <c r="AO733" s="78"/>
      <c r="AP733" s="78"/>
      <c r="AQ733" s="78"/>
      <c r="AR733" s="78"/>
      <c r="AS733" s="78"/>
      <c r="AT733" s="78"/>
      <c r="AU733" s="78"/>
      <c r="AV733" s="78"/>
      <c r="AW733" s="78"/>
      <c r="AX733" s="78"/>
      <c r="AY733" s="78"/>
      <c r="AZ733" s="78"/>
      <c r="BA733" s="78"/>
      <c r="BB733" s="78"/>
      <c r="BC733" s="78"/>
      <c r="BD733" s="78"/>
      <c r="BE733" s="78"/>
      <c r="BF733" s="78"/>
      <c r="BG733" s="78"/>
      <c r="BH733" s="78"/>
      <c r="BI733" s="78"/>
      <c r="BJ733" s="78"/>
      <c r="BK733" s="78"/>
      <c r="BL733" s="78"/>
      <c r="BM733" s="78"/>
      <c r="BN733" s="78"/>
      <c r="BO733" s="78"/>
      <c r="BP733" s="78"/>
      <c r="BQ733" s="78"/>
      <c r="BR733" s="78"/>
      <c r="BS733" s="78"/>
      <c r="BT733" s="78"/>
      <c r="BU733" s="78"/>
      <c r="BV733" s="78"/>
      <c r="BW733" s="78"/>
      <c r="BX733" s="78"/>
      <c r="BY733" s="78"/>
      <c r="BZ733" s="78"/>
      <c r="CA733" s="78"/>
      <c r="CB733" s="78"/>
      <c r="CC733" s="78"/>
      <c r="CD733" s="78"/>
      <c r="CE733" s="78"/>
      <c r="CF733" s="78"/>
      <c r="CG733" s="78"/>
      <c r="CH733" s="78"/>
      <c r="CI733" s="78"/>
      <c r="CJ733" s="78"/>
      <c r="CK733" s="78"/>
      <c r="CL733" s="78"/>
      <c r="CM733" s="78"/>
      <c r="CN733" s="78"/>
      <c r="CO733" s="78"/>
      <c r="CP733" s="78"/>
      <c r="CQ733" s="78"/>
      <c r="CR733" s="78"/>
      <c r="CS733" s="78"/>
      <c r="CT733" s="78"/>
      <c r="CU733" s="78"/>
      <c r="CV733" s="78"/>
      <c r="CW733" s="78"/>
      <c r="CX733" s="78"/>
      <c r="CY733" s="78"/>
      <c r="CZ733" s="78"/>
      <c r="DA733" s="78"/>
      <c r="DB733" s="78"/>
      <c r="DC733" s="78"/>
      <c r="DD733" s="78"/>
      <c r="DE733" s="78"/>
      <c r="DF733" s="78"/>
      <c r="DG733" s="78"/>
      <c r="DH733" s="78"/>
      <c r="DI733" s="78"/>
      <c r="DJ733" s="78"/>
      <c r="DK733" s="78"/>
      <c r="DL733" s="78"/>
      <c r="DM733" s="78"/>
      <c r="DN733" s="78"/>
      <c r="DO733" s="78"/>
      <c r="DP733" s="78"/>
      <c r="DQ733" s="78"/>
      <c r="DR733" s="78"/>
      <c r="DS733" s="78"/>
      <c r="DT733" s="78"/>
      <c r="DU733" s="78"/>
      <c r="DV733" s="78"/>
      <c r="DW733" s="78"/>
      <c r="DX733" s="78"/>
      <c r="DY733" s="78"/>
      <c r="DZ733" s="78"/>
      <c r="EA733" s="78"/>
      <c r="EB733" s="78"/>
      <c r="EC733" s="78"/>
    </row>
    <row r="734" spans="1:133" s="9" customFormat="1" x14ac:dyDescent="0.25">
      <c r="A734" s="73" t="s">
        <v>57</v>
      </c>
      <c r="B734" s="60" t="s">
        <v>204</v>
      </c>
      <c r="C734" s="53" t="s">
        <v>59</v>
      </c>
      <c r="D734" s="53" t="s">
        <v>376</v>
      </c>
      <c r="E734" s="162">
        <v>1.9870000000000001</v>
      </c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4"/>
      <c r="R734" s="78"/>
      <c r="S734" s="78"/>
      <c r="T734" s="78"/>
      <c r="U734" s="78"/>
      <c r="V734" s="78"/>
      <c r="W734" s="78"/>
      <c r="X734" s="78"/>
      <c r="Y734" s="78"/>
      <c r="Z734" s="78"/>
      <c r="AA734" s="78"/>
      <c r="AB734" s="78"/>
      <c r="AC734" s="78"/>
      <c r="AD734" s="78"/>
      <c r="AE734" s="78"/>
      <c r="AF734" s="78"/>
      <c r="AG734" s="78"/>
      <c r="AH734" s="78"/>
      <c r="AI734" s="78"/>
      <c r="AJ734" s="78"/>
      <c r="AK734" s="78"/>
      <c r="AL734" s="78"/>
      <c r="AM734" s="78"/>
      <c r="AN734" s="78"/>
      <c r="AO734" s="78"/>
      <c r="AP734" s="78"/>
      <c r="AQ734" s="78"/>
      <c r="AR734" s="78"/>
      <c r="AS734" s="78"/>
      <c r="AT734" s="78"/>
      <c r="AU734" s="78"/>
      <c r="AV734" s="78"/>
      <c r="AW734" s="78"/>
      <c r="AX734" s="78"/>
      <c r="AY734" s="78"/>
      <c r="AZ734" s="78"/>
      <c r="BA734" s="78"/>
      <c r="BB734" s="78"/>
      <c r="BC734" s="78"/>
      <c r="BD734" s="78"/>
      <c r="BE734" s="78"/>
      <c r="BF734" s="78"/>
      <c r="BG734" s="78"/>
      <c r="BH734" s="78"/>
      <c r="BI734" s="78"/>
      <c r="BJ734" s="78"/>
      <c r="BK734" s="78"/>
      <c r="BL734" s="78"/>
      <c r="BM734" s="78"/>
      <c r="BN734" s="78"/>
      <c r="BO734" s="78"/>
      <c r="BP734" s="78"/>
      <c r="BQ734" s="78"/>
      <c r="BR734" s="78"/>
      <c r="BS734" s="78"/>
      <c r="BT734" s="78"/>
      <c r="BU734" s="78"/>
      <c r="BV734" s="78"/>
      <c r="BW734" s="78"/>
      <c r="BX734" s="78"/>
      <c r="BY734" s="78"/>
      <c r="BZ734" s="78"/>
      <c r="CA734" s="78"/>
      <c r="CB734" s="78"/>
      <c r="CC734" s="78"/>
      <c r="CD734" s="78"/>
      <c r="CE734" s="78"/>
      <c r="CF734" s="78"/>
      <c r="CG734" s="78"/>
      <c r="CH734" s="78"/>
      <c r="CI734" s="78"/>
      <c r="CJ734" s="78"/>
      <c r="CK734" s="78"/>
      <c r="CL734" s="78"/>
      <c r="CM734" s="78"/>
      <c r="CN734" s="78"/>
      <c r="CO734" s="78"/>
      <c r="CP734" s="78"/>
      <c r="CQ734" s="78"/>
      <c r="CR734" s="78"/>
      <c r="CS734" s="78"/>
      <c r="CT734" s="78"/>
      <c r="CU734" s="78"/>
      <c r="CV734" s="78"/>
      <c r="CW734" s="78"/>
      <c r="CX734" s="78"/>
      <c r="CY734" s="78"/>
      <c r="CZ734" s="78"/>
      <c r="DA734" s="78"/>
      <c r="DB734" s="78"/>
      <c r="DC734" s="78"/>
      <c r="DD734" s="78"/>
      <c r="DE734" s="78"/>
      <c r="DF734" s="78"/>
      <c r="DG734" s="78"/>
      <c r="DH734" s="78"/>
      <c r="DI734" s="78"/>
      <c r="DJ734" s="78"/>
      <c r="DK734" s="78"/>
      <c r="DL734" s="78"/>
      <c r="DM734" s="78"/>
      <c r="DN734" s="78"/>
      <c r="DO734" s="78"/>
      <c r="DP734" s="78"/>
      <c r="DQ734" s="78"/>
      <c r="DR734" s="78"/>
      <c r="DS734" s="78"/>
      <c r="DT734" s="78"/>
      <c r="DU734" s="78"/>
      <c r="DV734" s="78"/>
      <c r="DW734" s="78"/>
      <c r="DX734" s="78"/>
      <c r="DY734" s="78"/>
      <c r="DZ734" s="78"/>
      <c r="EA734" s="78"/>
      <c r="EB734" s="78"/>
      <c r="EC734" s="78"/>
    </row>
    <row r="735" spans="1:133" s="9" customFormat="1" ht="31.2" x14ac:dyDescent="0.25">
      <c r="A735" s="73" t="s">
        <v>60</v>
      </c>
      <c r="B735" s="60" t="s">
        <v>203</v>
      </c>
      <c r="C735" s="53" t="s">
        <v>61</v>
      </c>
      <c r="D735" s="143" t="s">
        <v>363</v>
      </c>
      <c r="E735" s="98">
        <f>AVERAGE(F735:Q735)</f>
        <v>297.02500000000003</v>
      </c>
      <c r="F735" s="60">
        <v>288.14999999999998</v>
      </c>
      <c r="G735" s="60">
        <v>292.14999999999998</v>
      </c>
      <c r="H735" s="60">
        <v>294.64999999999998</v>
      </c>
      <c r="I735" s="60">
        <v>296.64999999999998</v>
      </c>
      <c r="J735" s="60">
        <v>301.14999999999998</v>
      </c>
      <c r="K735" s="60">
        <v>301.14999999999998</v>
      </c>
      <c r="L735" s="60">
        <v>302.14999999999998</v>
      </c>
      <c r="M735" s="60">
        <v>302.14999999999998</v>
      </c>
      <c r="N735" s="60">
        <v>302.64999999999998</v>
      </c>
      <c r="O735" s="60">
        <v>298.64999999999998</v>
      </c>
      <c r="P735" s="60">
        <v>294.14999999999998</v>
      </c>
      <c r="Q735" s="60">
        <v>290.64999999999998</v>
      </c>
      <c r="R735" s="78"/>
      <c r="S735" s="78"/>
      <c r="T735" s="78"/>
      <c r="U735" s="78"/>
      <c r="V735" s="78"/>
      <c r="W735" s="78"/>
      <c r="X735" s="78"/>
      <c r="Y735" s="78"/>
      <c r="Z735" s="78"/>
      <c r="AA735" s="78"/>
      <c r="AB735" s="78"/>
      <c r="AC735" s="78"/>
      <c r="AD735" s="78"/>
      <c r="AE735" s="78"/>
      <c r="AF735" s="78"/>
      <c r="AG735" s="78"/>
      <c r="AH735" s="78"/>
      <c r="AI735" s="78"/>
      <c r="AJ735" s="78"/>
      <c r="AK735" s="78"/>
      <c r="AL735" s="78"/>
      <c r="AM735" s="78"/>
      <c r="AN735" s="78"/>
      <c r="AO735" s="78"/>
      <c r="AP735" s="78"/>
      <c r="AQ735" s="78"/>
      <c r="AR735" s="78"/>
      <c r="AS735" s="78"/>
      <c r="AT735" s="78"/>
      <c r="AU735" s="78"/>
      <c r="AV735" s="78"/>
      <c r="AW735" s="78"/>
      <c r="AX735" s="78"/>
      <c r="AY735" s="78"/>
      <c r="AZ735" s="78"/>
      <c r="BA735" s="78"/>
      <c r="BB735" s="78"/>
      <c r="BC735" s="78"/>
      <c r="BD735" s="78"/>
      <c r="BE735" s="78"/>
      <c r="BF735" s="78"/>
      <c r="BG735" s="78"/>
      <c r="BH735" s="78"/>
      <c r="BI735" s="78"/>
      <c r="BJ735" s="78"/>
      <c r="BK735" s="78"/>
      <c r="BL735" s="78"/>
      <c r="BM735" s="78"/>
      <c r="BN735" s="78"/>
      <c r="BO735" s="78"/>
      <c r="BP735" s="78"/>
      <c r="BQ735" s="78"/>
      <c r="BR735" s="78"/>
      <c r="BS735" s="78"/>
      <c r="BT735" s="78"/>
      <c r="BU735" s="78"/>
      <c r="BV735" s="78"/>
      <c r="BW735" s="78"/>
      <c r="BX735" s="78"/>
      <c r="BY735" s="78"/>
      <c r="BZ735" s="78"/>
      <c r="CA735" s="78"/>
      <c r="CB735" s="78"/>
      <c r="CC735" s="78"/>
      <c r="CD735" s="78"/>
      <c r="CE735" s="78"/>
      <c r="CF735" s="78"/>
      <c r="CG735" s="78"/>
      <c r="CH735" s="78"/>
      <c r="CI735" s="78"/>
      <c r="CJ735" s="78"/>
      <c r="CK735" s="78"/>
      <c r="CL735" s="78"/>
      <c r="CM735" s="78"/>
      <c r="CN735" s="78"/>
      <c r="CO735" s="78"/>
      <c r="CP735" s="78"/>
      <c r="CQ735" s="78"/>
      <c r="CR735" s="78"/>
      <c r="CS735" s="78"/>
      <c r="CT735" s="78"/>
      <c r="CU735" s="78"/>
      <c r="CV735" s="78"/>
      <c r="CW735" s="78"/>
      <c r="CX735" s="78"/>
      <c r="CY735" s="78"/>
      <c r="CZ735" s="78"/>
      <c r="DA735" s="78"/>
      <c r="DB735" s="78"/>
      <c r="DC735" s="78"/>
      <c r="DD735" s="78"/>
      <c r="DE735" s="78"/>
      <c r="DF735" s="78"/>
      <c r="DG735" s="78"/>
      <c r="DH735" s="78"/>
      <c r="DI735" s="78"/>
      <c r="DJ735" s="78"/>
      <c r="DK735" s="78"/>
      <c r="DL735" s="78"/>
      <c r="DM735" s="78"/>
      <c r="DN735" s="78"/>
      <c r="DO735" s="78"/>
      <c r="DP735" s="78"/>
      <c r="DQ735" s="78"/>
      <c r="DR735" s="78"/>
      <c r="DS735" s="78"/>
      <c r="DT735" s="78"/>
      <c r="DU735" s="78"/>
      <c r="DV735" s="78"/>
      <c r="DW735" s="78"/>
      <c r="DX735" s="78"/>
      <c r="DY735" s="78"/>
      <c r="DZ735" s="78"/>
      <c r="EA735" s="78"/>
      <c r="EB735" s="78"/>
      <c r="EC735" s="78"/>
    </row>
    <row r="736" spans="1:133" s="9" customFormat="1" ht="31.2" x14ac:dyDescent="0.4">
      <c r="A736" s="71" t="s">
        <v>62</v>
      </c>
      <c r="B736" s="60" t="s">
        <v>196</v>
      </c>
      <c r="C736" s="53" t="s">
        <v>63</v>
      </c>
      <c r="D736" s="53" t="s">
        <v>377</v>
      </c>
      <c r="E736" s="74">
        <f>SUM(F736:Q736)</f>
        <v>5895.998214210781</v>
      </c>
      <c r="F736" s="74">
        <f>F725*F720*F723+(1-F731)*'Baseline Emissions 2020'!Q736</f>
        <v>732.70360070067568</v>
      </c>
      <c r="G736" s="74">
        <f t="shared" ref="G736:Q736" si="97">G725*G720*G723+(1-G731)*F736</f>
        <v>718.83679552742683</v>
      </c>
      <c r="H736" s="74">
        <f t="shared" si="97"/>
        <v>669.98596742068275</v>
      </c>
      <c r="I736" s="74">
        <f t="shared" si="97"/>
        <v>573.08699661084506</v>
      </c>
      <c r="J736" s="74">
        <f t="shared" si="97"/>
        <v>402.54429643531154</v>
      </c>
      <c r="K736" s="74">
        <f t="shared" si="97"/>
        <v>331.55989592479045</v>
      </c>
      <c r="L736" s="74">
        <f t="shared" si="97"/>
        <v>305.15575652983875</v>
      </c>
      <c r="M736" s="74">
        <f t="shared" si="97"/>
        <v>303.00945883374931</v>
      </c>
      <c r="N736" s="74">
        <f>N725*N720*N723+(1-N731)*0</f>
        <v>303.79046618560943</v>
      </c>
      <c r="O736" s="74">
        <f t="shared" si="97"/>
        <v>410.25002829767027</v>
      </c>
      <c r="P736" s="74">
        <f t="shared" si="97"/>
        <v>509.34758632387491</v>
      </c>
      <c r="Q736" s="74">
        <f t="shared" si="97"/>
        <v>635.727365420306</v>
      </c>
      <c r="R736" s="78"/>
      <c r="S736" s="78"/>
      <c r="T736" s="78"/>
      <c r="U736" s="78"/>
      <c r="V736" s="78"/>
      <c r="W736" s="78"/>
      <c r="X736" s="78"/>
      <c r="Y736" s="78"/>
      <c r="Z736" s="78"/>
      <c r="AA736" s="78"/>
      <c r="AB736" s="78"/>
      <c r="AC736" s="78"/>
      <c r="AD736" s="78"/>
      <c r="AE736" s="78"/>
      <c r="AF736" s="78"/>
      <c r="AG736" s="78"/>
      <c r="AH736" s="78"/>
      <c r="AI736" s="78"/>
      <c r="AJ736" s="78"/>
      <c r="AK736" s="78"/>
      <c r="AL736" s="78"/>
      <c r="AM736" s="78"/>
      <c r="AN736" s="78"/>
      <c r="AO736" s="78"/>
      <c r="AP736" s="78"/>
      <c r="AQ736" s="78"/>
      <c r="AR736" s="78"/>
      <c r="AS736" s="78"/>
      <c r="AT736" s="78"/>
      <c r="AU736" s="78"/>
      <c r="AV736" s="78"/>
      <c r="AW736" s="78"/>
      <c r="AX736" s="78"/>
      <c r="AY736" s="78"/>
      <c r="AZ736" s="78"/>
      <c r="BA736" s="78"/>
      <c r="BB736" s="78"/>
      <c r="BC736" s="78"/>
      <c r="BD736" s="78"/>
      <c r="BE736" s="78"/>
      <c r="BF736" s="78"/>
      <c r="BG736" s="78"/>
      <c r="BH736" s="78"/>
      <c r="BI736" s="78"/>
      <c r="BJ736" s="78"/>
      <c r="BK736" s="78"/>
      <c r="BL736" s="78"/>
      <c r="BM736" s="78"/>
      <c r="BN736" s="78"/>
      <c r="BO736" s="78"/>
      <c r="BP736" s="78"/>
      <c r="BQ736" s="78"/>
      <c r="BR736" s="78"/>
      <c r="BS736" s="78"/>
      <c r="BT736" s="78"/>
      <c r="BU736" s="78"/>
      <c r="BV736" s="78"/>
      <c r="BW736" s="78"/>
      <c r="BX736" s="78"/>
      <c r="BY736" s="78"/>
      <c r="BZ736" s="78"/>
      <c r="CA736" s="78"/>
      <c r="CB736" s="78"/>
      <c r="CC736" s="78"/>
      <c r="CD736" s="78"/>
      <c r="CE736" s="78"/>
      <c r="CF736" s="78"/>
      <c r="CG736" s="78"/>
      <c r="CH736" s="78"/>
      <c r="CI736" s="78"/>
      <c r="CJ736" s="78"/>
      <c r="CK736" s="78"/>
      <c r="CL736" s="78"/>
      <c r="CM736" s="78"/>
      <c r="CN736" s="78"/>
      <c r="CO736" s="78"/>
      <c r="CP736" s="78"/>
      <c r="CQ736" s="78"/>
      <c r="CR736" s="78"/>
      <c r="CS736" s="78"/>
      <c r="CT736" s="78"/>
      <c r="CU736" s="78"/>
      <c r="CV736" s="78"/>
      <c r="CW736" s="78"/>
      <c r="CX736" s="78"/>
      <c r="CY736" s="78"/>
      <c r="CZ736" s="78"/>
      <c r="DA736" s="78"/>
      <c r="DB736" s="78"/>
      <c r="DC736" s="78"/>
      <c r="DD736" s="78"/>
      <c r="DE736" s="78"/>
      <c r="DF736" s="78"/>
      <c r="DG736" s="78"/>
      <c r="DH736" s="78"/>
      <c r="DI736" s="78"/>
      <c r="DJ736" s="78"/>
      <c r="DK736" s="78"/>
      <c r="DL736" s="78"/>
      <c r="DM736" s="78"/>
      <c r="DN736" s="78"/>
      <c r="DO736" s="78"/>
      <c r="DP736" s="78"/>
      <c r="DQ736" s="78"/>
      <c r="DR736" s="78"/>
      <c r="DS736" s="78"/>
      <c r="DT736" s="78"/>
      <c r="DU736" s="78"/>
      <c r="DV736" s="78"/>
      <c r="DW736" s="78"/>
      <c r="DX736" s="78"/>
      <c r="DY736" s="78"/>
      <c r="DZ736" s="78"/>
      <c r="EA736" s="78"/>
      <c r="EB736" s="78"/>
      <c r="EC736" s="78"/>
    </row>
    <row r="738" spans="1:5" ht="15.6" customHeight="1" x14ac:dyDescent="0.25">
      <c r="A738" s="36" t="s">
        <v>64</v>
      </c>
      <c r="B738" s="36"/>
      <c r="C738" s="36"/>
      <c r="D738" s="36"/>
      <c r="E738" s="36"/>
    </row>
    <row r="739" spans="1:5" x14ac:dyDescent="0.25">
      <c r="A739" s="57" t="s">
        <v>8</v>
      </c>
      <c r="B739" s="58" t="s">
        <v>9</v>
      </c>
      <c r="C739" s="34" t="s">
        <v>10</v>
      </c>
      <c r="D739" s="34" t="s">
        <v>340</v>
      </c>
      <c r="E739" s="16" t="s">
        <v>65</v>
      </c>
    </row>
    <row r="740" spans="1:5" ht="46.8" x14ac:dyDescent="0.25">
      <c r="A740" s="59" t="s">
        <v>66</v>
      </c>
      <c r="B740" s="60" t="s">
        <v>14</v>
      </c>
      <c r="C740" s="53" t="s">
        <v>67</v>
      </c>
      <c r="D740" s="53" t="s">
        <v>68</v>
      </c>
      <c r="E740" s="75">
        <v>0</v>
      </c>
    </row>
    <row r="741" spans="1:5" ht="46.8" x14ac:dyDescent="0.25">
      <c r="A741" s="63" t="s">
        <v>69</v>
      </c>
      <c r="B741" s="25" t="s">
        <v>70</v>
      </c>
      <c r="C741" s="35" t="s">
        <v>71</v>
      </c>
      <c r="D741" s="53" t="str">
        <f>D747</f>
        <v>Historical data on site in the FSR (It was calculated with conservative value)</v>
      </c>
      <c r="E741" s="74">
        <f>E747</f>
        <v>1319.8364141400486</v>
      </c>
    </row>
    <row r="743" spans="1:5" ht="15.6" customHeight="1" x14ac:dyDescent="0.25">
      <c r="A743" s="90" t="s">
        <v>72</v>
      </c>
      <c r="B743" s="90"/>
      <c r="C743" s="91"/>
      <c r="D743" s="91"/>
      <c r="E743" s="90"/>
    </row>
    <row r="744" spans="1:5" x14ac:dyDescent="0.25">
      <c r="A744" s="59" t="s">
        <v>8</v>
      </c>
      <c r="B744" s="16" t="s">
        <v>9</v>
      </c>
      <c r="C744" s="38" t="s">
        <v>10</v>
      </c>
      <c r="D744" s="38" t="s">
        <v>340</v>
      </c>
      <c r="E744" s="16" t="s">
        <v>65</v>
      </c>
    </row>
    <row r="745" spans="1:5" ht="33.6" x14ac:dyDescent="0.4">
      <c r="A745" s="76" t="s">
        <v>73</v>
      </c>
      <c r="B745" s="25" t="s">
        <v>74</v>
      </c>
      <c r="C745" s="35" t="s">
        <v>75</v>
      </c>
      <c r="D745" s="35" t="s">
        <v>378</v>
      </c>
      <c r="E745" s="50">
        <f>E746*E749*E750*E751*E752*E753</f>
        <v>5.3608204454039425</v>
      </c>
    </row>
    <row r="746" spans="1:5" ht="46.8" x14ac:dyDescent="0.4">
      <c r="A746" s="77" t="s">
        <v>207</v>
      </c>
      <c r="B746" s="25" t="s">
        <v>76</v>
      </c>
      <c r="C746" s="35" t="s">
        <v>77</v>
      </c>
      <c r="D746" s="35" t="s">
        <v>379</v>
      </c>
      <c r="E746" s="52">
        <f>E747/E748</f>
        <v>263.96728282800973</v>
      </c>
    </row>
    <row r="747" spans="1:5" ht="46.8" x14ac:dyDescent="0.25">
      <c r="A747" s="63" t="s">
        <v>208</v>
      </c>
      <c r="B747" s="25" t="s">
        <v>78</v>
      </c>
      <c r="C747" s="35" t="s">
        <v>79</v>
      </c>
      <c r="D747" s="53" t="s">
        <v>352</v>
      </c>
      <c r="E747" s="52">
        <f>0.000186144951059619*E720</f>
        <v>1319.8364141400486</v>
      </c>
    </row>
    <row r="748" spans="1:5" ht="31.2" x14ac:dyDescent="0.25">
      <c r="A748" s="63" t="s">
        <v>209</v>
      </c>
      <c r="B748" s="25" t="s">
        <v>80</v>
      </c>
      <c r="C748" s="35" t="s">
        <v>81</v>
      </c>
      <c r="D748" s="35" t="s">
        <v>353</v>
      </c>
      <c r="E748" s="25">
        <f>5</f>
        <v>5</v>
      </c>
    </row>
    <row r="749" spans="1:5" ht="62.4" x14ac:dyDescent="0.25">
      <c r="A749" s="63" t="s">
        <v>210</v>
      </c>
      <c r="B749" s="25" t="s">
        <v>82</v>
      </c>
      <c r="C749" s="35" t="s">
        <v>83</v>
      </c>
      <c r="D749" s="53" t="s">
        <v>354</v>
      </c>
      <c r="E749" s="25">
        <f>15*2</f>
        <v>30</v>
      </c>
    </row>
    <row r="750" spans="1:5" ht="172.2" x14ac:dyDescent="0.25">
      <c r="A750" s="63" t="s">
        <v>211</v>
      </c>
      <c r="B750" s="25" t="s">
        <v>84</v>
      </c>
      <c r="C750" s="35" t="s">
        <v>85</v>
      </c>
      <c r="D750" s="35" t="s">
        <v>355</v>
      </c>
      <c r="E750" s="25">
        <f>25.1/100</f>
        <v>0.251</v>
      </c>
    </row>
    <row r="751" spans="1:5" ht="140.4" x14ac:dyDescent="0.25">
      <c r="A751" s="63" t="s">
        <v>212</v>
      </c>
      <c r="B751" s="25" t="s">
        <v>87</v>
      </c>
      <c r="C751" s="35" t="s">
        <v>86</v>
      </c>
      <c r="D751" s="35" t="s">
        <v>356</v>
      </c>
      <c r="E751" s="25">
        <f>0.84/1000</f>
        <v>8.3999999999999993E-4</v>
      </c>
    </row>
    <row r="752" spans="1:5" ht="140.4" x14ac:dyDescent="0.25">
      <c r="A752" s="63" t="s">
        <v>213</v>
      </c>
      <c r="B752" s="25" t="s">
        <v>88</v>
      </c>
      <c r="C752" s="35" t="s">
        <v>89</v>
      </c>
      <c r="D752" s="35" t="s">
        <v>357</v>
      </c>
      <c r="E752" s="25">
        <f>43.33/1000</f>
        <v>4.333E-2</v>
      </c>
    </row>
    <row r="753" spans="1:133" ht="62.4" x14ac:dyDescent="0.25">
      <c r="A753" s="63" t="s">
        <v>214</v>
      </c>
      <c r="B753" s="25" t="s">
        <v>90</v>
      </c>
      <c r="C753" s="35" t="s">
        <v>91</v>
      </c>
      <c r="D753" s="35" t="s">
        <v>358</v>
      </c>
      <c r="E753" s="25">
        <v>74.099999999999994</v>
      </c>
    </row>
    <row r="755" spans="1:133" ht="15.6" customHeight="1" x14ac:dyDescent="0.25">
      <c r="A755" s="36" t="s">
        <v>93</v>
      </c>
      <c r="B755" s="36"/>
      <c r="C755" s="36"/>
      <c r="D755" s="36"/>
      <c r="E755" s="36"/>
    </row>
    <row r="756" spans="1:133" x14ac:dyDescent="0.25">
      <c r="A756" s="57" t="s">
        <v>8</v>
      </c>
      <c r="B756" s="58" t="s">
        <v>9</v>
      </c>
      <c r="C756" s="34" t="s">
        <v>10</v>
      </c>
      <c r="D756" s="34" t="s">
        <v>340</v>
      </c>
      <c r="E756" s="16" t="s">
        <v>65</v>
      </c>
    </row>
    <row r="757" spans="1:133" ht="64.8" x14ac:dyDescent="0.25">
      <c r="A757" s="15" t="s">
        <v>94</v>
      </c>
      <c r="B757" s="25" t="s">
        <v>95</v>
      </c>
      <c r="C757" s="35" t="s">
        <v>96</v>
      </c>
      <c r="D757" s="35" t="s">
        <v>97</v>
      </c>
      <c r="E757" s="16">
        <v>0</v>
      </c>
    </row>
    <row r="759" spans="1:133" ht="15.6" customHeight="1" x14ac:dyDescent="0.25">
      <c r="A759" s="36" t="s">
        <v>98</v>
      </c>
      <c r="B759" s="36"/>
      <c r="C759" s="36"/>
      <c r="D759" s="36"/>
      <c r="E759" s="36"/>
    </row>
    <row r="760" spans="1:133" x14ac:dyDescent="0.25">
      <c r="A760" s="57" t="s">
        <v>8</v>
      </c>
      <c r="B760" s="58" t="s">
        <v>9</v>
      </c>
      <c r="C760" s="34" t="s">
        <v>10</v>
      </c>
      <c r="D760" s="34" t="s">
        <v>340</v>
      </c>
      <c r="E760" s="16" t="s">
        <v>65</v>
      </c>
    </row>
    <row r="761" spans="1:133" ht="49.2" x14ac:dyDescent="0.25">
      <c r="A761" s="15" t="s">
        <v>99</v>
      </c>
      <c r="B761" s="25" t="s">
        <v>95</v>
      </c>
      <c r="C761" s="35" t="s">
        <v>100</v>
      </c>
      <c r="D761" s="35" t="s">
        <v>101</v>
      </c>
      <c r="E761" s="16">
        <v>0</v>
      </c>
    </row>
    <row r="763" spans="1:133" x14ac:dyDescent="0.25">
      <c r="A763" s="57" t="s">
        <v>8</v>
      </c>
      <c r="B763" s="58" t="s">
        <v>9</v>
      </c>
      <c r="C763" s="34" t="s">
        <v>10</v>
      </c>
      <c r="D763" s="34" t="s">
        <v>340</v>
      </c>
      <c r="E763" s="16" t="s">
        <v>65</v>
      </c>
    </row>
    <row r="764" spans="1:133" ht="18" x14ac:dyDescent="0.25">
      <c r="A764" s="59" t="s">
        <v>102</v>
      </c>
      <c r="B764" s="25" t="s">
        <v>103</v>
      </c>
      <c r="C764" s="35" t="s">
        <v>104</v>
      </c>
      <c r="D764" s="53" t="s">
        <v>380</v>
      </c>
      <c r="E764" s="18">
        <f>ROUNDDOWN(E714+E745+E740+E757+E761,0)</f>
        <v>12205</v>
      </c>
    </row>
    <row r="765" spans="1:133" s="167" customFormat="1" ht="43.2" customHeight="1" x14ac:dyDescent="0.25">
      <c r="A765" s="171" t="s">
        <v>256</v>
      </c>
      <c r="B765" s="172"/>
      <c r="C765" s="172"/>
      <c r="D765" s="172"/>
      <c r="E765" s="172"/>
      <c r="F765" s="172"/>
      <c r="G765" s="172"/>
      <c r="H765" s="172"/>
      <c r="I765" s="172"/>
      <c r="J765" s="172"/>
      <c r="K765" s="172"/>
      <c r="L765" s="172"/>
      <c r="M765" s="172"/>
      <c r="N765" s="172"/>
      <c r="O765" s="172"/>
      <c r="P765" s="172"/>
      <c r="Q765" s="172"/>
      <c r="R765" s="172"/>
      <c r="S765" s="172"/>
      <c r="T765" s="172"/>
      <c r="U765" s="172"/>
      <c r="V765" s="172"/>
      <c r="W765" s="172"/>
      <c r="X765" s="172"/>
      <c r="Y765" s="172"/>
      <c r="Z765" s="172"/>
      <c r="AA765" s="172"/>
      <c r="AB765" s="172"/>
      <c r="AC765" s="172"/>
      <c r="AD765" s="172"/>
      <c r="AE765" s="172"/>
      <c r="AF765" s="172"/>
      <c r="AG765" s="172"/>
      <c r="AH765" s="172"/>
      <c r="AI765" s="172"/>
      <c r="AJ765" s="172"/>
      <c r="AK765" s="172"/>
      <c r="AL765" s="172"/>
      <c r="AM765" s="172"/>
      <c r="AN765" s="172"/>
      <c r="AO765" s="172"/>
      <c r="AP765" s="172"/>
      <c r="AQ765" s="172"/>
      <c r="AR765" s="172"/>
      <c r="AS765" s="172"/>
      <c r="AT765" s="172"/>
      <c r="AU765" s="172"/>
      <c r="AV765" s="172"/>
      <c r="AW765" s="172"/>
      <c r="AX765" s="172"/>
      <c r="AY765" s="172"/>
      <c r="AZ765" s="172"/>
      <c r="BA765" s="172"/>
      <c r="BB765" s="172"/>
      <c r="BC765" s="172"/>
      <c r="BD765" s="172"/>
      <c r="BE765" s="172"/>
      <c r="BF765" s="172"/>
      <c r="BG765" s="172"/>
      <c r="BH765" s="172"/>
      <c r="BI765" s="172"/>
      <c r="BJ765" s="172"/>
      <c r="BK765" s="172"/>
      <c r="BL765" s="172"/>
      <c r="BM765" s="172"/>
      <c r="BN765" s="172"/>
      <c r="BO765" s="172"/>
      <c r="BP765" s="172"/>
      <c r="BQ765" s="172"/>
      <c r="BR765" s="172"/>
      <c r="BS765" s="172"/>
      <c r="BT765" s="172"/>
      <c r="BU765" s="172"/>
      <c r="BV765" s="172"/>
      <c r="BW765" s="172"/>
      <c r="BX765" s="172"/>
      <c r="BY765" s="172"/>
      <c r="BZ765" s="172"/>
      <c r="CA765" s="172"/>
      <c r="CB765" s="172"/>
      <c r="CC765" s="172"/>
      <c r="CD765" s="172"/>
      <c r="CE765" s="172"/>
      <c r="CF765" s="172"/>
      <c r="CG765" s="172"/>
      <c r="CH765" s="172"/>
      <c r="CI765" s="172"/>
      <c r="CJ765" s="172"/>
      <c r="CK765" s="172"/>
      <c r="CL765" s="172"/>
      <c r="CM765" s="172"/>
      <c r="CN765" s="172"/>
      <c r="CO765" s="172"/>
      <c r="CP765" s="172"/>
      <c r="CQ765" s="172"/>
      <c r="CR765" s="172"/>
      <c r="CS765" s="172"/>
      <c r="CT765" s="172"/>
      <c r="CU765" s="172"/>
      <c r="CV765" s="172"/>
      <c r="CW765" s="172"/>
      <c r="CX765" s="172"/>
      <c r="CY765" s="172"/>
      <c r="CZ765" s="172"/>
      <c r="DA765" s="172"/>
      <c r="DB765" s="172"/>
      <c r="DC765" s="172"/>
      <c r="DD765" s="172"/>
      <c r="DE765" s="172"/>
      <c r="DF765" s="172"/>
      <c r="DG765" s="172"/>
      <c r="DH765" s="172"/>
      <c r="DI765" s="172"/>
      <c r="DJ765" s="172"/>
      <c r="DK765" s="172"/>
      <c r="DL765" s="172"/>
      <c r="DM765" s="172"/>
      <c r="DN765" s="172"/>
      <c r="DO765" s="172"/>
      <c r="DP765" s="172"/>
      <c r="DQ765" s="172"/>
      <c r="DR765" s="172"/>
      <c r="DS765" s="172"/>
      <c r="DT765" s="172"/>
      <c r="DU765" s="172"/>
      <c r="DV765" s="172"/>
      <c r="DW765" s="172"/>
      <c r="DX765" s="172"/>
      <c r="DY765" s="172"/>
      <c r="DZ765" s="172"/>
      <c r="EA765" s="172"/>
      <c r="EB765" s="172"/>
      <c r="EC765" s="173"/>
    </row>
    <row r="766" spans="1:133" s="56" customFormat="1" ht="31.2" x14ac:dyDescent="0.25">
      <c r="A766" s="92" t="s">
        <v>8</v>
      </c>
      <c r="B766" s="93" t="s">
        <v>9</v>
      </c>
      <c r="C766" s="94" t="s">
        <v>10</v>
      </c>
      <c r="D766" s="93" t="s">
        <v>341</v>
      </c>
      <c r="E766" s="93" t="s">
        <v>11</v>
      </c>
      <c r="F766" s="16" t="s">
        <v>312</v>
      </c>
      <c r="G766" s="16" t="s">
        <v>313</v>
      </c>
      <c r="H766" s="16" t="s">
        <v>314</v>
      </c>
      <c r="I766" s="16" t="s">
        <v>315</v>
      </c>
      <c r="J766" s="16" t="s">
        <v>316</v>
      </c>
      <c r="K766" s="16" t="s">
        <v>317</v>
      </c>
      <c r="L766" s="16" t="s">
        <v>318</v>
      </c>
      <c r="M766" s="16" t="s">
        <v>319</v>
      </c>
      <c r="N766" s="16" t="s">
        <v>320</v>
      </c>
      <c r="O766" s="16" t="s">
        <v>293</v>
      </c>
      <c r="P766" s="16" t="s">
        <v>294</v>
      </c>
      <c r="Q766" s="16" t="s">
        <v>295</v>
      </c>
      <c r="R766" s="54"/>
      <c r="S766" s="54"/>
      <c r="T766" s="54"/>
      <c r="U766" s="54"/>
      <c r="V766" s="54"/>
      <c r="W766" s="54"/>
      <c r="X766" s="54"/>
      <c r="Y766" s="54"/>
      <c r="Z766" s="54"/>
      <c r="AA766" s="54"/>
      <c r="AB766" s="54"/>
      <c r="AC766" s="54"/>
      <c r="AD766" s="54"/>
      <c r="AE766" s="54"/>
      <c r="AF766" s="54"/>
      <c r="AG766" s="54"/>
      <c r="AH766" s="54"/>
      <c r="AI766" s="54"/>
      <c r="AJ766" s="54"/>
      <c r="AK766" s="54"/>
      <c r="AL766" s="54"/>
      <c r="AM766" s="54"/>
      <c r="AN766" s="54"/>
      <c r="AO766" s="54"/>
      <c r="AP766" s="54"/>
      <c r="AQ766" s="54"/>
      <c r="AR766" s="54"/>
      <c r="AS766" s="54"/>
      <c r="AT766" s="54"/>
      <c r="AU766" s="54"/>
      <c r="AV766" s="54"/>
      <c r="AW766" s="54"/>
      <c r="AX766" s="54"/>
      <c r="AY766" s="54"/>
      <c r="AZ766" s="54"/>
      <c r="BA766" s="54"/>
      <c r="BB766" s="54"/>
      <c r="BC766" s="54"/>
      <c r="BD766" s="54"/>
      <c r="BE766" s="54"/>
      <c r="BF766" s="54"/>
      <c r="BG766" s="54"/>
      <c r="BH766" s="54"/>
      <c r="BI766" s="54"/>
      <c r="BJ766" s="54"/>
      <c r="BK766" s="54"/>
      <c r="BL766" s="54"/>
      <c r="BM766" s="54"/>
      <c r="BN766" s="54"/>
      <c r="BO766" s="54"/>
      <c r="BP766" s="54"/>
      <c r="BQ766" s="54"/>
      <c r="BR766" s="54"/>
      <c r="BS766" s="54"/>
      <c r="BT766" s="54"/>
      <c r="BU766" s="54"/>
      <c r="BV766" s="54"/>
      <c r="BW766" s="54"/>
      <c r="BX766" s="54"/>
      <c r="BY766" s="54"/>
      <c r="BZ766" s="54"/>
      <c r="CA766" s="54"/>
      <c r="CB766" s="54"/>
      <c r="CC766" s="54"/>
      <c r="CD766" s="54"/>
      <c r="CE766" s="54"/>
      <c r="CF766" s="54"/>
      <c r="CG766" s="54"/>
      <c r="CH766" s="54"/>
      <c r="CI766" s="54"/>
      <c r="CJ766" s="54"/>
      <c r="CK766" s="54"/>
      <c r="CL766" s="54"/>
      <c r="CM766" s="54"/>
      <c r="CN766" s="54"/>
      <c r="CO766" s="54"/>
      <c r="CP766" s="54"/>
      <c r="CQ766" s="54"/>
      <c r="CR766" s="54"/>
      <c r="CS766" s="54"/>
      <c r="CT766" s="54"/>
      <c r="CU766" s="54"/>
      <c r="CV766" s="54"/>
      <c r="CW766" s="54"/>
      <c r="CX766" s="54"/>
      <c r="CY766" s="54"/>
      <c r="CZ766" s="54"/>
      <c r="DA766" s="54"/>
      <c r="DB766" s="54"/>
      <c r="DC766" s="54"/>
      <c r="DD766" s="54"/>
      <c r="DE766" s="54"/>
      <c r="DF766" s="54"/>
      <c r="DG766" s="54"/>
      <c r="DH766" s="54"/>
      <c r="DI766" s="54"/>
      <c r="DJ766" s="54"/>
      <c r="DK766" s="54"/>
      <c r="DL766" s="54"/>
      <c r="DM766" s="54"/>
      <c r="DN766" s="54"/>
      <c r="DO766" s="54"/>
      <c r="DP766" s="54"/>
      <c r="DQ766" s="54"/>
      <c r="DR766" s="54"/>
      <c r="DS766" s="54"/>
      <c r="DT766" s="54"/>
      <c r="DU766" s="54"/>
      <c r="DV766" s="54"/>
      <c r="DW766" s="54"/>
      <c r="DX766" s="54"/>
      <c r="DY766" s="54"/>
      <c r="DZ766" s="54"/>
      <c r="EA766" s="54"/>
      <c r="EB766" s="54"/>
      <c r="EC766" s="54"/>
    </row>
    <row r="767" spans="1:133" s="56" customFormat="1" x14ac:dyDescent="0.25">
      <c r="A767" s="58" t="s">
        <v>12</v>
      </c>
      <c r="B767" s="58"/>
      <c r="C767" s="34"/>
      <c r="D767" s="34"/>
      <c r="E767" s="58"/>
      <c r="F767" s="16">
        <v>31</v>
      </c>
      <c r="G767" s="16">
        <v>28</v>
      </c>
      <c r="H767" s="16">
        <v>31</v>
      </c>
      <c r="I767" s="16">
        <v>30</v>
      </c>
      <c r="J767" s="16">
        <v>31</v>
      </c>
      <c r="K767" s="16">
        <v>30</v>
      </c>
      <c r="L767" s="16">
        <v>31</v>
      </c>
      <c r="M767" s="16">
        <v>31</v>
      </c>
      <c r="N767" s="16">
        <v>30</v>
      </c>
      <c r="O767" s="16">
        <v>31</v>
      </c>
      <c r="P767" s="16">
        <v>30</v>
      </c>
      <c r="Q767" s="16">
        <v>31</v>
      </c>
      <c r="R767" s="54"/>
      <c r="S767" s="54"/>
      <c r="T767" s="54"/>
      <c r="U767" s="54"/>
      <c r="V767" s="54"/>
      <c r="W767" s="54"/>
      <c r="X767" s="54"/>
      <c r="Y767" s="54"/>
      <c r="Z767" s="54"/>
      <c r="AA767" s="54"/>
      <c r="AB767" s="54"/>
      <c r="AC767" s="54"/>
      <c r="AD767" s="54"/>
      <c r="AE767" s="54"/>
      <c r="AF767" s="54"/>
      <c r="AG767" s="54"/>
      <c r="AH767" s="54"/>
      <c r="AI767" s="54"/>
      <c r="AJ767" s="54"/>
      <c r="AK767" s="54"/>
      <c r="AL767" s="54"/>
      <c r="AM767" s="54"/>
      <c r="AN767" s="54"/>
      <c r="AO767" s="54"/>
      <c r="AP767" s="54"/>
      <c r="AQ767" s="54"/>
      <c r="AR767" s="54"/>
      <c r="AS767" s="54"/>
      <c r="AT767" s="54"/>
      <c r="AU767" s="54"/>
      <c r="AV767" s="54"/>
      <c r="AW767" s="54"/>
      <c r="AX767" s="54"/>
      <c r="AY767" s="54"/>
      <c r="AZ767" s="54"/>
      <c r="BA767" s="54"/>
      <c r="BB767" s="54"/>
      <c r="BC767" s="54"/>
      <c r="BD767" s="54"/>
      <c r="BE767" s="54"/>
      <c r="BF767" s="54"/>
      <c r="BG767" s="54"/>
      <c r="BH767" s="54"/>
      <c r="BI767" s="54"/>
      <c r="BJ767" s="54"/>
      <c r="BK767" s="54"/>
      <c r="BL767" s="54"/>
      <c r="BM767" s="54"/>
      <c r="BN767" s="54"/>
      <c r="BO767" s="54"/>
      <c r="BP767" s="54"/>
      <c r="BQ767" s="54"/>
      <c r="BR767" s="54"/>
      <c r="BS767" s="54"/>
      <c r="BT767" s="54"/>
      <c r="BU767" s="54"/>
      <c r="BV767" s="54"/>
      <c r="BW767" s="54"/>
      <c r="BX767" s="54"/>
      <c r="BY767" s="54"/>
      <c r="BZ767" s="54"/>
      <c r="CA767" s="54"/>
      <c r="CB767" s="54"/>
      <c r="CC767" s="54"/>
      <c r="CD767" s="54"/>
      <c r="CE767" s="54"/>
      <c r="CF767" s="54"/>
      <c r="CG767" s="54"/>
      <c r="CH767" s="54"/>
      <c r="CI767" s="54"/>
      <c r="CJ767" s="54"/>
      <c r="CK767" s="54"/>
      <c r="CL767" s="54"/>
      <c r="CM767" s="54"/>
      <c r="CN767" s="54"/>
      <c r="CO767" s="54"/>
      <c r="CP767" s="54"/>
      <c r="CQ767" s="54"/>
      <c r="CR767" s="54"/>
      <c r="CS767" s="54"/>
      <c r="CT767" s="54"/>
      <c r="CU767" s="54"/>
      <c r="CV767" s="54"/>
      <c r="CW767" s="54"/>
      <c r="CX767" s="54"/>
      <c r="CY767" s="54"/>
      <c r="CZ767" s="54"/>
      <c r="DA767" s="54"/>
      <c r="DB767" s="54"/>
      <c r="DC767" s="54"/>
      <c r="DD767" s="54"/>
      <c r="DE767" s="54"/>
      <c r="DF767" s="54"/>
      <c r="DG767" s="54"/>
      <c r="DH767" s="54"/>
      <c r="DI767" s="54"/>
      <c r="DJ767" s="54"/>
      <c r="DK767" s="54"/>
      <c r="DL767" s="54"/>
      <c r="DM767" s="54"/>
      <c r="DN767" s="54"/>
      <c r="DO767" s="54"/>
      <c r="DP767" s="54"/>
      <c r="DQ767" s="54"/>
      <c r="DR767" s="54"/>
      <c r="DS767" s="54"/>
      <c r="DT767" s="54"/>
      <c r="DU767" s="54"/>
      <c r="DV767" s="54"/>
      <c r="DW767" s="54"/>
      <c r="DX767" s="54"/>
      <c r="DY767" s="54"/>
      <c r="DZ767" s="54"/>
      <c r="EA767" s="54"/>
      <c r="EB767" s="54"/>
      <c r="EC767" s="54"/>
    </row>
    <row r="768" spans="1:133" ht="46.8" x14ac:dyDescent="0.25">
      <c r="A768" s="59" t="s">
        <v>13</v>
      </c>
      <c r="B768" s="60" t="s">
        <v>14</v>
      </c>
      <c r="C768" s="53" t="s">
        <v>15</v>
      </c>
      <c r="D768" s="53" t="s">
        <v>369</v>
      </c>
      <c r="E768" s="61">
        <f>SUM(F768:Q768)</f>
        <v>12582.112866611857</v>
      </c>
      <c r="F768" s="62">
        <f>$E$769*$E$770*F771*$E$782</f>
        <v>1081.2742021610302</v>
      </c>
      <c r="G768" s="62">
        <f t="shared" ref="G768:Q768" si="98">$E$769*$E$770*G771*$E$782</f>
        <v>976.68768267907603</v>
      </c>
      <c r="H768" s="62">
        <f t="shared" si="98"/>
        <v>1081.1846333742149</v>
      </c>
      <c r="I768" s="62">
        <f t="shared" si="98"/>
        <v>1046.5731291380068</v>
      </c>
      <c r="J768" s="62">
        <f t="shared" si="98"/>
        <v>1119.6570729784637</v>
      </c>
      <c r="K768" s="62">
        <f t="shared" si="98"/>
        <v>960.27913694407926</v>
      </c>
      <c r="L768" s="62">
        <f t="shared" si="98"/>
        <v>992.91696599815486</v>
      </c>
      <c r="M768" s="62">
        <f t="shared" si="98"/>
        <v>992.68655049727954</v>
      </c>
      <c r="N768" s="62">
        <f t="shared" si="98"/>
        <v>1083.2302005952431</v>
      </c>
      <c r="O768" s="62">
        <f t="shared" si="98"/>
        <v>1119.760702875674</v>
      </c>
      <c r="P768" s="62">
        <f t="shared" si="98"/>
        <v>1046.8671285004614</v>
      </c>
      <c r="Q768" s="62">
        <f t="shared" si="98"/>
        <v>1080.995460870173</v>
      </c>
    </row>
    <row r="769" spans="1:17" ht="31.2" x14ac:dyDescent="0.25">
      <c r="A769" s="63" t="s">
        <v>16</v>
      </c>
      <c r="B769" s="60" t="s">
        <v>193</v>
      </c>
      <c r="C769" s="35" t="s">
        <v>17</v>
      </c>
      <c r="D769" s="35" t="s">
        <v>205</v>
      </c>
      <c r="E769" s="168">
        <v>28</v>
      </c>
      <c r="F769" s="169"/>
      <c r="G769" s="169"/>
      <c r="H769" s="169"/>
      <c r="I769" s="169"/>
      <c r="J769" s="169"/>
      <c r="K769" s="169"/>
      <c r="L769" s="169"/>
      <c r="M769" s="169"/>
      <c r="N769" s="169"/>
      <c r="O769" s="169"/>
      <c r="P769" s="169"/>
      <c r="Q769" s="170"/>
    </row>
    <row r="770" spans="1:17" ht="64.8" x14ac:dyDescent="0.25">
      <c r="A770" s="63" t="s">
        <v>18</v>
      </c>
      <c r="B770" s="25" t="s">
        <v>194</v>
      </c>
      <c r="C770" s="35" t="s">
        <v>20</v>
      </c>
      <c r="D770" s="35" t="s">
        <v>394</v>
      </c>
      <c r="E770" s="168">
        <v>0.21</v>
      </c>
      <c r="F770" s="169"/>
      <c r="G770" s="169"/>
      <c r="H770" s="169"/>
      <c r="I770" s="169"/>
      <c r="J770" s="169"/>
      <c r="K770" s="169"/>
      <c r="L770" s="169"/>
      <c r="M770" s="169"/>
      <c r="N770" s="169"/>
      <c r="O770" s="169"/>
      <c r="P770" s="169"/>
      <c r="Q770" s="170"/>
    </row>
    <row r="771" spans="1:17" ht="46.8" x14ac:dyDescent="0.25">
      <c r="A771" s="35" t="s">
        <v>21</v>
      </c>
      <c r="B771" s="25" t="s">
        <v>195</v>
      </c>
      <c r="C771" s="53" t="s">
        <v>22</v>
      </c>
      <c r="D771" s="53" t="s">
        <v>370</v>
      </c>
      <c r="E771" s="64">
        <f t="shared" ref="E771:Q771" si="99">E779*E772</f>
        <v>3613.0763767506792</v>
      </c>
      <c r="F771" s="64">
        <f t="shared" si="99"/>
        <v>310.49842884376937</v>
      </c>
      <c r="G771" s="64">
        <f t="shared" si="99"/>
        <v>280.46539012659406</v>
      </c>
      <c r="H771" s="64">
        <f t="shared" si="99"/>
        <v>310.47270829340016</v>
      </c>
      <c r="I771" s="64">
        <f t="shared" si="99"/>
        <v>300.53367741318169</v>
      </c>
      <c r="J771" s="64">
        <f t="shared" si="99"/>
        <v>321.52044440606386</v>
      </c>
      <c r="K771" s="64">
        <f t="shared" si="99"/>
        <v>275.75351624655042</v>
      </c>
      <c r="L771" s="64">
        <f t="shared" si="99"/>
        <v>285.12578705621945</v>
      </c>
      <c r="M771" s="64">
        <f t="shared" si="99"/>
        <v>285.05962099874756</v>
      </c>
      <c r="N771" s="64">
        <f t="shared" si="99"/>
        <v>311.06011286381738</v>
      </c>
      <c r="O771" s="64">
        <f t="shared" si="99"/>
        <v>321.55020274136939</v>
      </c>
      <c r="P771" s="64">
        <f t="shared" si="99"/>
        <v>300.6181021964058</v>
      </c>
      <c r="Q771" s="64">
        <f t="shared" si="99"/>
        <v>310.41838556456037</v>
      </c>
    </row>
    <row r="772" spans="1:17" ht="46.8" x14ac:dyDescent="0.25">
      <c r="A772" s="35" t="s">
        <v>23</v>
      </c>
      <c r="B772" s="25" t="s">
        <v>197</v>
      </c>
      <c r="C772" s="35" t="s">
        <v>191</v>
      </c>
      <c r="D772" s="35" t="s">
        <v>371</v>
      </c>
      <c r="E772" s="20">
        <f>SUM(F772:Q772)</f>
        <v>3766.1293111561208</v>
      </c>
      <c r="F772" s="20">
        <f>F774*F777</f>
        <v>323.65140174204959</v>
      </c>
      <c r="G772" s="20">
        <f t="shared" ref="G772:Q772" si="100">G774*G777</f>
        <v>292.34613840921037</v>
      </c>
      <c r="H772" s="20">
        <f t="shared" si="100"/>
        <v>323.62459164767466</v>
      </c>
      <c r="I772" s="20">
        <f t="shared" si="100"/>
        <v>313.26453511431686</v>
      </c>
      <c r="J772" s="20">
        <f t="shared" si="100"/>
        <v>335.14031909355805</v>
      </c>
      <c r="K772" s="20">
        <f t="shared" si="100"/>
        <v>287.43466561436674</v>
      </c>
      <c r="L772" s="20">
        <f t="shared" si="100"/>
        <v>297.20395364700198</v>
      </c>
      <c r="M772" s="20">
        <f t="shared" si="100"/>
        <v>297.13498474004723</v>
      </c>
      <c r="N772" s="20">
        <f t="shared" si="100"/>
        <v>324.23687916652995</v>
      </c>
      <c r="O772" s="20">
        <f t="shared" si="100"/>
        <v>335.17133801681319</v>
      </c>
      <c r="P772" s="20">
        <f t="shared" si="100"/>
        <v>313.35253620190366</v>
      </c>
      <c r="Q772" s="20">
        <f t="shared" si="100"/>
        <v>323.56796776264912</v>
      </c>
    </row>
    <row r="773" spans="1:17" ht="62.4" x14ac:dyDescent="0.25">
      <c r="A773" s="17" t="s">
        <v>335</v>
      </c>
      <c r="B773" s="60" t="s">
        <v>192</v>
      </c>
      <c r="C773" s="35" t="s">
        <v>25</v>
      </c>
      <c r="D773" s="35" t="s">
        <v>333</v>
      </c>
      <c r="E773" s="121">
        <f>AVERAGE(F773:Q773)</f>
        <v>20618.346592761136</v>
      </c>
      <c r="F773" s="121">
        <v>20261.062967741938</v>
      </c>
      <c r="G773" s="121">
        <v>20256.531035714281</v>
      </c>
      <c r="H773" s="121">
        <v>20259.891935483869</v>
      </c>
      <c r="I773" s="121">
        <v>20260.61313333334</v>
      </c>
      <c r="J773" s="121">
        <v>20977.309806451613</v>
      </c>
      <c r="K773" s="121">
        <v>20976.039233333337</v>
      </c>
      <c r="L773" s="121">
        <v>20975.043322580648</v>
      </c>
      <c r="M773" s="121">
        <v>20978.528645161285</v>
      </c>
      <c r="N773" s="121">
        <v>20975.559600000001</v>
      </c>
      <c r="O773" s="121">
        <v>20978.375967741937</v>
      </c>
      <c r="P773" s="121">
        <v>20263.017433333334</v>
      </c>
      <c r="Q773" s="121">
        <v>20258.186032258061</v>
      </c>
    </row>
    <row r="774" spans="1:17" ht="46.8" x14ac:dyDescent="0.25">
      <c r="A774" s="35" t="s">
        <v>26</v>
      </c>
      <c r="B774" s="60" t="s">
        <v>198</v>
      </c>
      <c r="C774" s="35" t="s">
        <v>27</v>
      </c>
      <c r="D774" s="35" t="s">
        <v>206</v>
      </c>
      <c r="E774" s="65">
        <f>SUM(F774:Q774)</f>
        <v>7526780.1100000003</v>
      </c>
      <c r="F774" s="65">
        <f>F773*F767</f>
        <v>628092.95200000005</v>
      </c>
      <c r="G774" s="65">
        <f t="shared" ref="G774:Q774" si="101">G773*G767</f>
        <v>567182.86899999983</v>
      </c>
      <c r="H774" s="65">
        <f t="shared" si="101"/>
        <v>628056.64999999991</v>
      </c>
      <c r="I774" s="65">
        <f t="shared" si="101"/>
        <v>607818.3940000002</v>
      </c>
      <c r="J774" s="65">
        <f t="shared" si="101"/>
        <v>650296.60399999993</v>
      </c>
      <c r="K774" s="65">
        <f t="shared" si="101"/>
        <v>629281.17700000014</v>
      </c>
      <c r="L774" s="65">
        <f t="shared" si="101"/>
        <v>650226.34300000011</v>
      </c>
      <c r="M774" s="65">
        <f t="shared" si="101"/>
        <v>650334.3879999998</v>
      </c>
      <c r="N774" s="65">
        <f t="shared" si="101"/>
        <v>629266.78800000006</v>
      </c>
      <c r="O774" s="65">
        <f t="shared" si="101"/>
        <v>650329.65500000003</v>
      </c>
      <c r="P774" s="65">
        <f t="shared" si="101"/>
        <v>607890.52300000004</v>
      </c>
      <c r="Q774" s="65">
        <f t="shared" si="101"/>
        <v>628003.76699999988</v>
      </c>
    </row>
    <row r="775" spans="1:17" ht="62.4" x14ac:dyDescent="0.25">
      <c r="A775" s="35" t="s">
        <v>28</v>
      </c>
      <c r="B775" s="60" t="s">
        <v>199</v>
      </c>
      <c r="C775" s="35" t="s">
        <v>29</v>
      </c>
      <c r="D775" s="35" t="s">
        <v>332</v>
      </c>
      <c r="E775" s="125">
        <f>AVERAGE(F775:Q775)</f>
        <v>500.73833221326169</v>
      </c>
      <c r="F775" s="125">
        <v>515.29220430107534</v>
      </c>
      <c r="G775" s="125">
        <v>515.4354166666667</v>
      </c>
      <c r="H775" s="125">
        <v>515.27930107526879</v>
      </c>
      <c r="I775" s="125">
        <v>515.39166666666677</v>
      </c>
      <c r="J775" s="125">
        <v>515.36532258064517</v>
      </c>
      <c r="K775" s="125">
        <v>456.76666666666665</v>
      </c>
      <c r="L775" s="125">
        <v>457.07768817204311</v>
      </c>
      <c r="M775" s="125">
        <v>456.89569892473116</v>
      </c>
      <c r="N775" s="125">
        <v>515.26138888888875</v>
      </c>
      <c r="O775" s="125">
        <v>515.38682795698924</v>
      </c>
      <c r="P775" s="125">
        <v>515.47527777777782</v>
      </c>
      <c r="Q775" s="125">
        <v>515.23252688172045</v>
      </c>
    </row>
    <row r="776" spans="1:17" ht="62.4" x14ac:dyDescent="0.25">
      <c r="A776" s="35" t="s">
        <v>30</v>
      </c>
      <c r="B776" s="60" t="s">
        <v>199</v>
      </c>
      <c r="C776" s="35" t="s">
        <v>31</v>
      </c>
      <c r="D776" s="35" t="s">
        <v>331</v>
      </c>
      <c r="E776" s="125">
        <f>AVERAGE(F776:Q776)</f>
        <v>20.16643256800619</v>
      </c>
      <c r="F776" s="125">
        <v>20.136290322580646</v>
      </c>
      <c r="G776" s="125">
        <v>20.586607142857137</v>
      </c>
      <c r="H776" s="125">
        <v>20.743010752688175</v>
      </c>
      <c r="I776" s="125">
        <v>20.475574712643677</v>
      </c>
      <c r="J776" s="125">
        <v>20.278225806451616</v>
      </c>
      <c r="K776" s="125">
        <v>20.154722222222222</v>
      </c>
      <c r="L776" s="125">
        <v>19.351344086021502</v>
      </c>
      <c r="M776" s="125">
        <v>19.854032258064517</v>
      </c>
      <c r="N776" s="125">
        <v>20.003055555555559</v>
      </c>
      <c r="O776" s="125">
        <v>20.07930107526882</v>
      </c>
      <c r="P776" s="125">
        <v>20.077500000000001</v>
      </c>
      <c r="Q776" s="125">
        <v>20.25752688172043</v>
      </c>
    </row>
    <row r="777" spans="1:17" ht="62.4" x14ac:dyDescent="0.25">
      <c r="A777" s="35" t="s">
        <v>32</v>
      </c>
      <c r="B777" s="60" t="s">
        <v>200</v>
      </c>
      <c r="C777" s="35" t="s">
        <v>34</v>
      </c>
      <c r="D777" s="35" t="s">
        <v>338</v>
      </c>
      <c r="E777" s="122">
        <f>E775/1000000</f>
        <v>5.007383322132617E-4</v>
      </c>
      <c r="F777" s="120">
        <f>F775/1000000</f>
        <v>5.1529220430107539E-4</v>
      </c>
      <c r="G777" s="120">
        <f t="shared" ref="G777:Q778" si="102">G775/1000000</f>
        <v>5.1543541666666673E-4</v>
      </c>
      <c r="H777" s="120">
        <f t="shared" si="102"/>
        <v>5.1527930107526877E-4</v>
      </c>
      <c r="I777" s="120">
        <f t="shared" si="102"/>
        <v>5.1539166666666678E-4</v>
      </c>
      <c r="J777" s="120">
        <f t="shared" si="102"/>
        <v>5.1536532258064519E-4</v>
      </c>
      <c r="K777" s="120">
        <f t="shared" si="102"/>
        <v>4.5676666666666664E-4</v>
      </c>
      <c r="L777" s="120">
        <f t="shared" si="102"/>
        <v>4.5707768817204313E-4</v>
      </c>
      <c r="M777" s="120">
        <f t="shared" si="102"/>
        <v>4.5689569892473116E-4</v>
      </c>
      <c r="N777" s="120">
        <f t="shared" si="102"/>
        <v>5.152613888888888E-4</v>
      </c>
      <c r="O777" s="120">
        <f t="shared" si="102"/>
        <v>5.1538682795698927E-4</v>
      </c>
      <c r="P777" s="120">
        <f t="shared" si="102"/>
        <v>5.1547527777777782E-4</v>
      </c>
      <c r="Q777" s="120">
        <f t="shared" si="102"/>
        <v>5.1523252688172045E-4</v>
      </c>
    </row>
    <row r="778" spans="1:17" ht="62.4" x14ac:dyDescent="0.25">
      <c r="A778" s="35" t="s">
        <v>30</v>
      </c>
      <c r="B778" s="60" t="s">
        <v>33</v>
      </c>
      <c r="C778" s="35" t="s">
        <v>35</v>
      </c>
      <c r="D778" s="35" t="s">
        <v>339</v>
      </c>
      <c r="E778" s="122">
        <f>E776/1000000</f>
        <v>2.0166432568006191E-5</v>
      </c>
      <c r="F778" s="120">
        <f>F776/1000000</f>
        <v>2.0136290322580645E-5</v>
      </c>
      <c r="G778" s="120">
        <f t="shared" si="102"/>
        <v>2.0586607142857137E-5</v>
      </c>
      <c r="H778" s="120">
        <f t="shared" si="102"/>
        <v>2.0743010752688176E-5</v>
      </c>
      <c r="I778" s="120">
        <f t="shared" si="102"/>
        <v>2.0475574712643679E-5</v>
      </c>
      <c r="J778" s="120">
        <f t="shared" si="102"/>
        <v>2.0278225806451616E-5</v>
      </c>
      <c r="K778" s="120">
        <f t="shared" si="102"/>
        <v>2.0154722222222223E-5</v>
      </c>
      <c r="L778" s="120">
        <f t="shared" si="102"/>
        <v>1.9351344086021501E-5</v>
      </c>
      <c r="M778" s="120">
        <f t="shared" si="102"/>
        <v>1.9854032258064516E-5</v>
      </c>
      <c r="N778" s="120">
        <f t="shared" si="102"/>
        <v>2.0003055555555559E-5</v>
      </c>
      <c r="O778" s="120">
        <f t="shared" si="102"/>
        <v>2.007930107526882E-5</v>
      </c>
      <c r="P778" s="120">
        <f t="shared" si="102"/>
        <v>2.0077500000000002E-5</v>
      </c>
      <c r="Q778" s="120">
        <f t="shared" si="102"/>
        <v>2.0257526881720432E-5</v>
      </c>
    </row>
    <row r="779" spans="1:17" ht="46.8" x14ac:dyDescent="0.25">
      <c r="A779" s="63" t="s">
        <v>36</v>
      </c>
      <c r="B779" s="25" t="s">
        <v>201</v>
      </c>
      <c r="C779" s="35" t="s">
        <v>38</v>
      </c>
      <c r="D779" s="35" t="s">
        <v>368</v>
      </c>
      <c r="E779" s="68">
        <f>(1-(E780/E781))</f>
        <v>0.95936067995539487</v>
      </c>
      <c r="F779" s="68">
        <f>E779</f>
        <v>0.95936067995539487</v>
      </c>
      <c r="G779" s="68">
        <f>E779</f>
        <v>0.95936067995539487</v>
      </c>
      <c r="H779" s="68">
        <f>E779</f>
        <v>0.95936067995539487</v>
      </c>
      <c r="I779" s="68">
        <f>E779</f>
        <v>0.95936067995539487</v>
      </c>
      <c r="J779" s="68">
        <f>E779</f>
        <v>0.95936067995539487</v>
      </c>
      <c r="K779" s="68">
        <f>E779</f>
        <v>0.95936067995539487</v>
      </c>
      <c r="L779" s="68">
        <f>E779</f>
        <v>0.95936067995539487</v>
      </c>
      <c r="M779" s="68">
        <f>E779</f>
        <v>0.95936067995539487</v>
      </c>
      <c r="N779" s="68">
        <f>E779</f>
        <v>0.95936067995539487</v>
      </c>
      <c r="O779" s="68">
        <f>E779</f>
        <v>0.95936067995539487</v>
      </c>
      <c r="P779" s="68">
        <f>E779</f>
        <v>0.95936067995539487</v>
      </c>
      <c r="Q779" s="68">
        <f>E779</f>
        <v>0.95936067995539487</v>
      </c>
    </row>
    <row r="780" spans="1:17" ht="31.2" x14ac:dyDescent="0.25">
      <c r="A780" s="35" t="s">
        <v>39</v>
      </c>
      <c r="B780" s="25" t="s">
        <v>196</v>
      </c>
      <c r="C780" s="35" t="s">
        <v>40</v>
      </c>
      <c r="D780" s="35" t="s">
        <v>351</v>
      </c>
      <c r="E780" s="52">
        <f>SUM(F780:Q780)</f>
        <v>153.17054201900001</v>
      </c>
      <c r="F780" s="52">
        <v>13.009004938600002</v>
      </c>
      <c r="G780" s="52">
        <v>11.7500689768</v>
      </c>
      <c r="H780" s="52">
        <v>13.009004938600002</v>
      </c>
      <c r="I780" s="52">
        <v>12.589359618000001</v>
      </c>
      <c r="J780" s="52">
        <v>13.009004938600002</v>
      </c>
      <c r="K780" s="52">
        <v>12.589359618000001</v>
      </c>
      <c r="L780" s="52">
        <v>13.009004938600002</v>
      </c>
      <c r="M780" s="52">
        <v>13.009004938600002</v>
      </c>
      <c r="N780" s="52">
        <v>12.589359618000001</v>
      </c>
      <c r="O780" s="52">
        <v>13.009004938600002</v>
      </c>
      <c r="P780" s="52">
        <v>12.589359618000001</v>
      </c>
      <c r="Q780" s="52">
        <v>13.009004938600002</v>
      </c>
    </row>
    <row r="781" spans="1:17" ht="31.2" x14ac:dyDescent="0.25">
      <c r="A781" s="63" t="s">
        <v>41</v>
      </c>
      <c r="B781" s="25" t="s">
        <v>24</v>
      </c>
      <c r="C781" s="35" t="s">
        <v>42</v>
      </c>
      <c r="D781" s="35" t="s">
        <v>351</v>
      </c>
      <c r="E781" s="52">
        <f>SUM(F781:Q781)</f>
        <v>3769.0232477039995</v>
      </c>
      <c r="F781" s="52">
        <v>320.10882377759998</v>
      </c>
      <c r="G781" s="52">
        <v>289.13055050880001</v>
      </c>
      <c r="H781" s="52">
        <v>320.10882377759998</v>
      </c>
      <c r="I781" s="52">
        <v>309.78273268800001</v>
      </c>
      <c r="J781" s="52">
        <v>320.10882377759998</v>
      </c>
      <c r="K781" s="52">
        <v>309.78273268800001</v>
      </c>
      <c r="L781" s="52">
        <v>320.10882377759998</v>
      </c>
      <c r="M781" s="52">
        <v>320.10882377759998</v>
      </c>
      <c r="N781" s="52">
        <v>309.78273268800001</v>
      </c>
      <c r="O781" s="52">
        <v>320.10882377759998</v>
      </c>
      <c r="P781" s="52">
        <v>309.78273268800001</v>
      </c>
      <c r="Q781" s="52">
        <v>320.10882377759998</v>
      </c>
    </row>
    <row r="782" spans="1:17" ht="31.2" x14ac:dyDescent="0.25">
      <c r="A782" s="53" t="s">
        <v>43</v>
      </c>
      <c r="B782" s="25" t="s">
        <v>201</v>
      </c>
      <c r="C782" s="53" t="s">
        <v>44</v>
      </c>
      <c r="D782" s="35" t="s">
        <v>372</v>
      </c>
      <c r="E782" s="192">
        <f>E783*E784*0.89</f>
        <v>0.59224187098246373</v>
      </c>
      <c r="F782" s="193"/>
      <c r="G782" s="193"/>
      <c r="H782" s="193"/>
      <c r="I782" s="193"/>
      <c r="J782" s="193"/>
      <c r="K782" s="193"/>
      <c r="L782" s="193"/>
      <c r="M782" s="193"/>
      <c r="N782" s="193"/>
      <c r="O782" s="193"/>
      <c r="P782" s="193"/>
      <c r="Q782" s="194"/>
    </row>
    <row r="783" spans="1:17" ht="31.2" x14ac:dyDescent="0.25">
      <c r="A783" s="70" t="s">
        <v>45</v>
      </c>
      <c r="B783" s="25" t="s">
        <v>201</v>
      </c>
      <c r="C783" s="53" t="s">
        <v>46</v>
      </c>
      <c r="D783" s="35" t="s">
        <v>373</v>
      </c>
      <c r="E783" s="162">
        <v>0.7</v>
      </c>
      <c r="F783" s="163"/>
      <c r="G783" s="163"/>
      <c r="H783" s="163"/>
      <c r="I783" s="163"/>
      <c r="J783" s="163"/>
      <c r="K783" s="163"/>
      <c r="L783" s="163"/>
      <c r="M783" s="163"/>
      <c r="N783" s="163"/>
      <c r="O783" s="163"/>
      <c r="P783" s="163"/>
      <c r="Q783" s="164"/>
    </row>
    <row r="784" spans="1:17" ht="36" customHeight="1" x14ac:dyDescent="0.25">
      <c r="A784" s="70" t="s">
        <v>47</v>
      </c>
      <c r="B784" s="25" t="s">
        <v>37</v>
      </c>
      <c r="C784" s="53" t="s">
        <v>48</v>
      </c>
      <c r="D784" s="35" t="s">
        <v>374</v>
      </c>
      <c r="E784" s="159">
        <f>(F785*F790+G785*G790+H785*H790+I785*I790+J785*J790+K785*K790+L785*L790+M785*M790+N785*N790+O785*O790+P785*P790+Q785*Q790)/(F779*F774*F777+G779*G777*G774+H779*H774*H777+I779*I777*I774+J779*J777*J774+K779*K777*K774+L779*L777*L774+M779*M777*M774+N779*N777*N774+O779*O774*O777+P779*P777*P774+Q779*Q777*Q774)</f>
        <v>0.95062900639239767</v>
      </c>
      <c r="F784" s="160"/>
      <c r="G784" s="160"/>
      <c r="H784" s="160"/>
      <c r="I784" s="160"/>
      <c r="J784" s="160"/>
      <c r="K784" s="160"/>
      <c r="L784" s="160"/>
      <c r="M784" s="160"/>
      <c r="N784" s="160"/>
      <c r="O784" s="160"/>
      <c r="P784" s="160"/>
      <c r="Q784" s="161"/>
    </row>
    <row r="785" spans="1:133" s="9" customFormat="1" ht="46.8" x14ac:dyDescent="0.4">
      <c r="A785" s="71" t="s">
        <v>49</v>
      </c>
      <c r="B785" s="25" t="s">
        <v>37</v>
      </c>
      <c r="C785" s="53" t="s">
        <v>50</v>
      </c>
      <c r="D785" s="53" t="s">
        <v>375</v>
      </c>
      <c r="E785" s="72">
        <f>AVERAGE(F785:Q785)</f>
        <v>0.6404944159004976</v>
      </c>
      <c r="F785" s="72">
        <f>IF(F789&lt;283,0,IF(F789&gt;303,1,EXP(($E$786*(F789-$E$787))/($E$788*$E$787*F789))))</f>
        <v>0.26921004737855481</v>
      </c>
      <c r="G785" s="72">
        <f t="shared" ref="G785:Q785" si="103">IF(G789&lt;283,0,IF(G789&gt;303,1,EXP(($E$786*(G789-$E$787))/($E$788*$E$787*G789))))</f>
        <v>0.38698063689870399</v>
      </c>
      <c r="H785" s="72">
        <f t="shared" si="103"/>
        <v>0.48307557293036196</v>
      </c>
      <c r="I785" s="72">
        <f t="shared" si="103"/>
        <v>0.57531644493802248</v>
      </c>
      <c r="J785" s="72">
        <f t="shared" si="103"/>
        <v>0.84523513966163832</v>
      </c>
      <c r="K785" s="72">
        <f t="shared" si="103"/>
        <v>0.84523513966163832</v>
      </c>
      <c r="L785" s="72">
        <f t="shared" si="103"/>
        <v>0.91923925774048054</v>
      </c>
      <c r="M785" s="72">
        <f t="shared" si="103"/>
        <v>0.91923925774048054</v>
      </c>
      <c r="N785" s="72">
        <f t="shared" si="103"/>
        <v>0.95843738031531212</v>
      </c>
      <c r="O785" s="72">
        <f t="shared" si="103"/>
        <v>0.6835684899717327</v>
      </c>
      <c r="P785" s="72">
        <f t="shared" si="103"/>
        <v>0.46225423409862509</v>
      </c>
      <c r="Q785" s="72">
        <f t="shared" si="103"/>
        <v>0.33814138947042022</v>
      </c>
      <c r="R785" s="78"/>
      <c r="S785" s="78"/>
      <c r="T785" s="78"/>
      <c r="U785" s="78"/>
      <c r="V785" s="78"/>
      <c r="W785" s="78"/>
      <c r="X785" s="78"/>
      <c r="Y785" s="78"/>
      <c r="Z785" s="78"/>
      <c r="AA785" s="78"/>
      <c r="AB785" s="78"/>
      <c r="AC785" s="78"/>
      <c r="AD785" s="78"/>
      <c r="AE785" s="78"/>
      <c r="AF785" s="78"/>
      <c r="AG785" s="78"/>
      <c r="AH785" s="78"/>
      <c r="AI785" s="78"/>
      <c r="AJ785" s="78"/>
      <c r="AK785" s="78"/>
      <c r="AL785" s="78"/>
      <c r="AM785" s="78"/>
      <c r="AN785" s="78"/>
      <c r="AO785" s="78"/>
      <c r="AP785" s="78"/>
      <c r="AQ785" s="78"/>
      <c r="AR785" s="78"/>
      <c r="AS785" s="78"/>
      <c r="AT785" s="78"/>
      <c r="AU785" s="78"/>
      <c r="AV785" s="78"/>
      <c r="AW785" s="78"/>
      <c r="AX785" s="78"/>
      <c r="AY785" s="78"/>
      <c r="AZ785" s="78"/>
      <c r="BA785" s="78"/>
      <c r="BB785" s="78"/>
      <c r="BC785" s="78"/>
      <c r="BD785" s="78"/>
      <c r="BE785" s="78"/>
      <c r="BF785" s="78"/>
      <c r="BG785" s="78"/>
      <c r="BH785" s="78"/>
      <c r="BI785" s="78"/>
      <c r="BJ785" s="78"/>
      <c r="BK785" s="78"/>
      <c r="BL785" s="78"/>
      <c r="BM785" s="78"/>
      <c r="BN785" s="78"/>
      <c r="BO785" s="78"/>
      <c r="BP785" s="78"/>
      <c r="BQ785" s="78"/>
      <c r="BR785" s="78"/>
      <c r="BS785" s="78"/>
      <c r="BT785" s="78"/>
      <c r="BU785" s="78"/>
      <c r="BV785" s="78"/>
      <c r="BW785" s="78"/>
      <c r="BX785" s="78"/>
      <c r="BY785" s="78"/>
      <c r="BZ785" s="78"/>
      <c r="CA785" s="78"/>
      <c r="CB785" s="78"/>
      <c r="CC785" s="78"/>
      <c r="CD785" s="78"/>
      <c r="CE785" s="78"/>
      <c r="CF785" s="78"/>
      <c r="CG785" s="78"/>
      <c r="CH785" s="78"/>
      <c r="CI785" s="78"/>
      <c r="CJ785" s="78"/>
      <c r="CK785" s="78"/>
      <c r="CL785" s="78"/>
      <c r="CM785" s="78"/>
      <c r="CN785" s="78"/>
      <c r="CO785" s="78"/>
      <c r="CP785" s="78"/>
      <c r="CQ785" s="78"/>
      <c r="CR785" s="78"/>
      <c r="CS785" s="78"/>
      <c r="CT785" s="78"/>
      <c r="CU785" s="78"/>
      <c r="CV785" s="78"/>
      <c r="CW785" s="78"/>
      <c r="CX785" s="78"/>
      <c r="CY785" s="78"/>
      <c r="CZ785" s="78"/>
      <c r="DA785" s="78"/>
      <c r="DB785" s="78"/>
      <c r="DC785" s="78"/>
      <c r="DD785" s="78"/>
      <c r="DE785" s="78"/>
      <c r="DF785" s="78"/>
      <c r="DG785" s="78"/>
      <c r="DH785" s="78"/>
      <c r="DI785" s="78"/>
      <c r="DJ785" s="78"/>
      <c r="DK785" s="78"/>
      <c r="DL785" s="78"/>
      <c r="DM785" s="78"/>
      <c r="DN785" s="78"/>
      <c r="DO785" s="78"/>
      <c r="DP785" s="78"/>
      <c r="DQ785" s="78"/>
      <c r="DR785" s="78"/>
      <c r="DS785" s="78"/>
      <c r="DT785" s="78"/>
      <c r="DU785" s="78"/>
      <c r="DV785" s="78"/>
      <c r="DW785" s="78"/>
      <c r="DX785" s="78"/>
      <c r="DY785" s="78"/>
      <c r="DZ785" s="78"/>
      <c r="EA785" s="78"/>
      <c r="EB785" s="78"/>
      <c r="EC785" s="78"/>
    </row>
    <row r="786" spans="1:133" s="9" customFormat="1" x14ac:dyDescent="0.25">
      <c r="A786" s="73" t="s">
        <v>51</v>
      </c>
      <c r="B786" s="60" t="s">
        <v>202</v>
      </c>
      <c r="C786" s="53" t="s">
        <v>53</v>
      </c>
      <c r="D786" s="53" t="s">
        <v>376</v>
      </c>
      <c r="E786" s="162">
        <v>15175</v>
      </c>
      <c r="F786" s="163"/>
      <c r="G786" s="163"/>
      <c r="H786" s="163"/>
      <c r="I786" s="163"/>
      <c r="J786" s="163"/>
      <c r="K786" s="163"/>
      <c r="L786" s="163"/>
      <c r="M786" s="163"/>
      <c r="N786" s="163"/>
      <c r="O786" s="163"/>
      <c r="P786" s="163"/>
      <c r="Q786" s="164"/>
      <c r="R786" s="78"/>
      <c r="S786" s="78"/>
      <c r="T786" s="78"/>
      <c r="U786" s="78"/>
      <c r="V786" s="78"/>
      <c r="W786" s="78"/>
      <c r="X786" s="78"/>
      <c r="Y786" s="78"/>
      <c r="Z786" s="78"/>
      <c r="AA786" s="78"/>
      <c r="AB786" s="78"/>
      <c r="AC786" s="78"/>
      <c r="AD786" s="78"/>
      <c r="AE786" s="78"/>
      <c r="AF786" s="78"/>
      <c r="AG786" s="78"/>
      <c r="AH786" s="78"/>
      <c r="AI786" s="78"/>
      <c r="AJ786" s="78"/>
      <c r="AK786" s="78"/>
      <c r="AL786" s="78"/>
      <c r="AM786" s="78"/>
      <c r="AN786" s="78"/>
      <c r="AO786" s="78"/>
      <c r="AP786" s="78"/>
      <c r="AQ786" s="78"/>
      <c r="AR786" s="78"/>
      <c r="AS786" s="78"/>
      <c r="AT786" s="78"/>
      <c r="AU786" s="78"/>
      <c r="AV786" s="78"/>
      <c r="AW786" s="78"/>
      <c r="AX786" s="78"/>
      <c r="AY786" s="78"/>
      <c r="AZ786" s="78"/>
      <c r="BA786" s="78"/>
      <c r="BB786" s="78"/>
      <c r="BC786" s="78"/>
      <c r="BD786" s="78"/>
      <c r="BE786" s="78"/>
      <c r="BF786" s="78"/>
      <c r="BG786" s="78"/>
      <c r="BH786" s="78"/>
      <c r="BI786" s="78"/>
      <c r="BJ786" s="78"/>
      <c r="BK786" s="78"/>
      <c r="BL786" s="78"/>
      <c r="BM786" s="78"/>
      <c r="BN786" s="78"/>
      <c r="BO786" s="78"/>
      <c r="BP786" s="78"/>
      <c r="BQ786" s="78"/>
      <c r="BR786" s="78"/>
      <c r="BS786" s="78"/>
      <c r="BT786" s="78"/>
      <c r="BU786" s="78"/>
      <c r="BV786" s="78"/>
      <c r="BW786" s="78"/>
      <c r="BX786" s="78"/>
      <c r="BY786" s="78"/>
      <c r="BZ786" s="78"/>
      <c r="CA786" s="78"/>
      <c r="CB786" s="78"/>
      <c r="CC786" s="78"/>
      <c r="CD786" s="78"/>
      <c r="CE786" s="78"/>
      <c r="CF786" s="78"/>
      <c r="CG786" s="78"/>
      <c r="CH786" s="78"/>
      <c r="CI786" s="78"/>
      <c r="CJ786" s="78"/>
      <c r="CK786" s="78"/>
      <c r="CL786" s="78"/>
      <c r="CM786" s="78"/>
      <c r="CN786" s="78"/>
      <c r="CO786" s="78"/>
      <c r="CP786" s="78"/>
      <c r="CQ786" s="78"/>
      <c r="CR786" s="78"/>
      <c r="CS786" s="78"/>
      <c r="CT786" s="78"/>
      <c r="CU786" s="78"/>
      <c r="CV786" s="78"/>
      <c r="CW786" s="78"/>
      <c r="CX786" s="78"/>
      <c r="CY786" s="78"/>
      <c r="CZ786" s="78"/>
      <c r="DA786" s="78"/>
      <c r="DB786" s="78"/>
      <c r="DC786" s="78"/>
      <c r="DD786" s="78"/>
      <c r="DE786" s="78"/>
      <c r="DF786" s="78"/>
      <c r="DG786" s="78"/>
      <c r="DH786" s="78"/>
      <c r="DI786" s="78"/>
      <c r="DJ786" s="78"/>
      <c r="DK786" s="78"/>
      <c r="DL786" s="78"/>
      <c r="DM786" s="78"/>
      <c r="DN786" s="78"/>
      <c r="DO786" s="78"/>
      <c r="DP786" s="78"/>
      <c r="DQ786" s="78"/>
      <c r="DR786" s="78"/>
      <c r="DS786" s="78"/>
      <c r="DT786" s="78"/>
      <c r="DU786" s="78"/>
      <c r="DV786" s="78"/>
      <c r="DW786" s="78"/>
      <c r="DX786" s="78"/>
      <c r="DY786" s="78"/>
      <c r="DZ786" s="78"/>
      <c r="EA786" s="78"/>
      <c r="EB786" s="78"/>
      <c r="EC786" s="78"/>
    </row>
    <row r="787" spans="1:133" s="9" customFormat="1" ht="18" x14ac:dyDescent="0.25">
      <c r="A787" s="73" t="s">
        <v>54</v>
      </c>
      <c r="B787" s="60" t="s">
        <v>203</v>
      </c>
      <c r="C787" s="53" t="s">
        <v>56</v>
      </c>
      <c r="D787" s="53" t="s">
        <v>376</v>
      </c>
      <c r="E787" s="162">
        <v>303.16000000000003</v>
      </c>
      <c r="F787" s="163"/>
      <c r="G787" s="163"/>
      <c r="H787" s="163"/>
      <c r="I787" s="163"/>
      <c r="J787" s="163"/>
      <c r="K787" s="163"/>
      <c r="L787" s="163"/>
      <c r="M787" s="163"/>
      <c r="N787" s="163"/>
      <c r="O787" s="163"/>
      <c r="P787" s="163"/>
      <c r="Q787" s="164"/>
      <c r="R787" s="78"/>
      <c r="S787" s="78"/>
      <c r="T787" s="78"/>
      <c r="U787" s="78"/>
      <c r="V787" s="78"/>
      <c r="W787" s="78"/>
      <c r="X787" s="78"/>
      <c r="Y787" s="78"/>
      <c r="Z787" s="78"/>
      <c r="AA787" s="78"/>
      <c r="AB787" s="78"/>
      <c r="AC787" s="78"/>
      <c r="AD787" s="78"/>
      <c r="AE787" s="78"/>
      <c r="AF787" s="78"/>
      <c r="AG787" s="78"/>
      <c r="AH787" s="78"/>
      <c r="AI787" s="78"/>
      <c r="AJ787" s="78"/>
      <c r="AK787" s="78"/>
      <c r="AL787" s="78"/>
      <c r="AM787" s="78"/>
      <c r="AN787" s="78"/>
      <c r="AO787" s="78"/>
      <c r="AP787" s="78"/>
      <c r="AQ787" s="78"/>
      <c r="AR787" s="78"/>
      <c r="AS787" s="78"/>
      <c r="AT787" s="78"/>
      <c r="AU787" s="78"/>
      <c r="AV787" s="78"/>
      <c r="AW787" s="78"/>
      <c r="AX787" s="78"/>
      <c r="AY787" s="78"/>
      <c r="AZ787" s="78"/>
      <c r="BA787" s="78"/>
      <c r="BB787" s="78"/>
      <c r="BC787" s="78"/>
      <c r="BD787" s="78"/>
      <c r="BE787" s="78"/>
      <c r="BF787" s="78"/>
      <c r="BG787" s="78"/>
      <c r="BH787" s="78"/>
      <c r="BI787" s="78"/>
      <c r="BJ787" s="78"/>
      <c r="BK787" s="78"/>
      <c r="BL787" s="78"/>
      <c r="BM787" s="78"/>
      <c r="BN787" s="78"/>
      <c r="BO787" s="78"/>
      <c r="BP787" s="78"/>
      <c r="BQ787" s="78"/>
      <c r="BR787" s="78"/>
      <c r="BS787" s="78"/>
      <c r="BT787" s="78"/>
      <c r="BU787" s="78"/>
      <c r="BV787" s="78"/>
      <c r="BW787" s="78"/>
      <c r="BX787" s="78"/>
      <c r="BY787" s="78"/>
      <c r="BZ787" s="78"/>
      <c r="CA787" s="78"/>
      <c r="CB787" s="78"/>
      <c r="CC787" s="78"/>
      <c r="CD787" s="78"/>
      <c r="CE787" s="78"/>
      <c r="CF787" s="78"/>
      <c r="CG787" s="78"/>
      <c r="CH787" s="78"/>
      <c r="CI787" s="78"/>
      <c r="CJ787" s="78"/>
      <c r="CK787" s="78"/>
      <c r="CL787" s="78"/>
      <c r="CM787" s="78"/>
      <c r="CN787" s="78"/>
      <c r="CO787" s="78"/>
      <c r="CP787" s="78"/>
      <c r="CQ787" s="78"/>
      <c r="CR787" s="78"/>
      <c r="CS787" s="78"/>
      <c r="CT787" s="78"/>
      <c r="CU787" s="78"/>
      <c r="CV787" s="78"/>
      <c r="CW787" s="78"/>
      <c r="CX787" s="78"/>
      <c r="CY787" s="78"/>
      <c r="CZ787" s="78"/>
      <c r="DA787" s="78"/>
      <c r="DB787" s="78"/>
      <c r="DC787" s="78"/>
      <c r="DD787" s="78"/>
      <c r="DE787" s="78"/>
      <c r="DF787" s="78"/>
      <c r="DG787" s="78"/>
      <c r="DH787" s="78"/>
      <c r="DI787" s="78"/>
      <c r="DJ787" s="78"/>
      <c r="DK787" s="78"/>
      <c r="DL787" s="78"/>
      <c r="DM787" s="78"/>
      <c r="DN787" s="78"/>
      <c r="DO787" s="78"/>
      <c r="DP787" s="78"/>
      <c r="DQ787" s="78"/>
      <c r="DR787" s="78"/>
      <c r="DS787" s="78"/>
      <c r="DT787" s="78"/>
      <c r="DU787" s="78"/>
      <c r="DV787" s="78"/>
      <c r="DW787" s="78"/>
      <c r="DX787" s="78"/>
      <c r="DY787" s="78"/>
      <c r="DZ787" s="78"/>
      <c r="EA787" s="78"/>
      <c r="EB787" s="78"/>
      <c r="EC787" s="78"/>
    </row>
    <row r="788" spans="1:133" s="9" customFormat="1" x14ac:dyDescent="0.25">
      <c r="A788" s="73" t="s">
        <v>57</v>
      </c>
      <c r="B788" s="60" t="s">
        <v>204</v>
      </c>
      <c r="C788" s="53" t="s">
        <v>59</v>
      </c>
      <c r="D788" s="53" t="s">
        <v>376</v>
      </c>
      <c r="E788" s="162">
        <v>1.9870000000000001</v>
      </c>
      <c r="F788" s="163"/>
      <c r="G788" s="163"/>
      <c r="H788" s="163"/>
      <c r="I788" s="163"/>
      <c r="J788" s="163"/>
      <c r="K788" s="163"/>
      <c r="L788" s="163"/>
      <c r="M788" s="163"/>
      <c r="N788" s="163"/>
      <c r="O788" s="163"/>
      <c r="P788" s="163"/>
      <c r="Q788" s="164"/>
      <c r="R788" s="78"/>
      <c r="S788" s="78"/>
      <c r="T788" s="78"/>
      <c r="U788" s="78"/>
      <c r="V788" s="78"/>
      <c r="W788" s="78"/>
      <c r="X788" s="78"/>
      <c r="Y788" s="78"/>
      <c r="Z788" s="78"/>
      <c r="AA788" s="78"/>
      <c r="AB788" s="78"/>
      <c r="AC788" s="78"/>
      <c r="AD788" s="78"/>
      <c r="AE788" s="78"/>
      <c r="AF788" s="78"/>
      <c r="AG788" s="78"/>
      <c r="AH788" s="78"/>
      <c r="AI788" s="78"/>
      <c r="AJ788" s="78"/>
      <c r="AK788" s="78"/>
      <c r="AL788" s="78"/>
      <c r="AM788" s="78"/>
      <c r="AN788" s="78"/>
      <c r="AO788" s="78"/>
      <c r="AP788" s="78"/>
      <c r="AQ788" s="78"/>
      <c r="AR788" s="78"/>
      <c r="AS788" s="78"/>
      <c r="AT788" s="78"/>
      <c r="AU788" s="78"/>
      <c r="AV788" s="78"/>
      <c r="AW788" s="78"/>
      <c r="AX788" s="78"/>
      <c r="AY788" s="78"/>
      <c r="AZ788" s="78"/>
      <c r="BA788" s="78"/>
      <c r="BB788" s="78"/>
      <c r="BC788" s="78"/>
      <c r="BD788" s="78"/>
      <c r="BE788" s="78"/>
      <c r="BF788" s="78"/>
      <c r="BG788" s="78"/>
      <c r="BH788" s="78"/>
      <c r="BI788" s="78"/>
      <c r="BJ788" s="78"/>
      <c r="BK788" s="78"/>
      <c r="BL788" s="78"/>
      <c r="BM788" s="78"/>
      <c r="BN788" s="78"/>
      <c r="BO788" s="78"/>
      <c r="BP788" s="78"/>
      <c r="BQ788" s="78"/>
      <c r="BR788" s="78"/>
      <c r="BS788" s="78"/>
      <c r="BT788" s="78"/>
      <c r="BU788" s="78"/>
      <c r="BV788" s="78"/>
      <c r="BW788" s="78"/>
      <c r="BX788" s="78"/>
      <c r="BY788" s="78"/>
      <c r="BZ788" s="78"/>
      <c r="CA788" s="78"/>
      <c r="CB788" s="78"/>
      <c r="CC788" s="78"/>
      <c r="CD788" s="78"/>
      <c r="CE788" s="78"/>
      <c r="CF788" s="78"/>
      <c r="CG788" s="78"/>
      <c r="CH788" s="78"/>
      <c r="CI788" s="78"/>
      <c r="CJ788" s="78"/>
      <c r="CK788" s="78"/>
      <c r="CL788" s="78"/>
      <c r="CM788" s="78"/>
      <c r="CN788" s="78"/>
      <c r="CO788" s="78"/>
      <c r="CP788" s="78"/>
      <c r="CQ788" s="78"/>
      <c r="CR788" s="78"/>
      <c r="CS788" s="78"/>
      <c r="CT788" s="78"/>
      <c r="CU788" s="78"/>
      <c r="CV788" s="78"/>
      <c r="CW788" s="78"/>
      <c r="CX788" s="78"/>
      <c r="CY788" s="78"/>
      <c r="CZ788" s="78"/>
      <c r="DA788" s="78"/>
      <c r="DB788" s="78"/>
      <c r="DC788" s="78"/>
      <c r="DD788" s="78"/>
      <c r="DE788" s="78"/>
      <c r="DF788" s="78"/>
      <c r="DG788" s="78"/>
      <c r="DH788" s="78"/>
      <c r="DI788" s="78"/>
      <c r="DJ788" s="78"/>
      <c r="DK788" s="78"/>
      <c r="DL788" s="78"/>
      <c r="DM788" s="78"/>
      <c r="DN788" s="78"/>
      <c r="DO788" s="78"/>
      <c r="DP788" s="78"/>
      <c r="DQ788" s="78"/>
      <c r="DR788" s="78"/>
      <c r="DS788" s="78"/>
      <c r="DT788" s="78"/>
      <c r="DU788" s="78"/>
      <c r="DV788" s="78"/>
      <c r="DW788" s="78"/>
      <c r="DX788" s="78"/>
      <c r="DY788" s="78"/>
      <c r="DZ788" s="78"/>
      <c r="EA788" s="78"/>
      <c r="EB788" s="78"/>
      <c r="EC788" s="78"/>
    </row>
    <row r="789" spans="1:133" s="9" customFormat="1" ht="31.2" x14ac:dyDescent="0.25">
      <c r="A789" s="73" t="s">
        <v>60</v>
      </c>
      <c r="B789" s="60" t="s">
        <v>203</v>
      </c>
      <c r="C789" s="53" t="s">
        <v>61</v>
      </c>
      <c r="D789" s="143" t="s">
        <v>363</v>
      </c>
      <c r="E789" s="98">
        <f>AVERAGE(F789:Q789)</f>
        <v>297.02500000000003</v>
      </c>
      <c r="F789" s="60">
        <v>288.14999999999998</v>
      </c>
      <c r="G789" s="60">
        <v>292.14999999999998</v>
      </c>
      <c r="H789" s="60">
        <v>294.64999999999998</v>
      </c>
      <c r="I789" s="60">
        <v>296.64999999999998</v>
      </c>
      <c r="J789" s="60">
        <v>301.14999999999998</v>
      </c>
      <c r="K789" s="60">
        <v>301.14999999999998</v>
      </c>
      <c r="L789" s="60">
        <v>302.14999999999998</v>
      </c>
      <c r="M789" s="60">
        <v>302.14999999999998</v>
      </c>
      <c r="N789" s="60">
        <v>302.64999999999998</v>
      </c>
      <c r="O789" s="60">
        <v>298.64999999999998</v>
      </c>
      <c r="P789" s="60">
        <v>294.14999999999998</v>
      </c>
      <c r="Q789" s="60">
        <v>290.64999999999998</v>
      </c>
      <c r="R789" s="78"/>
      <c r="S789" s="78"/>
      <c r="T789" s="78"/>
      <c r="U789" s="78"/>
      <c r="V789" s="78"/>
      <c r="W789" s="78"/>
      <c r="X789" s="78"/>
      <c r="Y789" s="78"/>
      <c r="Z789" s="78"/>
      <c r="AA789" s="78"/>
      <c r="AB789" s="78"/>
      <c r="AC789" s="78"/>
      <c r="AD789" s="78"/>
      <c r="AE789" s="78"/>
      <c r="AF789" s="78"/>
      <c r="AG789" s="78"/>
      <c r="AH789" s="78"/>
      <c r="AI789" s="78"/>
      <c r="AJ789" s="78"/>
      <c r="AK789" s="78"/>
      <c r="AL789" s="78"/>
      <c r="AM789" s="78"/>
      <c r="AN789" s="78"/>
      <c r="AO789" s="78"/>
      <c r="AP789" s="78"/>
      <c r="AQ789" s="78"/>
      <c r="AR789" s="78"/>
      <c r="AS789" s="78"/>
      <c r="AT789" s="78"/>
      <c r="AU789" s="78"/>
      <c r="AV789" s="78"/>
      <c r="AW789" s="78"/>
      <c r="AX789" s="78"/>
      <c r="AY789" s="78"/>
      <c r="AZ789" s="78"/>
      <c r="BA789" s="78"/>
      <c r="BB789" s="78"/>
      <c r="BC789" s="78"/>
      <c r="BD789" s="78"/>
      <c r="BE789" s="78"/>
      <c r="BF789" s="78"/>
      <c r="BG789" s="78"/>
      <c r="BH789" s="78"/>
      <c r="BI789" s="78"/>
      <c r="BJ789" s="78"/>
      <c r="BK789" s="78"/>
      <c r="BL789" s="78"/>
      <c r="BM789" s="78"/>
      <c r="BN789" s="78"/>
      <c r="BO789" s="78"/>
      <c r="BP789" s="78"/>
      <c r="BQ789" s="78"/>
      <c r="BR789" s="78"/>
      <c r="BS789" s="78"/>
      <c r="BT789" s="78"/>
      <c r="BU789" s="78"/>
      <c r="BV789" s="78"/>
      <c r="BW789" s="78"/>
      <c r="BX789" s="78"/>
      <c r="BY789" s="78"/>
      <c r="BZ789" s="78"/>
      <c r="CA789" s="78"/>
      <c r="CB789" s="78"/>
      <c r="CC789" s="78"/>
      <c r="CD789" s="78"/>
      <c r="CE789" s="78"/>
      <c r="CF789" s="78"/>
      <c r="CG789" s="78"/>
      <c r="CH789" s="78"/>
      <c r="CI789" s="78"/>
      <c r="CJ789" s="78"/>
      <c r="CK789" s="78"/>
      <c r="CL789" s="78"/>
      <c r="CM789" s="78"/>
      <c r="CN789" s="78"/>
      <c r="CO789" s="78"/>
      <c r="CP789" s="78"/>
      <c r="CQ789" s="78"/>
      <c r="CR789" s="78"/>
      <c r="CS789" s="78"/>
      <c r="CT789" s="78"/>
      <c r="CU789" s="78"/>
      <c r="CV789" s="78"/>
      <c r="CW789" s="78"/>
      <c r="CX789" s="78"/>
      <c r="CY789" s="78"/>
      <c r="CZ789" s="78"/>
      <c r="DA789" s="78"/>
      <c r="DB789" s="78"/>
      <c r="DC789" s="78"/>
      <c r="DD789" s="78"/>
      <c r="DE789" s="78"/>
      <c r="DF789" s="78"/>
      <c r="DG789" s="78"/>
      <c r="DH789" s="78"/>
      <c r="DI789" s="78"/>
      <c r="DJ789" s="78"/>
      <c r="DK789" s="78"/>
      <c r="DL789" s="78"/>
      <c r="DM789" s="78"/>
      <c r="DN789" s="78"/>
      <c r="DO789" s="78"/>
      <c r="DP789" s="78"/>
      <c r="DQ789" s="78"/>
      <c r="DR789" s="78"/>
      <c r="DS789" s="78"/>
      <c r="DT789" s="78"/>
      <c r="DU789" s="78"/>
      <c r="DV789" s="78"/>
      <c r="DW789" s="78"/>
      <c r="DX789" s="78"/>
      <c r="DY789" s="78"/>
      <c r="DZ789" s="78"/>
      <c r="EA789" s="78"/>
      <c r="EB789" s="78"/>
      <c r="EC789" s="78"/>
    </row>
    <row r="790" spans="1:133" s="9" customFormat="1" ht="31.2" x14ac:dyDescent="0.4">
      <c r="A790" s="71" t="s">
        <v>62</v>
      </c>
      <c r="B790" s="60" t="s">
        <v>196</v>
      </c>
      <c r="C790" s="53" t="s">
        <v>63</v>
      </c>
      <c r="D790" s="53" t="s">
        <v>377</v>
      </c>
      <c r="E790" s="74">
        <f>SUM(F790:Q790)</f>
        <v>6094.4459441837671</v>
      </c>
      <c r="F790" s="74">
        <f>F779*F774*F777+(1-F785)*'Baseline Emissions 2020'!Q790</f>
        <v>761.31402439563794</v>
      </c>
      <c r="G790" s="74">
        <f t="shared" ref="G790:Q790" si="104">G779*G774*G777+(1-G785)*F790</f>
        <v>747.16562848169247</v>
      </c>
      <c r="H790" s="74">
        <f t="shared" si="104"/>
        <v>696.70087272242506</v>
      </c>
      <c r="I790" s="74">
        <f t="shared" si="104"/>
        <v>596.41108085572341</v>
      </c>
      <c r="J790" s="74">
        <f t="shared" si="104"/>
        <v>413.8239220389512</v>
      </c>
      <c r="K790" s="74">
        <f t="shared" si="104"/>
        <v>339.79891774558178</v>
      </c>
      <c r="L790" s="74">
        <f t="shared" si="104"/>
        <v>312.56819987233411</v>
      </c>
      <c r="M790" s="74">
        <f t="shared" si="104"/>
        <v>310.30286082715912</v>
      </c>
      <c r="N790" s="74">
        <f>N779*N774*N777+(1-N785)*0</f>
        <v>311.06011286381744</v>
      </c>
      <c r="O790" s="74">
        <f t="shared" si="104"/>
        <v>419.9794239644304</v>
      </c>
      <c r="P790" s="74">
        <f t="shared" si="104"/>
        <v>526.4602591989767</v>
      </c>
      <c r="Q790" s="74">
        <f t="shared" si="104"/>
        <v>658.86064121703748</v>
      </c>
      <c r="R790" s="78"/>
      <c r="S790" s="78"/>
      <c r="T790" s="78"/>
      <c r="U790" s="78"/>
      <c r="V790" s="78"/>
      <c r="W790" s="78"/>
      <c r="X790" s="78"/>
      <c r="Y790" s="78"/>
      <c r="Z790" s="78"/>
      <c r="AA790" s="78"/>
      <c r="AB790" s="78"/>
      <c r="AC790" s="78"/>
      <c r="AD790" s="78"/>
      <c r="AE790" s="78"/>
      <c r="AF790" s="78"/>
      <c r="AG790" s="78"/>
      <c r="AH790" s="78"/>
      <c r="AI790" s="78"/>
      <c r="AJ790" s="78"/>
      <c r="AK790" s="78"/>
      <c r="AL790" s="78"/>
      <c r="AM790" s="78"/>
      <c r="AN790" s="78"/>
      <c r="AO790" s="78"/>
      <c r="AP790" s="78"/>
      <c r="AQ790" s="78"/>
      <c r="AR790" s="78"/>
      <c r="AS790" s="78"/>
      <c r="AT790" s="78"/>
      <c r="AU790" s="78"/>
      <c r="AV790" s="78"/>
      <c r="AW790" s="78"/>
      <c r="AX790" s="78"/>
      <c r="AY790" s="78"/>
      <c r="AZ790" s="78"/>
      <c r="BA790" s="78"/>
      <c r="BB790" s="78"/>
      <c r="BC790" s="78"/>
      <c r="BD790" s="78"/>
      <c r="BE790" s="78"/>
      <c r="BF790" s="78"/>
      <c r="BG790" s="78"/>
      <c r="BH790" s="78"/>
      <c r="BI790" s="78"/>
      <c r="BJ790" s="78"/>
      <c r="BK790" s="78"/>
      <c r="BL790" s="78"/>
      <c r="BM790" s="78"/>
      <c r="BN790" s="78"/>
      <c r="BO790" s="78"/>
      <c r="BP790" s="78"/>
      <c r="BQ790" s="78"/>
      <c r="BR790" s="78"/>
      <c r="BS790" s="78"/>
      <c r="BT790" s="78"/>
      <c r="BU790" s="78"/>
      <c r="BV790" s="78"/>
      <c r="BW790" s="78"/>
      <c r="BX790" s="78"/>
      <c r="BY790" s="78"/>
      <c r="BZ790" s="78"/>
      <c r="CA790" s="78"/>
      <c r="CB790" s="78"/>
      <c r="CC790" s="78"/>
      <c r="CD790" s="78"/>
      <c r="CE790" s="78"/>
      <c r="CF790" s="78"/>
      <c r="CG790" s="78"/>
      <c r="CH790" s="78"/>
      <c r="CI790" s="78"/>
      <c r="CJ790" s="78"/>
      <c r="CK790" s="78"/>
      <c r="CL790" s="78"/>
      <c r="CM790" s="78"/>
      <c r="CN790" s="78"/>
      <c r="CO790" s="78"/>
      <c r="CP790" s="78"/>
      <c r="CQ790" s="78"/>
      <c r="CR790" s="78"/>
      <c r="CS790" s="78"/>
      <c r="CT790" s="78"/>
      <c r="CU790" s="78"/>
      <c r="CV790" s="78"/>
      <c r="CW790" s="78"/>
      <c r="CX790" s="78"/>
      <c r="CY790" s="78"/>
      <c r="CZ790" s="78"/>
      <c r="DA790" s="78"/>
      <c r="DB790" s="78"/>
      <c r="DC790" s="78"/>
      <c r="DD790" s="78"/>
      <c r="DE790" s="78"/>
      <c r="DF790" s="78"/>
      <c r="DG790" s="78"/>
      <c r="DH790" s="78"/>
      <c r="DI790" s="78"/>
      <c r="DJ790" s="78"/>
      <c r="DK790" s="78"/>
      <c r="DL790" s="78"/>
      <c r="DM790" s="78"/>
      <c r="DN790" s="78"/>
      <c r="DO790" s="78"/>
      <c r="DP790" s="78"/>
      <c r="DQ790" s="78"/>
      <c r="DR790" s="78"/>
      <c r="DS790" s="78"/>
      <c r="DT790" s="78"/>
      <c r="DU790" s="78"/>
      <c r="DV790" s="78"/>
      <c r="DW790" s="78"/>
      <c r="DX790" s="78"/>
      <c r="DY790" s="78"/>
      <c r="DZ790" s="78"/>
      <c r="EA790" s="78"/>
      <c r="EB790" s="78"/>
      <c r="EC790" s="78"/>
    </row>
    <row r="792" spans="1:133" ht="15.6" customHeight="1" x14ac:dyDescent="0.25">
      <c r="A792" s="36" t="s">
        <v>64</v>
      </c>
      <c r="B792" s="36"/>
      <c r="C792" s="36"/>
      <c r="D792" s="36"/>
      <c r="E792" s="36"/>
    </row>
    <row r="793" spans="1:133" x14ac:dyDescent="0.25">
      <c r="A793" s="57" t="s">
        <v>8</v>
      </c>
      <c r="B793" s="58" t="s">
        <v>9</v>
      </c>
      <c r="C793" s="34" t="s">
        <v>10</v>
      </c>
      <c r="D793" s="34" t="s">
        <v>340</v>
      </c>
      <c r="E793" s="16" t="s">
        <v>65</v>
      </c>
    </row>
    <row r="794" spans="1:133" ht="46.8" x14ac:dyDescent="0.25">
      <c r="A794" s="59" t="s">
        <v>66</v>
      </c>
      <c r="B794" s="60" t="s">
        <v>14</v>
      </c>
      <c r="C794" s="53" t="s">
        <v>67</v>
      </c>
      <c r="D794" s="53" t="s">
        <v>68</v>
      </c>
      <c r="E794" s="75">
        <v>0</v>
      </c>
    </row>
    <row r="795" spans="1:133" ht="46.8" x14ac:dyDescent="0.25">
      <c r="A795" s="63" t="s">
        <v>69</v>
      </c>
      <c r="B795" s="25" t="s">
        <v>70</v>
      </c>
      <c r="C795" s="35" t="s">
        <v>71</v>
      </c>
      <c r="D795" s="53" t="str">
        <f>D801</f>
        <v>Historical data on site in the FSR (It was calculated with conservative value)</v>
      </c>
      <c r="E795" s="74">
        <f>E801</f>
        <v>1400.0169998687634</v>
      </c>
    </row>
    <row r="797" spans="1:133" ht="15.6" customHeight="1" x14ac:dyDescent="0.25">
      <c r="A797" s="90" t="s">
        <v>72</v>
      </c>
      <c r="B797" s="90"/>
      <c r="C797" s="91"/>
      <c r="D797" s="91"/>
      <c r="E797" s="90"/>
    </row>
    <row r="798" spans="1:133" x14ac:dyDescent="0.25">
      <c r="A798" s="59" t="s">
        <v>8</v>
      </c>
      <c r="B798" s="16" t="s">
        <v>9</v>
      </c>
      <c r="C798" s="38" t="s">
        <v>10</v>
      </c>
      <c r="D798" s="38" t="s">
        <v>340</v>
      </c>
      <c r="E798" s="16" t="s">
        <v>65</v>
      </c>
    </row>
    <row r="799" spans="1:133" ht="33.6" x14ac:dyDescent="0.4">
      <c r="A799" s="76" t="s">
        <v>73</v>
      </c>
      <c r="B799" s="25" t="s">
        <v>74</v>
      </c>
      <c r="C799" s="35" t="s">
        <v>75</v>
      </c>
      <c r="D799" s="35" t="s">
        <v>378</v>
      </c>
      <c r="E799" s="50">
        <f>E800*E803*E804*E805*E806*E807</f>
        <v>5.6864924140615285</v>
      </c>
    </row>
    <row r="800" spans="1:133" s="13" customFormat="1" ht="46.8" x14ac:dyDescent="0.4">
      <c r="A800" s="77" t="s">
        <v>207</v>
      </c>
      <c r="B800" s="25" t="s">
        <v>76</v>
      </c>
      <c r="C800" s="35" t="s">
        <v>77</v>
      </c>
      <c r="D800" s="35" t="s">
        <v>379</v>
      </c>
      <c r="E800" s="52">
        <f>E801/E802</f>
        <v>280.00339997375266</v>
      </c>
      <c r="R800" s="14"/>
      <c r="S800" s="14"/>
      <c r="T800" s="14"/>
      <c r="U800" s="14"/>
      <c r="V800" s="14"/>
      <c r="W800" s="14"/>
      <c r="X800" s="14"/>
      <c r="Y800" s="14"/>
      <c r="Z800" s="14"/>
      <c r="AA800" s="14"/>
      <c r="AB800" s="14"/>
      <c r="AC800" s="14"/>
      <c r="AD800" s="14"/>
      <c r="AE800" s="14"/>
      <c r="AF800" s="14"/>
      <c r="AG800" s="14"/>
      <c r="AH800" s="14"/>
      <c r="AI800" s="14"/>
      <c r="AJ800" s="14"/>
      <c r="AK800" s="14"/>
      <c r="AL800" s="14"/>
      <c r="AM800" s="14"/>
      <c r="AN800" s="14"/>
      <c r="AO800" s="14"/>
      <c r="AP800" s="14"/>
      <c r="AQ800" s="14"/>
      <c r="AR800" s="14"/>
      <c r="AS800" s="14"/>
      <c r="AT800" s="14"/>
      <c r="AU800" s="14"/>
      <c r="AV800" s="14"/>
      <c r="AW800" s="14"/>
      <c r="AX800" s="14"/>
      <c r="AY800" s="14"/>
      <c r="AZ800" s="14"/>
      <c r="BA800" s="14"/>
      <c r="BB800" s="14"/>
      <c r="BC800" s="14"/>
      <c r="BD800" s="14"/>
      <c r="BE800" s="14"/>
      <c r="BF800" s="14"/>
      <c r="BG800" s="14"/>
      <c r="BH800" s="14"/>
      <c r="BI800" s="14"/>
      <c r="BJ800" s="14"/>
      <c r="BK800" s="14"/>
      <c r="BL800" s="14"/>
      <c r="BM800" s="14"/>
      <c r="BN800" s="14"/>
      <c r="BO800" s="14"/>
      <c r="BP800" s="14"/>
      <c r="BQ800" s="14"/>
      <c r="BR800" s="14"/>
      <c r="BS800" s="14"/>
      <c r="BT800" s="14"/>
      <c r="BU800" s="14"/>
      <c r="BV800" s="14"/>
      <c r="BW800" s="14"/>
      <c r="BX800" s="14"/>
      <c r="BY800" s="14"/>
      <c r="BZ800" s="14"/>
      <c r="CA800" s="14"/>
      <c r="CB800" s="14"/>
      <c r="CC800" s="14"/>
      <c r="CD800" s="14"/>
      <c r="CE800" s="14"/>
      <c r="CF800" s="14"/>
      <c r="CG800" s="14"/>
      <c r="CH800" s="14"/>
      <c r="CI800" s="14"/>
      <c r="CJ800" s="14"/>
      <c r="CK800" s="14"/>
      <c r="CL800" s="14"/>
      <c r="CM800" s="14"/>
      <c r="CN800" s="14"/>
      <c r="CO800" s="14"/>
      <c r="CP800" s="14"/>
      <c r="CQ800" s="14"/>
      <c r="CR800" s="14"/>
      <c r="CS800" s="14"/>
      <c r="CT800" s="14"/>
      <c r="CU800" s="14"/>
      <c r="CV800" s="14"/>
      <c r="CW800" s="14"/>
      <c r="CX800" s="14"/>
      <c r="CY800" s="14"/>
      <c r="CZ800" s="14"/>
      <c r="DA800" s="14"/>
      <c r="DB800" s="14"/>
      <c r="DC800" s="14"/>
      <c r="DD800" s="14"/>
      <c r="DE800" s="14"/>
      <c r="DF800" s="14"/>
      <c r="DG800" s="14"/>
      <c r="DH800" s="14"/>
      <c r="DI800" s="14"/>
      <c r="DJ800" s="14"/>
      <c r="DK800" s="14"/>
      <c r="DL800" s="14"/>
      <c r="DM800" s="14"/>
      <c r="DN800" s="14"/>
      <c r="DO800" s="14"/>
      <c r="DP800" s="14"/>
      <c r="DQ800" s="14"/>
      <c r="DR800" s="14"/>
      <c r="DS800" s="14"/>
      <c r="DT800" s="14"/>
      <c r="DU800" s="14"/>
      <c r="DV800" s="14"/>
      <c r="DW800" s="14"/>
      <c r="DX800" s="14"/>
      <c r="DY800" s="14"/>
      <c r="DZ800" s="14"/>
      <c r="EA800" s="14"/>
      <c r="EB800" s="14"/>
      <c r="EC800" s="14"/>
    </row>
    <row r="801" spans="1:133" s="13" customFormat="1" ht="46.8" x14ac:dyDescent="0.25">
      <c r="A801" s="63" t="s">
        <v>208</v>
      </c>
      <c r="B801" s="25" t="s">
        <v>78</v>
      </c>
      <c r="C801" s="35" t="s">
        <v>79</v>
      </c>
      <c r="D801" s="53" t="s">
        <v>352</v>
      </c>
      <c r="E801" s="52">
        <f>0.000186004769557266*E774</f>
        <v>1400.0169998687634</v>
      </c>
      <c r="R801" s="14"/>
      <c r="S801" s="14"/>
      <c r="T801" s="14"/>
      <c r="U801" s="14"/>
      <c r="V801" s="14"/>
      <c r="W801" s="14"/>
      <c r="X801" s="14"/>
      <c r="Y801" s="14"/>
      <c r="Z801" s="14"/>
      <c r="AA801" s="14"/>
      <c r="AB801" s="14"/>
      <c r="AC801" s="14"/>
      <c r="AD801" s="14"/>
      <c r="AE801" s="14"/>
      <c r="AF801" s="14"/>
      <c r="AG801" s="14"/>
      <c r="AH801" s="14"/>
      <c r="AI801" s="14"/>
      <c r="AJ801" s="14"/>
      <c r="AK801" s="14"/>
      <c r="AL801" s="14"/>
      <c r="AM801" s="14"/>
      <c r="AN801" s="14"/>
      <c r="AO801" s="14"/>
      <c r="AP801" s="14"/>
      <c r="AQ801" s="14"/>
      <c r="AR801" s="14"/>
      <c r="AS801" s="14"/>
      <c r="AT801" s="14"/>
      <c r="AU801" s="14"/>
      <c r="AV801" s="14"/>
      <c r="AW801" s="14"/>
      <c r="AX801" s="14"/>
      <c r="AY801" s="14"/>
      <c r="AZ801" s="14"/>
      <c r="BA801" s="14"/>
      <c r="BB801" s="14"/>
      <c r="BC801" s="14"/>
      <c r="BD801" s="14"/>
      <c r="BE801" s="14"/>
      <c r="BF801" s="14"/>
      <c r="BG801" s="14"/>
      <c r="BH801" s="14"/>
      <c r="BI801" s="14"/>
      <c r="BJ801" s="14"/>
      <c r="BK801" s="14"/>
      <c r="BL801" s="14"/>
      <c r="BM801" s="14"/>
      <c r="BN801" s="14"/>
      <c r="BO801" s="14"/>
      <c r="BP801" s="14"/>
      <c r="BQ801" s="14"/>
      <c r="BR801" s="14"/>
      <c r="BS801" s="14"/>
      <c r="BT801" s="14"/>
      <c r="BU801" s="14"/>
      <c r="BV801" s="14"/>
      <c r="BW801" s="14"/>
      <c r="BX801" s="14"/>
      <c r="BY801" s="14"/>
      <c r="BZ801" s="14"/>
      <c r="CA801" s="14"/>
      <c r="CB801" s="14"/>
      <c r="CC801" s="14"/>
      <c r="CD801" s="14"/>
      <c r="CE801" s="14"/>
      <c r="CF801" s="14"/>
      <c r="CG801" s="14"/>
      <c r="CH801" s="14"/>
      <c r="CI801" s="14"/>
      <c r="CJ801" s="14"/>
      <c r="CK801" s="14"/>
      <c r="CL801" s="14"/>
      <c r="CM801" s="14"/>
      <c r="CN801" s="14"/>
      <c r="CO801" s="14"/>
      <c r="CP801" s="14"/>
      <c r="CQ801" s="14"/>
      <c r="CR801" s="14"/>
      <c r="CS801" s="14"/>
      <c r="CT801" s="14"/>
      <c r="CU801" s="14"/>
      <c r="CV801" s="14"/>
      <c r="CW801" s="14"/>
      <c r="CX801" s="14"/>
      <c r="CY801" s="14"/>
      <c r="CZ801" s="14"/>
      <c r="DA801" s="14"/>
      <c r="DB801" s="14"/>
      <c r="DC801" s="14"/>
      <c r="DD801" s="14"/>
      <c r="DE801" s="14"/>
      <c r="DF801" s="14"/>
      <c r="DG801" s="14"/>
      <c r="DH801" s="14"/>
      <c r="DI801" s="14"/>
      <c r="DJ801" s="14"/>
      <c r="DK801" s="14"/>
      <c r="DL801" s="14"/>
      <c r="DM801" s="14"/>
      <c r="DN801" s="14"/>
      <c r="DO801" s="14"/>
      <c r="DP801" s="14"/>
      <c r="DQ801" s="14"/>
      <c r="DR801" s="14"/>
      <c r="DS801" s="14"/>
      <c r="DT801" s="14"/>
      <c r="DU801" s="14"/>
      <c r="DV801" s="14"/>
      <c r="DW801" s="14"/>
      <c r="DX801" s="14"/>
      <c r="DY801" s="14"/>
      <c r="DZ801" s="14"/>
      <c r="EA801" s="14"/>
      <c r="EB801" s="14"/>
      <c r="EC801" s="14"/>
    </row>
    <row r="802" spans="1:133" s="13" customFormat="1" ht="31.2" x14ac:dyDescent="0.25">
      <c r="A802" s="63" t="s">
        <v>209</v>
      </c>
      <c r="B802" s="25" t="s">
        <v>80</v>
      </c>
      <c r="C802" s="35" t="s">
        <v>81</v>
      </c>
      <c r="D802" s="35" t="s">
        <v>353</v>
      </c>
      <c r="E802" s="25">
        <f>5</f>
        <v>5</v>
      </c>
      <c r="R802" s="14"/>
      <c r="S802" s="14"/>
      <c r="T802" s="14"/>
      <c r="U802" s="14"/>
      <c r="V802" s="14"/>
      <c r="W802" s="14"/>
      <c r="X802" s="14"/>
      <c r="Y802" s="14"/>
      <c r="Z802" s="14"/>
      <c r="AA802" s="14"/>
      <c r="AB802" s="14"/>
      <c r="AC802" s="14"/>
      <c r="AD802" s="14"/>
      <c r="AE802" s="14"/>
      <c r="AF802" s="14"/>
      <c r="AG802" s="14"/>
      <c r="AH802" s="14"/>
      <c r="AI802" s="14"/>
      <c r="AJ802" s="14"/>
      <c r="AK802" s="14"/>
      <c r="AL802" s="14"/>
      <c r="AM802" s="14"/>
      <c r="AN802" s="14"/>
      <c r="AO802" s="14"/>
      <c r="AP802" s="14"/>
      <c r="AQ802" s="14"/>
      <c r="AR802" s="14"/>
      <c r="AS802" s="14"/>
      <c r="AT802" s="14"/>
      <c r="AU802" s="14"/>
      <c r="AV802" s="14"/>
      <c r="AW802" s="14"/>
      <c r="AX802" s="14"/>
      <c r="AY802" s="14"/>
      <c r="AZ802" s="14"/>
      <c r="BA802" s="14"/>
      <c r="BB802" s="14"/>
      <c r="BC802" s="14"/>
      <c r="BD802" s="14"/>
      <c r="BE802" s="14"/>
      <c r="BF802" s="14"/>
      <c r="BG802" s="14"/>
      <c r="BH802" s="14"/>
      <c r="BI802" s="14"/>
      <c r="BJ802" s="14"/>
      <c r="BK802" s="14"/>
      <c r="BL802" s="14"/>
      <c r="BM802" s="14"/>
      <c r="BN802" s="14"/>
      <c r="BO802" s="14"/>
      <c r="BP802" s="14"/>
      <c r="BQ802" s="14"/>
      <c r="BR802" s="14"/>
      <c r="BS802" s="14"/>
      <c r="BT802" s="14"/>
      <c r="BU802" s="14"/>
      <c r="BV802" s="14"/>
      <c r="BW802" s="14"/>
      <c r="BX802" s="14"/>
      <c r="BY802" s="14"/>
      <c r="BZ802" s="14"/>
      <c r="CA802" s="14"/>
      <c r="CB802" s="14"/>
      <c r="CC802" s="14"/>
      <c r="CD802" s="14"/>
      <c r="CE802" s="14"/>
      <c r="CF802" s="14"/>
      <c r="CG802" s="14"/>
      <c r="CH802" s="14"/>
      <c r="CI802" s="14"/>
      <c r="CJ802" s="14"/>
      <c r="CK802" s="14"/>
      <c r="CL802" s="14"/>
      <c r="CM802" s="14"/>
      <c r="CN802" s="14"/>
      <c r="CO802" s="14"/>
      <c r="CP802" s="14"/>
      <c r="CQ802" s="14"/>
      <c r="CR802" s="14"/>
      <c r="CS802" s="14"/>
      <c r="CT802" s="14"/>
      <c r="CU802" s="14"/>
      <c r="CV802" s="14"/>
      <c r="CW802" s="14"/>
      <c r="CX802" s="14"/>
      <c r="CY802" s="14"/>
      <c r="CZ802" s="14"/>
      <c r="DA802" s="14"/>
      <c r="DB802" s="14"/>
      <c r="DC802" s="14"/>
      <c r="DD802" s="14"/>
      <c r="DE802" s="14"/>
      <c r="DF802" s="14"/>
      <c r="DG802" s="14"/>
      <c r="DH802" s="14"/>
      <c r="DI802" s="14"/>
      <c r="DJ802" s="14"/>
      <c r="DK802" s="14"/>
      <c r="DL802" s="14"/>
      <c r="DM802" s="14"/>
      <c r="DN802" s="14"/>
      <c r="DO802" s="14"/>
      <c r="DP802" s="14"/>
      <c r="DQ802" s="14"/>
      <c r="DR802" s="14"/>
      <c r="DS802" s="14"/>
      <c r="DT802" s="14"/>
      <c r="DU802" s="14"/>
      <c r="DV802" s="14"/>
      <c r="DW802" s="14"/>
      <c r="DX802" s="14"/>
      <c r="DY802" s="14"/>
      <c r="DZ802" s="14"/>
      <c r="EA802" s="14"/>
      <c r="EB802" s="14"/>
      <c r="EC802" s="14"/>
    </row>
    <row r="803" spans="1:133" s="13" customFormat="1" ht="62.4" x14ac:dyDescent="0.25">
      <c r="A803" s="63" t="s">
        <v>210</v>
      </c>
      <c r="B803" s="25" t="s">
        <v>82</v>
      </c>
      <c r="C803" s="35" t="s">
        <v>83</v>
      </c>
      <c r="D803" s="53" t="s">
        <v>354</v>
      </c>
      <c r="E803" s="25">
        <f>15*2</f>
        <v>30</v>
      </c>
      <c r="R803" s="14"/>
      <c r="S803" s="14"/>
      <c r="T803" s="14"/>
      <c r="U803" s="14"/>
      <c r="V803" s="14"/>
      <c r="W803" s="14"/>
      <c r="X803" s="14"/>
      <c r="Y803" s="14"/>
      <c r="Z803" s="14"/>
      <c r="AA803" s="14"/>
      <c r="AB803" s="14"/>
      <c r="AC803" s="14"/>
      <c r="AD803" s="14"/>
      <c r="AE803" s="14"/>
      <c r="AF803" s="14"/>
      <c r="AG803" s="14"/>
      <c r="AH803" s="14"/>
      <c r="AI803" s="14"/>
      <c r="AJ803" s="14"/>
      <c r="AK803" s="14"/>
      <c r="AL803" s="14"/>
      <c r="AM803" s="14"/>
      <c r="AN803" s="14"/>
      <c r="AO803" s="14"/>
      <c r="AP803" s="14"/>
      <c r="AQ803" s="14"/>
      <c r="AR803" s="14"/>
      <c r="AS803" s="14"/>
      <c r="AT803" s="14"/>
      <c r="AU803" s="14"/>
      <c r="AV803" s="14"/>
      <c r="AW803" s="14"/>
      <c r="AX803" s="14"/>
      <c r="AY803" s="14"/>
      <c r="AZ803" s="14"/>
      <c r="BA803" s="14"/>
      <c r="BB803" s="14"/>
      <c r="BC803" s="14"/>
      <c r="BD803" s="14"/>
      <c r="BE803" s="14"/>
      <c r="BF803" s="14"/>
      <c r="BG803" s="14"/>
      <c r="BH803" s="14"/>
      <c r="BI803" s="14"/>
      <c r="BJ803" s="14"/>
      <c r="BK803" s="14"/>
      <c r="BL803" s="14"/>
      <c r="BM803" s="14"/>
      <c r="BN803" s="14"/>
      <c r="BO803" s="14"/>
      <c r="BP803" s="14"/>
      <c r="BQ803" s="14"/>
      <c r="BR803" s="14"/>
      <c r="BS803" s="14"/>
      <c r="BT803" s="14"/>
      <c r="BU803" s="14"/>
      <c r="BV803" s="14"/>
      <c r="BW803" s="14"/>
      <c r="BX803" s="14"/>
      <c r="BY803" s="14"/>
      <c r="BZ803" s="14"/>
      <c r="CA803" s="14"/>
      <c r="CB803" s="14"/>
      <c r="CC803" s="14"/>
      <c r="CD803" s="14"/>
      <c r="CE803" s="14"/>
      <c r="CF803" s="14"/>
      <c r="CG803" s="14"/>
      <c r="CH803" s="14"/>
      <c r="CI803" s="14"/>
      <c r="CJ803" s="14"/>
      <c r="CK803" s="14"/>
      <c r="CL803" s="14"/>
      <c r="CM803" s="14"/>
      <c r="CN803" s="14"/>
      <c r="CO803" s="14"/>
      <c r="CP803" s="14"/>
      <c r="CQ803" s="14"/>
      <c r="CR803" s="14"/>
      <c r="CS803" s="14"/>
      <c r="CT803" s="14"/>
      <c r="CU803" s="14"/>
      <c r="CV803" s="14"/>
      <c r="CW803" s="14"/>
      <c r="CX803" s="14"/>
      <c r="CY803" s="14"/>
      <c r="CZ803" s="14"/>
      <c r="DA803" s="14"/>
      <c r="DB803" s="14"/>
      <c r="DC803" s="14"/>
      <c r="DD803" s="14"/>
      <c r="DE803" s="14"/>
      <c r="DF803" s="14"/>
      <c r="DG803" s="14"/>
      <c r="DH803" s="14"/>
      <c r="DI803" s="14"/>
      <c r="DJ803" s="14"/>
      <c r="DK803" s="14"/>
      <c r="DL803" s="14"/>
      <c r="DM803" s="14"/>
      <c r="DN803" s="14"/>
      <c r="DO803" s="14"/>
      <c r="DP803" s="14"/>
      <c r="DQ803" s="14"/>
      <c r="DR803" s="14"/>
      <c r="DS803" s="14"/>
      <c r="DT803" s="14"/>
      <c r="DU803" s="14"/>
      <c r="DV803" s="14"/>
      <c r="DW803" s="14"/>
      <c r="DX803" s="14"/>
      <c r="DY803" s="14"/>
      <c r="DZ803" s="14"/>
      <c r="EA803" s="14"/>
      <c r="EB803" s="14"/>
      <c r="EC803" s="14"/>
    </row>
    <row r="804" spans="1:133" s="13" customFormat="1" ht="172.2" x14ac:dyDescent="0.25">
      <c r="A804" s="63" t="s">
        <v>211</v>
      </c>
      <c r="B804" s="25" t="s">
        <v>84</v>
      </c>
      <c r="C804" s="35" t="s">
        <v>85</v>
      </c>
      <c r="D804" s="35" t="s">
        <v>355</v>
      </c>
      <c r="E804" s="25">
        <f>25.1/100</f>
        <v>0.251</v>
      </c>
      <c r="R804" s="14"/>
      <c r="S804" s="14"/>
      <c r="T804" s="14"/>
      <c r="U804" s="14"/>
      <c r="V804" s="14"/>
      <c r="W804" s="14"/>
      <c r="X804" s="14"/>
      <c r="Y804" s="14"/>
      <c r="Z804" s="14"/>
      <c r="AA804" s="14"/>
      <c r="AB804" s="14"/>
      <c r="AC804" s="14"/>
      <c r="AD804" s="14"/>
      <c r="AE804" s="14"/>
      <c r="AF804" s="14"/>
      <c r="AG804" s="14"/>
      <c r="AH804" s="14"/>
      <c r="AI804" s="14"/>
      <c r="AJ804" s="14"/>
      <c r="AK804" s="14"/>
      <c r="AL804" s="14"/>
      <c r="AM804" s="14"/>
      <c r="AN804" s="14"/>
      <c r="AO804" s="14"/>
      <c r="AP804" s="14"/>
      <c r="AQ804" s="14"/>
      <c r="AR804" s="14"/>
      <c r="AS804" s="14"/>
      <c r="AT804" s="14"/>
      <c r="AU804" s="14"/>
      <c r="AV804" s="14"/>
      <c r="AW804" s="14"/>
      <c r="AX804" s="14"/>
      <c r="AY804" s="14"/>
      <c r="AZ804" s="14"/>
      <c r="BA804" s="14"/>
      <c r="BB804" s="14"/>
      <c r="BC804" s="14"/>
      <c r="BD804" s="14"/>
      <c r="BE804" s="14"/>
      <c r="BF804" s="14"/>
      <c r="BG804" s="14"/>
      <c r="BH804" s="14"/>
      <c r="BI804" s="14"/>
      <c r="BJ804" s="14"/>
      <c r="BK804" s="14"/>
      <c r="BL804" s="14"/>
      <c r="BM804" s="14"/>
      <c r="BN804" s="14"/>
      <c r="BO804" s="14"/>
      <c r="BP804" s="14"/>
      <c r="BQ804" s="14"/>
      <c r="BR804" s="14"/>
      <c r="BS804" s="14"/>
      <c r="BT804" s="14"/>
      <c r="BU804" s="14"/>
      <c r="BV804" s="14"/>
      <c r="BW804" s="14"/>
      <c r="BX804" s="14"/>
      <c r="BY804" s="14"/>
      <c r="BZ804" s="14"/>
      <c r="CA804" s="14"/>
      <c r="CB804" s="14"/>
      <c r="CC804" s="14"/>
      <c r="CD804" s="14"/>
      <c r="CE804" s="14"/>
      <c r="CF804" s="14"/>
      <c r="CG804" s="14"/>
      <c r="CH804" s="14"/>
      <c r="CI804" s="14"/>
      <c r="CJ804" s="14"/>
      <c r="CK804" s="14"/>
      <c r="CL804" s="14"/>
      <c r="CM804" s="14"/>
      <c r="CN804" s="14"/>
      <c r="CO804" s="14"/>
      <c r="CP804" s="14"/>
      <c r="CQ804" s="14"/>
      <c r="CR804" s="14"/>
      <c r="CS804" s="14"/>
      <c r="CT804" s="14"/>
      <c r="CU804" s="14"/>
      <c r="CV804" s="14"/>
      <c r="CW804" s="14"/>
      <c r="CX804" s="14"/>
      <c r="CY804" s="14"/>
      <c r="CZ804" s="14"/>
      <c r="DA804" s="14"/>
      <c r="DB804" s="14"/>
      <c r="DC804" s="14"/>
      <c r="DD804" s="14"/>
      <c r="DE804" s="14"/>
      <c r="DF804" s="14"/>
      <c r="DG804" s="14"/>
      <c r="DH804" s="14"/>
      <c r="DI804" s="14"/>
      <c r="DJ804" s="14"/>
      <c r="DK804" s="14"/>
      <c r="DL804" s="14"/>
      <c r="DM804" s="14"/>
      <c r="DN804" s="14"/>
      <c r="DO804" s="14"/>
      <c r="DP804" s="14"/>
      <c r="DQ804" s="14"/>
      <c r="DR804" s="14"/>
      <c r="DS804" s="14"/>
      <c r="DT804" s="14"/>
      <c r="DU804" s="14"/>
      <c r="DV804" s="14"/>
      <c r="DW804" s="14"/>
      <c r="DX804" s="14"/>
      <c r="DY804" s="14"/>
      <c r="DZ804" s="14"/>
      <c r="EA804" s="14"/>
      <c r="EB804" s="14"/>
      <c r="EC804" s="14"/>
    </row>
    <row r="805" spans="1:133" s="13" customFormat="1" ht="140.4" x14ac:dyDescent="0.25">
      <c r="A805" s="63" t="s">
        <v>212</v>
      </c>
      <c r="B805" s="25" t="s">
        <v>87</v>
      </c>
      <c r="C805" s="35" t="s">
        <v>86</v>
      </c>
      <c r="D805" s="35" t="s">
        <v>356</v>
      </c>
      <c r="E805" s="25">
        <f>0.84/1000</f>
        <v>8.3999999999999993E-4</v>
      </c>
      <c r="R805" s="14"/>
      <c r="S805" s="14"/>
      <c r="T805" s="14"/>
      <c r="U805" s="14"/>
      <c r="V805" s="14"/>
      <c r="W805" s="14"/>
      <c r="X805" s="14"/>
      <c r="Y805" s="14"/>
      <c r="Z805" s="14"/>
      <c r="AA805" s="14"/>
      <c r="AB805" s="14"/>
      <c r="AC805" s="14"/>
      <c r="AD805" s="14"/>
      <c r="AE805" s="14"/>
      <c r="AF805" s="14"/>
      <c r="AG805" s="14"/>
      <c r="AH805" s="14"/>
      <c r="AI805" s="14"/>
      <c r="AJ805" s="14"/>
      <c r="AK805" s="14"/>
      <c r="AL805" s="14"/>
      <c r="AM805" s="14"/>
      <c r="AN805" s="14"/>
      <c r="AO805" s="14"/>
      <c r="AP805" s="14"/>
      <c r="AQ805" s="14"/>
      <c r="AR805" s="14"/>
      <c r="AS805" s="14"/>
      <c r="AT805" s="14"/>
      <c r="AU805" s="14"/>
      <c r="AV805" s="14"/>
      <c r="AW805" s="14"/>
      <c r="AX805" s="14"/>
      <c r="AY805" s="14"/>
      <c r="AZ805" s="14"/>
      <c r="BA805" s="14"/>
      <c r="BB805" s="14"/>
      <c r="BC805" s="14"/>
      <c r="BD805" s="14"/>
      <c r="BE805" s="14"/>
      <c r="BF805" s="14"/>
      <c r="BG805" s="14"/>
      <c r="BH805" s="14"/>
      <c r="BI805" s="14"/>
      <c r="BJ805" s="14"/>
      <c r="BK805" s="14"/>
      <c r="BL805" s="14"/>
      <c r="BM805" s="14"/>
      <c r="BN805" s="14"/>
      <c r="BO805" s="14"/>
      <c r="BP805" s="14"/>
      <c r="BQ805" s="14"/>
      <c r="BR805" s="14"/>
      <c r="BS805" s="14"/>
      <c r="BT805" s="14"/>
      <c r="BU805" s="14"/>
      <c r="BV805" s="14"/>
      <c r="BW805" s="14"/>
      <c r="BX805" s="14"/>
      <c r="BY805" s="14"/>
      <c r="BZ805" s="14"/>
      <c r="CA805" s="14"/>
      <c r="CB805" s="14"/>
      <c r="CC805" s="14"/>
      <c r="CD805" s="14"/>
      <c r="CE805" s="14"/>
      <c r="CF805" s="14"/>
      <c r="CG805" s="14"/>
      <c r="CH805" s="14"/>
      <c r="CI805" s="14"/>
      <c r="CJ805" s="14"/>
      <c r="CK805" s="14"/>
      <c r="CL805" s="14"/>
      <c r="CM805" s="14"/>
      <c r="CN805" s="14"/>
      <c r="CO805" s="14"/>
      <c r="CP805" s="14"/>
      <c r="CQ805" s="14"/>
      <c r="CR805" s="14"/>
      <c r="CS805" s="14"/>
      <c r="CT805" s="14"/>
      <c r="CU805" s="14"/>
      <c r="CV805" s="14"/>
      <c r="CW805" s="14"/>
      <c r="CX805" s="14"/>
      <c r="CY805" s="14"/>
      <c r="CZ805" s="14"/>
      <c r="DA805" s="14"/>
      <c r="DB805" s="14"/>
      <c r="DC805" s="14"/>
      <c r="DD805" s="14"/>
      <c r="DE805" s="14"/>
      <c r="DF805" s="14"/>
      <c r="DG805" s="14"/>
      <c r="DH805" s="14"/>
      <c r="DI805" s="14"/>
      <c r="DJ805" s="14"/>
      <c r="DK805" s="14"/>
      <c r="DL805" s="14"/>
      <c r="DM805" s="14"/>
      <c r="DN805" s="14"/>
      <c r="DO805" s="14"/>
      <c r="DP805" s="14"/>
      <c r="DQ805" s="14"/>
      <c r="DR805" s="14"/>
      <c r="DS805" s="14"/>
      <c r="DT805" s="14"/>
      <c r="DU805" s="14"/>
      <c r="DV805" s="14"/>
      <c r="DW805" s="14"/>
      <c r="DX805" s="14"/>
      <c r="DY805" s="14"/>
      <c r="DZ805" s="14"/>
      <c r="EA805" s="14"/>
      <c r="EB805" s="14"/>
      <c r="EC805" s="14"/>
    </row>
    <row r="806" spans="1:133" s="13" customFormat="1" ht="140.4" x14ac:dyDescent="0.25">
      <c r="A806" s="63" t="s">
        <v>213</v>
      </c>
      <c r="B806" s="25" t="s">
        <v>88</v>
      </c>
      <c r="C806" s="35" t="s">
        <v>89</v>
      </c>
      <c r="D806" s="35" t="s">
        <v>357</v>
      </c>
      <c r="E806" s="25">
        <f>43.33/1000</f>
        <v>4.333E-2</v>
      </c>
      <c r="R806" s="14"/>
      <c r="S806" s="14"/>
      <c r="T806" s="14"/>
      <c r="U806" s="14"/>
      <c r="V806" s="14"/>
      <c r="W806" s="14"/>
      <c r="X806" s="14"/>
      <c r="Y806" s="14"/>
      <c r="Z806" s="14"/>
      <c r="AA806" s="14"/>
      <c r="AB806" s="14"/>
      <c r="AC806" s="14"/>
      <c r="AD806" s="14"/>
      <c r="AE806" s="14"/>
      <c r="AF806" s="14"/>
      <c r="AG806" s="14"/>
      <c r="AH806" s="14"/>
      <c r="AI806" s="14"/>
      <c r="AJ806" s="14"/>
      <c r="AK806" s="14"/>
      <c r="AL806" s="14"/>
      <c r="AM806" s="14"/>
      <c r="AN806" s="14"/>
      <c r="AO806" s="14"/>
      <c r="AP806" s="14"/>
      <c r="AQ806" s="14"/>
      <c r="AR806" s="14"/>
      <c r="AS806" s="14"/>
      <c r="AT806" s="14"/>
      <c r="AU806" s="14"/>
      <c r="AV806" s="14"/>
      <c r="AW806" s="14"/>
      <c r="AX806" s="14"/>
      <c r="AY806" s="14"/>
      <c r="AZ806" s="14"/>
      <c r="BA806" s="14"/>
      <c r="BB806" s="14"/>
      <c r="BC806" s="14"/>
      <c r="BD806" s="14"/>
      <c r="BE806" s="14"/>
      <c r="BF806" s="14"/>
      <c r="BG806" s="14"/>
      <c r="BH806" s="14"/>
      <c r="BI806" s="14"/>
      <c r="BJ806" s="14"/>
      <c r="BK806" s="14"/>
      <c r="BL806" s="14"/>
      <c r="BM806" s="14"/>
      <c r="BN806" s="14"/>
      <c r="BO806" s="14"/>
      <c r="BP806" s="14"/>
      <c r="BQ806" s="14"/>
      <c r="BR806" s="14"/>
      <c r="BS806" s="14"/>
      <c r="BT806" s="14"/>
      <c r="BU806" s="14"/>
      <c r="BV806" s="14"/>
      <c r="BW806" s="14"/>
      <c r="BX806" s="14"/>
      <c r="BY806" s="14"/>
      <c r="BZ806" s="14"/>
      <c r="CA806" s="14"/>
      <c r="CB806" s="14"/>
      <c r="CC806" s="14"/>
      <c r="CD806" s="14"/>
      <c r="CE806" s="14"/>
      <c r="CF806" s="14"/>
      <c r="CG806" s="14"/>
      <c r="CH806" s="14"/>
      <c r="CI806" s="14"/>
      <c r="CJ806" s="14"/>
      <c r="CK806" s="14"/>
      <c r="CL806" s="14"/>
      <c r="CM806" s="14"/>
      <c r="CN806" s="14"/>
      <c r="CO806" s="14"/>
      <c r="CP806" s="14"/>
      <c r="CQ806" s="14"/>
      <c r="CR806" s="14"/>
      <c r="CS806" s="14"/>
      <c r="CT806" s="14"/>
      <c r="CU806" s="14"/>
      <c r="CV806" s="14"/>
      <c r="CW806" s="14"/>
      <c r="CX806" s="14"/>
      <c r="CY806" s="14"/>
      <c r="CZ806" s="14"/>
      <c r="DA806" s="14"/>
      <c r="DB806" s="14"/>
      <c r="DC806" s="14"/>
      <c r="DD806" s="14"/>
      <c r="DE806" s="14"/>
      <c r="DF806" s="14"/>
      <c r="DG806" s="14"/>
      <c r="DH806" s="14"/>
      <c r="DI806" s="14"/>
      <c r="DJ806" s="14"/>
      <c r="DK806" s="14"/>
      <c r="DL806" s="14"/>
      <c r="DM806" s="14"/>
      <c r="DN806" s="14"/>
      <c r="DO806" s="14"/>
      <c r="DP806" s="14"/>
      <c r="DQ806" s="14"/>
      <c r="DR806" s="14"/>
      <c r="DS806" s="14"/>
      <c r="DT806" s="14"/>
      <c r="DU806" s="14"/>
      <c r="DV806" s="14"/>
      <c r="DW806" s="14"/>
      <c r="DX806" s="14"/>
      <c r="DY806" s="14"/>
      <c r="DZ806" s="14"/>
      <c r="EA806" s="14"/>
      <c r="EB806" s="14"/>
      <c r="EC806" s="14"/>
    </row>
    <row r="807" spans="1:133" s="13" customFormat="1" ht="62.4" x14ac:dyDescent="0.25">
      <c r="A807" s="63" t="s">
        <v>214</v>
      </c>
      <c r="B807" s="25" t="s">
        <v>90</v>
      </c>
      <c r="C807" s="35" t="s">
        <v>91</v>
      </c>
      <c r="D807" s="35" t="s">
        <v>358</v>
      </c>
      <c r="E807" s="25">
        <v>74.099999999999994</v>
      </c>
      <c r="R807" s="14"/>
      <c r="S807" s="14"/>
      <c r="T807" s="14"/>
      <c r="U807" s="14"/>
      <c r="V807" s="14"/>
      <c r="W807" s="14"/>
      <c r="X807" s="14"/>
      <c r="Y807" s="14"/>
      <c r="Z807" s="14"/>
      <c r="AA807" s="14"/>
      <c r="AB807" s="14"/>
      <c r="AC807" s="14"/>
      <c r="AD807" s="14"/>
      <c r="AE807" s="14"/>
      <c r="AF807" s="14"/>
      <c r="AG807" s="14"/>
      <c r="AH807" s="14"/>
      <c r="AI807" s="14"/>
      <c r="AJ807" s="14"/>
      <c r="AK807" s="14"/>
      <c r="AL807" s="14"/>
      <c r="AM807" s="14"/>
      <c r="AN807" s="14"/>
      <c r="AO807" s="14"/>
      <c r="AP807" s="14"/>
      <c r="AQ807" s="14"/>
      <c r="AR807" s="14"/>
      <c r="AS807" s="14"/>
      <c r="AT807" s="14"/>
      <c r="AU807" s="14"/>
      <c r="AV807" s="14"/>
      <c r="AW807" s="14"/>
      <c r="AX807" s="14"/>
      <c r="AY807" s="14"/>
      <c r="AZ807" s="14"/>
      <c r="BA807" s="14"/>
      <c r="BB807" s="14"/>
      <c r="BC807" s="14"/>
      <c r="BD807" s="14"/>
      <c r="BE807" s="14"/>
      <c r="BF807" s="14"/>
      <c r="BG807" s="14"/>
      <c r="BH807" s="14"/>
      <c r="BI807" s="14"/>
      <c r="BJ807" s="14"/>
      <c r="BK807" s="14"/>
      <c r="BL807" s="14"/>
      <c r="BM807" s="14"/>
      <c r="BN807" s="14"/>
      <c r="BO807" s="14"/>
      <c r="BP807" s="14"/>
      <c r="BQ807" s="14"/>
      <c r="BR807" s="14"/>
      <c r="BS807" s="14"/>
      <c r="BT807" s="14"/>
      <c r="BU807" s="14"/>
      <c r="BV807" s="14"/>
      <c r="BW807" s="14"/>
      <c r="BX807" s="14"/>
      <c r="BY807" s="14"/>
      <c r="BZ807" s="14"/>
      <c r="CA807" s="14"/>
      <c r="CB807" s="14"/>
      <c r="CC807" s="14"/>
      <c r="CD807" s="14"/>
      <c r="CE807" s="14"/>
      <c r="CF807" s="14"/>
      <c r="CG807" s="14"/>
      <c r="CH807" s="14"/>
      <c r="CI807" s="14"/>
      <c r="CJ807" s="14"/>
      <c r="CK807" s="14"/>
      <c r="CL807" s="14"/>
      <c r="CM807" s="14"/>
      <c r="CN807" s="14"/>
      <c r="CO807" s="14"/>
      <c r="CP807" s="14"/>
      <c r="CQ807" s="14"/>
      <c r="CR807" s="14"/>
      <c r="CS807" s="14"/>
      <c r="CT807" s="14"/>
      <c r="CU807" s="14"/>
      <c r="CV807" s="14"/>
      <c r="CW807" s="14"/>
      <c r="CX807" s="14"/>
      <c r="CY807" s="14"/>
      <c r="CZ807" s="14"/>
      <c r="DA807" s="14"/>
      <c r="DB807" s="14"/>
      <c r="DC807" s="14"/>
      <c r="DD807" s="14"/>
      <c r="DE807" s="14"/>
      <c r="DF807" s="14"/>
      <c r="DG807" s="14"/>
      <c r="DH807" s="14"/>
      <c r="DI807" s="14"/>
      <c r="DJ807" s="14"/>
      <c r="DK807" s="14"/>
      <c r="DL807" s="14"/>
      <c r="DM807" s="14"/>
      <c r="DN807" s="14"/>
      <c r="DO807" s="14"/>
      <c r="DP807" s="14"/>
      <c r="DQ807" s="14"/>
      <c r="DR807" s="14"/>
      <c r="DS807" s="14"/>
      <c r="DT807" s="14"/>
      <c r="DU807" s="14"/>
      <c r="DV807" s="14"/>
      <c r="DW807" s="14"/>
      <c r="DX807" s="14"/>
      <c r="DY807" s="14"/>
      <c r="DZ807" s="14"/>
      <c r="EA807" s="14"/>
      <c r="EB807" s="14"/>
      <c r="EC807" s="14"/>
    </row>
    <row r="809" spans="1:133" s="13" customFormat="1" ht="15.6" customHeight="1" x14ac:dyDescent="0.25">
      <c r="A809" s="36" t="s">
        <v>93</v>
      </c>
      <c r="B809" s="36"/>
      <c r="C809" s="36"/>
      <c r="D809" s="36"/>
      <c r="E809" s="36"/>
      <c r="R809" s="14"/>
      <c r="S809" s="14"/>
      <c r="T809" s="14"/>
      <c r="U809" s="14"/>
      <c r="V809" s="14"/>
      <c r="W809" s="14"/>
      <c r="X809" s="14"/>
      <c r="Y809" s="14"/>
      <c r="Z809" s="14"/>
      <c r="AA809" s="14"/>
      <c r="AB809" s="14"/>
      <c r="AC809" s="14"/>
      <c r="AD809" s="14"/>
      <c r="AE809" s="14"/>
      <c r="AF809" s="14"/>
      <c r="AG809" s="14"/>
      <c r="AH809" s="14"/>
      <c r="AI809" s="14"/>
      <c r="AJ809" s="14"/>
      <c r="AK809" s="14"/>
      <c r="AL809" s="14"/>
      <c r="AM809" s="14"/>
      <c r="AN809" s="14"/>
      <c r="AO809" s="14"/>
      <c r="AP809" s="14"/>
      <c r="AQ809" s="14"/>
      <c r="AR809" s="14"/>
      <c r="AS809" s="14"/>
      <c r="AT809" s="14"/>
      <c r="AU809" s="14"/>
      <c r="AV809" s="14"/>
      <c r="AW809" s="14"/>
      <c r="AX809" s="14"/>
      <c r="AY809" s="14"/>
      <c r="AZ809" s="14"/>
      <c r="BA809" s="14"/>
      <c r="BB809" s="14"/>
      <c r="BC809" s="14"/>
      <c r="BD809" s="14"/>
      <c r="BE809" s="14"/>
      <c r="BF809" s="14"/>
      <c r="BG809" s="14"/>
      <c r="BH809" s="14"/>
      <c r="BI809" s="14"/>
      <c r="BJ809" s="14"/>
      <c r="BK809" s="14"/>
      <c r="BL809" s="14"/>
      <c r="BM809" s="14"/>
      <c r="BN809" s="14"/>
      <c r="BO809" s="14"/>
      <c r="BP809" s="14"/>
      <c r="BQ809" s="14"/>
      <c r="BR809" s="14"/>
      <c r="BS809" s="14"/>
      <c r="BT809" s="14"/>
      <c r="BU809" s="14"/>
      <c r="BV809" s="14"/>
      <c r="BW809" s="14"/>
      <c r="BX809" s="14"/>
      <c r="BY809" s="14"/>
      <c r="BZ809" s="14"/>
      <c r="CA809" s="14"/>
      <c r="CB809" s="14"/>
      <c r="CC809" s="14"/>
      <c r="CD809" s="14"/>
      <c r="CE809" s="14"/>
      <c r="CF809" s="14"/>
      <c r="CG809" s="14"/>
      <c r="CH809" s="14"/>
      <c r="CI809" s="14"/>
      <c r="CJ809" s="14"/>
      <c r="CK809" s="14"/>
      <c r="CL809" s="14"/>
      <c r="CM809" s="14"/>
      <c r="CN809" s="14"/>
      <c r="CO809" s="14"/>
      <c r="CP809" s="14"/>
      <c r="CQ809" s="14"/>
      <c r="CR809" s="14"/>
      <c r="CS809" s="14"/>
      <c r="CT809" s="14"/>
      <c r="CU809" s="14"/>
      <c r="CV809" s="14"/>
      <c r="CW809" s="14"/>
      <c r="CX809" s="14"/>
      <c r="CY809" s="14"/>
      <c r="CZ809" s="14"/>
      <c r="DA809" s="14"/>
      <c r="DB809" s="14"/>
      <c r="DC809" s="14"/>
      <c r="DD809" s="14"/>
      <c r="DE809" s="14"/>
      <c r="DF809" s="14"/>
      <c r="DG809" s="14"/>
      <c r="DH809" s="14"/>
      <c r="DI809" s="14"/>
      <c r="DJ809" s="14"/>
      <c r="DK809" s="14"/>
      <c r="DL809" s="14"/>
      <c r="DM809" s="14"/>
      <c r="DN809" s="14"/>
      <c r="DO809" s="14"/>
      <c r="DP809" s="14"/>
      <c r="DQ809" s="14"/>
      <c r="DR809" s="14"/>
      <c r="DS809" s="14"/>
      <c r="DT809" s="14"/>
      <c r="DU809" s="14"/>
      <c r="DV809" s="14"/>
      <c r="DW809" s="14"/>
      <c r="DX809" s="14"/>
      <c r="DY809" s="14"/>
      <c r="DZ809" s="14"/>
      <c r="EA809" s="14"/>
      <c r="EB809" s="14"/>
      <c r="EC809" s="14"/>
    </row>
    <row r="810" spans="1:133" s="13" customFormat="1" x14ac:dyDescent="0.25">
      <c r="A810" s="57" t="s">
        <v>8</v>
      </c>
      <c r="B810" s="58" t="s">
        <v>9</v>
      </c>
      <c r="C810" s="34" t="s">
        <v>10</v>
      </c>
      <c r="D810" s="34" t="s">
        <v>340</v>
      </c>
      <c r="E810" s="16" t="s">
        <v>65</v>
      </c>
      <c r="R810" s="14"/>
      <c r="S810" s="14"/>
      <c r="T810" s="14"/>
      <c r="U810" s="14"/>
      <c r="V810" s="14"/>
      <c r="W810" s="14"/>
      <c r="X810" s="14"/>
      <c r="Y810" s="14"/>
      <c r="Z810" s="14"/>
      <c r="AA810" s="14"/>
      <c r="AB810" s="14"/>
      <c r="AC810" s="14"/>
      <c r="AD810" s="14"/>
      <c r="AE810" s="14"/>
      <c r="AF810" s="14"/>
      <c r="AG810" s="14"/>
      <c r="AH810" s="14"/>
      <c r="AI810" s="14"/>
      <c r="AJ810" s="14"/>
      <c r="AK810" s="14"/>
      <c r="AL810" s="14"/>
      <c r="AM810" s="14"/>
      <c r="AN810" s="14"/>
      <c r="AO810" s="14"/>
      <c r="AP810" s="14"/>
      <c r="AQ810" s="14"/>
      <c r="AR810" s="14"/>
      <c r="AS810" s="14"/>
      <c r="AT810" s="14"/>
      <c r="AU810" s="14"/>
      <c r="AV810" s="14"/>
      <c r="AW810" s="14"/>
      <c r="AX810" s="14"/>
      <c r="AY810" s="14"/>
      <c r="AZ810" s="14"/>
      <c r="BA810" s="14"/>
      <c r="BB810" s="14"/>
      <c r="BC810" s="14"/>
      <c r="BD810" s="14"/>
      <c r="BE810" s="14"/>
      <c r="BF810" s="14"/>
      <c r="BG810" s="14"/>
      <c r="BH810" s="14"/>
      <c r="BI810" s="14"/>
      <c r="BJ810" s="14"/>
      <c r="BK810" s="14"/>
      <c r="BL810" s="14"/>
      <c r="BM810" s="14"/>
      <c r="BN810" s="14"/>
      <c r="BO810" s="14"/>
      <c r="BP810" s="14"/>
      <c r="BQ810" s="14"/>
      <c r="BR810" s="14"/>
      <c r="BS810" s="14"/>
      <c r="BT810" s="14"/>
      <c r="BU810" s="14"/>
      <c r="BV810" s="14"/>
      <c r="BW810" s="14"/>
      <c r="BX810" s="14"/>
      <c r="BY810" s="14"/>
      <c r="BZ810" s="14"/>
      <c r="CA810" s="14"/>
      <c r="CB810" s="14"/>
      <c r="CC810" s="14"/>
      <c r="CD810" s="14"/>
      <c r="CE810" s="14"/>
      <c r="CF810" s="14"/>
      <c r="CG810" s="14"/>
      <c r="CH810" s="14"/>
      <c r="CI810" s="14"/>
      <c r="CJ810" s="14"/>
      <c r="CK810" s="14"/>
      <c r="CL810" s="14"/>
      <c r="CM810" s="14"/>
      <c r="CN810" s="14"/>
      <c r="CO810" s="14"/>
      <c r="CP810" s="14"/>
      <c r="CQ810" s="14"/>
      <c r="CR810" s="14"/>
      <c r="CS810" s="14"/>
      <c r="CT810" s="14"/>
      <c r="CU810" s="14"/>
      <c r="CV810" s="14"/>
      <c r="CW810" s="14"/>
      <c r="CX810" s="14"/>
      <c r="CY810" s="14"/>
      <c r="CZ810" s="14"/>
      <c r="DA810" s="14"/>
      <c r="DB810" s="14"/>
      <c r="DC810" s="14"/>
      <c r="DD810" s="14"/>
      <c r="DE810" s="14"/>
      <c r="DF810" s="14"/>
      <c r="DG810" s="14"/>
      <c r="DH810" s="14"/>
      <c r="DI810" s="14"/>
      <c r="DJ810" s="14"/>
      <c r="DK810" s="14"/>
      <c r="DL810" s="14"/>
      <c r="DM810" s="14"/>
      <c r="DN810" s="14"/>
      <c r="DO810" s="14"/>
      <c r="DP810" s="14"/>
      <c r="DQ810" s="14"/>
      <c r="DR810" s="14"/>
      <c r="DS810" s="14"/>
      <c r="DT810" s="14"/>
      <c r="DU810" s="14"/>
      <c r="DV810" s="14"/>
      <c r="DW810" s="14"/>
      <c r="DX810" s="14"/>
      <c r="DY810" s="14"/>
      <c r="DZ810" s="14"/>
      <c r="EA810" s="14"/>
      <c r="EB810" s="14"/>
      <c r="EC810" s="14"/>
    </row>
    <row r="811" spans="1:133" s="13" customFormat="1" ht="64.8" x14ac:dyDescent="0.25">
      <c r="A811" s="15" t="s">
        <v>94</v>
      </c>
      <c r="B811" s="25" t="s">
        <v>95</v>
      </c>
      <c r="C811" s="35" t="s">
        <v>96</v>
      </c>
      <c r="D811" s="35" t="s">
        <v>97</v>
      </c>
      <c r="E811" s="16">
        <v>0</v>
      </c>
      <c r="R811" s="14"/>
      <c r="S811" s="14"/>
      <c r="T811" s="14"/>
      <c r="U811" s="14"/>
      <c r="V811" s="14"/>
      <c r="W811" s="14"/>
      <c r="X811" s="14"/>
      <c r="Y811" s="14"/>
      <c r="Z811" s="14"/>
      <c r="AA811" s="14"/>
      <c r="AB811" s="14"/>
      <c r="AC811" s="14"/>
      <c r="AD811" s="14"/>
      <c r="AE811" s="14"/>
      <c r="AF811" s="14"/>
      <c r="AG811" s="14"/>
      <c r="AH811" s="14"/>
      <c r="AI811" s="14"/>
      <c r="AJ811" s="14"/>
      <c r="AK811" s="14"/>
      <c r="AL811" s="14"/>
      <c r="AM811" s="14"/>
      <c r="AN811" s="14"/>
      <c r="AO811" s="14"/>
      <c r="AP811" s="14"/>
      <c r="AQ811" s="14"/>
      <c r="AR811" s="14"/>
      <c r="AS811" s="14"/>
      <c r="AT811" s="14"/>
      <c r="AU811" s="14"/>
      <c r="AV811" s="14"/>
      <c r="AW811" s="14"/>
      <c r="AX811" s="14"/>
      <c r="AY811" s="14"/>
      <c r="AZ811" s="14"/>
      <c r="BA811" s="14"/>
      <c r="BB811" s="14"/>
      <c r="BC811" s="14"/>
      <c r="BD811" s="14"/>
      <c r="BE811" s="14"/>
      <c r="BF811" s="14"/>
      <c r="BG811" s="14"/>
      <c r="BH811" s="14"/>
      <c r="BI811" s="14"/>
      <c r="BJ811" s="14"/>
      <c r="BK811" s="14"/>
      <c r="BL811" s="14"/>
      <c r="BM811" s="14"/>
      <c r="BN811" s="14"/>
      <c r="BO811" s="14"/>
      <c r="BP811" s="14"/>
      <c r="BQ811" s="14"/>
      <c r="BR811" s="14"/>
      <c r="BS811" s="14"/>
      <c r="BT811" s="14"/>
      <c r="BU811" s="14"/>
      <c r="BV811" s="14"/>
      <c r="BW811" s="14"/>
      <c r="BX811" s="14"/>
      <c r="BY811" s="14"/>
      <c r="BZ811" s="14"/>
      <c r="CA811" s="14"/>
      <c r="CB811" s="14"/>
      <c r="CC811" s="14"/>
      <c r="CD811" s="14"/>
      <c r="CE811" s="14"/>
      <c r="CF811" s="14"/>
      <c r="CG811" s="14"/>
      <c r="CH811" s="14"/>
      <c r="CI811" s="14"/>
      <c r="CJ811" s="14"/>
      <c r="CK811" s="14"/>
      <c r="CL811" s="14"/>
      <c r="CM811" s="14"/>
      <c r="CN811" s="14"/>
      <c r="CO811" s="14"/>
      <c r="CP811" s="14"/>
      <c r="CQ811" s="14"/>
      <c r="CR811" s="14"/>
      <c r="CS811" s="14"/>
      <c r="CT811" s="14"/>
      <c r="CU811" s="14"/>
      <c r="CV811" s="14"/>
      <c r="CW811" s="14"/>
      <c r="CX811" s="14"/>
      <c r="CY811" s="14"/>
      <c r="CZ811" s="14"/>
      <c r="DA811" s="14"/>
      <c r="DB811" s="14"/>
      <c r="DC811" s="14"/>
      <c r="DD811" s="14"/>
      <c r="DE811" s="14"/>
      <c r="DF811" s="14"/>
      <c r="DG811" s="14"/>
      <c r="DH811" s="14"/>
      <c r="DI811" s="14"/>
      <c r="DJ811" s="14"/>
      <c r="DK811" s="14"/>
      <c r="DL811" s="14"/>
      <c r="DM811" s="14"/>
      <c r="DN811" s="14"/>
      <c r="DO811" s="14"/>
      <c r="DP811" s="14"/>
      <c r="DQ811" s="14"/>
      <c r="DR811" s="14"/>
      <c r="DS811" s="14"/>
      <c r="DT811" s="14"/>
      <c r="DU811" s="14"/>
      <c r="DV811" s="14"/>
      <c r="DW811" s="14"/>
      <c r="DX811" s="14"/>
      <c r="DY811" s="14"/>
      <c r="DZ811" s="14"/>
      <c r="EA811" s="14"/>
      <c r="EB811" s="14"/>
      <c r="EC811" s="14"/>
    </row>
    <row r="813" spans="1:133" s="13" customFormat="1" ht="15.6" customHeight="1" x14ac:dyDescent="0.25">
      <c r="A813" s="36" t="s">
        <v>98</v>
      </c>
      <c r="B813" s="36"/>
      <c r="C813" s="36"/>
      <c r="D813" s="36"/>
      <c r="E813" s="36"/>
      <c r="R813" s="14"/>
      <c r="S813" s="14"/>
      <c r="T813" s="14"/>
      <c r="U813" s="14"/>
      <c r="V813" s="14"/>
      <c r="W813" s="14"/>
      <c r="X813" s="14"/>
      <c r="Y813" s="14"/>
      <c r="Z813" s="14"/>
      <c r="AA813" s="14"/>
      <c r="AB813" s="14"/>
      <c r="AC813" s="14"/>
      <c r="AD813" s="14"/>
      <c r="AE813" s="14"/>
      <c r="AF813" s="14"/>
      <c r="AG813" s="14"/>
      <c r="AH813" s="14"/>
      <c r="AI813" s="14"/>
      <c r="AJ813" s="14"/>
      <c r="AK813" s="14"/>
      <c r="AL813" s="14"/>
      <c r="AM813" s="14"/>
      <c r="AN813" s="14"/>
      <c r="AO813" s="14"/>
      <c r="AP813" s="14"/>
      <c r="AQ813" s="14"/>
      <c r="AR813" s="14"/>
      <c r="AS813" s="14"/>
      <c r="AT813" s="14"/>
      <c r="AU813" s="14"/>
      <c r="AV813" s="14"/>
      <c r="AW813" s="14"/>
      <c r="AX813" s="14"/>
      <c r="AY813" s="14"/>
      <c r="AZ813" s="14"/>
      <c r="BA813" s="14"/>
      <c r="BB813" s="14"/>
      <c r="BC813" s="14"/>
      <c r="BD813" s="14"/>
      <c r="BE813" s="14"/>
      <c r="BF813" s="14"/>
      <c r="BG813" s="14"/>
      <c r="BH813" s="14"/>
      <c r="BI813" s="14"/>
      <c r="BJ813" s="14"/>
      <c r="BK813" s="14"/>
      <c r="BL813" s="14"/>
      <c r="BM813" s="14"/>
      <c r="BN813" s="14"/>
      <c r="BO813" s="14"/>
      <c r="BP813" s="14"/>
      <c r="BQ813" s="14"/>
      <c r="BR813" s="14"/>
      <c r="BS813" s="14"/>
      <c r="BT813" s="14"/>
      <c r="BU813" s="14"/>
      <c r="BV813" s="14"/>
      <c r="BW813" s="14"/>
      <c r="BX813" s="14"/>
      <c r="BY813" s="14"/>
      <c r="BZ813" s="14"/>
      <c r="CA813" s="14"/>
      <c r="CB813" s="14"/>
      <c r="CC813" s="14"/>
      <c r="CD813" s="14"/>
      <c r="CE813" s="14"/>
      <c r="CF813" s="14"/>
      <c r="CG813" s="14"/>
      <c r="CH813" s="14"/>
      <c r="CI813" s="14"/>
      <c r="CJ813" s="14"/>
      <c r="CK813" s="14"/>
      <c r="CL813" s="14"/>
      <c r="CM813" s="14"/>
      <c r="CN813" s="14"/>
      <c r="CO813" s="14"/>
      <c r="CP813" s="14"/>
      <c r="CQ813" s="14"/>
      <c r="CR813" s="14"/>
      <c r="CS813" s="14"/>
      <c r="CT813" s="14"/>
      <c r="CU813" s="14"/>
      <c r="CV813" s="14"/>
      <c r="CW813" s="14"/>
      <c r="CX813" s="14"/>
      <c r="CY813" s="14"/>
      <c r="CZ813" s="14"/>
      <c r="DA813" s="14"/>
      <c r="DB813" s="14"/>
      <c r="DC813" s="14"/>
      <c r="DD813" s="14"/>
      <c r="DE813" s="14"/>
      <c r="DF813" s="14"/>
      <c r="DG813" s="14"/>
      <c r="DH813" s="14"/>
      <c r="DI813" s="14"/>
      <c r="DJ813" s="14"/>
      <c r="DK813" s="14"/>
      <c r="DL813" s="14"/>
      <c r="DM813" s="14"/>
      <c r="DN813" s="14"/>
      <c r="DO813" s="14"/>
      <c r="DP813" s="14"/>
      <c r="DQ813" s="14"/>
      <c r="DR813" s="14"/>
      <c r="DS813" s="14"/>
      <c r="DT813" s="14"/>
      <c r="DU813" s="14"/>
      <c r="DV813" s="14"/>
      <c r="DW813" s="14"/>
      <c r="DX813" s="14"/>
      <c r="DY813" s="14"/>
      <c r="DZ813" s="14"/>
      <c r="EA813" s="14"/>
      <c r="EB813" s="14"/>
      <c r="EC813" s="14"/>
    </row>
    <row r="814" spans="1:133" s="13" customFormat="1" x14ac:dyDescent="0.25">
      <c r="A814" s="57" t="s">
        <v>8</v>
      </c>
      <c r="B814" s="58" t="s">
        <v>9</v>
      </c>
      <c r="C814" s="34" t="s">
        <v>10</v>
      </c>
      <c r="D814" s="34" t="s">
        <v>340</v>
      </c>
      <c r="E814" s="16" t="s">
        <v>65</v>
      </c>
      <c r="R814" s="14"/>
      <c r="S814" s="14"/>
      <c r="T814" s="14"/>
      <c r="U814" s="14"/>
      <c r="V814" s="14"/>
      <c r="W814" s="14"/>
      <c r="X814" s="14"/>
      <c r="Y814" s="14"/>
      <c r="Z814" s="14"/>
      <c r="AA814" s="14"/>
      <c r="AB814" s="14"/>
      <c r="AC814" s="14"/>
      <c r="AD814" s="14"/>
      <c r="AE814" s="14"/>
      <c r="AF814" s="14"/>
      <c r="AG814" s="14"/>
      <c r="AH814" s="14"/>
      <c r="AI814" s="14"/>
      <c r="AJ814" s="14"/>
      <c r="AK814" s="14"/>
      <c r="AL814" s="14"/>
      <c r="AM814" s="14"/>
      <c r="AN814" s="14"/>
      <c r="AO814" s="14"/>
      <c r="AP814" s="14"/>
      <c r="AQ814" s="14"/>
      <c r="AR814" s="14"/>
      <c r="AS814" s="14"/>
      <c r="AT814" s="14"/>
      <c r="AU814" s="14"/>
      <c r="AV814" s="14"/>
      <c r="AW814" s="14"/>
      <c r="AX814" s="14"/>
      <c r="AY814" s="14"/>
      <c r="AZ814" s="14"/>
      <c r="BA814" s="14"/>
      <c r="BB814" s="14"/>
      <c r="BC814" s="14"/>
      <c r="BD814" s="14"/>
      <c r="BE814" s="14"/>
      <c r="BF814" s="14"/>
      <c r="BG814" s="14"/>
      <c r="BH814" s="14"/>
      <c r="BI814" s="14"/>
      <c r="BJ814" s="14"/>
      <c r="BK814" s="14"/>
      <c r="BL814" s="14"/>
      <c r="BM814" s="14"/>
      <c r="BN814" s="14"/>
      <c r="BO814" s="14"/>
      <c r="BP814" s="14"/>
      <c r="BQ814" s="14"/>
      <c r="BR814" s="14"/>
      <c r="BS814" s="14"/>
      <c r="BT814" s="14"/>
      <c r="BU814" s="14"/>
      <c r="BV814" s="14"/>
      <c r="BW814" s="14"/>
      <c r="BX814" s="14"/>
      <c r="BY814" s="14"/>
      <c r="BZ814" s="14"/>
      <c r="CA814" s="14"/>
      <c r="CB814" s="14"/>
      <c r="CC814" s="14"/>
      <c r="CD814" s="14"/>
      <c r="CE814" s="14"/>
      <c r="CF814" s="14"/>
      <c r="CG814" s="14"/>
      <c r="CH814" s="14"/>
      <c r="CI814" s="14"/>
      <c r="CJ814" s="14"/>
      <c r="CK814" s="14"/>
      <c r="CL814" s="14"/>
      <c r="CM814" s="14"/>
      <c r="CN814" s="14"/>
      <c r="CO814" s="14"/>
      <c r="CP814" s="14"/>
      <c r="CQ814" s="14"/>
      <c r="CR814" s="14"/>
      <c r="CS814" s="14"/>
      <c r="CT814" s="14"/>
      <c r="CU814" s="14"/>
      <c r="CV814" s="14"/>
      <c r="CW814" s="14"/>
      <c r="CX814" s="14"/>
      <c r="CY814" s="14"/>
      <c r="CZ814" s="14"/>
      <c r="DA814" s="14"/>
      <c r="DB814" s="14"/>
      <c r="DC814" s="14"/>
      <c r="DD814" s="14"/>
      <c r="DE814" s="14"/>
      <c r="DF814" s="14"/>
      <c r="DG814" s="14"/>
      <c r="DH814" s="14"/>
      <c r="DI814" s="14"/>
      <c r="DJ814" s="14"/>
      <c r="DK814" s="14"/>
      <c r="DL814" s="14"/>
      <c r="DM814" s="14"/>
      <c r="DN814" s="14"/>
      <c r="DO814" s="14"/>
      <c r="DP814" s="14"/>
      <c r="DQ814" s="14"/>
      <c r="DR814" s="14"/>
      <c r="DS814" s="14"/>
      <c r="DT814" s="14"/>
      <c r="DU814" s="14"/>
      <c r="DV814" s="14"/>
      <c r="DW814" s="14"/>
      <c r="DX814" s="14"/>
      <c r="DY814" s="14"/>
      <c r="DZ814" s="14"/>
      <c r="EA814" s="14"/>
      <c r="EB814" s="14"/>
      <c r="EC814" s="14"/>
    </row>
    <row r="815" spans="1:133" s="13" customFormat="1" ht="49.2" x14ac:dyDescent="0.25">
      <c r="A815" s="15" t="s">
        <v>99</v>
      </c>
      <c r="B815" s="25" t="s">
        <v>95</v>
      </c>
      <c r="C815" s="35" t="s">
        <v>100</v>
      </c>
      <c r="D815" s="35" t="s">
        <v>101</v>
      </c>
      <c r="E815" s="16">
        <v>0</v>
      </c>
      <c r="R815" s="14"/>
      <c r="S815" s="14"/>
      <c r="T815" s="14"/>
      <c r="U815" s="14"/>
      <c r="V815" s="14"/>
      <c r="W815" s="14"/>
      <c r="X815" s="14"/>
      <c r="Y815" s="14"/>
      <c r="Z815" s="14"/>
      <c r="AA815" s="14"/>
      <c r="AB815" s="14"/>
      <c r="AC815" s="14"/>
      <c r="AD815" s="14"/>
      <c r="AE815" s="14"/>
      <c r="AF815" s="14"/>
      <c r="AG815" s="14"/>
      <c r="AH815" s="14"/>
      <c r="AI815" s="14"/>
      <c r="AJ815" s="14"/>
      <c r="AK815" s="14"/>
      <c r="AL815" s="14"/>
      <c r="AM815" s="14"/>
      <c r="AN815" s="14"/>
      <c r="AO815" s="14"/>
      <c r="AP815" s="14"/>
      <c r="AQ815" s="14"/>
      <c r="AR815" s="14"/>
      <c r="AS815" s="14"/>
      <c r="AT815" s="14"/>
      <c r="AU815" s="14"/>
      <c r="AV815" s="14"/>
      <c r="AW815" s="14"/>
      <c r="AX815" s="14"/>
      <c r="AY815" s="14"/>
      <c r="AZ815" s="14"/>
      <c r="BA815" s="14"/>
      <c r="BB815" s="14"/>
      <c r="BC815" s="14"/>
      <c r="BD815" s="14"/>
      <c r="BE815" s="14"/>
      <c r="BF815" s="14"/>
      <c r="BG815" s="14"/>
      <c r="BH815" s="14"/>
      <c r="BI815" s="14"/>
      <c r="BJ815" s="14"/>
      <c r="BK815" s="14"/>
      <c r="BL815" s="14"/>
      <c r="BM815" s="14"/>
      <c r="BN815" s="14"/>
      <c r="BO815" s="14"/>
      <c r="BP815" s="14"/>
      <c r="BQ815" s="14"/>
      <c r="BR815" s="14"/>
      <c r="BS815" s="14"/>
      <c r="BT815" s="14"/>
      <c r="BU815" s="14"/>
      <c r="BV815" s="14"/>
      <c r="BW815" s="14"/>
      <c r="BX815" s="14"/>
      <c r="BY815" s="14"/>
      <c r="BZ815" s="14"/>
      <c r="CA815" s="14"/>
      <c r="CB815" s="14"/>
      <c r="CC815" s="14"/>
      <c r="CD815" s="14"/>
      <c r="CE815" s="14"/>
      <c r="CF815" s="14"/>
      <c r="CG815" s="14"/>
      <c r="CH815" s="14"/>
      <c r="CI815" s="14"/>
      <c r="CJ815" s="14"/>
      <c r="CK815" s="14"/>
      <c r="CL815" s="14"/>
      <c r="CM815" s="14"/>
      <c r="CN815" s="14"/>
      <c r="CO815" s="14"/>
      <c r="CP815" s="14"/>
      <c r="CQ815" s="14"/>
      <c r="CR815" s="14"/>
      <c r="CS815" s="14"/>
      <c r="CT815" s="14"/>
      <c r="CU815" s="14"/>
      <c r="CV815" s="14"/>
      <c r="CW815" s="14"/>
      <c r="CX815" s="14"/>
      <c r="CY815" s="14"/>
      <c r="CZ815" s="14"/>
      <c r="DA815" s="14"/>
      <c r="DB815" s="14"/>
      <c r="DC815" s="14"/>
      <c r="DD815" s="14"/>
      <c r="DE815" s="14"/>
      <c r="DF815" s="14"/>
      <c r="DG815" s="14"/>
      <c r="DH815" s="14"/>
      <c r="DI815" s="14"/>
      <c r="DJ815" s="14"/>
      <c r="DK815" s="14"/>
      <c r="DL815" s="14"/>
      <c r="DM815" s="14"/>
      <c r="DN815" s="14"/>
      <c r="DO815" s="14"/>
      <c r="DP815" s="14"/>
      <c r="DQ815" s="14"/>
      <c r="DR815" s="14"/>
      <c r="DS815" s="14"/>
      <c r="DT815" s="14"/>
      <c r="DU815" s="14"/>
      <c r="DV815" s="14"/>
      <c r="DW815" s="14"/>
      <c r="DX815" s="14"/>
      <c r="DY815" s="14"/>
      <c r="DZ815" s="14"/>
      <c r="EA815" s="14"/>
      <c r="EB815" s="14"/>
      <c r="EC815" s="14"/>
    </row>
    <row r="817" spans="1:133" x14ac:dyDescent="0.25">
      <c r="A817" s="57" t="s">
        <v>8</v>
      </c>
      <c r="B817" s="58" t="s">
        <v>9</v>
      </c>
      <c r="C817" s="34" t="s">
        <v>10</v>
      </c>
      <c r="D817" s="34" t="s">
        <v>340</v>
      </c>
      <c r="E817" s="16" t="s">
        <v>65</v>
      </c>
    </row>
    <row r="818" spans="1:133" ht="18" x14ac:dyDescent="0.25">
      <c r="A818" s="59" t="s">
        <v>102</v>
      </c>
      <c r="B818" s="25" t="s">
        <v>103</v>
      </c>
      <c r="C818" s="35" t="s">
        <v>104</v>
      </c>
      <c r="D818" s="53" t="s">
        <v>380</v>
      </c>
      <c r="E818" s="18">
        <f>ROUNDDOWN(E768+E799+E794+E811+E815,0)</f>
        <v>12587</v>
      </c>
    </row>
    <row r="819" spans="1:133" s="167" customFormat="1" ht="43.2" customHeight="1" x14ac:dyDescent="0.25">
      <c r="A819" s="171" t="s">
        <v>238</v>
      </c>
      <c r="B819" s="172"/>
      <c r="C819" s="172"/>
      <c r="D819" s="172"/>
      <c r="E819" s="172"/>
      <c r="F819" s="172"/>
      <c r="G819" s="172"/>
      <c r="H819" s="172"/>
      <c r="I819" s="172"/>
      <c r="J819" s="172"/>
      <c r="K819" s="172"/>
      <c r="L819" s="172"/>
      <c r="M819" s="172"/>
      <c r="N819" s="172"/>
      <c r="O819" s="172"/>
      <c r="P819" s="172"/>
      <c r="Q819" s="172"/>
      <c r="R819" s="172"/>
      <c r="S819" s="172"/>
      <c r="T819" s="172"/>
      <c r="U819" s="172"/>
      <c r="V819" s="172"/>
      <c r="W819" s="172"/>
      <c r="X819" s="172"/>
      <c r="Y819" s="172"/>
      <c r="Z819" s="172"/>
      <c r="AA819" s="172"/>
      <c r="AB819" s="172"/>
      <c r="AC819" s="172"/>
      <c r="AD819" s="172"/>
      <c r="AE819" s="172"/>
      <c r="AF819" s="172"/>
      <c r="AG819" s="172"/>
      <c r="AH819" s="172"/>
      <c r="AI819" s="172"/>
      <c r="AJ819" s="172"/>
      <c r="AK819" s="172"/>
      <c r="AL819" s="172"/>
      <c r="AM819" s="172"/>
      <c r="AN819" s="172"/>
      <c r="AO819" s="172"/>
      <c r="AP819" s="172"/>
      <c r="AQ819" s="172"/>
      <c r="AR819" s="172"/>
      <c r="AS819" s="172"/>
      <c r="AT819" s="172"/>
      <c r="AU819" s="172"/>
      <c r="AV819" s="172"/>
      <c r="AW819" s="172"/>
      <c r="AX819" s="172"/>
      <c r="AY819" s="172"/>
      <c r="AZ819" s="172"/>
      <c r="BA819" s="172"/>
      <c r="BB819" s="172"/>
      <c r="BC819" s="172"/>
      <c r="BD819" s="172"/>
      <c r="BE819" s="172"/>
      <c r="BF819" s="172"/>
      <c r="BG819" s="172"/>
      <c r="BH819" s="172"/>
      <c r="BI819" s="172"/>
      <c r="BJ819" s="172"/>
      <c r="BK819" s="172"/>
      <c r="BL819" s="172"/>
      <c r="BM819" s="172"/>
      <c r="BN819" s="172"/>
      <c r="BO819" s="172"/>
      <c r="BP819" s="172"/>
      <c r="BQ819" s="172"/>
      <c r="BR819" s="172"/>
      <c r="BS819" s="172"/>
      <c r="BT819" s="172"/>
      <c r="BU819" s="172"/>
      <c r="BV819" s="172"/>
      <c r="BW819" s="172"/>
      <c r="BX819" s="172"/>
      <c r="BY819" s="172"/>
      <c r="BZ819" s="172"/>
      <c r="CA819" s="172"/>
      <c r="CB819" s="172"/>
      <c r="CC819" s="172"/>
      <c r="CD819" s="172"/>
      <c r="CE819" s="172"/>
      <c r="CF819" s="172"/>
      <c r="CG819" s="172"/>
      <c r="CH819" s="172"/>
      <c r="CI819" s="172"/>
      <c r="CJ819" s="172"/>
      <c r="CK819" s="172"/>
      <c r="CL819" s="172"/>
      <c r="CM819" s="172"/>
      <c r="CN819" s="172"/>
      <c r="CO819" s="172"/>
      <c r="CP819" s="172"/>
      <c r="CQ819" s="172"/>
      <c r="CR819" s="172"/>
      <c r="CS819" s="172"/>
      <c r="CT819" s="172"/>
      <c r="CU819" s="172"/>
      <c r="CV819" s="172"/>
      <c r="CW819" s="172"/>
      <c r="CX819" s="172"/>
      <c r="CY819" s="172"/>
      <c r="CZ819" s="172"/>
      <c r="DA819" s="172"/>
      <c r="DB819" s="172"/>
      <c r="DC819" s="172"/>
      <c r="DD819" s="172"/>
      <c r="DE819" s="172"/>
      <c r="DF819" s="172"/>
      <c r="DG819" s="172"/>
      <c r="DH819" s="172"/>
      <c r="DI819" s="172"/>
      <c r="DJ819" s="172"/>
      <c r="DK819" s="172"/>
      <c r="DL819" s="172"/>
      <c r="DM819" s="172"/>
      <c r="DN819" s="172"/>
      <c r="DO819" s="172"/>
      <c r="DP819" s="172"/>
      <c r="DQ819" s="172"/>
      <c r="DR819" s="172"/>
      <c r="DS819" s="172"/>
      <c r="DT819" s="172"/>
      <c r="DU819" s="172"/>
      <c r="DV819" s="172"/>
      <c r="DW819" s="172"/>
      <c r="DX819" s="172"/>
      <c r="DY819" s="172"/>
      <c r="DZ819" s="172"/>
      <c r="EA819" s="172"/>
      <c r="EB819" s="172"/>
      <c r="EC819" s="173"/>
    </row>
    <row r="820" spans="1:133" s="56" customFormat="1" ht="31.2" x14ac:dyDescent="0.25">
      <c r="A820" s="92" t="s">
        <v>8</v>
      </c>
      <c r="B820" s="93" t="s">
        <v>9</v>
      </c>
      <c r="C820" s="94" t="s">
        <v>10</v>
      </c>
      <c r="D820" s="93" t="s">
        <v>341</v>
      </c>
      <c r="E820" s="93" t="s">
        <v>11</v>
      </c>
      <c r="F820" s="16" t="s">
        <v>312</v>
      </c>
      <c r="G820" s="16" t="s">
        <v>313</v>
      </c>
      <c r="H820" s="16" t="s">
        <v>314</v>
      </c>
      <c r="I820" s="16" t="s">
        <v>315</v>
      </c>
      <c r="J820" s="16" t="s">
        <v>316</v>
      </c>
      <c r="K820" s="16" t="s">
        <v>317</v>
      </c>
      <c r="L820" s="16" t="s">
        <v>318</v>
      </c>
      <c r="M820" s="16" t="s">
        <v>319</v>
      </c>
      <c r="N820" s="16" t="s">
        <v>320</v>
      </c>
      <c r="O820" s="16" t="s">
        <v>293</v>
      </c>
      <c r="P820" s="16" t="s">
        <v>294</v>
      </c>
      <c r="Q820" s="16" t="s">
        <v>295</v>
      </c>
      <c r="R820" s="54"/>
      <c r="S820" s="54"/>
      <c r="T820" s="54"/>
      <c r="U820" s="54"/>
      <c r="V820" s="54"/>
      <c r="W820" s="54"/>
      <c r="X820" s="54"/>
      <c r="Y820" s="54"/>
      <c r="Z820" s="54"/>
      <c r="AA820" s="54"/>
      <c r="AB820" s="54"/>
      <c r="AC820" s="54"/>
      <c r="AD820" s="54"/>
      <c r="AE820" s="54"/>
      <c r="AF820" s="54"/>
      <c r="AG820" s="54"/>
      <c r="AH820" s="54"/>
      <c r="AI820" s="54"/>
      <c r="AJ820" s="54"/>
      <c r="AK820" s="54"/>
      <c r="AL820" s="54"/>
      <c r="AM820" s="54"/>
      <c r="AN820" s="54"/>
      <c r="AO820" s="54"/>
      <c r="AP820" s="54"/>
      <c r="AQ820" s="54"/>
      <c r="AR820" s="54"/>
      <c r="AS820" s="54"/>
      <c r="AT820" s="54"/>
      <c r="AU820" s="54"/>
      <c r="AV820" s="54"/>
      <c r="AW820" s="54"/>
      <c r="AX820" s="54"/>
      <c r="AY820" s="54"/>
      <c r="AZ820" s="54"/>
      <c r="BA820" s="54"/>
      <c r="BB820" s="54"/>
      <c r="BC820" s="54"/>
      <c r="BD820" s="54"/>
      <c r="BE820" s="54"/>
      <c r="BF820" s="54"/>
      <c r="BG820" s="54"/>
      <c r="BH820" s="54"/>
      <c r="BI820" s="54"/>
      <c r="BJ820" s="54"/>
      <c r="BK820" s="54"/>
      <c r="BL820" s="54"/>
      <c r="BM820" s="54"/>
      <c r="BN820" s="54"/>
      <c r="BO820" s="54"/>
      <c r="BP820" s="54"/>
      <c r="BQ820" s="54"/>
      <c r="BR820" s="54"/>
      <c r="BS820" s="54"/>
      <c r="BT820" s="54"/>
      <c r="BU820" s="54"/>
      <c r="BV820" s="54"/>
      <c r="BW820" s="54"/>
      <c r="BX820" s="54"/>
      <c r="BY820" s="54"/>
      <c r="BZ820" s="54"/>
      <c r="CA820" s="54"/>
      <c r="CB820" s="54"/>
      <c r="CC820" s="54"/>
      <c r="CD820" s="54"/>
      <c r="CE820" s="54"/>
      <c r="CF820" s="54"/>
      <c r="CG820" s="54"/>
      <c r="CH820" s="54"/>
      <c r="CI820" s="54"/>
      <c r="CJ820" s="54"/>
      <c r="CK820" s="54"/>
      <c r="CL820" s="54"/>
      <c r="CM820" s="54"/>
      <c r="CN820" s="54"/>
      <c r="CO820" s="54"/>
      <c r="CP820" s="54"/>
      <c r="CQ820" s="54"/>
      <c r="CR820" s="54"/>
      <c r="CS820" s="54"/>
      <c r="CT820" s="54"/>
      <c r="CU820" s="54"/>
      <c r="CV820" s="54"/>
      <c r="CW820" s="54"/>
      <c r="CX820" s="54"/>
      <c r="CY820" s="54"/>
      <c r="CZ820" s="54"/>
      <c r="DA820" s="54"/>
      <c r="DB820" s="54"/>
      <c r="DC820" s="54"/>
      <c r="DD820" s="54"/>
      <c r="DE820" s="54"/>
      <c r="DF820" s="54"/>
      <c r="DG820" s="54"/>
      <c r="DH820" s="54"/>
      <c r="DI820" s="54"/>
      <c r="DJ820" s="54"/>
      <c r="DK820" s="54"/>
      <c r="DL820" s="54"/>
      <c r="DM820" s="54"/>
      <c r="DN820" s="54"/>
      <c r="DO820" s="54"/>
      <c r="DP820" s="54"/>
      <c r="DQ820" s="54"/>
      <c r="DR820" s="54"/>
      <c r="DS820" s="54"/>
      <c r="DT820" s="54"/>
      <c r="DU820" s="54"/>
      <c r="DV820" s="54"/>
      <c r="DW820" s="54"/>
      <c r="DX820" s="54"/>
      <c r="DY820" s="54"/>
      <c r="DZ820" s="54"/>
      <c r="EA820" s="54"/>
      <c r="EB820" s="54"/>
      <c r="EC820" s="54"/>
    </row>
    <row r="821" spans="1:133" s="56" customFormat="1" x14ac:dyDescent="0.25">
      <c r="A821" s="58" t="s">
        <v>12</v>
      </c>
      <c r="B821" s="58"/>
      <c r="C821" s="34"/>
      <c r="D821" s="34"/>
      <c r="E821" s="58"/>
      <c r="F821" s="16">
        <v>31</v>
      </c>
      <c r="G821" s="16">
        <v>28</v>
      </c>
      <c r="H821" s="16">
        <v>31</v>
      </c>
      <c r="I821" s="16">
        <v>30</v>
      </c>
      <c r="J821" s="16">
        <v>31</v>
      </c>
      <c r="K821" s="16">
        <v>30</v>
      </c>
      <c r="L821" s="16">
        <v>31</v>
      </c>
      <c r="M821" s="16">
        <v>31</v>
      </c>
      <c r="N821" s="16">
        <v>30</v>
      </c>
      <c r="O821" s="16">
        <v>31</v>
      </c>
      <c r="P821" s="16">
        <v>30</v>
      </c>
      <c r="Q821" s="16">
        <v>31</v>
      </c>
      <c r="R821" s="54"/>
      <c r="S821" s="54"/>
      <c r="T821" s="54"/>
      <c r="U821" s="54"/>
      <c r="V821" s="54"/>
      <c r="W821" s="54"/>
      <c r="X821" s="54"/>
      <c r="Y821" s="54"/>
      <c r="Z821" s="54"/>
      <c r="AA821" s="54"/>
      <c r="AB821" s="54"/>
      <c r="AC821" s="54"/>
      <c r="AD821" s="54"/>
      <c r="AE821" s="54"/>
      <c r="AF821" s="54"/>
      <c r="AG821" s="54"/>
      <c r="AH821" s="54"/>
      <c r="AI821" s="54"/>
      <c r="AJ821" s="54"/>
      <c r="AK821" s="54"/>
      <c r="AL821" s="54"/>
      <c r="AM821" s="54"/>
      <c r="AN821" s="54"/>
      <c r="AO821" s="54"/>
      <c r="AP821" s="54"/>
      <c r="AQ821" s="54"/>
      <c r="AR821" s="54"/>
      <c r="AS821" s="54"/>
      <c r="AT821" s="54"/>
      <c r="AU821" s="54"/>
      <c r="AV821" s="54"/>
      <c r="AW821" s="54"/>
      <c r="AX821" s="54"/>
      <c r="AY821" s="54"/>
      <c r="AZ821" s="54"/>
      <c r="BA821" s="54"/>
      <c r="BB821" s="54"/>
      <c r="BC821" s="54"/>
      <c r="BD821" s="54"/>
      <c r="BE821" s="54"/>
      <c r="BF821" s="54"/>
      <c r="BG821" s="54"/>
      <c r="BH821" s="54"/>
      <c r="BI821" s="54"/>
      <c r="BJ821" s="54"/>
      <c r="BK821" s="54"/>
      <c r="BL821" s="54"/>
      <c r="BM821" s="54"/>
      <c r="BN821" s="54"/>
      <c r="BO821" s="54"/>
      <c r="BP821" s="54"/>
      <c r="BQ821" s="54"/>
      <c r="BR821" s="54"/>
      <c r="BS821" s="54"/>
      <c r="BT821" s="54"/>
      <c r="BU821" s="54"/>
      <c r="BV821" s="54"/>
      <c r="BW821" s="54"/>
      <c r="BX821" s="54"/>
      <c r="BY821" s="54"/>
      <c r="BZ821" s="54"/>
      <c r="CA821" s="54"/>
      <c r="CB821" s="54"/>
      <c r="CC821" s="54"/>
      <c r="CD821" s="54"/>
      <c r="CE821" s="54"/>
      <c r="CF821" s="54"/>
      <c r="CG821" s="54"/>
      <c r="CH821" s="54"/>
      <c r="CI821" s="54"/>
      <c r="CJ821" s="54"/>
      <c r="CK821" s="54"/>
      <c r="CL821" s="54"/>
      <c r="CM821" s="54"/>
      <c r="CN821" s="54"/>
      <c r="CO821" s="54"/>
      <c r="CP821" s="54"/>
      <c r="CQ821" s="54"/>
      <c r="CR821" s="54"/>
      <c r="CS821" s="54"/>
      <c r="CT821" s="54"/>
      <c r="CU821" s="54"/>
      <c r="CV821" s="54"/>
      <c r="CW821" s="54"/>
      <c r="CX821" s="54"/>
      <c r="CY821" s="54"/>
      <c r="CZ821" s="54"/>
      <c r="DA821" s="54"/>
      <c r="DB821" s="54"/>
      <c r="DC821" s="54"/>
      <c r="DD821" s="54"/>
      <c r="DE821" s="54"/>
      <c r="DF821" s="54"/>
      <c r="DG821" s="54"/>
      <c r="DH821" s="54"/>
      <c r="DI821" s="54"/>
      <c r="DJ821" s="54"/>
      <c r="DK821" s="54"/>
      <c r="DL821" s="54"/>
      <c r="DM821" s="54"/>
      <c r="DN821" s="54"/>
      <c r="DO821" s="54"/>
      <c r="DP821" s="54"/>
      <c r="DQ821" s="54"/>
      <c r="DR821" s="54"/>
      <c r="DS821" s="54"/>
      <c r="DT821" s="54"/>
      <c r="DU821" s="54"/>
      <c r="DV821" s="54"/>
      <c r="DW821" s="54"/>
      <c r="DX821" s="54"/>
      <c r="DY821" s="54"/>
      <c r="DZ821" s="54"/>
      <c r="EA821" s="54"/>
      <c r="EB821" s="54"/>
      <c r="EC821" s="54"/>
    </row>
    <row r="822" spans="1:133" ht="46.8" x14ac:dyDescent="0.25">
      <c r="A822" s="59" t="s">
        <v>13</v>
      </c>
      <c r="B822" s="60" t="s">
        <v>14</v>
      </c>
      <c r="C822" s="53" t="s">
        <v>15</v>
      </c>
      <c r="D822" s="53" t="s">
        <v>369</v>
      </c>
      <c r="E822" s="61">
        <f>SUM(F822:Q822)</f>
        <v>2599.6140785272373</v>
      </c>
      <c r="F822" s="62">
        <f>$E$823*$E$824*F825*$E$836</f>
        <v>212.85244310808642</v>
      </c>
      <c r="G822" s="62">
        <f t="shared" ref="G822:Q822" si="105">$E$823*$E$824*G825*$E$836</f>
        <v>192.37741646881145</v>
      </c>
      <c r="H822" s="62">
        <f t="shared" si="105"/>
        <v>212.95849057364629</v>
      </c>
      <c r="I822" s="62">
        <f t="shared" si="105"/>
        <v>205.83518117774264</v>
      </c>
      <c r="J822" s="62">
        <f t="shared" si="105"/>
        <v>233.54684304020032</v>
      </c>
      <c r="K822" s="62">
        <f t="shared" si="105"/>
        <v>216.3052474912931</v>
      </c>
      <c r="L822" s="62">
        <f t="shared" si="105"/>
        <v>223.66167985110675</v>
      </c>
      <c r="M822" s="62">
        <f t="shared" si="105"/>
        <v>223.39791330977337</v>
      </c>
      <c r="N822" s="62">
        <f t="shared" si="105"/>
        <v>226.2462582340292</v>
      </c>
      <c r="O822" s="62">
        <f t="shared" si="105"/>
        <v>233.6393111496827</v>
      </c>
      <c r="P822" s="62">
        <f t="shared" si="105"/>
        <v>205.91323224919381</v>
      </c>
      <c r="Q822" s="62">
        <f t="shared" si="105"/>
        <v>212.88006187367159</v>
      </c>
    </row>
    <row r="823" spans="1:133" ht="31.2" x14ac:dyDescent="0.25">
      <c r="A823" s="63" t="s">
        <v>16</v>
      </c>
      <c r="B823" s="60" t="s">
        <v>193</v>
      </c>
      <c r="C823" s="35" t="s">
        <v>17</v>
      </c>
      <c r="D823" s="35" t="s">
        <v>205</v>
      </c>
      <c r="E823" s="168">
        <v>28</v>
      </c>
      <c r="F823" s="169"/>
      <c r="G823" s="169"/>
      <c r="H823" s="169"/>
      <c r="I823" s="169"/>
      <c r="J823" s="169"/>
      <c r="K823" s="169"/>
      <c r="L823" s="169"/>
      <c r="M823" s="169"/>
      <c r="N823" s="169"/>
      <c r="O823" s="169"/>
      <c r="P823" s="169"/>
      <c r="Q823" s="170"/>
    </row>
    <row r="824" spans="1:133" ht="64.8" x14ac:dyDescent="0.25">
      <c r="A824" s="63" t="s">
        <v>18</v>
      </c>
      <c r="B824" s="25" t="s">
        <v>194</v>
      </c>
      <c r="C824" s="35" t="s">
        <v>20</v>
      </c>
      <c r="D824" s="35" t="s">
        <v>394</v>
      </c>
      <c r="E824" s="168">
        <v>0.21</v>
      </c>
      <c r="F824" s="169"/>
      <c r="G824" s="169"/>
      <c r="H824" s="169"/>
      <c r="I824" s="169"/>
      <c r="J824" s="169"/>
      <c r="K824" s="169"/>
      <c r="L824" s="169"/>
      <c r="M824" s="169"/>
      <c r="N824" s="169"/>
      <c r="O824" s="169"/>
      <c r="P824" s="169"/>
      <c r="Q824" s="170"/>
    </row>
    <row r="825" spans="1:133" ht="46.8" x14ac:dyDescent="0.25">
      <c r="A825" s="35" t="s">
        <v>21</v>
      </c>
      <c r="B825" s="25" t="s">
        <v>195</v>
      </c>
      <c r="C825" s="53" t="s">
        <v>22</v>
      </c>
      <c r="D825" s="53" t="s">
        <v>370</v>
      </c>
      <c r="E825" s="64">
        <f t="shared" ref="E825:Q825" si="106">E833*E826</f>
        <v>742.6219193444075</v>
      </c>
      <c r="F825" s="64">
        <f t="shared" si="106"/>
        <v>60.8047521913808</v>
      </c>
      <c r="G825" s="64">
        <f t="shared" si="106"/>
        <v>54.955728789376273</v>
      </c>
      <c r="H825" s="64">
        <f t="shared" si="106"/>
        <v>60.835046369684498</v>
      </c>
      <c r="I825" s="64">
        <f t="shared" si="106"/>
        <v>58.800157522388005</v>
      </c>
      <c r="J825" s="64">
        <f t="shared" si="106"/>
        <v>66.716443132050628</v>
      </c>
      <c r="K825" s="64">
        <f t="shared" si="106"/>
        <v>61.791101757401925</v>
      </c>
      <c r="L825" s="64">
        <f t="shared" si="106"/>
        <v>63.892585959882901</v>
      </c>
      <c r="M825" s="64">
        <f t="shared" si="106"/>
        <v>63.817236769862042</v>
      </c>
      <c r="N825" s="64">
        <f t="shared" si="106"/>
        <v>64.630912688944662</v>
      </c>
      <c r="O825" s="64">
        <f t="shared" si="106"/>
        <v>66.742858147075026</v>
      </c>
      <c r="P825" s="64">
        <f t="shared" si="106"/>
        <v>58.822454076698399</v>
      </c>
      <c r="Q825" s="64">
        <f t="shared" si="106"/>
        <v>60.812641939662363</v>
      </c>
    </row>
    <row r="826" spans="1:133" ht="46.8" x14ac:dyDescent="0.25">
      <c r="A826" s="35" t="s">
        <v>23</v>
      </c>
      <c r="B826" s="25" t="s">
        <v>197</v>
      </c>
      <c r="C826" s="35" t="s">
        <v>191</v>
      </c>
      <c r="D826" s="35" t="s">
        <v>371</v>
      </c>
      <c r="E826" s="20">
        <f>SUM(F826:Q826)</f>
        <v>782.14578659869494</v>
      </c>
      <c r="F826" s="20">
        <f>F828*F831</f>
        <v>64.040906271189783</v>
      </c>
      <c r="G826" s="20">
        <f t="shared" ref="G826:Q826" si="107">G828*G831</f>
        <v>57.880585803361868</v>
      </c>
      <c r="H826" s="20">
        <f t="shared" si="107"/>
        <v>64.072812768024164</v>
      </c>
      <c r="I826" s="20">
        <f t="shared" si="107"/>
        <v>61.929622947402272</v>
      </c>
      <c r="J826" s="20">
        <f t="shared" si="107"/>
        <v>70.267229573093545</v>
      </c>
      <c r="K826" s="20">
        <f t="shared" si="107"/>
        <v>65.079751391541109</v>
      </c>
      <c r="L826" s="20">
        <f t="shared" si="107"/>
        <v>67.293080909238697</v>
      </c>
      <c r="M826" s="20">
        <f t="shared" si="107"/>
        <v>67.213721480216634</v>
      </c>
      <c r="N826" s="20">
        <f t="shared" si="107"/>
        <v>68.070702906686137</v>
      </c>
      <c r="O826" s="20">
        <f t="shared" si="107"/>
        <v>70.295050449593546</v>
      </c>
      <c r="P826" s="20">
        <f t="shared" si="107"/>
        <v>61.953106170231109</v>
      </c>
      <c r="Q826" s="20">
        <f t="shared" si="107"/>
        <v>64.049215928116141</v>
      </c>
    </row>
    <row r="827" spans="1:133" ht="62.4" x14ac:dyDescent="0.25">
      <c r="A827" s="17" t="s">
        <v>335</v>
      </c>
      <c r="B827" s="60" t="s">
        <v>192</v>
      </c>
      <c r="C827" s="35" t="s">
        <v>25</v>
      </c>
      <c r="D827" s="35" t="s">
        <v>333</v>
      </c>
      <c r="E827" s="121">
        <f>AVERAGE(F827:Q827)</f>
        <v>5086.7757942780336</v>
      </c>
      <c r="F827" s="121">
        <v>4850.5212258064512</v>
      </c>
      <c r="G827" s="121">
        <v>4848.2868571428553</v>
      </c>
      <c r="H827" s="121">
        <v>4849.5004838709674</v>
      </c>
      <c r="I827" s="121">
        <v>4851.2686666666659</v>
      </c>
      <c r="J827" s="121">
        <v>5324.7675161290326</v>
      </c>
      <c r="K827" s="121">
        <v>5322.9600333333337</v>
      </c>
      <c r="L827" s="121">
        <v>5323.510838709677</v>
      </c>
      <c r="M827" s="121">
        <v>5324.8362258064499</v>
      </c>
      <c r="N827" s="121">
        <v>5323.4649666666683</v>
      </c>
      <c r="O827" s="121">
        <v>5321.9018709677421</v>
      </c>
      <c r="P827" s="121">
        <v>4849.8872333333338</v>
      </c>
      <c r="Q827" s="121">
        <v>4850.4036129032265</v>
      </c>
    </row>
    <row r="828" spans="1:133" ht="46.8" x14ac:dyDescent="0.25">
      <c r="A828" s="35" t="s">
        <v>26</v>
      </c>
      <c r="B828" s="60" t="s">
        <v>198</v>
      </c>
      <c r="C828" s="35" t="s">
        <v>27</v>
      </c>
      <c r="D828" s="35" t="s">
        <v>206</v>
      </c>
      <c r="E828" s="65">
        <f>SUM(F828:Q828)</f>
        <v>1857388.1540000001</v>
      </c>
      <c r="F828" s="65">
        <f>F827*F821</f>
        <v>150366.158</v>
      </c>
      <c r="G828" s="65">
        <f t="shared" ref="G828:Q828" si="108">G827*G821</f>
        <v>135752.03199999995</v>
      </c>
      <c r="H828" s="65">
        <f t="shared" si="108"/>
        <v>150334.51499999998</v>
      </c>
      <c r="I828" s="65">
        <f t="shared" si="108"/>
        <v>145538.05999999997</v>
      </c>
      <c r="J828" s="65">
        <f t="shared" si="108"/>
        <v>165067.79300000001</v>
      </c>
      <c r="K828" s="65">
        <f t="shared" si="108"/>
        <v>159688.80100000001</v>
      </c>
      <c r="L828" s="65">
        <f t="shared" si="108"/>
        <v>165028.83599999998</v>
      </c>
      <c r="M828" s="65">
        <f t="shared" si="108"/>
        <v>165069.92299999995</v>
      </c>
      <c r="N828" s="65">
        <f t="shared" si="108"/>
        <v>159703.94900000005</v>
      </c>
      <c r="O828" s="65">
        <f t="shared" si="108"/>
        <v>164978.95800000001</v>
      </c>
      <c r="P828" s="65">
        <f t="shared" si="108"/>
        <v>145496.61700000003</v>
      </c>
      <c r="Q828" s="65">
        <f t="shared" si="108"/>
        <v>150362.51200000002</v>
      </c>
    </row>
    <row r="829" spans="1:133" ht="62.4" x14ac:dyDescent="0.25">
      <c r="A829" s="35" t="s">
        <v>28</v>
      </c>
      <c r="B829" s="60" t="s">
        <v>199</v>
      </c>
      <c r="C829" s="35" t="s">
        <v>29</v>
      </c>
      <c r="D829" s="35" t="s">
        <v>332</v>
      </c>
      <c r="E829" s="125">
        <f>AVERAGE(F829:Q829)</f>
        <v>421.35462708969686</v>
      </c>
      <c r="F829" s="125">
        <v>425.89973118279573</v>
      </c>
      <c r="G829" s="125">
        <v>426.36994047619038</v>
      </c>
      <c r="H829" s="125">
        <v>426.20161290322568</v>
      </c>
      <c r="I829" s="125">
        <v>425.5218390804597</v>
      </c>
      <c r="J829" s="125">
        <v>425.68709677419355</v>
      </c>
      <c r="K829" s="125">
        <v>407.54111111111109</v>
      </c>
      <c r="L829" s="125">
        <v>407.76559139784939</v>
      </c>
      <c r="M829" s="125">
        <v>407.18333333333322</v>
      </c>
      <c r="N829" s="125">
        <v>426.23055555555555</v>
      </c>
      <c r="O829" s="125">
        <v>426.08494623655912</v>
      </c>
      <c r="P829" s="125">
        <v>425.80444444444436</v>
      </c>
      <c r="Q829" s="125">
        <v>425.96532258064519</v>
      </c>
    </row>
    <row r="830" spans="1:133" ht="62.4" x14ac:dyDescent="0.25">
      <c r="A830" s="35" t="s">
        <v>30</v>
      </c>
      <c r="B830" s="60" t="s">
        <v>199</v>
      </c>
      <c r="C830" s="35" t="s">
        <v>31</v>
      </c>
      <c r="D830" s="35" t="s">
        <v>331</v>
      </c>
      <c r="E830" s="125">
        <f>AVERAGE(F830:Q830)</f>
        <v>19.910299945633305</v>
      </c>
      <c r="F830" s="125">
        <v>20.029301075268815</v>
      </c>
      <c r="G830" s="125">
        <v>19.981845238095243</v>
      </c>
      <c r="H830" s="125">
        <v>19.911021505376343</v>
      </c>
      <c r="I830" s="125">
        <v>19.878160919540235</v>
      </c>
      <c r="J830" s="125">
        <v>20.347580645161287</v>
      </c>
      <c r="K830" s="125">
        <v>20.004722222222213</v>
      </c>
      <c r="L830" s="125">
        <v>19.77741935483871</v>
      </c>
      <c r="M830" s="125">
        <v>20.309946236559135</v>
      </c>
      <c r="N830" s="125">
        <v>19.878888888888891</v>
      </c>
      <c r="O830" s="125">
        <v>19.773655913978494</v>
      </c>
      <c r="P830" s="125">
        <v>19.504444444444445</v>
      </c>
      <c r="Q830" s="125">
        <v>19.5266129032258</v>
      </c>
    </row>
    <row r="831" spans="1:133" ht="62.4" x14ac:dyDescent="0.25">
      <c r="A831" s="35" t="s">
        <v>32</v>
      </c>
      <c r="B831" s="60" t="s">
        <v>200</v>
      </c>
      <c r="C831" s="35" t="s">
        <v>34</v>
      </c>
      <c r="D831" s="35" t="s">
        <v>338</v>
      </c>
      <c r="E831" s="122">
        <f>E829/1000000</f>
        <v>4.2135462708969688E-4</v>
      </c>
      <c r="F831" s="120">
        <f>F829/1000000</f>
        <v>4.2589973118279572E-4</v>
      </c>
      <c r="G831" s="120">
        <f t="shared" ref="G831:Q832" si="109">G829/1000000</f>
        <v>4.2636994047619037E-4</v>
      </c>
      <c r="H831" s="120">
        <f t="shared" si="109"/>
        <v>4.262016129032257E-4</v>
      </c>
      <c r="I831" s="120">
        <f t="shared" si="109"/>
        <v>4.2552183908045968E-4</v>
      </c>
      <c r="J831" s="120">
        <f t="shared" si="109"/>
        <v>4.2568709677419354E-4</v>
      </c>
      <c r="K831" s="120">
        <f t="shared" si="109"/>
        <v>4.0754111111111107E-4</v>
      </c>
      <c r="L831" s="120">
        <f t="shared" si="109"/>
        <v>4.077655913978494E-4</v>
      </c>
      <c r="M831" s="120">
        <f t="shared" si="109"/>
        <v>4.0718333333333325E-4</v>
      </c>
      <c r="N831" s="120">
        <f t="shared" si="109"/>
        <v>4.2623055555555554E-4</v>
      </c>
      <c r="O831" s="120">
        <f t="shared" si="109"/>
        <v>4.2608494623655913E-4</v>
      </c>
      <c r="P831" s="120">
        <f t="shared" si="109"/>
        <v>4.2580444444444436E-4</v>
      </c>
      <c r="Q831" s="120">
        <f t="shared" si="109"/>
        <v>4.2596532258064518E-4</v>
      </c>
    </row>
    <row r="832" spans="1:133" ht="62.4" x14ac:dyDescent="0.25">
      <c r="A832" s="35" t="s">
        <v>30</v>
      </c>
      <c r="B832" s="60" t="s">
        <v>33</v>
      </c>
      <c r="C832" s="35" t="s">
        <v>35</v>
      </c>
      <c r="D832" s="35" t="s">
        <v>339</v>
      </c>
      <c r="E832" s="122">
        <f>E830/1000000</f>
        <v>1.9910299945633304E-5</v>
      </c>
      <c r="F832" s="120">
        <f>F830/1000000</f>
        <v>2.0029301075268816E-5</v>
      </c>
      <c r="G832" s="120">
        <f t="shared" si="109"/>
        <v>1.9981845238095244E-5</v>
      </c>
      <c r="H832" s="120">
        <f t="shared" si="109"/>
        <v>1.9911021505376344E-5</v>
      </c>
      <c r="I832" s="120">
        <f t="shared" si="109"/>
        <v>1.9878160919540234E-5</v>
      </c>
      <c r="J832" s="120">
        <f t="shared" si="109"/>
        <v>2.0347580645161286E-5</v>
      </c>
      <c r="K832" s="120">
        <f t="shared" si="109"/>
        <v>2.0004722222222213E-5</v>
      </c>
      <c r="L832" s="120">
        <f t="shared" si="109"/>
        <v>1.977741935483871E-5</v>
      </c>
      <c r="M832" s="120">
        <f t="shared" si="109"/>
        <v>2.0309946236559134E-5</v>
      </c>
      <c r="N832" s="120">
        <f t="shared" si="109"/>
        <v>1.9878888888888891E-5</v>
      </c>
      <c r="O832" s="120">
        <f t="shared" si="109"/>
        <v>1.9773655913978495E-5</v>
      </c>
      <c r="P832" s="120">
        <f t="shared" si="109"/>
        <v>1.9504444444444445E-5</v>
      </c>
      <c r="Q832" s="120">
        <f t="shared" si="109"/>
        <v>1.9526612903225801E-5</v>
      </c>
    </row>
    <row r="833" spans="1:133" ht="46.8" x14ac:dyDescent="0.25">
      <c r="A833" s="63" t="s">
        <v>36</v>
      </c>
      <c r="B833" s="25" t="s">
        <v>201</v>
      </c>
      <c r="C833" s="35" t="s">
        <v>38</v>
      </c>
      <c r="D833" s="35" t="s">
        <v>368</v>
      </c>
      <c r="E833" s="68">
        <f>(1-(E834/E835))</f>
        <v>0.94946739095001165</v>
      </c>
      <c r="F833" s="68">
        <f>E833</f>
        <v>0.94946739095001165</v>
      </c>
      <c r="G833" s="68">
        <f>E833</f>
        <v>0.94946739095001165</v>
      </c>
      <c r="H833" s="68">
        <f>E833</f>
        <v>0.94946739095001165</v>
      </c>
      <c r="I833" s="68">
        <f>E833</f>
        <v>0.94946739095001165</v>
      </c>
      <c r="J833" s="68">
        <f>E833</f>
        <v>0.94946739095001165</v>
      </c>
      <c r="K833" s="68">
        <f>E833</f>
        <v>0.94946739095001165</v>
      </c>
      <c r="L833" s="68">
        <f>E833</f>
        <v>0.94946739095001165</v>
      </c>
      <c r="M833" s="68">
        <f>E833</f>
        <v>0.94946739095001165</v>
      </c>
      <c r="N833" s="68">
        <f>E833</f>
        <v>0.94946739095001165</v>
      </c>
      <c r="O833" s="68">
        <f>E833</f>
        <v>0.94946739095001165</v>
      </c>
      <c r="P833" s="68">
        <f>E833</f>
        <v>0.94946739095001165</v>
      </c>
      <c r="Q833" s="68">
        <f>E833</f>
        <v>0.94946739095001165</v>
      </c>
    </row>
    <row r="834" spans="1:133" ht="31.2" x14ac:dyDescent="0.25">
      <c r="A834" s="35" t="s">
        <v>39</v>
      </c>
      <c r="B834" s="25" t="s">
        <v>196</v>
      </c>
      <c r="C834" s="35" t="s">
        <v>40</v>
      </c>
      <c r="D834" s="35" t="s">
        <v>351</v>
      </c>
      <c r="E834" s="52">
        <f>SUM(F834:Q834)</f>
        <v>37.686669020000011</v>
      </c>
      <c r="F834" s="52">
        <v>3.2007855880000005</v>
      </c>
      <c r="G834" s="52">
        <v>2.8910321440000004</v>
      </c>
      <c r="H834" s="52">
        <v>3.2007855880000005</v>
      </c>
      <c r="I834" s="52">
        <v>3.0975344400000004</v>
      </c>
      <c r="J834" s="52">
        <v>3.2007855880000005</v>
      </c>
      <c r="K834" s="52">
        <v>3.0975344400000004</v>
      </c>
      <c r="L834" s="52">
        <v>3.2007855880000005</v>
      </c>
      <c r="M834" s="52">
        <v>3.2007855880000005</v>
      </c>
      <c r="N834" s="52">
        <v>3.0975344400000004</v>
      </c>
      <c r="O834" s="52">
        <v>3.2007855880000005</v>
      </c>
      <c r="P834" s="52">
        <v>3.0975344400000004</v>
      </c>
      <c r="Q834" s="52">
        <v>3.2007855880000005</v>
      </c>
    </row>
    <row r="835" spans="1:133" ht="31.2" x14ac:dyDescent="0.25">
      <c r="A835" s="63" t="s">
        <v>41</v>
      </c>
      <c r="B835" s="25" t="s">
        <v>24</v>
      </c>
      <c r="C835" s="35" t="s">
        <v>42</v>
      </c>
      <c r="D835" s="35" t="s">
        <v>351</v>
      </c>
      <c r="E835" s="52">
        <f>SUM(F835:Q835)</f>
        <v>745.78909991999979</v>
      </c>
      <c r="F835" s="52">
        <v>63.34099204799999</v>
      </c>
      <c r="G835" s="52">
        <v>57.21121862399999</v>
      </c>
      <c r="H835" s="52">
        <v>63.34099204799999</v>
      </c>
      <c r="I835" s="52">
        <v>61.297734239999997</v>
      </c>
      <c r="J835" s="52">
        <v>63.34099204799999</v>
      </c>
      <c r="K835" s="52">
        <v>61.297734239999997</v>
      </c>
      <c r="L835" s="52">
        <v>63.34099204799999</v>
      </c>
      <c r="M835" s="52">
        <v>63.34099204799999</v>
      </c>
      <c r="N835" s="52">
        <v>61.297734239999997</v>
      </c>
      <c r="O835" s="52">
        <v>63.34099204799999</v>
      </c>
      <c r="P835" s="52">
        <v>61.297734239999997</v>
      </c>
      <c r="Q835" s="52">
        <v>63.34099204799999</v>
      </c>
    </row>
    <row r="836" spans="1:133" ht="31.2" x14ac:dyDescent="0.25">
      <c r="A836" s="53" t="s">
        <v>43</v>
      </c>
      <c r="B836" s="25" t="s">
        <v>201</v>
      </c>
      <c r="C836" s="53" t="s">
        <v>44</v>
      </c>
      <c r="D836" s="35" t="s">
        <v>372</v>
      </c>
      <c r="E836" s="192">
        <f>E837*E838*0.89</f>
        <v>0.59533825534676865</v>
      </c>
      <c r="F836" s="193"/>
      <c r="G836" s="193"/>
      <c r="H836" s="193"/>
      <c r="I836" s="193"/>
      <c r="J836" s="193"/>
      <c r="K836" s="193"/>
      <c r="L836" s="193"/>
      <c r="M836" s="193"/>
      <c r="N836" s="193"/>
      <c r="O836" s="193"/>
      <c r="P836" s="193"/>
      <c r="Q836" s="194"/>
    </row>
    <row r="837" spans="1:133" ht="31.2" x14ac:dyDescent="0.25">
      <c r="A837" s="70" t="s">
        <v>45</v>
      </c>
      <c r="B837" s="25" t="s">
        <v>201</v>
      </c>
      <c r="C837" s="53" t="s">
        <v>46</v>
      </c>
      <c r="D837" s="35" t="s">
        <v>373</v>
      </c>
      <c r="E837" s="162">
        <v>0.7</v>
      </c>
      <c r="F837" s="163"/>
      <c r="G837" s="163"/>
      <c r="H837" s="163"/>
      <c r="I837" s="163"/>
      <c r="J837" s="163"/>
      <c r="K837" s="163"/>
      <c r="L837" s="163"/>
      <c r="M837" s="163"/>
      <c r="N837" s="163"/>
      <c r="O837" s="163"/>
      <c r="P837" s="163"/>
      <c r="Q837" s="164"/>
    </row>
    <row r="838" spans="1:133" ht="36" customHeight="1" x14ac:dyDescent="0.25">
      <c r="A838" s="70" t="s">
        <v>47</v>
      </c>
      <c r="B838" s="25" t="s">
        <v>37</v>
      </c>
      <c r="C838" s="53" t="s">
        <v>48</v>
      </c>
      <c r="D838" s="35" t="s">
        <v>374</v>
      </c>
      <c r="E838" s="159">
        <f>(F839*F844+G839*G844+H839*H844+I839*I844+J839*J844+K839*K844+L839*L844+M839*M844+N839*N844+O839*O844+P839*P844+Q839*Q844)/(F833*F828*F831+G833*G831*G828+H833*H828*H831+I833*I831*I828+J833*J831*J828+K833*K831*K828+L833*L831*L828+M833*M831*M828+N833*N831*N828+O833*O828*O831+P833*P831*P828+Q833*Q831*Q828)</f>
        <v>0.95559912575725303</v>
      </c>
      <c r="F838" s="160"/>
      <c r="G838" s="160"/>
      <c r="H838" s="160"/>
      <c r="I838" s="160"/>
      <c r="J838" s="160"/>
      <c r="K838" s="160"/>
      <c r="L838" s="160"/>
      <c r="M838" s="160"/>
      <c r="N838" s="160"/>
      <c r="O838" s="160"/>
      <c r="P838" s="160"/>
      <c r="Q838" s="161"/>
    </row>
    <row r="839" spans="1:133" s="9" customFormat="1" ht="46.8" x14ac:dyDescent="0.4">
      <c r="A839" s="71" t="s">
        <v>49</v>
      </c>
      <c r="B839" s="25" t="s">
        <v>37</v>
      </c>
      <c r="C839" s="53" t="s">
        <v>50</v>
      </c>
      <c r="D839" s="53" t="s">
        <v>375</v>
      </c>
      <c r="E839" s="72">
        <f>AVERAGE(F839:Q839)</f>
        <v>0.6404944159004976</v>
      </c>
      <c r="F839" s="72">
        <f>IF(F843&lt;283,0,IF(F843&gt;303,1,EXP(($E$840*(F843-$E$841))/($E$842*$E$841*F843))))</f>
        <v>0.26921004737855481</v>
      </c>
      <c r="G839" s="72">
        <f>IF(G843&lt;283,0,IF(G843&gt;303,1,EXP(($E$840*(G843-$E$841))/($E$842*$E$841*G843))))</f>
        <v>0.38698063689870399</v>
      </c>
      <c r="H839" s="72">
        <f t="shared" ref="H839:Q839" si="110">IF(H843&lt;283,0,IF(H843&gt;303,1,EXP(($E$840*(H843-$E$841))/($E$842*$E$841*H843))))</f>
        <v>0.48307557293036196</v>
      </c>
      <c r="I839" s="72">
        <f t="shared" si="110"/>
        <v>0.57531644493802248</v>
      </c>
      <c r="J839" s="72">
        <f t="shared" si="110"/>
        <v>0.84523513966163832</v>
      </c>
      <c r="K839" s="72">
        <f t="shared" si="110"/>
        <v>0.84523513966163832</v>
      </c>
      <c r="L839" s="72">
        <f t="shared" si="110"/>
        <v>0.91923925774048054</v>
      </c>
      <c r="M839" s="72">
        <f t="shared" si="110"/>
        <v>0.91923925774048054</v>
      </c>
      <c r="N839" s="72">
        <f t="shared" si="110"/>
        <v>0.95843738031531212</v>
      </c>
      <c r="O839" s="72">
        <f t="shared" si="110"/>
        <v>0.6835684899717327</v>
      </c>
      <c r="P839" s="72">
        <f t="shared" si="110"/>
        <v>0.46225423409862509</v>
      </c>
      <c r="Q839" s="72">
        <f t="shared" si="110"/>
        <v>0.33814138947042022</v>
      </c>
      <c r="R839" s="78"/>
      <c r="S839" s="78"/>
      <c r="T839" s="78"/>
      <c r="U839" s="78"/>
      <c r="V839" s="78"/>
      <c r="W839" s="78"/>
      <c r="X839" s="78"/>
      <c r="Y839" s="78"/>
      <c r="Z839" s="78"/>
      <c r="AA839" s="78"/>
      <c r="AB839" s="78"/>
      <c r="AC839" s="78"/>
      <c r="AD839" s="78"/>
      <c r="AE839" s="78"/>
      <c r="AF839" s="78"/>
      <c r="AG839" s="78"/>
      <c r="AH839" s="78"/>
      <c r="AI839" s="78"/>
      <c r="AJ839" s="78"/>
      <c r="AK839" s="78"/>
      <c r="AL839" s="78"/>
      <c r="AM839" s="78"/>
      <c r="AN839" s="78"/>
      <c r="AO839" s="78"/>
      <c r="AP839" s="78"/>
      <c r="AQ839" s="78"/>
      <c r="AR839" s="78"/>
      <c r="AS839" s="78"/>
      <c r="AT839" s="78"/>
      <c r="AU839" s="78"/>
      <c r="AV839" s="78"/>
      <c r="AW839" s="78"/>
      <c r="AX839" s="78"/>
      <c r="AY839" s="78"/>
      <c r="AZ839" s="78"/>
      <c r="BA839" s="78"/>
      <c r="BB839" s="78"/>
      <c r="BC839" s="78"/>
      <c r="BD839" s="78"/>
      <c r="BE839" s="78"/>
      <c r="BF839" s="78"/>
      <c r="BG839" s="78"/>
      <c r="BH839" s="78"/>
      <c r="BI839" s="78"/>
      <c r="BJ839" s="78"/>
      <c r="BK839" s="78"/>
      <c r="BL839" s="78"/>
      <c r="BM839" s="78"/>
      <c r="BN839" s="78"/>
      <c r="BO839" s="78"/>
      <c r="BP839" s="78"/>
      <c r="BQ839" s="78"/>
      <c r="BR839" s="78"/>
      <c r="BS839" s="78"/>
      <c r="BT839" s="78"/>
      <c r="BU839" s="78"/>
      <c r="BV839" s="78"/>
      <c r="BW839" s="78"/>
      <c r="BX839" s="78"/>
      <c r="BY839" s="78"/>
      <c r="BZ839" s="78"/>
      <c r="CA839" s="78"/>
      <c r="CB839" s="78"/>
      <c r="CC839" s="78"/>
      <c r="CD839" s="78"/>
      <c r="CE839" s="78"/>
      <c r="CF839" s="78"/>
      <c r="CG839" s="78"/>
      <c r="CH839" s="78"/>
      <c r="CI839" s="78"/>
      <c r="CJ839" s="78"/>
      <c r="CK839" s="78"/>
      <c r="CL839" s="78"/>
      <c r="CM839" s="78"/>
      <c r="CN839" s="78"/>
      <c r="CO839" s="78"/>
      <c r="CP839" s="78"/>
      <c r="CQ839" s="78"/>
      <c r="CR839" s="78"/>
      <c r="CS839" s="78"/>
      <c r="CT839" s="78"/>
      <c r="CU839" s="78"/>
      <c r="CV839" s="78"/>
      <c r="CW839" s="78"/>
      <c r="CX839" s="78"/>
      <c r="CY839" s="78"/>
      <c r="CZ839" s="78"/>
      <c r="DA839" s="78"/>
      <c r="DB839" s="78"/>
      <c r="DC839" s="78"/>
      <c r="DD839" s="78"/>
      <c r="DE839" s="78"/>
      <c r="DF839" s="78"/>
      <c r="DG839" s="78"/>
      <c r="DH839" s="78"/>
      <c r="DI839" s="78"/>
      <c r="DJ839" s="78"/>
      <c r="DK839" s="78"/>
      <c r="DL839" s="78"/>
      <c r="DM839" s="78"/>
      <c r="DN839" s="78"/>
      <c r="DO839" s="78"/>
      <c r="DP839" s="78"/>
      <c r="DQ839" s="78"/>
      <c r="DR839" s="78"/>
      <c r="DS839" s="78"/>
      <c r="DT839" s="78"/>
      <c r="DU839" s="78"/>
      <c r="DV839" s="78"/>
      <c r="DW839" s="78"/>
      <c r="DX839" s="78"/>
      <c r="DY839" s="78"/>
      <c r="DZ839" s="78"/>
      <c r="EA839" s="78"/>
      <c r="EB839" s="78"/>
      <c r="EC839" s="78"/>
    </row>
    <row r="840" spans="1:133" s="9" customFormat="1" x14ac:dyDescent="0.25">
      <c r="A840" s="73" t="s">
        <v>51</v>
      </c>
      <c r="B840" s="60" t="s">
        <v>202</v>
      </c>
      <c r="C840" s="53" t="s">
        <v>53</v>
      </c>
      <c r="D840" s="53" t="s">
        <v>376</v>
      </c>
      <c r="E840" s="162">
        <v>15175</v>
      </c>
      <c r="F840" s="163"/>
      <c r="G840" s="163"/>
      <c r="H840" s="163"/>
      <c r="I840" s="163"/>
      <c r="J840" s="163"/>
      <c r="K840" s="163"/>
      <c r="L840" s="163"/>
      <c r="M840" s="163"/>
      <c r="N840" s="163"/>
      <c r="O840" s="163"/>
      <c r="P840" s="163"/>
      <c r="Q840" s="164"/>
      <c r="R840" s="78"/>
      <c r="S840" s="78"/>
      <c r="T840" s="78"/>
      <c r="U840" s="78"/>
      <c r="V840" s="78"/>
      <c r="W840" s="78"/>
      <c r="X840" s="78"/>
      <c r="Y840" s="78"/>
      <c r="Z840" s="78"/>
      <c r="AA840" s="78"/>
      <c r="AB840" s="78"/>
      <c r="AC840" s="78"/>
      <c r="AD840" s="78"/>
      <c r="AE840" s="78"/>
      <c r="AF840" s="78"/>
      <c r="AG840" s="78"/>
      <c r="AH840" s="78"/>
      <c r="AI840" s="78"/>
      <c r="AJ840" s="78"/>
      <c r="AK840" s="78"/>
      <c r="AL840" s="78"/>
      <c r="AM840" s="78"/>
      <c r="AN840" s="78"/>
      <c r="AO840" s="78"/>
      <c r="AP840" s="78"/>
      <c r="AQ840" s="78"/>
      <c r="AR840" s="78"/>
      <c r="AS840" s="78"/>
      <c r="AT840" s="78"/>
      <c r="AU840" s="78"/>
      <c r="AV840" s="78"/>
      <c r="AW840" s="78"/>
      <c r="AX840" s="78"/>
      <c r="AY840" s="78"/>
      <c r="AZ840" s="78"/>
      <c r="BA840" s="78"/>
      <c r="BB840" s="78"/>
      <c r="BC840" s="78"/>
      <c r="BD840" s="78"/>
      <c r="BE840" s="78"/>
      <c r="BF840" s="78"/>
      <c r="BG840" s="78"/>
      <c r="BH840" s="78"/>
      <c r="BI840" s="78"/>
      <c r="BJ840" s="78"/>
      <c r="BK840" s="78"/>
      <c r="BL840" s="78"/>
      <c r="BM840" s="78"/>
      <c r="BN840" s="78"/>
      <c r="BO840" s="78"/>
      <c r="BP840" s="78"/>
      <c r="BQ840" s="78"/>
      <c r="BR840" s="78"/>
      <c r="BS840" s="78"/>
      <c r="BT840" s="78"/>
      <c r="BU840" s="78"/>
      <c r="BV840" s="78"/>
      <c r="BW840" s="78"/>
      <c r="BX840" s="78"/>
      <c r="BY840" s="78"/>
      <c r="BZ840" s="78"/>
      <c r="CA840" s="78"/>
      <c r="CB840" s="78"/>
      <c r="CC840" s="78"/>
      <c r="CD840" s="78"/>
      <c r="CE840" s="78"/>
      <c r="CF840" s="78"/>
      <c r="CG840" s="78"/>
      <c r="CH840" s="78"/>
      <c r="CI840" s="78"/>
      <c r="CJ840" s="78"/>
      <c r="CK840" s="78"/>
      <c r="CL840" s="78"/>
      <c r="CM840" s="78"/>
      <c r="CN840" s="78"/>
      <c r="CO840" s="78"/>
      <c r="CP840" s="78"/>
      <c r="CQ840" s="78"/>
      <c r="CR840" s="78"/>
      <c r="CS840" s="78"/>
      <c r="CT840" s="78"/>
      <c r="CU840" s="78"/>
      <c r="CV840" s="78"/>
      <c r="CW840" s="78"/>
      <c r="CX840" s="78"/>
      <c r="CY840" s="78"/>
      <c r="CZ840" s="78"/>
      <c r="DA840" s="78"/>
      <c r="DB840" s="78"/>
      <c r="DC840" s="78"/>
      <c r="DD840" s="78"/>
      <c r="DE840" s="78"/>
      <c r="DF840" s="78"/>
      <c r="DG840" s="78"/>
      <c r="DH840" s="78"/>
      <c r="DI840" s="78"/>
      <c r="DJ840" s="78"/>
      <c r="DK840" s="78"/>
      <c r="DL840" s="78"/>
      <c r="DM840" s="78"/>
      <c r="DN840" s="78"/>
      <c r="DO840" s="78"/>
      <c r="DP840" s="78"/>
      <c r="DQ840" s="78"/>
      <c r="DR840" s="78"/>
      <c r="DS840" s="78"/>
      <c r="DT840" s="78"/>
      <c r="DU840" s="78"/>
      <c r="DV840" s="78"/>
      <c r="DW840" s="78"/>
      <c r="DX840" s="78"/>
      <c r="DY840" s="78"/>
      <c r="DZ840" s="78"/>
      <c r="EA840" s="78"/>
      <c r="EB840" s="78"/>
      <c r="EC840" s="78"/>
    </row>
    <row r="841" spans="1:133" s="9" customFormat="1" ht="18" x14ac:dyDescent="0.25">
      <c r="A841" s="73" t="s">
        <v>54</v>
      </c>
      <c r="B841" s="60" t="s">
        <v>203</v>
      </c>
      <c r="C841" s="53" t="s">
        <v>56</v>
      </c>
      <c r="D841" s="53" t="s">
        <v>376</v>
      </c>
      <c r="E841" s="162">
        <v>303.16000000000003</v>
      </c>
      <c r="F841" s="163"/>
      <c r="G841" s="163"/>
      <c r="H841" s="163"/>
      <c r="I841" s="163"/>
      <c r="J841" s="163"/>
      <c r="K841" s="163"/>
      <c r="L841" s="163"/>
      <c r="M841" s="163"/>
      <c r="N841" s="163"/>
      <c r="O841" s="163"/>
      <c r="P841" s="163"/>
      <c r="Q841" s="164"/>
      <c r="R841" s="78"/>
      <c r="S841" s="78"/>
      <c r="T841" s="78"/>
      <c r="U841" s="78"/>
      <c r="V841" s="78"/>
      <c r="W841" s="78"/>
      <c r="X841" s="78"/>
      <c r="Y841" s="78"/>
      <c r="Z841" s="78"/>
      <c r="AA841" s="78"/>
      <c r="AB841" s="78"/>
      <c r="AC841" s="78"/>
      <c r="AD841" s="78"/>
      <c r="AE841" s="78"/>
      <c r="AF841" s="78"/>
      <c r="AG841" s="78"/>
      <c r="AH841" s="78"/>
      <c r="AI841" s="78"/>
      <c r="AJ841" s="78"/>
      <c r="AK841" s="78"/>
      <c r="AL841" s="78"/>
      <c r="AM841" s="78"/>
      <c r="AN841" s="78"/>
      <c r="AO841" s="78"/>
      <c r="AP841" s="78"/>
      <c r="AQ841" s="78"/>
      <c r="AR841" s="78"/>
      <c r="AS841" s="78"/>
      <c r="AT841" s="78"/>
      <c r="AU841" s="78"/>
      <c r="AV841" s="78"/>
      <c r="AW841" s="78"/>
      <c r="AX841" s="78"/>
      <c r="AY841" s="78"/>
      <c r="AZ841" s="78"/>
      <c r="BA841" s="78"/>
      <c r="BB841" s="78"/>
      <c r="BC841" s="78"/>
      <c r="BD841" s="78"/>
      <c r="BE841" s="78"/>
      <c r="BF841" s="78"/>
      <c r="BG841" s="78"/>
      <c r="BH841" s="78"/>
      <c r="BI841" s="78"/>
      <c r="BJ841" s="78"/>
      <c r="BK841" s="78"/>
      <c r="BL841" s="78"/>
      <c r="BM841" s="78"/>
      <c r="BN841" s="78"/>
      <c r="BO841" s="78"/>
      <c r="BP841" s="78"/>
      <c r="BQ841" s="78"/>
      <c r="BR841" s="78"/>
      <c r="BS841" s="78"/>
      <c r="BT841" s="78"/>
      <c r="BU841" s="78"/>
      <c r="BV841" s="78"/>
      <c r="BW841" s="78"/>
      <c r="BX841" s="78"/>
      <c r="BY841" s="78"/>
      <c r="BZ841" s="78"/>
      <c r="CA841" s="78"/>
      <c r="CB841" s="78"/>
      <c r="CC841" s="78"/>
      <c r="CD841" s="78"/>
      <c r="CE841" s="78"/>
      <c r="CF841" s="78"/>
      <c r="CG841" s="78"/>
      <c r="CH841" s="78"/>
      <c r="CI841" s="78"/>
      <c r="CJ841" s="78"/>
      <c r="CK841" s="78"/>
      <c r="CL841" s="78"/>
      <c r="CM841" s="78"/>
      <c r="CN841" s="78"/>
      <c r="CO841" s="78"/>
      <c r="CP841" s="78"/>
      <c r="CQ841" s="78"/>
      <c r="CR841" s="78"/>
      <c r="CS841" s="78"/>
      <c r="CT841" s="78"/>
      <c r="CU841" s="78"/>
      <c r="CV841" s="78"/>
      <c r="CW841" s="78"/>
      <c r="CX841" s="78"/>
      <c r="CY841" s="78"/>
      <c r="CZ841" s="78"/>
      <c r="DA841" s="78"/>
      <c r="DB841" s="78"/>
      <c r="DC841" s="78"/>
      <c r="DD841" s="78"/>
      <c r="DE841" s="78"/>
      <c r="DF841" s="78"/>
      <c r="DG841" s="78"/>
      <c r="DH841" s="78"/>
      <c r="DI841" s="78"/>
      <c r="DJ841" s="78"/>
      <c r="DK841" s="78"/>
      <c r="DL841" s="78"/>
      <c r="DM841" s="78"/>
      <c r="DN841" s="78"/>
      <c r="DO841" s="78"/>
      <c r="DP841" s="78"/>
      <c r="DQ841" s="78"/>
      <c r="DR841" s="78"/>
      <c r="DS841" s="78"/>
      <c r="DT841" s="78"/>
      <c r="DU841" s="78"/>
      <c r="DV841" s="78"/>
      <c r="DW841" s="78"/>
      <c r="DX841" s="78"/>
      <c r="DY841" s="78"/>
      <c r="DZ841" s="78"/>
      <c r="EA841" s="78"/>
      <c r="EB841" s="78"/>
      <c r="EC841" s="78"/>
    </row>
    <row r="842" spans="1:133" s="9" customFormat="1" x14ac:dyDescent="0.25">
      <c r="A842" s="73" t="s">
        <v>57</v>
      </c>
      <c r="B842" s="60" t="s">
        <v>204</v>
      </c>
      <c r="C842" s="53" t="s">
        <v>59</v>
      </c>
      <c r="D842" s="53" t="s">
        <v>376</v>
      </c>
      <c r="E842" s="162">
        <v>1.9870000000000001</v>
      </c>
      <c r="F842" s="163"/>
      <c r="G842" s="163"/>
      <c r="H842" s="163"/>
      <c r="I842" s="163"/>
      <c r="J842" s="163"/>
      <c r="K842" s="163"/>
      <c r="L842" s="163"/>
      <c r="M842" s="163"/>
      <c r="N842" s="163"/>
      <c r="O842" s="163"/>
      <c r="P842" s="163"/>
      <c r="Q842" s="164"/>
      <c r="R842" s="78"/>
      <c r="S842" s="78"/>
      <c r="T842" s="78"/>
      <c r="U842" s="78"/>
      <c r="V842" s="78"/>
      <c r="W842" s="78"/>
      <c r="X842" s="78"/>
      <c r="Y842" s="78"/>
      <c r="Z842" s="78"/>
      <c r="AA842" s="78"/>
      <c r="AB842" s="78"/>
      <c r="AC842" s="78"/>
      <c r="AD842" s="78"/>
      <c r="AE842" s="78"/>
      <c r="AF842" s="78"/>
      <c r="AG842" s="78"/>
      <c r="AH842" s="78"/>
      <c r="AI842" s="78"/>
      <c r="AJ842" s="78"/>
      <c r="AK842" s="78"/>
      <c r="AL842" s="78"/>
      <c r="AM842" s="78"/>
      <c r="AN842" s="78"/>
      <c r="AO842" s="78"/>
      <c r="AP842" s="78"/>
      <c r="AQ842" s="78"/>
      <c r="AR842" s="78"/>
      <c r="AS842" s="78"/>
      <c r="AT842" s="78"/>
      <c r="AU842" s="78"/>
      <c r="AV842" s="78"/>
      <c r="AW842" s="78"/>
      <c r="AX842" s="78"/>
      <c r="AY842" s="78"/>
      <c r="AZ842" s="78"/>
      <c r="BA842" s="78"/>
      <c r="BB842" s="78"/>
      <c r="BC842" s="78"/>
      <c r="BD842" s="78"/>
      <c r="BE842" s="78"/>
      <c r="BF842" s="78"/>
      <c r="BG842" s="78"/>
      <c r="BH842" s="78"/>
      <c r="BI842" s="78"/>
      <c r="BJ842" s="78"/>
      <c r="BK842" s="78"/>
      <c r="BL842" s="78"/>
      <c r="BM842" s="78"/>
      <c r="BN842" s="78"/>
      <c r="BO842" s="78"/>
      <c r="BP842" s="78"/>
      <c r="BQ842" s="78"/>
      <c r="BR842" s="78"/>
      <c r="BS842" s="78"/>
      <c r="BT842" s="78"/>
      <c r="BU842" s="78"/>
      <c r="BV842" s="78"/>
      <c r="BW842" s="78"/>
      <c r="BX842" s="78"/>
      <c r="BY842" s="78"/>
      <c r="BZ842" s="78"/>
      <c r="CA842" s="78"/>
      <c r="CB842" s="78"/>
      <c r="CC842" s="78"/>
      <c r="CD842" s="78"/>
      <c r="CE842" s="78"/>
      <c r="CF842" s="78"/>
      <c r="CG842" s="78"/>
      <c r="CH842" s="78"/>
      <c r="CI842" s="78"/>
      <c r="CJ842" s="78"/>
      <c r="CK842" s="78"/>
      <c r="CL842" s="78"/>
      <c r="CM842" s="78"/>
      <c r="CN842" s="78"/>
      <c r="CO842" s="78"/>
      <c r="CP842" s="78"/>
      <c r="CQ842" s="78"/>
      <c r="CR842" s="78"/>
      <c r="CS842" s="78"/>
      <c r="CT842" s="78"/>
      <c r="CU842" s="78"/>
      <c r="CV842" s="78"/>
      <c r="CW842" s="78"/>
      <c r="CX842" s="78"/>
      <c r="CY842" s="78"/>
      <c r="CZ842" s="78"/>
      <c r="DA842" s="78"/>
      <c r="DB842" s="78"/>
      <c r="DC842" s="78"/>
      <c r="DD842" s="78"/>
      <c r="DE842" s="78"/>
      <c r="DF842" s="78"/>
      <c r="DG842" s="78"/>
      <c r="DH842" s="78"/>
      <c r="DI842" s="78"/>
      <c r="DJ842" s="78"/>
      <c r="DK842" s="78"/>
      <c r="DL842" s="78"/>
      <c r="DM842" s="78"/>
      <c r="DN842" s="78"/>
      <c r="DO842" s="78"/>
      <c r="DP842" s="78"/>
      <c r="DQ842" s="78"/>
      <c r="DR842" s="78"/>
      <c r="DS842" s="78"/>
      <c r="DT842" s="78"/>
      <c r="DU842" s="78"/>
      <c r="DV842" s="78"/>
      <c r="DW842" s="78"/>
      <c r="DX842" s="78"/>
      <c r="DY842" s="78"/>
      <c r="DZ842" s="78"/>
      <c r="EA842" s="78"/>
      <c r="EB842" s="78"/>
      <c r="EC842" s="78"/>
    </row>
    <row r="843" spans="1:133" s="9" customFormat="1" ht="31.2" x14ac:dyDescent="0.25">
      <c r="A843" s="73" t="s">
        <v>60</v>
      </c>
      <c r="B843" s="60" t="s">
        <v>203</v>
      </c>
      <c r="C843" s="53" t="s">
        <v>61</v>
      </c>
      <c r="D843" s="143" t="s">
        <v>363</v>
      </c>
      <c r="E843" s="98">
        <f>AVERAGE(F843:Q843)</f>
        <v>297.02500000000003</v>
      </c>
      <c r="F843" s="60">
        <v>288.14999999999998</v>
      </c>
      <c r="G843" s="60">
        <v>292.14999999999998</v>
      </c>
      <c r="H843" s="60">
        <v>294.64999999999998</v>
      </c>
      <c r="I843" s="60">
        <v>296.64999999999998</v>
      </c>
      <c r="J843" s="60">
        <v>301.14999999999998</v>
      </c>
      <c r="K843" s="60">
        <v>301.14999999999998</v>
      </c>
      <c r="L843" s="60">
        <v>302.14999999999998</v>
      </c>
      <c r="M843" s="60">
        <v>302.14999999999998</v>
      </c>
      <c r="N843" s="60">
        <v>302.64999999999998</v>
      </c>
      <c r="O843" s="60">
        <v>298.64999999999998</v>
      </c>
      <c r="P843" s="60">
        <v>294.14999999999998</v>
      </c>
      <c r="Q843" s="60">
        <v>290.64999999999998</v>
      </c>
      <c r="R843" s="78"/>
      <c r="S843" s="78"/>
      <c r="T843" s="78"/>
      <c r="U843" s="78"/>
      <c r="V843" s="78"/>
      <c r="W843" s="78"/>
      <c r="X843" s="78"/>
      <c r="Y843" s="78"/>
      <c r="Z843" s="78"/>
      <c r="AA843" s="78"/>
      <c r="AB843" s="78"/>
      <c r="AC843" s="78"/>
      <c r="AD843" s="78"/>
      <c r="AE843" s="78"/>
      <c r="AF843" s="78"/>
      <c r="AG843" s="78"/>
      <c r="AH843" s="78"/>
      <c r="AI843" s="78"/>
      <c r="AJ843" s="78"/>
      <c r="AK843" s="78"/>
      <c r="AL843" s="78"/>
      <c r="AM843" s="78"/>
      <c r="AN843" s="78"/>
      <c r="AO843" s="78"/>
      <c r="AP843" s="78"/>
      <c r="AQ843" s="78"/>
      <c r="AR843" s="78"/>
      <c r="AS843" s="78"/>
      <c r="AT843" s="78"/>
      <c r="AU843" s="78"/>
      <c r="AV843" s="78"/>
      <c r="AW843" s="78"/>
      <c r="AX843" s="78"/>
      <c r="AY843" s="78"/>
      <c r="AZ843" s="78"/>
      <c r="BA843" s="78"/>
      <c r="BB843" s="78"/>
      <c r="BC843" s="78"/>
      <c r="BD843" s="78"/>
      <c r="BE843" s="78"/>
      <c r="BF843" s="78"/>
      <c r="BG843" s="78"/>
      <c r="BH843" s="78"/>
      <c r="BI843" s="78"/>
      <c r="BJ843" s="78"/>
      <c r="BK843" s="78"/>
      <c r="BL843" s="78"/>
      <c r="BM843" s="78"/>
      <c r="BN843" s="78"/>
      <c r="BO843" s="78"/>
      <c r="BP843" s="78"/>
      <c r="BQ843" s="78"/>
      <c r="BR843" s="78"/>
      <c r="BS843" s="78"/>
      <c r="BT843" s="78"/>
      <c r="BU843" s="78"/>
      <c r="BV843" s="78"/>
      <c r="BW843" s="78"/>
      <c r="BX843" s="78"/>
      <c r="BY843" s="78"/>
      <c r="BZ843" s="78"/>
      <c r="CA843" s="78"/>
      <c r="CB843" s="78"/>
      <c r="CC843" s="78"/>
      <c r="CD843" s="78"/>
      <c r="CE843" s="78"/>
      <c r="CF843" s="78"/>
      <c r="CG843" s="78"/>
      <c r="CH843" s="78"/>
      <c r="CI843" s="78"/>
      <c r="CJ843" s="78"/>
      <c r="CK843" s="78"/>
      <c r="CL843" s="78"/>
      <c r="CM843" s="78"/>
      <c r="CN843" s="78"/>
      <c r="CO843" s="78"/>
      <c r="CP843" s="78"/>
      <c r="CQ843" s="78"/>
      <c r="CR843" s="78"/>
      <c r="CS843" s="78"/>
      <c r="CT843" s="78"/>
      <c r="CU843" s="78"/>
      <c r="CV843" s="78"/>
      <c r="CW843" s="78"/>
      <c r="CX843" s="78"/>
      <c r="CY843" s="78"/>
      <c r="CZ843" s="78"/>
      <c r="DA843" s="78"/>
      <c r="DB843" s="78"/>
      <c r="DC843" s="78"/>
      <c r="DD843" s="78"/>
      <c r="DE843" s="78"/>
      <c r="DF843" s="78"/>
      <c r="DG843" s="78"/>
      <c r="DH843" s="78"/>
      <c r="DI843" s="78"/>
      <c r="DJ843" s="78"/>
      <c r="DK843" s="78"/>
      <c r="DL843" s="78"/>
      <c r="DM843" s="78"/>
      <c r="DN843" s="78"/>
      <c r="DO843" s="78"/>
      <c r="DP843" s="78"/>
      <c r="DQ843" s="78"/>
      <c r="DR843" s="78"/>
      <c r="DS843" s="78"/>
      <c r="DT843" s="78"/>
      <c r="DU843" s="78"/>
      <c r="DV843" s="78"/>
      <c r="DW843" s="78"/>
      <c r="DX843" s="78"/>
      <c r="DY843" s="78"/>
      <c r="DZ843" s="78"/>
      <c r="EA843" s="78"/>
      <c r="EB843" s="78"/>
      <c r="EC843" s="78"/>
    </row>
    <row r="844" spans="1:133" s="9" customFormat="1" ht="31.2" x14ac:dyDescent="0.4">
      <c r="A844" s="71" t="s">
        <v>62</v>
      </c>
      <c r="B844" s="60" t="s">
        <v>196</v>
      </c>
      <c r="C844" s="53" t="s">
        <v>63</v>
      </c>
      <c r="D844" s="53" t="s">
        <v>377</v>
      </c>
      <c r="E844" s="74">
        <f>SUM(F844:Q844)</f>
        <v>1241.6259225467074</v>
      </c>
      <c r="F844" s="74">
        <f>F833*F828*F831+(1-F839)*'Baseline Emissions 2020'!Q844</f>
        <v>151.72817016068177</v>
      </c>
      <c r="G844" s="74">
        <f t="shared" ref="G844:Q844" si="111">G833*G828*G831+(1-G839)*F844</f>
        <v>147.96803502580246</v>
      </c>
      <c r="H844" s="74">
        <f t="shared" si="111"/>
        <v>137.32333810001757</v>
      </c>
      <c r="I844" s="74">
        <f t="shared" si="111"/>
        <v>117.11912093968138</v>
      </c>
      <c r="J844" s="74">
        <f t="shared" si="111"/>
        <v>84.842367527232113</v>
      </c>
      <c r="K844" s="74">
        <f t="shared" si="111"/>
        <v>74.921718918529947</v>
      </c>
      <c r="L844" s="74">
        <f t="shared" si="111"/>
        <v>69.943319591102465</v>
      </c>
      <c r="M844" s="74">
        <f t="shared" si="111"/>
        <v>69.46591117613427</v>
      </c>
      <c r="N844" s="74">
        <f>N833*N828*N831+(1-N839)*0</f>
        <v>64.630912688944662</v>
      </c>
      <c r="O844" s="74">
        <f t="shared" si="111"/>
        <v>87.194115443742902</v>
      </c>
      <c r="P844" s="74">
        <f t="shared" si="111"/>
        <v>105.71072046808683</v>
      </c>
      <c r="Q844" s="74">
        <f t="shared" si="111"/>
        <v>130.77819250675111</v>
      </c>
      <c r="R844" s="78"/>
      <c r="S844" s="78"/>
      <c r="T844" s="78"/>
      <c r="U844" s="78"/>
      <c r="V844" s="78"/>
      <c r="W844" s="78"/>
      <c r="X844" s="78"/>
      <c r="Y844" s="78"/>
      <c r="Z844" s="78"/>
      <c r="AA844" s="78"/>
      <c r="AB844" s="78"/>
      <c r="AC844" s="78"/>
      <c r="AD844" s="78"/>
      <c r="AE844" s="78"/>
      <c r="AF844" s="78"/>
      <c r="AG844" s="78"/>
      <c r="AH844" s="78"/>
      <c r="AI844" s="78"/>
      <c r="AJ844" s="78"/>
      <c r="AK844" s="78"/>
      <c r="AL844" s="78"/>
      <c r="AM844" s="78"/>
      <c r="AN844" s="78"/>
      <c r="AO844" s="78"/>
      <c r="AP844" s="78"/>
      <c r="AQ844" s="78"/>
      <c r="AR844" s="78"/>
      <c r="AS844" s="78"/>
      <c r="AT844" s="78"/>
      <c r="AU844" s="78"/>
      <c r="AV844" s="78"/>
      <c r="AW844" s="78"/>
      <c r="AX844" s="78"/>
      <c r="AY844" s="78"/>
      <c r="AZ844" s="78"/>
      <c r="BA844" s="78"/>
      <c r="BB844" s="78"/>
      <c r="BC844" s="78"/>
      <c r="BD844" s="78"/>
      <c r="BE844" s="78"/>
      <c r="BF844" s="78"/>
      <c r="BG844" s="78"/>
      <c r="BH844" s="78"/>
      <c r="BI844" s="78"/>
      <c r="BJ844" s="78"/>
      <c r="BK844" s="78"/>
      <c r="BL844" s="78"/>
      <c r="BM844" s="78"/>
      <c r="BN844" s="78"/>
      <c r="BO844" s="78"/>
      <c r="BP844" s="78"/>
      <c r="BQ844" s="78"/>
      <c r="BR844" s="78"/>
      <c r="BS844" s="78"/>
      <c r="BT844" s="78"/>
      <c r="BU844" s="78"/>
      <c r="BV844" s="78"/>
      <c r="BW844" s="78"/>
      <c r="BX844" s="78"/>
      <c r="BY844" s="78"/>
      <c r="BZ844" s="78"/>
      <c r="CA844" s="78"/>
      <c r="CB844" s="78"/>
      <c r="CC844" s="78"/>
      <c r="CD844" s="78"/>
      <c r="CE844" s="78"/>
      <c r="CF844" s="78"/>
      <c r="CG844" s="78"/>
      <c r="CH844" s="78"/>
      <c r="CI844" s="78"/>
      <c r="CJ844" s="78"/>
      <c r="CK844" s="78"/>
      <c r="CL844" s="78"/>
      <c r="CM844" s="78"/>
      <c r="CN844" s="78"/>
      <c r="CO844" s="78"/>
      <c r="CP844" s="78"/>
      <c r="CQ844" s="78"/>
      <c r="CR844" s="78"/>
      <c r="CS844" s="78"/>
      <c r="CT844" s="78"/>
      <c r="CU844" s="78"/>
      <c r="CV844" s="78"/>
      <c r="CW844" s="78"/>
      <c r="CX844" s="78"/>
      <c r="CY844" s="78"/>
      <c r="CZ844" s="78"/>
      <c r="DA844" s="78"/>
      <c r="DB844" s="78"/>
      <c r="DC844" s="78"/>
      <c r="DD844" s="78"/>
      <c r="DE844" s="78"/>
      <c r="DF844" s="78"/>
      <c r="DG844" s="78"/>
      <c r="DH844" s="78"/>
      <c r="DI844" s="78"/>
      <c r="DJ844" s="78"/>
      <c r="DK844" s="78"/>
      <c r="DL844" s="78"/>
      <c r="DM844" s="78"/>
      <c r="DN844" s="78"/>
      <c r="DO844" s="78"/>
      <c r="DP844" s="78"/>
      <c r="DQ844" s="78"/>
      <c r="DR844" s="78"/>
      <c r="DS844" s="78"/>
      <c r="DT844" s="78"/>
      <c r="DU844" s="78"/>
      <c r="DV844" s="78"/>
      <c r="DW844" s="78"/>
      <c r="DX844" s="78"/>
      <c r="DY844" s="78"/>
      <c r="DZ844" s="78"/>
      <c r="EA844" s="78"/>
      <c r="EB844" s="78"/>
      <c r="EC844" s="78"/>
    </row>
    <row r="846" spans="1:133" ht="15.6" customHeight="1" x14ac:dyDescent="0.25">
      <c r="A846" s="36" t="s">
        <v>64</v>
      </c>
      <c r="B846" s="36"/>
      <c r="C846" s="36"/>
      <c r="D846" s="36"/>
      <c r="E846" s="36"/>
    </row>
    <row r="847" spans="1:133" x14ac:dyDescent="0.25">
      <c r="A847" s="57" t="s">
        <v>8</v>
      </c>
      <c r="B847" s="58" t="s">
        <v>9</v>
      </c>
      <c r="C847" s="34" t="s">
        <v>10</v>
      </c>
      <c r="D847" s="34" t="s">
        <v>340</v>
      </c>
      <c r="E847" s="16" t="s">
        <v>65</v>
      </c>
    </row>
    <row r="848" spans="1:133" s="13" customFormat="1" ht="46.8" x14ac:dyDescent="0.25">
      <c r="A848" s="59" t="s">
        <v>66</v>
      </c>
      <c r="B848" s="60" t="s">
        <v>14</v>
      </c>
      <c r="C848" s="53" t="s">
        <v>67</v>
      </c>
      <c r="D848" s="53" t="s">
        <v>68</v>
      </c>
      <c r="E848" s="75">
        <v>0</v>
      </c>
      <c r="R848" s="14"/>
      <c r="S848" s="14"/>
      <c r="T848" s="14"/>
      <c r="U848" s="14"/>
      <c r="V848" s="14"/>
      <c r="W848" s="14"/>
      <c r="X848" s="14"/>
      <c r="Y848" s="14"/>
      <c r="Z848" s="14"/>
      <c r="AA848" s="14"/>
      <c r="AB848" s="14"/>
      <c r="AC848" s="14"/>
      <c r="AD848" s="14"/>
      <c r="AE848" s="14"/>
      <c r="AF848" s="14"/>
      <c r="AG848" s="14"/>
      <c r="AH848" s="14"/>
      <c r="AI848" s="14"/>
      <c r="AJ848" s="14"/>
      <c r="AK848" s="14"/>
      <c r="AL848" s="14"/>
      <c r="AM848" s="14"/>
      <c r="AN848" s="14"/>
      <c r="AO848" s="14"/>
      <c r="AP848" s="14"/>
      <c r="AQ848" s="14"/>
      <c r="AR848" s="14"/>
      <c r="AS848" s="14"/>
      <c r="AT848" s="14"/>
      <c r="AU848" s="14"/>
      <c r="AV848" s="14"/>
      <c r="AW848" s="14"/>
      <c r="AX848" s="14"/>
      <c r="AY848" s="14"/>
      <c r="AZ848" s="14"/>
      <c r="BA848" s="14"/>
      <c r="BB848" s="14"/>
      <c r="BC848" s="14"/>
      <c r="BD848" s="14"/>
      <c r="BE848" s="14"/>
      <c r="BF848" s="14"/>
      <c r="BG848" s="14"/>
      <c r="BH848" s="14"/>
      <c r="BI848" s="14"/>
      <c r="BJ848" s="14"/>
      <c r="BK848" s="14"/>
      <c r="BL848" s="14"/>
      <c r="BM848" s="14"/>
      <c r="BN848" s="14"/>
      <c r="BO848" s="14"/>
      <c r="BP848" s="14"/>
      <c r="BQ848" s="14"/>
      <c r="BR848" s="14"/>
      <c r="BS848" s="14"/>
      <c r="BT848" s="14"/>
      <c r="BU848" s="14"/>
      <c r="BV848" s="14"/>
      <c r="BW848" s="14"/>
      <c r="BX848" s="14"/>
      <c r="BY848" s="14"/>
      <c r="BZ848" s="14"/>
      <c r="CA848" s="14"/>
      <c r="CB848" s="14"/>
      <c r="CC848" s="14"/>
      <c r="CD848" s="14"/>
      <c r="CE848" s="14"/>
      <c r="CF848" s="14"/>
      <c r="CG848" s="14"/>
      <c r="CH848" s="14"/>
      <c r="CI848" s="14"/>
      <c r="CJ848" s="14"/>
      <c r="CK848" s="14"/>
      <c r="CL848" s="14"/>
      <c r="CM848" s="14"/>
      <c r="CN848" s="14"/>
      <c r="CO848" s="14"/>
      <c r="CP848" s="14"/>
      <c r="CQ848" s="14"/>
      <c r="CR848" s="14"/>
      <c r="CS848" s="14"/>
      <c r="CT848" s="14"/>
      <c r="CU848" s="14"/>
      <c r="CV848" s="14"/>
      <c r="CW848" s="14"/>
      <c r="CX848" s="14"/>
      <c r="CY848" s="14"/>
      <c r="CZ848" s="14"/>
      <c r="DA848" s="14"/>
      <c r="DB848" s="14"/>
      <c r="DC848" s="14"/>
      <c r="DD848" s="14"/>
      <c r="DE848" s="14"/>
      <c r="DF848" s="14"/>
      <c r="DG848" s="14"/>
      <c r="DH848" s="14"/>
      <c r="DI848" s="14"/>
      <c r="DJ848" s="14"/>
      <c r="DK848" s="14"/>
      <c r="DL848" s="14"/>
      <c r="DM848" s="14"/>
      <c r="DN848" s="14"/>
      <c r="DO848" s="14"/>
      <c r="DP848" s="14"/>
      <c r="DQ848" s="14"/>
      <c r="DR848" s="14"/>
      <c r="DS848" s="14"/>
      <c r="DT848" s="14"/>
      <c r="DU848" s="14"/>
      <c r="DV848" s="14"/>
      <c r="DW848" s="14"/>
      <c r="DX848" s="14"/>
      <c r="DY848" s="14"/>
      <c r="DZ848" s="14"/>
      <c r="EA848" s="14"/>
      <c r="EB848" s="14"/>
      <c r="EC848" s="14"/>
    </row>
    <row r="849" spans="1:133" s="13" customFormat="1" ht="46.8" x14ac:dyDescent="0.25">
      <c r="A849" s="63" t="s">
        <v>69</v>
      </c>
      <c r="B849" s="25" t="s">
        <v>70</v>
      </c>
      <c r="C849" s="35" t="s">
        <v>71</v>
      </c>
      <c r="D849" s="53" t="str">
        <f>D855</f>
        <v>Historical data on site in the FSR (It was calculated with conservative value)</v>
      </c>
      <c r="E849" s="74">
        <f>E855</f>
        <v>345.61862959626899</v>
      </c>
      <c r="R849" s="14"/>
      <c r="S849" s="14"/>
      <c r="T849" s="14"/>
      <c r="U849" s="14"/>
      <c r="V849" s="14"/>
      <c r="W849" s="14"/>
      <c r="X849" s="14"/>
      <c r="Y849" s="14"/>
      <c r="Z849" s="14"/>
      <c r="AA849" s="14"/>
      <c r="AB849" s="14"/>
      <c r="AC849" s="14"/>
      <c r="AD849" s="14"/>
      <c r="AE849" s="14"/>
      <c r="AF849" s="14"/>
      <c r="AG849" s="14"/>
      <c r="AH849" s="14"/>
      <c r="AI849" s="14"/>
      <c r="AJ849" s="14"/>
      <c r="AK849" s="14"/>
      <c r="AL849" s="14"/>
      <c r="AM849" s="14"/>
      <c r="AN849" s="14"/>
      <c r="AO849" s="14"/>
      <c r="AP849" s="14"/>
      <c r="AQ849" s="14"/>
      <c r="AR849" s="14"/>
      <c r="AS849" s="14"/>
      <c r="AT849" s="14"/>
      <c r="AU849" s="14"/>
      <c r="AV849" s="14"/>
      <c r="AW849" s="14"/>
      <c r="AX849" s="14"/>
      <c r="AY849" s="14"/>
      <c r="AZ849" s="14"/>
      <c r="BA849" s="14"/>
      <c r="BB849" s="14"/>
      <c r="BC849" s="14"/>
      <c r="BD849" s="14"/>
      <c r="BE849" s="14"/>
      <c r="BF849" s="14"/>
      <c r="BG849" s="14"/>
      <c r="BH849" s="14"/>
      <c r="BI849" s="14"/>
      <c r="BJ849" s="14"/>
      <c r="BK849" s="14"/>
      <c r="BL849" s="14"/>
      <c r="BM849" s="14"/>
      <c r="BN849" s="14"/>
      <c r="BO849" s="14"/>
      <c r="BP849" s="14"/>
      <c r="BQ849" s="14"/>
      <c r="BR849" s="14"/>
      <c r="BS849" s="14"/>
      <c r="BT849" s="14"/>
      <c r="BU849" s="14"/>
      <c r="BV849" s="14"/>
      <c r="BW849" s="14"/>
      <c r="BX849" s="14"/>
      <c r="BY849" s="14"/>
      <c r="BZ849" s="14"/>
      <c r="CA849" s="14"/>
      <c r="CB849" s="14"/>
      <c r="CC849" s="14"/>
      <c r="CD849" s="14"/>
      <c r="CE849" s="14"/>
      <c r="CF849" s="14"/>
      <c r="CG849" s="14"/>
      <c r="CH849" s="14"/>
      <c r="CI849" s="14"/>
      <c r="CJ849" s="14"/>
      <c r="CK849" s="14"/>
      <c r="CL849" s="14"/>
      <c r="CM849" s="14"/>
      <c r="CN849" s="14"/>
      <c r="CO849" s="14"/>
      <c r="CP849" s="14"/>
      <c r="CQ849" s="14"/>
      <c r="CR849" s="14"/>
      <c r="CS849" s="14"/>
      <c r="CT849" s="14"/>
      <c r="CU849" s="14"/>
      <c r="CV849" s="14"/>
      <c r="CW849" s="14"/>
      <c r="CX849" s="14"/>
      <c r="CY849" s="14"/>
      <c r="CZ849" s="14"/>
      <c r="DA849" s="14"/>
      <c r="DB849" s="14"/>
      <c r="DC849" s="14"/>
      <c r="DD849" s="14"/>
      <c r="DE849" s="14"/>
      <c r="DF849" s="14"/>
      <c r="DG849" s="14"/>
      <c r="DH849" s="14"/>
      <c r="DI849" s="14"/>
      <c r="DJ849" s="14"/>
      <c r="DK849" s="14"/>
      <c r="DL849" s="14"/>
      <c r="DM849" s="14"/>
      <c r="DN849" s="14"/>
      <c r="DO849" s="14"/>
      <c r="DP849" s="14"/>
      <c r="DQ849" s="14"/>
      <c r="DR849" s="14"/>
      <c r="DS849" s="14"/>
      <c r="DT849" s="14"/>
      <c r="DU849" s="14"/>
      <c r="DV849" s="14"/>
      <c r="DW849" s="14"/>
      <c r="DX849" s="14"/>
      <c r="DY849" s="14"/>
      <c r="DZ849" s="14"/>
      <c r="EA849" s="14"/>
      <c r="EB849" s="14"/>
      <c r="EC849" s="14"/>
    </row>
    <row r="850" spans="1:133" s="13" customFormat="1" x14ac:dyDescent="0.25">
      <c r="A850" s="14"/>
      <c r="C850" s="12"/>
      <c r="D850" s="12"/>
      <c r="R850" s="14"/>
      <c r="S850" s="14"/>
      <c r="T850" s="14"/>
      <c r="U850" s="14"/>
      <c r="V850" s="14"/>
      <c r="W850" s="14"/>
      <c r="X850" s="14"/>
      <c r="Y850" s="14"/>
      <c r="Z850" s="14"/>
      <c r="AA850" s="14"/>
      <c r="AB850" s="14"/>
      <c r="AC850" s="14"/>
      <c r="AD850" s="14"/>
      <c r="AE850" s="14"/>
      <c r="AF850" s="14"/>
      <c r="AG850" s="14"/>
      <c r="AH850" s="14"/>
      <c r="AI850" s="14"/>
      <c r="AJ850" s="14"/>
      <c r="AK850" s="14"/>
      <c r="AL850" s="14"/>
      <c r="AM850" s="14"/>
      <c r="AN850" s="14"/>
      <c r="AO850" s="14"/>
      <c r="AP850" s="14"/>
      <c r="AQ850" s="14"/>
      <c r="AR850" s="14"/>
      <c r="AS850" s="14"/>
      <c r="AT850" s="14"/>
      <c r="AU850" s="14"/>
      <c r="AV850" s="14"/>
      <c r="AW850" s="14"/>
      <c r="AX850" s="14"/>
      <c r="AY850" s="14"/>
      <c r="AZ850" s="14"/>
      <c r="BA850" s="14"/>
      <c r="BB850" s="14"/>
      <c r="BC850" s="14"/>
      <c r="BD850" s="14"/>
      <c r="BE850" s="14"/>
      <c r="BF850" s="14"/>
      <c r="BG850" s="14"/>
      <c r="BH850" s="14"/>
      <c r="BI850" s="14"/>
      <c r="BJ850" s="14"/>
      <c r="BK850" s="14"/>
      <c r="BL850" s="14"/>
      <c r="BM850" s="14"/>
      <c r="BN850" s="14"/>
      <c r="BO850" s="14"/>
      <c r="BP850" s="14"/>
      <c r="BQ850" s="14"/>
      <c r="BR850" s="14"/>
      <c r="BS850" s="14"/>
      <c r="BT850" s="14"/>
      <c r="BU850" s="14"/>
      <c r="BV850" s="14"/>
      <c r="BW850" s="14"/>
      <c r="BX850" s="14"/>
      <c r="BY850" s="14"/>
      <c r="BZ850" s="14"/>
      <c r="CA850" s="14"/>
      <c r="CB850" s="14"/>
      <c r="CC850" s="14"/>
      <c r="CD850" s="14"/>
      <c r="CE850" s="14"/>
      <c r="CF850" s="14"/>
      <c r="CG850" s="14"/>
      <c r="CH850" s="14"/>
      <c r="CI850" s="14"/>
      <c r="CJ850" s="14"/>
      <c r="CK850" s="14"/>
      <c r="CL850" s="14"/>
      <c r="CM850" s="14"/>
      <c r="CN850" s="14"/>
      <c r="CO850" s="14"/>
      <c r="CP850" s="14"/>
      <c r="CQ850" s="14"/>
      <c r="CR850" s="14"/>
      <c r="CS850" s="14"/>
      <c r="CT850" s="14"/>
      <c r="CU850" s="14"/>
      <c r="CV850" s="14"/>
      <c r="CW850" s="14"/>
      <c r="CX850" s="14"/>
      <c r="CY850" s="14"/>
      <c r="CZ850" s="14"/>
      <c r="DA850" s="14"/>
      <c r="DB850" s="14"/>
      <c r="DC850" s="14"/>
      <c r="DD850" s="14"/>
      <c r="DE850" s="14"/>
      <c r="DF850" s="14"/>
      <c r="DG850" s="14"/>
      <c r="DH850" s="14"/>
      <c r="DI850" s="14"/>
      <c r="DJ850" s="14"/>
      <c r="DK850" s="14"/>
      <c r="DL850" s="14"/>
      <c r="DM850" s="14"/>
      <c r="DN850" s="14"/>
      <c r="DO850" s="14"/>
      <c r="DP850" s="14"/>
      <c r="DQ850" s="14"/>
      <c r="DR850" s="14"/>
      <c r="DS850" s="14"/>
      <c r="DT850" s="14"/>
      <c r="DU850" s="14"/>
      <c r="DV850" s="14"/>
      <c r="DW850" s="14"/>
      <c r="DX850" s="14"/>
      <c r="DY850" s="14"/>
      <c r="DZ850" s="14"/>
      <c r="EA850" s="14"/>
      <c r="EB850" s="14"/>
      <c r="EC850" s="14"/>
    </row>
    <row r="851" spans="1:133" s="13" customFormat="1" ht="15.6" customHeight="1" x14ac:dyDescent="0.25">
      <c r="A851" s="90" t="s">
        <v>72</v>
      </c>
      <c r="B851" s="90"/>
      <c r="C851" s="91"/>
      <c r="D851" s="91"/>
      <c r="E851" s="90"/>
      <c r="R851" s="14"/>
      <c r="S851" s="14"/>
      <c r="T851" s="14"/>
      <c r="U851" s="14"/>
      <c r="V851" s="14"/>
      <c r="W851" s="14"/>
      <c r="X851" s="14"/>
      <c r="Y851" s="14"/>
      <c r="Z851" s="14"/>
      <c r="AA851" s="14"/>
      <c r="AB851" s="14"/>
      <c r="AC851" s="14"/>
      <c r="AD851" s="14"/>
      <c r="AE851" s="14"/>
      <c r="AF851" s="14"/>
      <c r="AG851" s="14"/>
      <c r="AH851" s="14"/>
      <c r="AI851" s="14"/>
      <c r="AJ851" s="14"/>
      <c r="AK851" s="14"/>
      <c r="AL851" s="14"/>
      <c r="AM851" s="14"/>
      <c r="AN851" s="14"/>
      <c r="AO851" s="14"/>
      <c r="AP851" s="14"/>
      <c r="AQ851" s="14"/>
      <c r="AR851" s="14"/>
      <c r="AS851" s="14"/>
      <c r="AT851" s="14"/>
      <c r="AU851" s="14"/>
      <c r="AV851" s="14"/>
      <c r="AW851" s="14"/>
      <c r="AX851" s="14"/>
      <c r="AY851" s="14"/>
      <c r="AZ851" s="14"/>
      <c r="BA851" s="14"/>
      <c r="BB851" s="14"/>
      <c r="BC851" s="14"/>
      <c r="BD851" s="14"/>
      <c r="BE851" s="14"/>
      <c r="BF851" s="14"/>
      <c r="BG851" s="14"/>
      <c r="BH851" s="14"/>
      <c r="BI851" s="14"/>
      <c r="BJ851" s="14"/>
      <c r="BK851" s="14"/>
      <c r="BL851" s="14"/>
      <c r="BM851" s="14"/>
      <c r="BN851" s="14"/>
      <c r="BO851" s="14"/>
      <c r="BP851" s="14"/>
      <c r="BQ851" s="14"/>
      <c r="BR851" s="14"/>
      <c r="BS851" s="14"/>
      <c r="BT851" s="14"/>
      <c r="BU851" s="14"/>
      <c r="BV851" s="14"/>
      <c r="BW851" s="14"/>
      <c r="BX851" s="14"/>
      <c r="BY851" s="14"/>
      <c r="BZ851" s="14"/>
      <c r="CA851" s="14"/>
      <c r="CB851" s="14"/>
      <c r="CC851" s="14"/>
      <c r="CD851" s="14"/>
      <c r="CE851" s="14"/>
      <c r="CF851" s="14"/>
      <c r="CG851" s="14"/>
      <c r="CH851" s="14"/>
      <c r="CI851" s="14"/>
      <c r="CJ851" s="14"/>
      <c r="CK851" s="14"/>
      <c r="CL851" s="14"/>
      <c r="CM851" s="14"/>
      <c r="CN851" s="14"/>
      <c r="CO851" s="14"/>
      <c r="CP851" s="14"/>
      <c r="CQ851" s="14"/>
      <c r="CR851" s="14"/>
      <c r="CS851" s="14"/>
      <c r="CT851" s="14"/>
      <c r="CU851" s="14"/>
      <c r="CV851" s="14"/>
      <c r="CW851" s="14"/>
      <c r="CX851" s="14"/>
      <c r="CY851" s="14"/>
      <c r="CZ851" s="14"/>
      <c r="DA851" s="14"/>
      <c r="DB851" s="14"/>
      <c r="DC851" s="14"/>
      <c r="DD851" s="14"/>
      <c r="DE851" s="14"/>
      <c r="DF851" s="14"/>
      <c r="DG851" s="14"/>
      <c r="DH851" s="14"/>
      <c r="DI851" s="14"/>
      <c r="DJ851" s="14"/>
      <c r="DK851" s="14"/>
      <c r="DL851" s="14"/>
      <c r="DM851" s="14"/>
      <c r="DN851" s="14"/>
      <c r="DO851" s="14"/>
      <c r="DP851" s="14"/>
      <c r="DQ851" s="14"/>
      <c r="DR851" s="14"/>
      <c r="DS851" s="14"/>
      <c r="DT851" s="14"/>
      <c r="DU851" s="14"/>
      <c r="DV851" s="14"/>
      <c r="DW851" s="14"/>
      <c r="DX851" s="14"/>
      <c r="DY851" s="14"/>
      <c r="DZ851" s="14"/>
      <c r="EA851" s="14"/>
      <c r="EB851" s="14"/>
      <c r="EC851" s="14"/>
    </row>
    <row r="852" spans="1:133" s="13" customFormat="1" x14ac:dyDescent="0.25">
      <c r="A852" s="59" t="s">
        <v>8</v>
      </c>
      <c r="B852" s="16" t="s">
        <v>9</v>
      </c>
      <c r="C852" s="38" t="s">
        <v>10</v>
      </c>
      <c r="D852" s="38" t="s">
        <v>340</v>
      </c>
      <c r="E852" s="16" t="s">
        <v>65</v>
      </c>
      <c r="R852" s="14"/>
      <c r="S852" s="14"/>
      <c r="T852" s="14"/>
      <c r="U852" s="14"/>
      <c r="V852" s="14"/>
      <c r="W852" s="14"/>
      <c r="X852" s="14"/>
      <c r="Y852" s="14"/>
      <c r="Z852" s="14"/>
      <c r="AA852" s="14"/>
      <c r="AB852" s="14"/>
      <c r="AC852" s="14"/>
      <c r="AD852" s="14"/>
      <c r="AE852" s="14"/>
      <c r="AF852" s="14"/>
      <c r="AG852" s="14"/>
      <c r="AH852" s="14"/>
      <c r="AI852" s="14"/>
      <c r="AJ852" s="14"/>
      <c r="AK852" s="14"/>
      <c r="AL852" s="14"/>
      <c r="AM852" s="14"/>
      <c r="AN852" s="14"/>
      <c r="AO852" s="14"/>
      <c r="AP852" s="14"/>
      <c r="AQ852" s="14"/>
      <c r="AR852" s="14"/>
      <c r="AS852" s="14"/>
      <c r="AT852" s="14"/>
      <c r="AU852" s="14"/>
      <c r="AV852" s="14"/>
      <c r="AW852" s="14"/>
      <c r="AX852" s="14"/>
      <c r="AY852" s="14"/>
      <c r="AZ852" s="14"/>
      <c r="BA852" s="14"/>
      <c r="BB852" s="14"/>
      <c r="BC852" s="14"/>
      <c r="BD852" s="14"/>
      <c r="BE852" s="14"/>
      <c r="BF852" s="14"/>
      <c r="BG852" s="14"/>
      <c r="BH852" s="14"/>
      <c r="BI852" s="14"/>
      <c r="BJ852" s="14"/>
      <c r="BK852" s="14"/>
      <c r="BL852" s="14"/>
      <c r="BM852" s="14"/>
      <c r="BN852" s="14"/>
      <c r="BO852" s="14"/>
      <c r="BP852" s="14"/>
      <c r="BQ852" s="14"/>
      <c r="BR852" s="14"/>
      <c r="BS852" s="14"/>
      <c r="BT852" s="14"/>
      <c r="BU852" s="14"/>
      <c r="BV852" s="14"/>
      <c r="BW852" s="14"/>
      <c r="BX852" s="14"/>
      <c r="BY852" s="14"/>
      <c r="BZ852" s="14"/>
      <c r="CA852" s="14"/>
      <c r="CB852" s="14"/>
      <c r="CC852" s="14"/>
      <c r="CD852" s="14"/>
      <c r="CE852" s="14"/>
      <c r="CF852" s="14"/>
      <c r="CG852" s="14"/>
      <c r="CH852" s="14"/>
      <c r="CI852" s="14"/>
      <c r="CJ852" s="14"/>
      <c r="CK852" s="14"/>
      <c r="CL852" s="14"/>
      <c r="CM852" s="14"/>
      <c r="CN852" s="14"/>
      <c r="CO852" s="14"/>
      <c r="CP852" s="14"/>
      <c r="CQ852" s="14"/>
      <c r="CR852" s="14"/>
      <c r="CS852" s="14"/>
      <c r="CT852" s="14"/>
      <c r="CU852" s="14"/>
      <c r="CV852" s="14"/>
      <c r="CW852" s="14"/>
      <c r="CX852" s="14"/>
      <c r="CY852" s="14"/>
      <c r="CZ852" s="14"/>
      <c r="DA852" s="14"/>
      <c r="DB852" s="14"/>
      <c r="DC852" s="14"/>
      <c r="DD852" s="14"/>
      <c r="DE852" s="14"/>
      <c r="DF852" s="14"/>
      <c r="DG852" s="14"/>
      <c r="DH852" s="14"/>
      <c r="DI852" s="14"/>
      <c r="DJ852" s="14"/>
      <c r="DK852" s="14"/>
      <c r="DL852" s="14"/>
      <c r="DM852" s="14"/>
      <c r="DN852" s="14"/>
      <c r="DO852" s="14"/>
      <c r="DP852" s="14"/>
      <c r="DQ852" s="14"/>
      <c r="DR852" s="14"/>
      <c r="DS852" s="14"/>
      <c r="DT852" s="14"/>
      <c r="DU852" s="14"/>
      <c r="DV852" s="14"/>
      <c r="DW852" s="14"/>
      <c r="DX852" s="14"/>
      <c r="DY852" s="14"/>
      <c r="DZ852" s="14"/>
      <c r="EA852" s="14"/>
      <c r="EB852" s="14"/>
      <c r="EC852" s="14"/>
    </row>
    <row r="853" spans="1:133" s="13" customFormat="1" ht="33.6" x14ac:dyDescent="0.4">
      <c r="A853" s="76" t="s">
        <v>73</v>
      </c>
      <c r="B853" s="25" t="s">
        <v>74</v>
      </c>
      <c r="C853" s="35" t="s">
        <v>75</v>
      </c>
      <c r="D853" s="35" t="s">
        <v>378</v>
      </c>
      <c r="E853" s="50">
        <f>E854*E857*E858*E859*E860*E861</f>
        <v>1.4038098934096914</v>
      </c>
      <c r="R853" s="14"/>
      <c r="S853" s="14"/>
      <c r="T853" s="14"/>
      <c r="U853" s="14"/>
      <c r="V853" s="14"/>
      <c r="W853" s="14"/>
      <c r="X853" s="14"/>
      <c r="Y853" s="14"/>
      <c r="Z853" s="14"/>
      <c r="AA853" s="14"/>
      <c r="AB853" s="14"/>
      <c r="AC853" s="14"/>
      <c r="AD853" s="14"/>
      <c r="AE853" s="14"/>
      <c r="AF853" s="14"/>
      <c r="AG853" s="14"/>
      <c r="AH853" s="14"/>
      <c r="AI853" s="14"/>
      <c r="AJ853" s="14"/>
      <c r="AK853" s="14"/>
      <c r="AL853" s="14"/>
      <c r="AM853" s="14"/>
      <c r="AN853" s="14"/>
      <c r="AO853" s="14"/>
      <c r="AP853" s="14"/>
      <c r="AQ853" s="14"/>
      <c r="AR853" s="14"/>
      <c r="AS853" s="14"/>
      <c r="AT853" s="14"/>
      <c r="AU853" s="14"/>
      <c r="AV853" s="14"/>
      <c r="AW853" s="14"/>
      <c r="AX853" s="14"/>
      <c r="AY853" s="14"/>
      <c r="AZ853" s="14"/>
      <c r="BA853" s="14"/>
      <c r="BB853" s="14"/>
      <c r="BC853" s="14"/>
      <c r="BD853" s="14"/>
      <c r="BE853" s="14"/>
      <c r="BF853" s="14"/>
      <c r="BG853" s="14"/>
      <c r="BH853" s="14"/>
      <c r="BI853" s="14"/>
      <c r="BJ853" s="14"/>
      <c r="BK853" s="14"/>
      <c r="BL853" s="14"/>
      <c r="BM853" s="14"/>
      <c r="BN853" s="14"/>
      <c r="BO853" s="14"/>
      <c r="BP853" s="14"/>
      <c r="BQ853" s="14"/>
      <c r="BR853" s="14"/>
      <c r="BS853" s="14"/>
      <c r="BT853" s="14"/>
      <c r="BU853" s="14"/>
      <c r="BV853" s="14"/>
      <c r="BW853" s="14"/>
      <c r="BX853" s="14"/>
      <c r="BY853" s="14"/>
      <c r="BZ853" s="14"/>
      <c r="CA853" s="14"/>
      <c r="CB853" s="14"/>
      <c r="CC853" s="14"/>
      <c r="CD853" s="14"/>
      <c r="CE853" s="14"/>
      <c r="CF853" s="14"/>
      <c r="CG853" s="14"/>
      <c r="CH853" s="14"/>
      <c r="CI853" s="14"/>
      <c r="CJ853" s="14"/>
      <c r="CK853" s="14"/>
      <c r="CL853" s="14"/>
      <c r="CM853" s="14"/>
      <c r="CN853" s="14"/>
      <c r="CO853" s="14"/>
      <c r="CP853" s="14"/>
      <c r="CQ853" s="14"/>
      <c r="CR853" s="14"/>
      <c r="CS853" s="14"/>
      <c r="CT853" s="14"/>
      <c r="CU853" s="14"/>
      <c r="CV853" s="14"/>
      <c r="CW853" s="14"/>
      <c r="CX853" s="14"/>
      <c r="CY853" s="14"/>
      <c r="CZ853" s="14"/>
      <c r="DA853" s="14"/>
      <c r="DB853" s="14"/>
      <c r="DC853" s="14"/>
      <c r="DD853" s="14"/>
      <c r="DE853" s="14"/>
      <c r="DF853" s="14"/>
      <c r="DG853" s="14"/>
      <c r="DH853" s="14"/>
      <c r="DI853" s="14"/>
      <c r="DJ853" s="14"/>
      <c r="DK853" s="14"/>
      <c r="DL853" s="14"/>
      <c r="DM853" s="14"/>
      <c r="DN853" s="14"/>
      <c r="DO853" s="14"/>
      <c r="DP853" s="14"/>
      <c r="DQ853" s="14"/>
      <c r="DR853" s="14"/>
      <c r="DS853" s="14"/>
      <c r="DT853" s="14"/>
      <c r="DU853" s="14"/>
      <c r="DV853" s="14"/>
      <c r="DW853" s="14"/>
      <c r="DX853" s="14"/>
      <c r="DY853" s="14"/>
      <c r="DZ853" s="14"/>
      <c r="EA853" s="14"/>
      <c r="EB853" s="14"/>
      <c r="EC853" s="14"/>
    </row>
    <row r="854" spans="1:133" s="13" customFormat="1" ht="46.8" x14ac:dyDescent="0.4">
      <c r="A854" s="77" t="s">
        <v>207</v>
      </c>
      <c r="B854" s="25" t="s">
        <v>76</v>
      </c>
      <c r="C854" s="35" t="s">
        <v>77</v>
      </c>
      <c r="D854" s="35" t="s">
        <v>379</v>
      </c>
      <c r="E854" s="52">
        <f>E855/E856</f>
        <v>69.1237259192538</v>
      </c>
      <c r="R854" s="14"/>
      <c r="S854" s="14"/>
      <c r="T854" s="14"/>
      <c r="U854" s="14"/>
      <c r="V854" s="14"/>
      <c r="W854" s="14"/>
      <c r="X854" s="14"/>
      <c r="Y854" s="14"/>
      <c r="Z854" s="14"/>
      <c r="AA854" s="14"/>
      <c r="AB854" s="14"/>
      <c r="AC854" s="14"/>
      <c r="AD854" s="14"/>
      <c r="AE854" s="14"/>
      <c r="AF854" s="14"/>
      <c r="AG854" s="14"/>
      <c r="AH854" s="14"/>
      <c r="AI854" s="14"/>
      <c r="AJ854" s="14"/>
      <c r="AK854" s="14"/>
      <c r="AL854" s="14"/>
      <c r="AM854" s="14"/>
      <c r="AN854" s="14"/>
      <c r="AO854" s="14"/>
      <c r="AP854" s="14"/>
      <c r="AQ854" s="14"/>
      <c r="AR854" s="14"/>
      <c r="AS854" s="14"/>
      <c r="AT854" s="14"/>
      <c r="AU854" s="14"/>
      <c r="AV854" s="14"/>
      <c r="AW854" s="14"/>
      <c r="AX854" s="14"/>
      <c r="AY854" s="14"/>
      <c r="AZ854" s="14"/>
      <c r="BA854" s="14"/>
      <c r="BB854" s="14"/>
      <c r="BC854" s="14"/>
      <c r="BD854" s="14"/>
      <c r="BE854" s="14"/>
      <c r="BF854" s="14"/>
      <c r="BG854" s="14"/>
      <c r="BH854" s="14"/>
      <c r="BI854" s="14"/>
      <c r="BJ854" s="14"/>
      <c r="BK854" s="14"/>
      <c r="BL854" s="14"/>
      <c r="BM854" s="14"/>
      <c r="BN854" s="14"/>
      <c r="BO854" s="14"/>
      <c r="BP854" s="14"/>
      <c r="BQ854" s="14"/>
      <c r="BR854" s="14"/>
      <c r="BS854" s="14"/>
      <c r="BT854" s="14"/>
      <c r="BU854" s="14"/>
      <c r="BV854" s="14"/>
      <c r="BW854" s="14"/>
      <c r="BX854" s="14"/>
      <c r="BY854" s="14"/>
      <c r="BZ854" s="14"/>
      <c r="CA854" s="14"/>
      <c r="CB854" s="14"/>
      <c r="CC854" s="14"/>
      <c r="CD854" s="14"/>
      <c r="CE854" s="14"/>
      <c r="CF854" s="14"/>
      <c r="CG854" s="14"/>
      <c r="CH854" s="14"/>
      <c r="CI854" s="14"/>
      <c r="CJ854" s="14"/>
      <c r="CK854" s="14"/>
      <c r="CL854" s="14"/>
      <c r="CM854" s="14"/>
      <c r="CN854" s="14"/>
      <c r="CO854" s="14"/>
      <c r="CP854" s="14"/>
      <c r="CQ854" s="14"/>
      <c r="CR854" s="14"/>
      <c r="CS854" s="14"/>
      <c r="CT854" s="14"/>
      <c r="CU854" s="14"/>
      <c r="CV854" s="14"/>
      <c r="CW854" s="14"/>
      <c r="CX854" s="14"/>
      <c r="CY854" s="14"/>
      <c r="CZ854" s="14"/>
      <c r="DA854" s="14"/>
      <c r="DB854" s="14"/>
      <c r="DC854" s="14"/>
      <c r="DD854" s="14"/>
      <c r="DE854" s="14"/>
      <c r="DF854" s="14"/>
      <c r="DG854" s="14"/>
      <c r="DH854" s="14"/>
      <c r="DI854" s="14"/>
      <c r="DJ854" s="14"/>
      <c r="DK854" s="14"/>
      <c r="DL854" s="14"/>
      <c r="DM854" s="14"/>
      <c r="DN854" s="14"/>
      <c r="DO854" s="14"/>
      <c r="DP854" s="14"/>
      <c r="DQ854" s="14"/>
      <c r="DR854" s="14"/>
      <c r="DS854" s="14"/>
      <c r="DT854" s="14"/>
      <c r="DU854" s="14"/>
      <c r="DV854" s="14"/>
      <c r="DW854" s="14"/>
      <c r="DX854" s="14"/>
      <c r="DY854" s="14"/>
      <c r="DZ854" s="14"/>
      <c r="EA854" s="14"/>
      <c r="EB854" s="14"/>
      <c r="EC854" s="14"/>
    </row>
    <row r="855" spans="1:133" s="13" customFormat="1" ht="46.8" x14ac:dyDescent="0.25">
      <c r="A855" s="63" t="s">
        <v>208</v>
      </c>
      <c r="B855" s="25" t="s">
        <v>78</v>
      </c>
      <c r="C855" s="35" t="s">
        <v>79</v>
      </c>
      <c r="D855" s="53" t="s">
        <v>352</v>
      </c>
      <c r="E855" s="52">
        <f>0.000186077761318741*E828</f>
        <v>345.61862959626899</v>
      </c>
      <c r="R855" s="14"/>
      <c r="S855" s="14"/>
      <c r="T855" s="14"/>
      <c r="U855" s="14"/>
      <c r="V855" s="14"/>
      <c r="W855" s="14"/>
      <c r="X855" s="14"/>
      <c r="Y855" s="14"/>
      <c r="Z855" s="14"/>
      <c r="AA855" s="14"/>
      <c r="AB855" s="14"/>
      <c r="AC855" s="14"/>
      <c r="AD855" s="14"/>
      <c r="AE855" s="14"/>
      <c r="AF855" s="14"/>
      <c r="AG855" s="14"/>
      <c r="AH855" s="14"/>
      <c r="AI855" s="14"/>
      <c r="AJ855" s="14"/>
      <c r="AK855" s="14"/>
      <c r="AL855" s="14"/>
      <c r="AM855" s="14"/>
      <c r="AN855" s="14"/>
      <c r="AO855" s="14"/>
      <c r="AP855" s="14"/>
      <c r="AQ855" s="14"/>
      <c r="AR855" s="14"/>
      <c r="AS855" s="14"/>
      <c r="AT855" s="14"/>
      <c r="AU855" s="14"/>
      <c r="AV855" s="14"/>
      <c r="AW855" s="14"/>
      <c r="AX855" s="14"/>
      <c r="AY855" s="14"/>
      <c r="AZ855" s="14"/>
      <c r="BA855" s="14"/>
      <c r="BB855" s="14"/>
      <c r="BC855" s="14"/>
      <c r="BD855" s="14"/>
      <c r="BE855" s="14"/>
      <c r="BF855" s="14"/>
      <c r="BG855" s="14"/>
      <c r="BH855" s="14"/>
      <c r="BI855" s="14"/>
      <c r="BJ855" s="14"/>
      <c r="BK855" s="14"/>
      <c r="BL855" s="14"/>
      <c r="BM855" s="14"/>
      <c r="BN855" s="14"/>
      <c r="BO855" s="14"/>
      <c r="BP855" s="14"/>
      <c r="BQ855" s="14"/>
      <c r="BR855" s="14"/>
      <c r="BS855" s="14"/>
      <c r="BT855" s="14"/>
      <c r="BU855" s="14"/>
      <c r="BV855" s="14"/>
      <c r="BW855" s="14"/>
      <c r="BX855" s="14"/>
      <c r="BY855" s="14"/>
      <c r="BZ855" s="14"/>
      <c r="CA855" s="14"/>
      <c r="CB855" s="14"/>
      <c r="CC855" s="14"/>
      <c r="CD855" s="14"/>
      <c r="CE855" s="14"/>
      <c r="CF855" s="14"/>
      <c r="CG855" s="14"/>
      <c r="CH855" s="14"/>
      <c r="CI855" s="14"/>
      <c r="CJ855" s="14"/>
      <c r="CK855" s="14"/>
      <c r="CL855" s="14"/>
      <c r="CM855" s="14"/>
      <c r="CN855" s="14"/>
      <c r="CO855" s="14"/>
      <c r="CP855" s="14"/>
      <c r="CQ855" s="14"/>
      <c r="CR855" s="14"/>
      <c r="CS855" s="14"/>
      <c r="CT855" s="14"/>
      <c r="CU855" s="14"/>
      <c r="CV855" s="14"/>
      <c r="CW855" s="14"/>
      <c r="CX855" s="14"/>
      <c r="CY855" s="14"/>
      <c r="CZ855" s="14"/>
      <c r="DA855" s="14"/>
      <c r="DB855" s="14"/>
      <c r="DC855" s="14"/>
      <c r="DD855" s="14"/>
      <c r="DE855" s="14"/>
      <c r="DF855" s="14"/>
      <c r="DG855" s="14"/>
      <c r="DH855" s="14"/>
      <c r="DI855" s="14"/>
      <c r="DJ855" s="14"/>
      <c r="DK855" s="14"/>
      <c r="DL855" s="14"/>
      <c r="DM855" s="14"/>
      <c r="DN855" s="14"/>
      <c r="DO855" s="14"/>
      <c r="DP855" s="14"/>
      <c r="DQ855" s="14"/>
      <c r="DR855" s="14"/>
      <c r="DS855" s="14"/>
      <c r="DT855" s="14"/>
      <c r="DU855" s="14"/>
      <c r="DV855" s="14"/>
      <c r="DW855" s="14"/>
      <c r="DX855" s="14"/>
      <c r="DY855" s="14"/>
      <c r="DZ855" s="14"/>
      <c r="EA855" s="14"/>
      <c r="EB855" s="14"/>
      <c r="EC855" s="14"/>
    </row>
    <row r="856" spans="1:133" s="13" customFormat="1" ht="31.2" x14ac:dyDescent="0.25">
      <c r="A856" s="63" t="s">
        <v>209</v>
      </c>
      <c r="B856" s="25" t="s">
        <v>80</v>
      </c>
      <c r="C856" s="35" t="s">
        <v>81</v>
      </c>
      <c r="D856" s="35" t="s">
        <v>353</v>
      </c>
      <c r="E856" s="25">
        <f>5</f>
        <v>5</v>
      </c>
      <c r="R856" s="14"/>
      <c r="S856" s="14"/>
      <c r="T856" s="14"/>
      <c r="U856" s="14"/>
      <c r="V856" s="14"/>
      <c r="W856" s="14"/>
      <c r="X856" s="14"/>
      <c r="Y856" s="14"/>
      <c r="Z856" s="14"/>
      <c r="AA856" s="14"/>
      <c r="AB856" s="14"/>
      <c r="AC856" s="14"/>
      <c r="AD856" s="14"/>
      <c r="AE856" s="14"/>
      <c r="AF856" s="14"/>
      <c r="AG856" s="14"/>
      <c r="AH856" s="14"/>
      <c r="AI856" s="14"/>
      <c r="AJ856" s="14"/>
      <c r="AK856" s="14"/>
      <c r="AL856" s="14"/>
      <c r="AM856" s="14"/>
      <c r="AN856" s="14"/>
      <c r="AO856" s="14"/>
      <c r="AP856" s="14"/>
      <c r="AQ856" s="14"/>
      <c r="AR856" s="14"/>
      <c r="AS856" s="14"/>
      <c r="AT856" s="14"/>
      <c r="AU856" s="14"/>
      <c r="AV856" s="14"/>
      <c r="AW856" s="14"/>
      <c r="AX856" s="14"/>
      <c r="AY856" s="14"/>
      <c r="AZ856" s="14"/>
      <c r="BA856" s="14"/>
      <c r="BB856" s="14"/>
      <c r="BC856" s="14"/>
      <c r="BD856" s="14"/>
      <c r="BE856" s="14"/>
      <c r="BF856" s="14"/>
      <c r="BG856" s="14"/>
      <c r="BH856" s="14"/>
      <c r="BI856" s="14"/>
      <c r="BJ856" s="14"/>
      <c r="BK856" s="14"/>
      <c r="BL856" s="14"/>
      <c r="BM856" s="14"/>
      <c r="BN856" s="14"/>
      <c r="BO856" s="14"/>
      <c r="BP856" s="14"/>
      <c r="BQ856" s="14"/>
      <c r="BR856" s="14"/>
      <c r="BS856" s="14"/>
      <c r="BT856" s="14"/>
      <c r="BU856" s="14"/>
      <c r="BV856" s="14"/>
      <c r="BW856" s="14"/>
      <c r="BX856" s="14"/>
      <c r="BY856" s="14"/>
      <c r="BZ856" s="14"/>
      <c r="CA856" s="14"/>
      <c r="CB856" s="14"/>
      <c r="CC856" s="14"/>
      <c r="CD856" s="14"/>
      <c r="CE856" s="14"/>
      <c r="CF856" s="14"/>
      <c r="CG856" s="14"/>
      <c r="CH856" s="14"/>
      <c r="CI856" s="14"/>
      <c r="CJ856" s="14"/>
      <c r="CK856" s="14"/>
      <c r="CL856" s="14"/>
      <c r="CM856" s="14"/>
      <c r="CN856" s="14"/>
      <c r="CO856" s="14"/>
      <c r="CP856" s="14"/>
      <c r="CQ856" s="14"/>
      <c r="CR856" s="14"/>
      <c r="CS856" s="14"/>
      <c r="CT856" s="14"/>
      <c r="CU856" s="14"/>
      <c r="CV856" s="14"/>
      <c r="CW856" s="14"/>
      <c r="CX856" s="14"/>
      <c r="CY856" s="14"/>
      <c r="CZ856" s="14"/>
      <c r="DA856" s="14"/>
      <c r="DB856" s="14"/>
      <c r="DC856" s="14"/>
      <c r="DD856" s="14"/>
      <c r="DE856" s="14"/>
      <c r="DF856" s="14"/>
      <c r="DG856" s="14"/>
      <c r="DH856" s="14"/>
      <c r="DI856" s="14"/>
      <c r="DJ856" s="14"/>
      <c r="DK856" s="14"/>
      <c r="DL856" s="14"/>
      <c r="DM856" s="14"/>
      <c r="DN856" s="14"/>
      <c r="DO856" s="14"/>
      <c r="DP856" s="14"/>
      <c r="DQ856" s="14"/>
      <c r="DR856" s="14"/>
      <c r="DS856" s="14"/>
      <c r="DT856" s="14"/>
      <c r="DU856" s="14"/>
      <c r="DV856" s="14"/>
      <c r="DW856" s="14"/>
      <c r="DX856" s="14"/>
      <c r="DY856" s="14"/>
      <c r="DZ856" s="14"/>
      <c r="EA856" s="14"/>
      <c r="EB856" s="14"/>
      <c r="EC856" s="14"/>
    </row>
    <row r="857" spans="1:133" s="13" customFormat="1" ht="62.4" x14ac:dyDescent="0.25">
      <c r="A857" s="63" t="s">
        <v>210</v>
      </c>
      <c r="B857" s="25" t="s">
        <v>82</v>
      </c>
      <c r="C857" s="35" t="s">
        <v>83</v>
      </c>
      <c r="D857" s="53" t="s">
        <v>354</v>
      </c>
      <c r="E857" s="25">
        <f>15*2</f>
        <v>30</v>
      </c>
      <c r="R857" s="14"/>
      <c r="S857" s="14"/>
      <c r="T857" s="14"/>
      <c r="U857" s="14"/>
      <c r="V857" s="14"/>
      <c r="W857" s="14"/>
      <c r="X857" s="14"/>
      <c r="Y857" s="14"/>
      <c r="Z857" s="14"/>
      <c r="AA857" s="14"/>
      <c r="AB857" s="14"/>
      <c r="AC857" s="14"/>
      <c r="AD857" s="14"/>
      <c r="AE857" s="14"/>
      <c r="AF857" s="14"/>
      <c r="AG857" s="14"/>
      <c r="AH857" s="14"/>
      <c r="AI857" s="14"/>
      <c r="AJ857" s="14"/>
      <c r="AK857" s="14"/>
      <c r="AL857" s="14"/>
      <c r="AM857" s="14"/>
      <c r="AN857" s="14"/>
      <c r="AO857" s="14"/>
      <c r="AP857" s="14"/>
      <c r="AQ857" s="14"/>
      <c r="AR857" s="14"/>
      <c r="AS857" s="14"/>
      <c r="AT857" s="14"/>
      <c r="AU857" s="14"/>
      <c r="AV857" s="14"/>
      <c r="AW857" s="14"/>
      <c r="AX857" s="14"/>
      <c r="AY857" s="14"/>
      <c r="AZ857" s="14"/>
      <c r="BA857" s="14"/>
      <c r="BB857" s="14"/>
      <c r="BC857" s="14"/>
      <c r="BD857" s="14"/>
      <c r="BE857" s="14"/>
      <c r="BF857" s="14"/>
      <c r="BG857" s="14"/>
      <c r="BH857" s="14"/>
      <c r="BI857" s="14"/>
      <c r="BJ857" s="14"/>
      <c r="BK857" s="14"/>
      <c r="BL857" s="14"/>
      <c r="BM857" s="14"/>
      <c r="BN857" s="14"/>
      <c r="BO857" s="14"/>
      <c r="BP857" s="14"/>
      <c r="BQ857" s="14"/>
      <c r="BR857" s="14"/>
      <c r="BS857" s="14"/>
      <c r="BT857" s="14"/>
      <c r="BU857" s="14"/>
      <c r="BV857" s="14"/>
      <c r="BW857" s="14"/>
      <c r="BX857" s="14"/>
      <c r="BY857" s="14"/>
      <c r="BZ857" s="14"/>
      <c r="CA857" s="14"/>
      <c r="CB857" s="14"/>
      <c r="CC857" s="14"/>
      <c r="CD857" s="14"/>
      <c r="CE857" s="14"/>
      <c r="CF857" s="14"/>
      <c r="CG857" s="14"/>
      <c r="CH857" s="14"/>
      <c r="CI857" s="14"/>
      <c r="CJ857" s="14"/>
      <c r="CK857" s="14"/>
      <c r="CL857" s="14"/>
      <c r="CM857" s="14"/>
      <c r="CN857" s="14"/>
      <c r="CO857" s="14"/>
      <c r="CP857" s="14"/>
      <c r="CQ857" s="14"/>
      <c r="CR857" s="14"/>
      <c r="CS857" s="14"/>
      <c r="CT857" s="14"/>
      <c r="CU857" s="14"/>
      <c r="CV857" s="14"/>
      <c r="CW857" s="14"/>
      <c r="CX857" s="14"/>
      <c r="CY857" s="14"/>
      <c r="CZ857" s="14"/>
      <c r="DA857" s="14"/>
      <c r="DB857" s="14"/>
      <c r="DC857" s="14"/>
      <c r="DD857" s="14"/>
      <c r="DE857" s="14"/>
      <c r="DF857" s="14"/>
      <c r="DG857" s="14"/>
      <c r="DH857" s="14"/>
      <c r="DI857" s="14"/>
      <c r="DJ857" s="14"/>
      <c r="DK857" s="14"/>
      <c r="DL857" s="14"/>
      <c r="DM857" s="14"/>
      <c r="DN857" s="14"/>
      <c r="DO857" s="14"/>
      <c r="DP857" s="14"/>
      <c r="DQ857" s="14"/>
      <c r="DR857" s="14"/>
      <c r="DS857" s="14"/>
      <c r="DT857" s="14"/>
      <c r="DU857" s="14"/>
      <c r="DV857" s="14"/>
      <c r="DW857" s="14"/>
      <c r="DX857" s="14"/>
      <c r="DY857" s="14"/>
      <c r="DZ857" s="14"/>
      <c r="EA857" s="14"/>
      <c r="EB857" s="14"/>
      <c r="EC857" s="14"/>
    </row>
    <row r="858" spans="1:133" s="13" customFormat="1" ht="172.2" x14ac:dyDescent="0.25">
      <c r="A858" s="63" t="s">
        <v>211</v>
      </c>
      <c r="B858" s="25" t="s">
        <v>84</v>
      </c>
      <c r="C858" s="35" t="s">
        <v>85</v>
      </c>
      <c r="D858" s="35" t="s">
        <v>355</v>
      </c>
      <c r="E858" s="25">
        <f>25.1/100</f>
        <v>0.251</v>
      </c>
      <c r="R858" s="14"/>
      <c r="S858" s="14"/>
      <c r="T858" s="14"/>
      <c r="U858" s="14"/>
      <c r="V858" s="14"/>
      <c r="W858" s="14"/>
      <c r="X858" s="14"/>
      <c r="Y858" s="14"/>
      <c r="Z858" s="14"/>
      <c r="AA858" s="14"/>
      <c r="AB858" s="14"/>
      <c r="AC858" s="14"/>
      <c r="AD858" s="14"/>
      <c r="AE858" s="14"/>
      <c r="AF858" s="14"/>
      <c r="AG858" s="14"/>
      <c r="AH858" s="14"/>
      <c r="AI858" s="14"/>
      <c r="AJ858" s="14"/>
      <c r="AK858" s="14"/>
      <c r="AL858" s="14"/>
      <c r="AM858" s="14"/>
      <c r="AN858" s="14"/>
      <c r="AO858" s="14"/>
      <c r="AP858" s="14"/>
      <c r="AQ858" s="14"/>
      <c r="AR858" s="14"/>
      <c r="AS858" s="14"/>
      <c r="AT858" s="14"/>
      <c r="AU858" s="14"/>
      <c r="AV858" s="14"/>
      <c r="AW858" s="14"/>
      <c r="AX858" s="14"/>
      <c r="AY858" s="14"/>
      <c r="AZ858" s="14"/>
      <c r="BA858" s="14"/>
      <c r="BB858" s="14"/>
      <c r="BC858" s="14"/>
      <c r="BD858" s="14"/>
      <c r="BE858" s="14"/>
      <c r="BF858" s="14"/>
      <c r="BG858" s="14"/>
      <c r="BH858" s="14"/>
      <c r="BI858" s="14"/>
      <c r="BJ858" s="14"/>
      <c r="BK858" s="14"/>
      <c r="BL858" s="14"/>
      <c r="BM858" s="14"/>
      <c r="BN858" s="14"/>
      <c r="BO858" s="14"/>
      <c r="BP858" s="14"/>
      <c r="BQ858" s="14"/>
      <c r="BR858" s="14"/>
      <c r="BS858" s="14"/>
      <c r="BT858" s="14"/>
      <c r="BU858" s="14"/>
      <c r="BV858" s="14"/>
      <c r="BW858" s="14"/>
      <c r="BX858" s="14"/>
      <c r="BY858" s="14"/>
      <c r="BZ858" s="14"/>
      <c r="CA858" s="14"/>
      <c r="CB858" s="14"/>
      <c r="CC858" s="14"/>
      <c r="CD858" s="14"/>
      <c r="CE858" s="14"/>
      <c r="CF858" s="14"/>
      <c r="CG858" s="14"/>
      <c r="CH858" s="14"/>
      <c r="CI858" s="14"/>
      <c r="CJ858" s="14"/>
      <c r="CK858" s="14"/>
      <c r="CL858" s="14"/>
      <c r="CM858" s="14"/>
      <c r="CN858" s="14"/>
      <c r="CO858" s="14"/>
      <c r="CP858" s="14"/>
      <c r="CQ858" s="14"/>
      <c r="CR858" s="14"/>
      <c r="CS858" s="14"/>
      <c r="CT858" s="14"/>
      <c r="CU858" s="14"/>
      <c r="CV858" s="14"/>
      <c r="CW858" s="14"/>
      <c r="CX858" s="14"/>
      <c r="CY858" s="14"/>
      <c r="CZ858" s="14"/>
      <c r="DA858" s="14"/>
      <c r="DB858" s="14"/>
      <c r="DC858" s="14"/>
      <c r="DD858" s="14"/>
      <c r="DE858" s="14"/>
      <c r="DF858" s="14"/>
      <c r="DG858" s="14"/>
      <c r="DH858" s="14"/>
      <c r="DI858" s="14"/>
      <c r="DJ858" s="14"/>
      <c r="DK858" s="14"/>
      <c r="DL858" s="14"/>
      <c r="DM858" s="14"/>
      <c r="DN858" s="14"/>
      <c r="DO858" s="14"/>
      <c r="DP858" s="14"/>
      <c r="DQ858" s="14"/>
      <c r="DR858" s="14"/>
      <c r="DS858" s="14"/>
      <c r="DT858" s="14"/>
      <c r="DU858" s="14"/>
      <c r="DV858" s="14"/>
      <c r="DW858" s="14"/>
      <c r="DX858" s="14"/>
      <c r="DY858" s="14"/>
      <c r="DZ858" s="14"/>
      <c r="EA858" s="14"/>
      <c r="EB858" s="14"/>
      <c r="EC858" s="14"/>
    </row>
    <row r="859" spans="1:133" s="13" customFormat="1" ht="140.4" x14ac:dyDescent="0.25">
      <c r="A859" s="63" t="s">
        <v>212</v>
      </c>
      <c r="B859" s="25" t="s">
        <v>87</v>
      </c>
      <c r="C859" s="35" t="s">
        <v>86</v>
      </c>
      <c r="D859" s="35" t="s">
        <v>356</v>
      </c>
      <c r="E859" s="25">
        <f>0.84/1000</f>
        <v>8.3999999999999993E-4</v>
      </c>
      <c r="R859" s="14"/>
      <c r="S859" s="14"/>
      <c r="T859" s="14"/>
      <c r="U859" s="14"/>
      <c r="V859" s="14"/>
      <c r="W859" s="14"/>
      <c r="X859" s="14"/>
      <c r="Y859" s="14"/>
      <c r="Z859" s="14"/>
      <c r="AA859" s="14"/>
      <c r="AB859" s="14"/>
      <c r="AC859" s="14"/>
      <c r="AD859" s="14"/>
      <c r="AE859" s="14"/>
      <c r="AF859" s="14"/>
      <c r="AG859" s="14"/>
      <c r="AH859" s="14"/>
      <c r="AI859" s="14"/>
      <c r="AJ859" s="14"/>
      <c r="AK859" s="14"/>
      <c r="AL859" s="14"/>
      <c r="AM859" s="14"/>
      <c r="AN859" s="14"/>
      <c r="AO859" s="14"/>
      <c r="AP859" s="14"/>
      <c r="AQ859" s="14"/>
      <c r="AR859" s="14"/>
      <c r="AS859" s="14"/>
      <c r="AT859" s="14"/>
      <c r="AU859" s="14"/>
      <c r="AV859" s="14"/>
      <c r="AW859" s="14"/>
      <c r="AX859" s="14"/>
      <c r="AY859" s="14"/>
      <c r="AZ859" s="14"/>
      <c r="BA859" s="14"/>
      <c r="BB859" s="14"/>
      <c r="BC859" s="14"/>
      <c r="BD859" s="14"/>
      <c r="BE859" s="14"/>
      <c r="BF859" s="14"/>
      <c r="BG859" s="14"/>
      <c r="BH859" s="14"/>
      <c r="BI859" s="14"/>
      <c r="BJ859" s="14"/>
      <c r="BK859" s="14"/>
      <c r="BL859" s="14"/>
      <c r="BM859" s="14"/>
      <c r="BN859" s="14"/>
      <c r="BO859" s="14"/>
      <c r="BP859" s="14"/>
      <c r="BQ859" s="14"/>
      <c r="BR859" s="14"/>
      <c r="BS859" s="14"/>
      <c r="BT859" s="14"/>
      <c r="BU859" s="14"/>
      <c r="BV859" s="14"/>
      <c r="BW859" s="14"/>
      <c r="BX859" s="14"/>
      <c r="BY859" s="14"/>
      <c r="BZ859" s="14"/>
      <c r="CA859" s="14"/>
      <c r="CB859" s="14"/>
      <c r="CC859" s="14"/>
      <c r="CD859" s="14"/>
      <c r="CE859" s="14"/>
      <c r="CF859" s="14"/>
      <c r="CG859" s="14"/>
      <c r="CH859" s="14"/>
      <c r="CI859" s="14"/>
      <c r="CJ859" s="14"/>
      <c r="CK859" s="14"/>
      <c r="CL859" s="14"/>
      <c r="CM859" s="14"/>
      <c r="CN859" s="14"/>
      <c r="CO859" s="14"/>
      <c r="CP859" s="14"/>
      <c r="CQ859" s="14"/>
      <c r="CR859" s="14"/>
      <c r="CS859" s="14"/>
      <c r="CT859" s="14"/>
      <c r="CU859" s="14"/>
      <c r="CV859" s="14"/>
      <c r="CW859" s="14"/>
      <c r="CX859" s="14"/>
      <c r="CY859" s="14"/>
      <c r="CZ859" s="14"/>
      <c r="DA859" s="14"/>
      <c r="DB859" s="14"/>
      <c r="DC859" s="14"/>
      <c r="DD859" s="14"/>
      <c r="DE859" s="14"/>
      <c r="DF859" s="14"/>
      <c r="DG859" s="14"/>
      <c r="DH859" s="14"/>
      <c r="DI859" s="14"/>
      <c r="DJ859" s="14"/>
      <c r="DK859" s="14"/>
      <c r="DL859" s="14"/>
      <c r="DM859" s="14"/>
      <c r="DN859" s="14"/>
      <c r="DO859" s="14"/>
      <c r="DP859" s="14"/>
      <c r="DQ859" s="14"/>
      <c r="DR859" s="14"/>
      <c r="DS859" s="14"/>
      <c r="DT859" s="14"/>
      <c r="DU859" s="14"/>
      <c r="DV859" s="14"/>
      <c r="DW859" s="14"/>
      <c r="DX859" s="14"/>
      <c r="DY859" s="14"/>
      <c r="DZ859" s="14"/>
      <c r="EA859" s="14"/>
      <c r="EB859" s="14"/>
      <c r="EC859" s="14"/>
    </row>
    <row r="860" spans="1:133" s="13" customFormat="1" ht="140.4" x14ac:dyDescent="0.25">
      <c r="A860" s="63" t="s">
        <v>213</v>
      </c>
      <c r="B860" s="25" t="s">
        <v>88</v>
      </c>
      <c r="C860" s="35" t="s">
        <v>89</v>
      </c>
      <c r="D860" s="35" t="s">
        <v>357</v>
      </c>
      <c r="E860" s="25">
        <f>43.33/1000</f>
        <v>4.333E-2</v>
      </c>
      <c r="R860" s="14"/>
      <c r="S860" s="14"/>
      <c r="T860" s="14"/>
      <c r="U860" s="14"/>
      <c r="V860" s="14"/>
      <c r="W860" s="14"/>
      <c r="X860" s="14"/>
      <c r="Y860" s="14"/>
      <c r="Z860" s="14"/>
      <c r="AA860" s="14"/>
      <c r="AB860" s="14"/>
      <c r="AC860" s="14"/>
      <c r="AD860" s="14"/>
      <c r="AE860" s="14"/>
      <c r="AF860" s="14"/>
      <c r="AG860" s="14"/>
      <c r="AH860" s="14"/>
      <c r="AI860" s="14"/>
      <c r="AJ860" s="14"/>
      <c r="AK860" s="14"/>
      <c r="AL860" s="14"/>
      <c r="AM860" s="14"/>
      <c r="AN860" s="14"/>
      <c r="AO860" s="14"/>
      <c r="AP860" s="14"/>
      <c r="AQ860" s="14"/>
      <c r="AR860" s="14"/>
      <c r="AS860" s="14"/>
      <c r="AT860" s="14"/>
      <c r="AU860" s="14"/>
      <c r="AV860" s="14"/>
      <c r="AW860" s="14"/>
      <c r="AX860" s="14"/>
      <c r="AY860" s="14"/>
      <c r="AZ860" s="14"/>
      <c r="BA860" s="14"/>
      <c r="BB860" s="14"/>
      <c r="BC860" s="14"/>
      <c r="BD860" s="14"/>
      <c r="BE860" s="14"/>
      <c r="BF860" s="14"/>
      <c r="BG860" s="14"/>
      <c r="BH860" s="14"/>
      <c r="BI860" s="14"/>
      <c r="BJ860" s="14"/>
      <c r="BK860" s="14"/>
      <c r="BL860" s="14"/>
      <c r="BM860" s="14"/>
      <c r="BN860" s="14"/>
      <c r="BO860" s="14"/>
      <c r="BP860" s="14"/>
      <c r="BQ860" s="14"/>
      <c r="BR860" s="14"/>
      <c r="BS860" s="14"/>
      <c r="BT860" s="14"/>
      <c r="BU860" s="14"/>
      <c r="BV860" s="14"/>
      <c r="BW860" s="14"/>
      <c r="BX860" s="14"/>
      <c r="BY860" s="14"/>
      <c r="BZ860" s="14"/>
      <c r="CA860" s="14"/>
      <c r="CB860" s="14"/>
      <c r="CC860" s="14"/>
      <c r="CD860" s="14"/>
      <c r="CE860" s="14"/>
      <c r="CF860" s="14"/>
      <c r="CG860" s="14"/>
      <c r="CH860" s="14"/>
      <c r="CI860" s="14"/>
      <c r="CJ860" s="14"/>
      <c r="CK860" s="14"/>
      <c r="CL860" s="14"/>
      <c r="CM860" s="14"/>
      <c r="CN860" s="14"/>
      <c r="CO860" s="14"/>
      <c r="CP860" s="14"/>
      <c r="CQ860" s="14"/>
      <c r="CR860" s="14"/>
      <c r="CS860" s="14"/>
      <c r="CT860" s="14"/>
      <c r="CU860" s="14"/>
      <c r="CV860" s="14"/>
      <c r="CW860" s="14"/>
      <c r="CX860" s="14"/>
      <c r="CY860" s="14"/>
      <c r="CZ860" s="14"/>
      <c r="DA860" s="14"/>
      <c r="DB860" s="14"/>
      <c r="DC860" s="14"/>
      <c r="DD860" s="14"/>
      <c r="DE860" s="14"/>
      <c r="DF860" s="14"/>
      <c r="DG860" s="14"/>
      <c r="DH860" s="14"/>
      <c r="DI860" s="14"/>
      <c r="DJ860" s="14"/>
      <c r="DK860" s="14"/>
      <c r="DL860" s="14"/>
      <c r="DM860" s="14"/>
      <c r="DN860" s="14"/>
      <c r="DO860" s="14"/>
      <c r="DP860" s="14"/>
      <c r="DQ860" s="14"/>
      <c r="DR860" s="14"/>
      <c r="DS860" s="14"/>
      <c r="DT860" s="14"/>
      <c r="DU860" s="14"/>
      <c r="DV860" s="14"/>
      <c r="DW860" s="14"/>
      <c r="DX860" s="14"/>
      <c r="DY860" s="14"/>
      <c r="DZ860" s="14"/>
      <c r="EA860" s="14"/>
      <c r="EB860" s="14"/>
      <c r="EC860" s="14"/>
    </row>
    <row r="861" spans="1:133" s="13" customFormat="1" ht="62.4" x14ac:dyDescent="0.25">
      <c r="A861" s="63" t="s">
        <v>214</v>
      </c>
      <c r="B861" s="25" t="s">
        <v>90</v>
      </c>
      <c r="C861" s="35" t="s">
        <v>91</v>
      </c>
      <c r="D861" s="35" t="s">
        <v>358</v>
      </c>
      <c r="E861" s="25">
        <v>74.099999999999994</v>
      </c>
      <c r="R861" s="14"/>
      <c r="S861" s="14"/>
      <c r="T861" s="14"/>
      <c r="U861" s="14"/>
      <c r="V861" s="14"/>
      <c r="W861" s="14"/>
      <c r="X861" s="14"/>
      <c r="Y861" s="14"/>
      <c r="Z861" s="14"/>
      <c r="AA861" s="14"/>
      <c r="AB861" s="14"/>
      <c r="AC861" s="14"/>
      <c r="AD861" s="14"/>
      <c r="AE861" s="14"/>
      <c r="AF861" s="14"/>
      <c r="AG861" s="14"/>
      <c r="AH861" s="14"/>
      <c r="AI861" s="14"/>
      <c r="AJ861" s="14"/>
      <c r="AK861" s="14"/>
      <c r="AL861" s="14"/>
      <c r="AM861" s="14"/>
      <c r="AN861" s="14"/>
      <c r="AO861" s="14"/>
      <c r="AP861" s="14"/>
      <c r="AQ861" s="14"/>
      <c r="AR861" s="14"/>
      <c r="AS861" s="14"/>
      <c r="AT861" s="14"/>
      <c r="AU861" s="14"/>
      <c r="AV861" s="14"/>
      <c r="AW861" s="14"/>
      <c r="AX861" s="14"/>
      <c r="AY861" s="14"/>
      <c r="AZ861" s="14"/>
      <c r="BA861" s="14"/>
      <c r="BB861" s="14"/>
      <c r="BC861" s="14"/>
      <c r="BD861" s="14"/>
      <c r="BE861" s="14"/>
      <c r="BF861" s="14"/>
      <c r="BG861" s="14"/>
      <c r="BH861" s="14"/>
      <c r="BI861" s="14"/>
      <c r="BJ861" s="14"/>
      <c r="BK861" s="14"/>
      <c r="BL861" s="14"/>
      <c r="BM861" s="14"/>
      <c r="BN861" s="14"/>
      <c r="BO861" s="14"/>
      <c r="BP861" s="14"/>
      <c r="BQ861" s="14"/>
      <c r="BR861" s="14"/>
      <c r="BS861" s="14"/>
      <c r="BT861" s="14"/>
      <c r="BU861" s="14"/>
      <c r="BV861" s="14"/>
      <c r="BW861" s="14"/>
      <c r="BX861" s="14"/>
      <c r="BY861" s="14"/>
      <c r="BZ861" s="14"/>
      <c r="CA861" s="14"/>
      <c r="CB861" s="14"/>
      <c r="CC861" s="14"/>
      <c r="CD861" s="14"/>
      <c r="CE861" s="14"/>
      <c r="CF861" s="14"/>
      <c r="CG861" s="14"/>
      <c r="CH861" s="14"/>
      <c r="CI861" s="14"/>
      <c r="CJ861" s="14"/>
      <c r="CK861" s="14"/>
      <c r="CL861" s="14"/>
      <c r="CM861" s="14"/>
      <c r="CN861" s="14"/>
      <c r="CO861" s="14"/>
      <c r="CP861" s="14"/>
      <c r="CQ861" s="14"/>
      <c r="CR861" s="14"/>
      <c r="CS861" s="14"/>
      <c r="CT861" s="14"/>
      <c r="CU861" s="14"/>
      <c r="CV861" s="14"/>
      <c r="CW861" s="14"/>
      <c r="CX861" s="14"/>
      <c r="CY861" s="14"/>
      <c r="CZ861" s="14"/>
      <c r="DA861" s="14"/>
      <c r="DB861" s="14"/>
      <c r="DC861" s="14"/>
      <c r="DD861" s="14"/>
      <c r="DE861" s="14"/>
      <c r="DF861" s="14"/>
      <c r="DG861" s="14"/>
      <c r="DH861" s="14"/>
      <c r="DI861" s="14"/>
      <c r="DJ861" s="14"/>
      <c r="DK861" s="14"/>
      <c r="DL861" s="14"/>
      <c r="DM861" s="14"/>
      <c r="DN861" s="14"/>
      <c r="DO861" s="14"/>
      <c r="DP861" s="14"/>
      <c r="DQ861" s="14"/>
      <c r="DR861" s="14"/>
      <c r="DS861" s="14"/>
      <c r="DT861" s="14"/>
      <c r="DU861" s="14"/>
      <c r="DV861" s="14"/>
      <c r="DW861" s="14"/>
      <c r="DX861" s="14"/>
      <c r="DY861" s="14"/>
      <c r="DZ861" s="14"/>
      <c r="EA861" s="14"/>
      <c r="EB861" s="14"/>
      <c r="EC861" s="14"/>
    </row>
    <row r="863" spans="1:133" s="13" customFormat="1" ht="15.6" customHeight="1" x14ac:dyDescent="0.25">
      <c r="A863" s="36" t="s">
        <v>93</v>
      </c>
      <c r="B863" s="36"/>
      <c r="C863" s="36"/>
      <c r="D863" s="36"/>
      <c r="E863" s="36"/>
      <c r="R863" s="14"/>
      <c r="S863" s="14"/>
      <c r="T863" s="14"/>
      <c r="U863" s="14"/>
      <c r="V863" s="14"/>
      <c r="W863" s="14"/>
      <c r="X863" s="14"/>
      <c r="Y863" s="14"/>
      <c r="Z863" s="14"/>
      <c r="AA863" s="14"/>
      <c r="AB863" s="14"/>
      <c r="AC863" s="14"/>
      <c r="AD863" s="14"/>
      <c r="AE863" s="14"/>
      <c r="AF863" s="14"/>
      <c r="AG863" s="14"/>
      <c r="AH863" s="14"/>
      <c r="AI863" s="14"/>
      <c r="AJ863" s="14"/>
      <c r="AK863" s="14"/>
      <c r="AL863" s="14"/>
      <c r="AM863" s="14"/>
      <c r="AN863" s="14"/>
      <c r="AO863" s="14"/>
      <c r="AP863" s="14"/>
      <c r="AQ863" s="14"/>
      <c r="AR863" s="14"/>
      <c r="AS863" s="14"/>
      <c r="AT863" s="14"/>
      <c r="AU863" s="14"/>
      <c r="AV863" s="14"/>
      <c r="AW863" s="14"/>
      <c r="AX863" s="14"/>
      <c r="AY863" s="14"/>
      <c r="AZ863" s="14"/>
      <c r="BA863" s="14"/>
      <c r="BB863" s="14"/>
      <c r="BC863" s="14"/>
      <c r="BD863" s="14"/>
      <c r="BE863" s="14"/>
      <c r="BF863" s="14"/>
      <c r="BG863" s="14"/>
      <c r="BH863" s="14"/>
      <c r="BI863" s="14"/>
      <c r="BJ863" s="14"/>
      <c r="BK863" s="14"/>
      <c r="BL863" s="14"/>
      <c r="BM863" s="14"/>
      <c r="BN863" s="14"/>
      <c r="BO863" s="14"/>
      <c r="BP863" s="14"/>
      <c r="BQ863" s="14"/>
      <c r="BR863" s="14"/>
      <c r="BS863" s="14"/>
      <c r="BT863" s="14"/>
      <c r="BU863" s="14"/>
      <c r="BV863" s="14"/>
      <c r="BW863" s="14"/>
      <c r="BX863" s="14"/>
      <c r="BY863" s="14"/>
      <c r="BZ863" s="14"/>
      <c r="CA863" s="14"/>
      <c r="CB863" s="14"/>
      <c r="CC863" s="14"/>
      <c r="CD863" s="14"/>
      <c r="CE863" s="14"/>
      <c r="CF863" s="14"/>
      <c r="CG863" s="14"/>
      <c r="CH863" s="14"/>
      <c r="CI863" s="14"/>
      <c r="CJ863" s="14"/>
      <c r="CK863" s="14"/>
      <c r="CL863" s="14"/>
      <c r="CM863" s="14"/>
      <c r="CN863" s="14"/>
      <c r="CO863" s="14"/>
      <c r="CP863" s="14"/>
      <c r="CQ863" s="14"/>
      <c r="CR863" s="14"/>
      <c r="CS863" s="14"/>
      <c r="CT863" s="14"/>
      <c r="CU863" s="14"/>
      <c r="CV863" s="14"/>
      <c r="CW863" s="14"/>
      <c r="CX863" s="14"/>
      <c r="CY863" s="14"/>
      <c r="CZ863" s="14"/>
      <c r="DA863" s="14"/>
      <c r="DB863" s="14"/>
      <c r="DC863" s="14"/>
      <c r="DD863" s="14"/>
      <c r="DE863" s="14"/>
      <c r="DF863" s="14"/>
      <c r="DG863" s="14"/>
      <c r="DH863" s="14"/>
      <c r="DI863" s="14"/>
      <c r="DJ863" s="14"/>
      <c r="DK863" s="14"/>
      <c r="DL863" s="14"/>
      <c r="DM863" s="14"/>
      <c r="DN863" s="14"/>
      <c r="DO863" s="14"/>
      <c r="DP863" s="14"/>
      <c r="DQ863" s="14"/>
      <c r="DR863" s="14"/>
      <c r="DS863" s="14"/>
      <c r="DT863" s="14"/>
      <c r="DU863" s="14"/>
      <c r="DV863" s="14"/>
      <c r="DW863" s="14"/>
      <c r="DX863" s="14"/>
      <c r="DY863" s="14"/>
      <c r="DZ863" s="14"/>
      <c r="EA863" s="14"/>
      <c r="EB863" s="14"/>
      <c r="EC863" s="14"/>
    </row>
    <row r="864" spans="1:133" s="13" customFormat="1" x14ac:dyDescent="0.25">
      <c r="A864" s="57" t="s">
        <v>8</v>
      </c>
      <c r="B864" s="58" t="s">
        <v>9</v>
      </c>
      <c r="C864" s="34" t="s">
        <v>10</v>
      </c>
      <c r="D864" s="34" t="s">
        <v>340</v>
      </c>
      <c r="E864" s="16" t="s">
        <v>65</v>
      </c>
      <c r="R864" s="14"/>
      <c r="S864" s="14"/>
      <c r="T864" s="14"/>
      <c r="U864" s="14"/>
      <c r="V864" s="14"/>
      <c r="W864" s="14"/>
      <c r="X864" s="14"/>
      <c r="Y864" s="14"/>
      <c r="Z864" s="14"/>
      <c r="AA864" s="14"/>
      <c r="AB864" s="14"/>
      <c r="AC864" s="14"/>
      <c r="AD864" s="14"/>
      <c r="AE864" s="14"/>
      <c r="AF864" s="14"/>
      <c r="AG864" s="14"/>
      <c r="AH864" s="14"/>
      <c r="AI864" s="14"/>
      <c r="AJ864" s="14"/>
      <c r="AK864" s="14"/>
      <c r="AL864" s="14"/>
      <c r="AM864" s="14"/>
      <c r="AN864" s="14"/>
      <c r="AO864" s="14"/>
      <c r="AP864" s="14"/>
      <c r="AQ864" s="14"/>
      <c r="AR864" s="14"/>
      <c r="AS864" s="14"/>
      <c r="AT864" s="14"/>
      <c r="AU864" s="14"/>
      <c r="AV864" s="14"/>
      <c r="AW864" s="14"/>
      <c r="AX864" s="14"/>
      <c r="AY864" s="14"/>
      <c r="AZ864" s="14"/>
      <c r="BA864" s="14"/>
      <c r="BB864" s="14"/>
      <c r="BC864" s="14"/>
      <c r="BD864" s="14"/>
      <c r="BE864" s="14"/>
      <c r="BF864" s="14"/>
      <c r="BG864" s="14"/>
      <c r="BH864" s="14"/>
      <c r="BI864" s="14"/>
      <c r="BJ864" s="14"/>
      <c r="BK864" s="14"/>
      <c r="BL864" s="14"/>
      <c r="BM864" s="14"/>
      <c r="BN864" s="14"/>
      <c r="BO864" s="14"/>
      <c r="BP864" s="14"/>
      <c r="BQ864" s="14"/>
      <c r="BR864" s="14"/>
      <c r="BS864" s="14"/>
      <c r="BT864" s="14"/>
      <c r="BU864" s="14"/>
      <c r="BV864" s="14"/>
      <c r="BW864" s="14"/>
      <c r="BX864" s="14"/>
      <c r="BY864" s="14"/>
      <c r="BZ864" s="14"/>
      <c r="CA864" s="14"/>
      <c r="CB864" s="14"/>
      <c r="CC864" s="14"/>
      <c r="CD864" s="14"/>
      <c r="CE864" s="14"/>
      <c r="CF864" s="14"/>
      <c r="CG864" s="14"/>
      <c r="CH864" s="14"/>
      <c r="CI864" s="14"/>
      <c r="CJ864" s="14"/>
      <c r="CK864" s="14"/>
      <c r="CL864" s="14"/>
      <c r="CM864" s="14"/>
      <c r="CN864" s="14"/>
      <c r="CO864" s="14"/>
      <c r="CP864" s="14"/>
      <c r="CQ864" s="14"/>
      <c r="CR864" s="14"/>
      <c r="CS864" s="14"/>
      <c r="CT864" s="14"/>
      <c r="CU864" s="14"/>
      <c r="CV864" s="14"/>
      <c r="CW864" s="14"/>
      <c r="CX864" s="14"/>
      <c r="CY864" s="14"/>
      <c r="CZ864" s="14"/>
      <c r="DA864" s="14"/>
      <c r="DB864" s="14"/>
      <c r="DC864" s="14"/>
      <c r="DD864" s="14"/>
      <c r="DE864" s="14"/>
      <c r="DF864" s="14"/>
      <c r="DG864" s="14"/>
      <c r="DH864" s="14"/>
      <c r="DI864" s="14"/>
      <c r="DJ864" s="14"/>
      <c r="DK864" s="14"/>
      <c r="DL864" s="14"/>
      <c r="DM864" s="14"/>
      <c r="DN864" s="14"/>
      <c r="DO864" s="14"/>
      <c r="DP864" s="14"/>
      <c r="DQ864" s="14"/>
      <c r="DR864" s="14"/>
      <c r="DS864" s="14"/>
      <c r="DT864" s="14"/>
      <c r="DU864" s="14"/>
      <c r="DV864" s="14"/>
      <c r="DW864" s="14"/>
      <c r="DX864" s="14"/>
      <c r="DY864" s="14"/>
      <c r="DZ864" s="14"/>
      <c r="EA864" s="14"/>
      <c r="EB864" s="14"/>
      <c r="EC864" s="14"/>
    </row>
    <row r="865" spans="1:133" s="13" customFormat="1" ht="64.8" x14ac:dyDescent="0.25">
      <c r="A865" s="15" t="s">
        <v>94</v>
      </c>
      <c r="B865" s="25" t="s">
        <v>95</v>
      </c>
      <c r="C865" s="35" t="s">
        <v>96</v>
      </c>
      <c r="D865" s="35" t="s">
        <v>97</v>
      </c>
      <c r="E865" s="16">
        <v>0</v>
      </c>
      <c r="R865" s="14"/>
      <c r="S865" s="14"/>
      <c r="T865" s="14"/>
      <c r="U865" s="14"/>
      <c r="V865" s="14"/>
      <c r="W865" s="14"/>
      <c r="X865" s="14"/>
      <c r="Y865" s="14"/>
      <c r="Z865" s="14"/>
      <c r="AA865" s="14"/>
      <c r="AB865" s="14"/>
      <c r="AC865" s="14"/>
      <c r="AD865" s="14"/>
      <c r="AE865" s="14"/>
      <c r="AF865" s="14"/>
      <c r="AG865" s="14"/>
      <c r="AH865" s="14"/>
      <c r="AI865" s="14"/>
      <c r="AJ865" s="14"/>
      <c r="AK865" s="14"/>
      <c r="AL865" s="14"/>
      <c r="AM865" s="14"/>
      <c r="AN865" s="14"/>
      <c r="AO865" s="14"/>
      <c r="AP865" s="14"/>
      <c r="AQ865" s="14"/>
      <c r="AR865" s="14"/>
      <c r="AS865" s="14"/>
      <c r="AT865" s="14"/>
      <c r="AU865" s="14"/>
      <c r="AV865" s="14"/>
      <c r="AW865" s="14"/>
      <c r="AX865" s="14"/>
      <c r="AY865" s="14"/>
      <c r="AZ865" s="14"/>
      <c r="BA865" s="14"/>
      <c r="BB865" s="14"/>
      <c r="BC865" s="14"/>
      <c r="BD865" s="14"/>
      <c r="BE865" s="14"/>
      <c r="BF865" s="14"/>
      <c r="BG865" s="14"/>
      <c r="BH865" s="14"/>
      <c r="BI865" s="14"/>
      <c r="BJ865" s="14"/>
      <c r="BK865" s="14"/>
      <c r="BL865" s="14"/>
      <c r="BM865" s="14"/>
      <c r="BN865" s="14"/>
      <c r="BO865" s="14"/>
      <c r="BP865" s="14"/>
      <c r="BQ865" s="14"/>
      <c r="BR865" s="14"/>
      <c r="BS865" s="14"/>
      <c r="BT865" s="14"/>
      <c r="BU865" s="14"/>
      <c r="BV865" s="14"/>
      <c r="BW865" s="14"/>
      <c r="BX865" s="14"/>
      <c r="BY865" s="14"/>
      <c r="BZ865" s="14"/>
      <c r="CA865" s="14"/>
      <c r="CB865" s="14"/>
      <c r="CC865" s="14"/>
      <c r="CD865" s="14"/>
      <c r="CE865" s="14"/>
      <c r="CF865" s="14"/>
      <c r="CG865" s="14"/>
      <c r="CH865" s="14"/>
      <c r="CI865" s="14"/>
      <c r="CJ865" s="14"/>
      <c r="CK865" s="14"/>
      <c r="CL865" s="14"/>
      <c r="CM865" s="14"/>
      <c r="CN865" s="14"/>
      <c r="CO865" s="14"/>
      <c r="CP865" s="14"/>
      <c r="CQ865" s="14"/>
      <c r="CR865" s="14"/>
      <c r="CS865" s="14"/>
      <c r="CT865" s="14"/>
      <c r="CU865" s="14"/>
      <c r="CV865" s="14"/>
      <c r="CW865" s="14"/>
      <c r="CX865" s="14"/>
      <c r="CY865" s="14"/>
      <c r="CZ865" s="14"/>
      <c r="DA865" s="14"/>
      <c r="DB865" s="14"/>
      <c r="DC865" s="14"/>
      <c r="DD865" s="14"/>
      <c r="DE865" s="14"/>
      <c r="DF865" s="14"/>
      <c r="DG865" s="14"/>
      <c r="DH865" s="14"/>
      <c r="DI865" s="14"/>
      <c r="DJ865" s="14"/>
      <c r="DK865" s="14"/>
      <c r="DL865" s="14"/>
      <c r="DM865" s="14"/>
      <c r="DN865" s="14"/>
      <c r="DO865" s="14"/>
      <c r="DP865" s="14"/>
      <c r="DQ865" s="14"/>
      <c r="DR865" s="14"/>
      <c r="DS865" s="14"/>
      <c r="DT865" s="14"/>
      <c r="DU865" s="14"/>
      <c r="DV865" s="14"/>
      <c r="DW865" s="14"/>
      <c r="DX865" s="14"/>
      <c r="DY865" s="14"/>
      <c r="DZ865" s="14"/>
      <c r="EA865" s="14"/>
      <c r="EB865" s="14"/>
      <c r="EC865" s="14"/>
    </row>
    <row r="867" spans="1:133" s="13" customFormat="1" ht="15.6" customHeight="1" x14ac:dyDescent="0.25">
      <c r="A867" s="36" t="s">
        <v>98</v>
      </c>
      <c r="B867" s="36"/>
      <c r="C867" s="36"/>
      <c r="D867" s="36"/>
      <c r="E867" s="36"/>
      <c r="R867" s="14"/>
      <c r="S867" s="14"/>
      <c r="T867" s="14"/>
      <c r="U867" s="14"/>
      <c r="V867" s="14"/>
      <c r="W867" s="14"/>
      <c r="X867" s="14"/>
      <c r="Y867" s="14"/>
      <c r="Z867" s="14"/>
      <c r="AA867" s="14"/>
      <c r="AB867" s="14"/>
      <c r="AC867" s="14"/>
      <c r="AD867" s="14"/>
      <c r="AE867" s="14"/>
      <c r="AF867" s="14"/>
      <c r="AG867" s="14"/>
      <c r="AH867" s="14"/>
      <c r="AI867" s="14"/>
      <c r="AJ867" s="14"/>
      <c r="AK867" s="14"/>
      <c r="AL867" s="14"/>
      <c r="AM867" s="14"/>
      <c r="AN867" s="14"/>
      <c r="AO867" s="14"/>
      <c r="AP867" s="14"/>
      <c r="AQ867" s="14"/>
      <c r="AR867" s="14"/>
      <c r="AS867" s="14"/>
      <c r="AT867" s="14"/>
      <c r="AU867" s="14"/>
      <c r="AV867" s="14"/>
      <c r="AW867" s="14"/>
      <c r="AX867" s="14"/>
      <c r="AY867" s="14"/>
      <c r="AZ867" s="14"/>
      <c r="BA867" s="14"/>
      <c r="BB867" s="14"/>
      <c r="BC867" s="14"/>
      <c r="BD867" s="14"/>
      <c r="BE867" s="14"/>
      <c r="BF867" s="14"/>
      <c r="BG867" s="14"/>
      <c r="BH867" s="14"/>
      <c r="BI867" s="14"/>
      <c r="BJ867" s="14"/>
      <c r="BK867" s="14"/>
      <c r="BL867" s="14"/>
      <c r="BM867" s="14"/>
      <c r="BN867" s="14"/>
      <c r="BO867" s="14"/>
      <c r="BP867" s="14"/>
      <c r="BQ867" s="14"/>
      <c r="BR867" s="14"/>
      <c r="BS867" s="14"/>
      <c r="BT867" s="14"/>
      <c r="BU867" s="14"/>
      <c r="BV867" s="14"/>
      <c r="BW867" s="14"/>
      <c r="BX867" s="14"/>
      <c r="BY867" s="14"/>
      <c r="BZ867" s="14"/>
      <c r="CA867" s="14"/>
      <c r="CB867" s="14"/>
      <c r="CC867" s="14"/>
      <c r="CD867" s="14"/>
      <c r="CE867" s="14"/>
      <c r="CF867" s="14"/>
      <c r="CG867" s="14"/>
      <c r="CH867" s="14"/>
      <c r="CI867" s="14"/>
      <c r="CJ867" s="14"/>
      <c r="CK867" s="14"/>
      <c r="CL867" s="14"/>
      <c r="CM867" s="14"/>
      <c r="CN867" s="14"/>
      <c r="CO867" s="14"/>
      <c r="CP867" s="14"/>
      <c r="CQ867" s="14"/>
      <c r="CR867" s="14"/>
      <c r="CS867" s="14"/>
      <c r="CT867" s="14"/>
      <c r="CU867" s="14"/>
      <c r="CV867" s="14"/>
      <c r="CW867" s="14"/>
      <c r="CX867" s="14"/>
      <c r="CY867" s="14"/>
      <c r="CZ867" s="14"/>
      <c r="DA867" s="14"/>
      <c r="DB867" s="14"/>
      <c r="DC867" s="14"/>
      <c r="DD867" s="14"/>
      <c r="DE867" s="14"/>
      <c r="DF867" s="14"/>
      <c r="DG867" s="14"/>
      <c r="DH867" s="14"/>
      <c r="DI867" s="14"/>
      <c r="DJ867" s="14"/>
      <c r="DK867" s="14"/>
      <c r="DL867" s="14"/>
      <c r="DM867" s="14"/>
      <c r="DN867" s="14"/>
      <c r="DO867" s="14"/>
      <c r="DP867" s="14"/>
      <c r="DQ867" s="14"/>
      <c r="DR867" s="14"/>
      <c r="DS867" s="14"/>
      <c r="DT867" s="14"/>
      <c r="DU867" s="14"/>
      <c r="DV867" s="14"/>
      <c r="DW867" s="14"/>
      <c r="DX867" s="14"/>
      <c r="DY867" s="14"/>
      <c r="DZ867" s="14"/>
      <c r="EA867" s="14"/>
      <c r="EB867" s="14"/>
      <c r="EC867" s="14"/>
    </row>
    <row r="868" spans="1:133" s="13" customFormat="1" x14ac:dyDescent="0.25">
      <c r="A868" s="57" t="s">
        <v>8</v>
      </c>
      <c r="B868" s="58" t="s">
        <v>9</v>
      </c>
      <c r="C868" s="34" t="s">
        <v>10</v>
      </c>
      <c r="D868" s="34" t="s">
        <v>340</v>
      </c>
      <c r="E868" s="16" t="s">
        <v>65</v>
      </c>
      <c r="R868" s="14"/>
      <c r="S868" s="14"/>
      <c r="T868" s="14"/>
      <c r="U868" s="14"/>
      <c r="V868" s="14"/>
      <c r="W868" s="14"/>
      <c r="X868" s="14"/>
      <c r="Y868" s="14"/>
      <c r="Z868" s="14"/>
      <c r="AA868" s="14"/>
      <c r="AB868" s="14"/>
      <c r="AC868" s="14"/>
      <c r="AD868" s="14"/>
      <c r="AE868" s="14"/>
      <c r="AF868" s="14"/>
      <c r="AG868" s="14"/>
      <c r="AH868" s="14"/>
      <c r="AI868" s="14"/>
      <c r="AJ868" s="14"/>
      <c r="AK868" s="14"/>
      <c r="AL868" s="14"/>
      <c r="AM868" s="14"/>
      <c r="AN868" s="14"/>
      <c r="AO868" s="14"/>
      <c r="AP868" s="14"/>
      <c r="AQ868" s="14"/>
      <c r="AR868" s="14"/>
      <c r="AS868" s="14"/>
      <c r="AT868" s="14"/>
      <c r="AU868" s="14"/>
      <c r="AV868" s="14"/>
      <c r="AW868" s="14"/>
      <c r="AX868" s="14"/>
      <c r="AY868" s="14"/>
      <c r="AZ868" s="14"/>
      <c r="BA868" s="14"/>
      <c r="BB868" s="14"/>
      <c r="BC868" s="14"/>
      <c r="BD868" s="14"/>
      <c r="BE868" s="14"/>
      <c r="BF868" s="14"/>
      <c r="BG868" s="14"/>
      <c r="BH868" s="14"/>
      <c r="BI868" s="14"/>
      <c r="BJ868" s="14"/>
      <c r="BK868" s="14"/>
      <c r="BL868" s="14"/>
      <c r="BM868" s="14"/>
      <c r="BN868" s="14"/>
      <c r="BO868" s="14"/>
      <c r="BP868" s="14"/>
      <c r="BQ868" s="14"/>
      <c r="BR868" s="14"/>
      <c r="BS868" s="14"/>
      <c r="BT868" s="14"/>
      <c r="BU868" s="14"/>
      <c r="BV868" s="14"/>
      <c r="BW868" s="14"/>
      <c r="BX868" s="14"/>
      <c r="BY868" s="14"/>
      <c r="BZ868" s="14"/>
      <c r="CA868" s="14"/>
      <c r="CB868" s="14"/>
      <c r="CC868" s="14"/>
      <c r="CD868" s="14"/>
      <c r="CE868" s="14"/>
      <c r="CF868" s="14"/>
      <c r="CG868" s="14"/>
      <c r="CH868" s="14"/>
      <c r="CI868" s="14"/>
      <c r="CJ868" s="14"/>
      <c r="CK868" s="14"/>
      <c r="CL868" s="14"/>
      <c r="CM868" s="14"/>
      <c r="CN868" s="14"/>
      <c r="CO868" s="14"/>
      <c r="CP868" s="14"/>
      <c r="CQ868" s="14"/>
      <c r="CR868" s="14"/>
      <c r="CS868" s="14"/>
      <c r="CT868" s="14"/>
      <c r="CU868" s="14"/>
      <c r="CV868" s="14"/>
      <c r="CW868" s="14"/>
      <c r="CX868" s="14"/>
      <c r="CY868" s="14"/>
      <c r="CZ868" s="14"/>
      <c r="DA868" s="14"/>
      <c r="DB868" s="14"/>
      <c r="DC868" s="14"/>
      <c r="DD868" s="14"/>
      <c r="DE868" s="14"/>
      <c r="DF868" s="14"/>
      <c r="DG868" s="14"/>
      <c r="DH868" s="14"/>
      <c r="DI868" s="14"/>
      <c r="DJ868" s="14"/>
      <c r="DK868" s="14"/>
      <c r="DL868" s="14"/>
      <c r="DM868" s="14"/>
      <c r="DN868" s="14"/>
      <c r="DO868" s="14"/>
      <c r="DP868" s="14"/>
      <c r="DQ868" s="14"/>
      <c r="DR868" s="14"/>
      <c r="DS868" s="14"/>
      <c r="DT868" s="14"/>
      <c r="DU868" s="14"/>
      <c r="DV868" s="14"/>
      <c r="DW868" s="14"/>
      <c r="DX868" s="14"/>
      <c r="DY868" s="14"/>
      <c r="DZ868" s="14"/>
      <c r="EA868" s="14"/>
      <c r="EB868" s="14"/>
      <c r="EC868" s="14"/>
    </row>
    <row r="869" spans="1:133" s="13" customFormat="1" ht="49.2" x14ac:dyDescent="0.25">
      <c r="A869" s="15" t="s">
        <v>99</v>
      </c>
      <c r="B869" s="25" t="s">
        <v>95</v>
      </c>
      <c r="C869" s="35" t="s">
        <v>100</v>
      </c>
      <c r="D869" s="35" t="s">
        <v>101</v>
      </c>
      <c r="E869" s="16">
        <v>0</v>
      </c>
      <c r="R869" s="14"/>
      <c r="S869" s="14"/>
      <c r="T869" s="14"/>
      <c r="U869" s="14"/>
      <c r="V869" s="14"/>
      <c r="W869" s="14"/>
      <c r="X869" s="14"/>
      <c r="Y869" s="14"/>
      <c r="Z869" s="14"/>
      <c r="AA869" s="14"/>
      <c r="AB869" s="14"/>
      <c r="AC869" s="14"/>
      <c r="AD869" s="14"/>
      <c r="AE869" s="14"/>
      <c r="AF869" s="14"/>
      <c r="AG869" s="14"/>
      <c r="AH869" s="14"/>
      <c r="AI869" s="14"/>
      <c r="AJ869" s="14"/>
      <c r="AK869" s="14"/>
      <c r="AL869" s="14"/>
      <c r="AM869" s="14"/>
      <c r="AN869" s="14"/>
      <c r="AO869" s="14"/>
      <c r="AP869" s="14"/>
      <c r="AQ869" s="14"/>
      <c r="AR869" s="14"/>
      <c r="AS869" s="14"/>
      <c r="AT869" s="14"/>
      <c r="AU869" s="14"/>
      <c r="AV869" s="14"/>
      <c r="AW869" s="14"/>
      <c r="AX869" s="14"/>
      <c r="AY869" s="14"/>
      <c r="AZ869" s="14"/>
      <c r="BA869" s="14"/>
      <c r="BB869" s="14"/>
      <c r="BC869" s="14"/>
      <c r="BD869" s="14"/>
      <c r="BE869" s="14"/>
      <c r="BF869" s="14"/>
      <c r="BG869" s="14"/>
      <c r="BH869" s="14"/>
      <c r="BI869" s="14"/>
      <c r="BJ869" s="14"/>
      <c r="BK869" s="14"/>
      <c r="BL869" s="14"/>
      <c r="BM869" s="14"/>
      <c r="BN869" s="14"/>
      <c r="BO869" s="14"/>
      <c r="BP869" s="14"/>
      <c r="BQ869" s="14"/>
      <c r="BR869" s="14"/>
      <c r="BS869" s="14"/>
      <c r="BT869" s="14"/>
      <c r="BU869" s="14"/>
      <c r="BV869" s="14"/>
      <c r="BW869" s="14"/>
      <c r="BX869" s="14"/>
      <c r="BY869" s="14"/>
      <c r="BZ869" s="14"/>
      <c r="CA869" s="14"/>
      <c r="CB869" s="14"/>
      <c r="CC869" s="14"/>
      <c r="CD869" s="14"/>
      <c r="CE869" s="14"/>
      <c r="CF869" s="14"/>
      <c r="CG869" s="14"/>
      <c r="CH869" s="14"/>
      <c r="CI869" s="14"/>
      <c r="CJ869" s="14"/>
      <c r="CK869" s="14"/>
      <c r="CL869" s="14"/>
      <c r="CM869" s="14"/>
      <c r="CN869" s="14"/>
      <c r="CO869" s="14"/>
      <c r="CP869" s="14"/>
      <c r="CQ869" s="14"/>
      <c r="CR869" s="14"/>
      <c r="CS869" s="14"/>
      <c r="CT869" s="14"/>
      <c r="CU869" s="14"/>
      <c r="CV869" s="14"/>
      <c r="CW869" s="14"/>
      <c r="CX869" s="14"/>
      <c r="CY869" s="14"/>
      <c r="CZ869" s="14"/>
      <c r="DA869" s="14"/>
      <c r="DB869" s="14"/>
      <c r="DC869" s="14"/>
      <c r="DD869" s="14"/>
      <c r="DE869" s="14"/>
      <c r="DF869" s="14"/>
      <c r="DG869" s="14"/>
      <c r="DH869" s="14"/>
      <c r="DI869" s="14"/>
      <c r="DJ869" s="14"/>
      <c r="DK869" s="14"/>
      <c r="DL869" s="14"/>
      <c r="DM869" s="14"/>
      <c r="DN869" s="14"/>
      <c r="DO869" s="14"/>
      <c r="DP869" s="14"/>
      <c r="DQ869" s="14"/>
      <c r="DR869" s="14"/>
      <c r="DS869" s="14"/>
      <c r="DT869" s="14"/>
      <c r="DU869" s="14"/>
      <c r="DV869" s="14"/>
      <c r="DW869" s="14"/>
      <c r="DX869" s="14"/>
      <c r="DY869" s="14"/>
      <c r="DZ869" s="14"/>
      <c r="EA869" s="14"/>
      <c r="EB869" s="14"/>
      <c r="EC869" s="14"/>
    </row>
    <row r="871" spans="1:133" s="13" customFormat="1" x14ac:dyDescent="0.25">
      <c r="A871" s="57" t="s">
        <v>8</v>
      </c>
      <c r="B871" s="58" t="s">
        <v>9</v>
      </c>
      <c r="C871" s="34" t="s">
        <v>10</v>
      </c>
      <c r="D871" s="34" t="s">
        <v>340</v>
      </c>
      <c r="E871" s="16" t="s">
        <v>65</v>
      </c>
      <c r="R871" s="14"/>
      <c r="S871" s="14"/>
      <c r="T871" s="14"/>
      <c r="U871" s="14"/>
      <c r="V871" s="14"/>
      <c r="W871" s="14"/>
      <c r="X871" s="14"/>
      <c r="Y871" s="14"/>
      <c r="Z871" s="14"/>
      <c r="AA871" s="14"/>
      <c r="AB871" s="14"/>
      <c r="AC871" s="14"/>
      <c r="AD871" s="14"/>
      <c r="AE871" s="14"/>
      <c r="AF871" s="14"/>
      <c r="AG871" s="14"/>
      <c r="AH871" s="14"/>
      <c r="AI871" s="14"/>
      <c r="AJ871" s="14"/>
      <c r="AK871" s="14"/>
      <c r="AL871" s="14"/>
      <c r="AM871" s="14"/>
      <c r="AN871" s="14"/>
      <c r="AO871" s="14"/>
      <c r="AP871" s="14"/>
      <c r="AQ871" s="14"/>
      <c r="AR871" s="14"/>
      <c r="AS871" s="14"/>
      <c r="AT871" s="14"/>
      <c r="AU871" s="14"/>
      <c r="AV871" s="14"/>
      <c r="AW871" s="14"/>
      <c r="AX871" s="14"/>
      <c r="AY871" s="14"/>
      <c r="AZ871" s="14"/>
      <c r="BA871" s="14"/>
      <c r="BB871" s="14"/>
      <c r="BC871" s="14"/>
      <c r="BD871" s="14"/>
      <c r="BE871" s="14"/>
      <c r="BF871" s="14"/>
      <c r="BG871" s="14"/>
      <c r="BH871" s="14"/>
      <c r="BI871" s="14"/>
      <c r="BJ871" s="14"/>
      <c r="BK871" s="14"/>
      <c r="BL871" s="14"/>
      <c r="BM871" s="14"/>
      <c r="BN871" s="14"/>
      <c r="BO871" s="14"/>
      <c r="BP871" s="14"/>
      <c r="BQ871" s="14"/>
      <c r="BR871" s="14"/>
      <c r="BS871" s="14"/>
      <c r="BT871" s="14"/>
      <c r="BU871" s="14"/>
      <c r="BV871" s="14"/>
      <c r="BW871" s="14"/>
      <c r="BX871" s="14"/>
      <c r="BY871" s="14"/>
      <c r="BZ871" s="14"/>
      <c r="CA871" s="14"/>
      <c r="CB871" s="14"/>
      <c r="CC871" s="14"/>
      <c r="CD871" s="14"/>
      <c r="CE871" s="14"/>
      <c r="CF871" s="14"/>
      <c r="CG871" s="14"/>
      <c r="CH871" s="14"/>
      <c r="CI871" s="14"/>
      <c r="CJ871" s="14"/>
      <c r="CK871" s="14"/>
      <c r="CL871" s="14"/>
      <c r="CM871" s="14"/>
      <c r="CN871" s="14"/>
      <c r="CO871" s="14"/>
      <c r="CP871" s="14"/>
      <c r="CQ871" s="14"/>
      <c r="CR871" s="14"/>
      <c r="CS871" s="14"/>
      <c r="CT871" s="14"/>
      <c r="CU871" s="14"/>
      <c r="CV871" s="14"/>
      <c r="CW871" s="14"/>
      <c r="CX871" s="14"/>
      <c r="CY871" s="14"/>
      <c r="CZ871" s="14"/>
      <c r="DA871" s="14"/>
      <c r="DB871" s="14"/>
      <c r="DC871" s="14"/>
      <c r="DD871" s="14"/>
      <c r="DE871" s="14"/>
      <c r="DF871" s="14"/>
      <c r="DG871" s="14"/>
      <c r="DH871" s="14"/>
      <c r="DI871" s="14"/>
      <c r="DJ871" s="14"/>
      <c r="DK871" s="14"/>
      <c r="DL871" s="14"/>
      <c r="DM871" s="14"/>
      <c r="DN871" s="14"/>
      <c r="DO871" s="14"/>
      <c r="DP871" s="14"/>
      <c r="DQ871" s="14"/>
      <c r="DR871" s="14"/>
      <c r="DS871" s="14"/>
      <c r="DT871" s="14"/>
      <c r="DU871" s="14"/>
      <c r="DV871" s="14"/>
      <c r="DW871" s="14"/>
      <c r="DX871" s="14"/>
      <c r="DY871" s="14"/>
      <c r="DZ871" s="14"/>
      <c r="EA871" s="14"/>
      <c r="EB871" s="14"/>
      <c r="EC871" s="14"/>
    </row>
    <row r="872" spans="1:133" s="13" customFormat="1" ht="18" x14ac:dyDescent="0.25">
      <c r="A872" s="59" t="s">
        <v>102</v>
      </c>
      <c r="B872" s="25" t="s">
        <v>103</v>
      </c>
      <c r="C872" s="35" t="s">
        <v>104</v>
      </c>
      <c r="D872" s="53" t="s">
        <v>380</v>
      </c>
      <c r="E872" s="18">
        <f>ROUNDDOWN(E822+E853+E848+E865+E869,0)</f>
        <v>2601</v>
      </c>
      <c r="R872" s="14"/>
      <c r="S872" s="14"/>
      <c r="T872" s="14"/>
      <c r="U872" s="14"/>
      <c r="V872" s="14"/>
      <c r="W872" s="14"/>
      <c r="X872" s="14"/>
      <c r="Y872" s="14"/>
      <c r="Z872" s="14"/>
      <c r="AA872" s="14"/>
      <c r="AB872" s="14"/>
      <c r="AC872" s="14"/>
      <c r="AD872" s="14"/>
      <c r="AE872" s="14"/>
      <c r="AF872" s="14"/>
      <c r="AG872" s="14"/>
      <c r="AH872" s="14"/>
      <c r="AI872" s="14"/>
      <c r="AJ872" s="14"/>
      <c r="AK872" s="14"/>
      <c r="AL872" s="14"/>
      <c r="AM872" s="14"/>
      <c r="AN872" s="14"/>
      <c r="AO872" s="14"/>
      <c r="AP872" s="14"/>
      <c r="AQ872" s="14"/>
      <c r="AR872" s="14"/>
      <c r="AS872" s="14"/>
      <c r="AT872" s="14"/>
      <c r="AU872" s="14"/>
      <c r="AV872" s="14"/>
      <c r="AW872" s="14"/>
      <c r="AX872" s="14"/>
      <c r="AY872" s="14"/>
      <c r="AZ872" s="14"/>
      <c r="BA872" s="14"/>
      <c r="BB872" s="14"/>
      <c r="BC872" s="14"/>
      <c r="BD872" s="14"/>
      <c r="BE872" s="14"/>
      <c r="BF872" s="14"/>
      <c r="BG872" s="14"/>
      <c r="BH872" s="14"/>
      <c r="BI872" s="14"/>
      <c r="BJ872" s="14"/>
      <c r="BK872" s="14"/>
      <c r="BL872" s="14"/>
      <c r="BM872" s="14"/>
      <c r="BN872" s="14"/>
      <c r="BO872" s="14"/>
      <c r="BP872" s="14"/>
      <c r="BQ872" s="14"/>
      <c r="BR872" s="14"/>
      <c r="BS872" s="14"/>
      <c r="BT872" s="14"/>
      <c r="BU872" s="14"/>
      <c r="BV872" s="14"/>
      <c r="BW872" s="14"/>
      <c r="BX872" s="14"/>
      <c r="BY872" s="14"/>
      <c r="BZ872" s="14"/>
      <c r="CA872" s="14"/>
      <c r="CB872" s="14"/>
      <c r="CC872" s="14"/>
      <c r="CD872" s="14"/>
      <c r="CE872" s="14"/>
      <c r="CF872" s="14"/>
      <c r="CG872" s="14"/>
      <c r="CH872" s="14"/>
      <c r="CI872" s="14"/>
      <c r="CJ872" s="14"/>
      <c r="CK872" s="14"/>
      <c r="CL872" s="14"/>
      <c r="CM872" s="14"/>
      <c r="CN872" s="14"/>
      <c r="CO872" s="14"/>
      <c r="CP872" s="14"/>
      <c r="CQ872" s="14"/>
      <c r="CR872" s="14"/>
      <c r="CS872" s="14"/>
      <c r="CT872" s="14"/>
      <c r="CU872" s="14"/>
      <c r="CV872" s="14"/>
      <c r="CW872" s="14"/>
      <c r="CX872" s="14"/>
      <c r="CY872" s="14"/>
      <c r="CZ872" s="14"/>
      <c r="DA872" s="14"/>
      <c r="DB872" s="14"/>
      <c r="DC872" s="14"/>
      <c r="DD872" s="14"/>
      <c r="DE872" s="14"/>
      <c r="DF872" s="14"/>
      <c r="DG872" s="14"/>
      <c r="DH872" s="14"/>
      <c r="DI872" s="14"/>
      <c r="DJ872" s="14"/>
      <c r="DK872" s="14"/>
      <c r="DL872" s="14"/>
      <c r="DM872" s="14"/>
      <c r="DN872" s="14"/>
      <c r="DO872" s="14"/>
      <c r="DP872" s="14"/>
      <c r="DQ872" s="14"/>
      <c r="DR872" s="14"/>
      <c r="DS872" s="14"/>
      <c r="DT872" s="14"/>
      <c r="DU872" s="14"/>
      <c r="DV872" s="14"/>
      <c r="DW872" s="14"/>
      <c r="DX872" s="14"/>
      <c r="DY872" s="14"/>
      <c r="DZ872" s="14"/>
      <c r="EA872" s="14"/>
      <c r="EB872" s="14"/>
      <c r="EC872" s="14"/>
    </row>
    <row r="883" spans="1:133" s="13" customFormat="1" x14ac:dyDescent="0.25">
      <c r="A883" s="14"/>
      <c r="C883" s="12"/>
      <c r="D883" s="32"/>
      <c r="E883" s="100"/>
      <c r="R883" s="14"/>
      <c r="S883" s="14"/>
      <c r="T883" s="14"/>
      <c r="U883" s="14"/>
      <c r="V883" s="14"/>
      <c r="W883" s="14"/>
      <c r="X883" s="14"/>
      <c r="Y883" s="14"/>
      <c r="Z883" s="14"/>
      <c r="AA883" s="14"/>
      <c r="AB883" s="14"/>
      <c r="AC883" s="14"/>
      <c r="AD883" s="14"/>
      <c r="AE883" s="14"/>
      <c r="AF883" s="14"/>
      <c r="AG883" s="14"/>
      <c r="AH883" s="14"/>
      <c r="AI883" s="14"/>
      <c r="AJ883" s="14"/>
      <c r="AK883" s="14"/>
      <c r="AL883" s="14"/>
      <c r="AM883" s="14"/>
      <c r="AN883" s="14"/>
      <c r="AO883" s="14"/>
      <c r="AP883" s="14"/>
      <c r="AQ883" s="14"/>
      <c r="AR883" s="14"/>
      <c r="AS883" s="14"/>
      <c r="AT883" s="14"/>
      <c r="AU883" s="14"/>
      <c r="AV883" s="14"/>
      <c r="AW883" s="14"/>
      <c r="AX883" s="14"/>
      <c r="AY883" s="14"/>
      <c r="AZ883" s="14"/>
      <c r="BA883" s="14"/>
      <c r="BB883" s="14"/>
      <c r="BC883" s="14"/>
      <c r="BD883" s="14"/>
      <c r="BE883" s="14"/>
      <c r="BF883" s="14"/>
      <c r="BG883" s="14"/>
      <c r="BH883" s="14"/>
      <c r="BI883" s="14"/>
      <c r="BJ883" s="14"/>
      <c r="BK883" s="14"/>
      <c r="BL883" s="14"/>
      <c r="BM883" s="14"/>
      <c r="BN883" s="14"/>
      <c r="BO883" s="14"/>
      <c r="BP883" s="14"/>
      <c r="BQ883" s="14"/>
      <c r="BR883" s="14"/>
      <c r="BS883" s="14"/>
      <c r="BT883" s="14"/>
      <c r="BU883" s="14"/>
      <c r="BV883" s="14"/>
      <c r="BW883" s="14"/>
      <c r="BX883" s="14"/>
      <c r="BY883" s="14"/>
      <c r="BZ883" s="14"/>
      <c r="CA883" s="14"/>
      <c r="CB883" s="14"/>
      <c r="CC883" s="14"/>
      <c r="CD883" s="14"/>
      <c r="CE883" s="14"/>
      <c r="CF883" s="14"/>
      <c r="CG883" s="14"/>
      <c r="CH883" s="14"/>
      <c r="CI883" s="14"/>
      <c r="CJ883" s="14"/>
      <c r="CK883" s="14"/>
      <c r="CL883" s="14"/>
      <c r="CM883" s="14"/>
      <c r="CN883" s="14"/>
      <c r="CO883" s="14"/>
      <c r="CP883" s="14"/>
      <c r="CQ883" s="14"/>
      <c r="CR883" s="14"/>
      <c r="CS883" s="14"/>
      <c r="CT883" s="14"/>
      <c r="CU883" s="14"/>
      <c r="CV883" s="14"/>
      <c r="CW883" s="14"/>
      <c r="CX883" s="14"/>
      <c r="CY883" s="14"/>
      <c r="CZ883" s="14"/>
      <c r="DA883" s="14"/>
      <c r="DB883" s="14"/>
      <c r="DC883" s="14"/>
      <c r="DD883" s="14"/>
      <c r="DE883" s="14"/>
      <c r="DF883" s="14"/>
      <c r="DG883" s="14"/>
      <c r="DH883" s="14"/>
      <c r="DI883" s="14"/>
      <c r="DJ883" s="14"/>
      <c r="DK883" s="14"/>
      <c r="DL883" s="14"/>
      <c r="DM883" s="14"/>
      <c r="DN883" s="14"/>
      <c r="DO883" s="14"/>
      <c r="DP883" s="14"/>
      <c r="DQ883" s="14"/>
      <c r="DR883" s="14"/>
      <c r="DS883" s="14"/>
      <c r="DT883" s="14"/>
      <c r="DU883" s="14"/>
      <c r="DV883" s="14"/>
      <c r="DW883" s="14"/>
      <c r="DX883" s="14"/>
      <c r="DY883" s="14"/>
      <c r="DZ883" s="14"/>
      <c r="EA883" s="14"/>
      <c r="EB883" s="14"/>
      <c r="EC883" s="14"/>
    </row>
  </sheetData>
  <mergeCells count="195">
    <mergeCell ref="E841:Q841"/>
    <mergeCell ref="E842:Q842"/>
    <mergeCell ref="E823:Q823"/>
    <mergeCell ref="E824:Q824"/>
    <mergeCell ref="E836:Q836"/>
    <mergeCell ref="E837:Q837"/>
    <mergeCell ref="E838:Q838"/>
    <mergeCell ref="E840:Q840"/>
    <mergeCell ref="E783:Q783"/>
    <mergeCell ref="E784:Q784"/>
    <mergeCell ref="E786:Q786"/>
    <mergeCell ref="E787:Q787"/>
    <mergeCell ref="E788:Q788"/>
    <mergeCell ref="A819:XFD819"/>
    <mergeCell ref="E733:Q733"/>
    <mergeCell ref="E734:Q734"/>
    <mergeCell ref="A765:XFD765"/>
    <mergeCell ref="E769:Q769"/>
    <mergeCell ref="E770:Q770"/>
    <mergeCell ref="E782:Q782"/>
    <mergeCell ref="E715:Q715"/>
    <mergeCell ref="E716:Q716"/>
    <mergeCell ref="E728:Q728"/>
    <mergeCell ref="E729:Q729"/>
    <mergeCell ref="E730:Q730"/>
    <mergeCell ref="E732:Q732"/>
    <mergeCell ref="E675:Q675"/>
    <mergeCell ref="E677:Q677"/>
    <mergeCell ref="E678:Q678"/>
    <mergeCell ref="E679:Q679"/>
    <mergeCell ref="A710:XFD710"/>
    <mergeCell ref="A711:XFD711"/>
    <mergeCell ref="E623:Q623"/>
    <mergeCell ref="E624:Q624"/>
    <mergeCell ref="E625:Q625"/>
    <mergeCell ref="A656:XFD656"/>
    <mergeCell ref="E673:Q673"/>
    <mergeCell ref="E674:Q674"/>
    <mergeCell ref="E660:Q660"/>
    <mergeCell ref="E661:Q661"/>
    <mergeCell ref="E570:Q570"/>
    <mergeCell ref="A601:XFD601"/>
    <mergeCell ref="A602:XFD602"/>
    <mergeCell ref="E619:Q619"/>
    <mergeCell ref="E620:Q620"/>
    <mergeCell ref="E621:Q621"/>
    <mergeCell ref="A547:XFD547"/>
    <mergeCell ref="E564:Q564"/>
    <mergeCell ref="E565:Q565"/>
    <mergeCell ref="E566:Q566"/>
    <mergeCell ref="E568:Q568"/>
    <mergeCell ref="E569:Q569"/>
    <mergeCell ref="E551:Q551"/>
    <mergeCell ref="E552:Q552"/>
    <mergeCell ref="E606:Q606"/>
    <mergeCell ref="E607:Q607"/>
    <mergeCell ref="E510:Q510"/>
    <mergeCell ref="E511:Q511"/>
    <mergeCell ref="E512:Q512"/>
    <mergeCell ref="E514:Q514"/>
    <mergeCell ref="E515:Q515"/>
    <mergeCell ref="E516:Q516"/>
    <mergeCell ref="A465:E465"/>
    <mergeCell ref="A470:E470"/>
    <mergeCell ref="A482:E482"/>
    <mergeCell ref="A486:E486"/>
    <mergeCell ref="A492:XFD492"/>
    <mergeCell ref="A493:XFD493"/>
    <mergeCell ref="E497:Q497"/>
    <mergeCell ref="E498:Q498"/>
    <mergeCell ref="E455:Q455"/>
    <mergeCell ref="E456:Q456"/>
    <mergeCell ref="E457:Q457"/>
    <mergeCell ref="E459:Q459"/>
    <mergeCell ref="E460:Q460"/>
    <mergeCell ref="E461:Q461"/>
    <mergeCell ref="A427:E427"/>
    <mergeCell ref="A431:E431"/>
    <mergeCell ref="A438:XFD438"/>
    <mergeCell ref="A440:E440"/>
    <mergeCell ref="E442:Q442"/>
    <mergeCell ref="E443:Q443"/>
    <mergeCell ref="E402:Q402"/>
    <mergeCell ref="E404:Q404"/>
    <mergeCell ref="E405:Q405"/>
    <mergeCell ref="E406:Q406"/>
    <mergeCell ref="A410:E410"/>
    <mergeCell ref="A415:E415"/>
    <mergeCell ref="A383:XFD383"/>
    <mergeCell ref="A385:E385"/>
    <mergeCell ref="E387:Q387"/>
    <mergeCell ref="E388:Q388"/>
    <mergeCell ref="E400:Q400"/>
    <mergeCell ref="E401:Q401"/>
    <mergeCell ref="E351:Q351"/>
    <mergeCell ref="E352:Q352"/>
    <mergeCell ref="A356:E356"/>
    <mergeCell ref="A361:E361"/>
    <mergeCell ref="A373:E373"/>
    <mergeCell ref="A377:E377"/>
    <mergeCell ref="E333:Q333"/>
    <mergeCell ref="E334:Q334"/>
    <mergeCell ref="E346:Q346"/>
    <mergeCell ref="E347:Q347"/>
    <mergeCell ref="E348:Q348"/>
    <mergeCell ref="E350:Q350"/>
    <mergeCell ref="A302:E302"/>
    <mergeCell ref="A307:E307"/>
    <mergeCell ref="A319:E319"/>
    <mergeCell ref="A323:E323"/>
    <mergeCell ref="A329:XFD329"/>
    <mergeCell ref="A331:E331"/>
    <mergeCell ref="E292:Q292"/>
    <mergeCell ref="E293:Q293"/>
    <mergeCell ref="E294:Q294"/>
    <mergeCell ref="E296:Q296"/>
    <mergeCell ref="E297:Q297"/>
    <mergeCell ref="E298:Q298"/>
    <mergeCell ref="A265:E265"/>
    <mergeCell ref="A269:E269"/>
    <mergeCell ref="A275:XFD275"/>
    <mergeCell ref="A277:E277"/>
    <mergeCell ref="E279:Q279"/>
    <mergeCell ref="E280:Q280"/>
    <mergeCell ref="E240:Q240"/>
    <mergeCell ref="E242:Q242"/>
    <mergeCell ref="E243:Q243"/>
    <mergeCell ref="E244:Q244"/>
    <mergeCell ref="A248:E248"/>
    <mergeCell ref="A253:E253"/>
    <mergeCell ref="A221:XFD221"/>
    <mergeCell ref="A223:E223"/>
    <mergeCell ref="E225:Q225"/>
    <mergeCell ref="E226:Q226"/>
    <mergeCell ref="E238:Q238"/>
    <mergeCell ref="E239:Q239"/>
    <mergeCell ref="E189:Q189"/>
    <mergeCell ref="A193:E193"/>
    <mergeCell ref="A198:E198"/>
    <mergeCell ref="A210:E210"/>
    <mergeCell ref="A214:E214"/>
    <mergeCell ref="A220:XFD220"/>
    <mergeCell ref="E171:Q171"/>
    <mergeCell ref="E183:Q183"/>
    <mergeCell ref="E184:Q184"/>
    <mergeCell ref="E185:Q185"/>
    <mergeCell ref="E187:Q187"/>
    <mergeCell ref="E188:Q188"/>
    <mergeCell ref="A144:E144"/>
    <mergeCell ref="A156:E156"/>
    <mergeCell ref="A160:E160"/>
    <mergeCell ref="A166:XFD166"/>
    <mergeCell ref="A168:E168"/>
    <mergeCell ref="E170:Q170"/>
    <mergeCell ref="E130:Q130"/>
    <mergeCell ref="E131:Q131"/>
    <mergeCell ref="E133:Q133"/>
    <mergeCell ref="E134:Q134"/>
    <mergeCell ref="E135:Q135"/>
    <mergeCell ref="A139:E139"/>
    <mergeCell ref="A111:XFD111"/>
    <mergeCell ref="A112:XFD112"/>
    <mergeCell ref="A114:E114"/>
    <mergeCell ref="E116:Q116"/>
    <mergeCell ref="E117:Q117"/>
    <mergeCell ref="E129:Q129"/>
    <mergeCell ref="E80:Q80"/>
    <mergeCell ref="A84:E84"/>
    <mergeCell ref="A89:E89"/>
    <mergeCell ref="A101:E101"/>
    <mergeCell ref="A105:E105"/>
    <mergeCell ref="E61:Q61"/>
    <mergeCell ref="E62:Q62"/>
    <mergeCell ref="E74:Q74"/>
    <mergeCell ref="E75:Q75"/>
    <mergeCell ref="E76:Q76"/>
    <mergeCell ref="E78:Q78"/>
    <mergeCell ref="A57:XFD57"/>
    <mergeCell ref="A59:E59"/>
    <mergeCell ref="E19:Q19"/>
    <mergeCell ref="E20:Q20"/>
    <mergeCell ref="E21:Q21"/>
    <mergeCell ref="E23:Q23"/>
    <mergeCell ref="E24:Q24"/>
    <mergeCell ref="E25:Q25"/>
    <mergeCell ref="E79:Q79"/>
    <mergeCell ref="A1:XFD1"/>
    <mergeCell ref="A2:Q2"/>
    <mergeCell ref="A4:E4"/>
    <mergeCell ref="E6:Q6"/>
    <mergeCell ref="E7:Q7"/>
    <mergeCell ref="A29:E29"/>
    <mergeCell ref="A34:E34"/>
    <mergeCell ref="A46:E46"/>
    <mergeCell ref="A50:E50"/>
  </mergeCells>
  <phoneticPr fontId="24" type="noConversion"/>
  <hyperlinks>
    <hyperlink ref="D26" r:id="rId1" xr:uid="{C8AE16C6-2622-4E35-9537-0586F451595E}"/>
    <hyperlink ref="D81" r:id="rId2" xr:uid="{B959C031-9DD2-4CDD-A86C-41F93D21CB6C}"/>
    <hyperlink ref="D136" r:id="rId3" xr:uid="{71F3A126-6CF4-4B9D-A5BC-4CA8B8E1DC1F}"/>
    <hyperlink ref="D190" r:id="rId4" xr:uid="{7A7BAC0E-5C5B-4287-B55C-735A424A0281}"/>
    <hyperlink ref="D245" r:id="rId5" xr:uid="{5CD92695-9559-4D74-B167-42A79084BC2D}"/>
    <hyperlink ref="D299" r:id="rId6" xr:uid="{613F9E59-9474-4E47-B45E-72AF3BBC460D}"/>
    <hyperlink ref="D353" r:id="rId7" xr:uid="{8A775915-1050-49CC-B60B-01E0DADCB870}"/>
    <hyperlink ref="D462" r:id="rId8" xr:uid="{A2AB10F5-0C3A-46E5-A776-2A2A9DC7A56F}"/>
    <hyperlink ref="D517" r:id="rId9" xr:uid="{3EFF19F7-BCA7-4110-B649-1EFD7D9C9B96}"/>
    <hyperlink ref="D571" r:id="rId10" xr:uid="{3B9BAAB8-3E89-472F-A4B2-D0AC28907212}"/>
    <hyperlink ref="D626" r:id="rId11" xr:uid="{A8F2ACDA-6517-4BD1-BB32-583DBB0EF468}"/>
    <hyperlink ref="D680" r:id="rId12" xr:uid="{C66AE104-9C57-4E0C-9D59-CE8501B7EBE8}"/>
    <hyperlink ref="D735" r:id="rId13" xr:uid="{DC7D0ED2-8F54-47B6-B3EA-98C502DF87D1}"/>
    <hyperlink ref="D789" r:id="rId14" xr:uid="{E74E1E77-E46E-4BD2-A102-9C3657035AD4}"/>
    <hyperlink ref="D843" r:id="rId15" xr:uid="{9EF0B81A-70C0-4695-9074-4E8371FA85AE}"/>
    <hyperlink ref="D407" r:id="rId16" xr:uid="{45B195BB-4C78-4306-A34D-0712E77DD96B}"/>
  </hyperlinks>
  <pageMargins left="0.7" right="0.7" top="0.75" bottom="0.75" header="0.3" footer="0.3"/>
  <pageSetup paperSize="9" scale="66" orientation="landscape" horizontalDpi="300" verticalDpi="300" r:id="rId17"/>
  <ignoredErrors>
    <ignoredError sqref="E10:E11 E65:Q65 E120:Q120 E174:E175 E229:E230 E283:Q283 E446 E555:E556 E610:E611 E664:E665 E719:E720 E773:E774 E827:E828 E337:E338 E391 E501:E502 E66:Q66 E284 E447:Q447 E121 N27 N82 N137 N191 N246 N300 N354 N408 N463 N518 N572 N681 N736 N790 N844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CEF17-B080-4C20-960F-45F1D396ABD9}">
  <dimension ref="A1:EC883"/>
  <sheetViews>
    <sheetView zoomScale="85" zoomScaleNormal="85" zoomScaleSheetLayoutView="80" workbookViewId="0">
      <selection activeCell="F9" sqref="F9"/>
    </sheetView>
  </sheetViews>
  <sheetFormatPr defaultColWidth="11.44140625" defaultRowHeight="15.6" x14ac:dyDescent="0.25"/>
  <cols>
    <col min="1" max="1" width="16.77734375" style="14" customWidth="1"/>
    <col min="2" max="2" width="12.6640625" style="13" customWidth="1"/>
    <col min="3" max="3" width="43.77734375" style="12" customWidth="1"/>
    <col min="4" max="4" width="31.77734375" style="12" customWidth="1"/>
    <col min="5" max="5" width="15.109375" style="13" customWidth="1"/>
    <col min="6" max="6" width="13.33203125" style="13" customWidth="1"/>
    <col min="7" max="8" width="13.77734375" style="13" customWidth="1"/>
    <col min="9" max="9" width="14.77734375" style="13" customWidth="1"/>
    <col min="10" max="10" width="14.21875" style="13" customWidth="1"/>
    <col min="11" max="11" width="13.77734375" style="13" customWidth="1"/>
    <col min="12" max="12" width="14.44140625" style="13" customWidth="1"/>
    <col min="13" max="13" width="13.5546875" style="13" customWidth="1"/>
    <col min="14" max="14" width="13.77734375" style="13" customWidth="1"/>
    <col min="15" max="15" width="14.109375" style="13" customWidth="1"/>
    <col min="16" max="16" width="14.44140625" style="13" customWidth="1"/>
    <col min="17" max="17" width="14.33203125" style="13" customWidth="1"/>
    <col min="18" max="133" width="11.44140625" style="14"/>
    <col min="134" max="16384" width="11.44140625" style="55"/>
  </cols>
  <sheetData>
    <row r="1" spans="1:133" s="182" customFormat="1" ht="36.6" customHeight="1" x14ac:dyDescent="0.25">
      <c r="A1" s="181" t="s">
        <v>220</v>
      </c>
    </row>
    <row r="2" spans="1:133" ht="39.6" customHeight="1" x14ac:dyDescent="0.25">
      <c r="A2" s="183" t="s">
        <v>236</v>
      </c>
      <c r="B2" s="183"/>
      <c r="C2" s="184"/>
      <c r="D2" s="184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</row>
    <row r="3" spans="1:133" s="56" customFormat="1" ht="31.2" x14ac:dyDescent="0.25">
      <c r="A3" s="57" t="s">
        <v>8</v>
      </c>
      <c r="B3" s="58" t="s">
        <v>9</v>
      </c>
      <c r="C3" s="34" t="s">
        <v>10</v>
      </c>
      <c r="D3" s="58" t="s">
        <v>341</v>
      </c>
      <c r="E3" s="58" t="s">
        <v>11</v>
      </c>
      <c r="F3" s="16" t="s">
        <v>322</v>
      </c>
      <c r="G3" s="16" t="s">
        <v>323</v>
      </c>
      <c r="H3" s="16" t="s">
        <v>324</v>
      </c>
      <c r="I3" s="16" t="s">
        <v>325</v>
      </c>
      <c r="J3" s="16" t="s">
        <v>326</v>
      </c>
      <c r="K3" s="16" t="s">
        <v>329</v>
      </c>
      <c r="L3" s="16" t="s">
        <v>292</v>
      </c>
      <c r="M3" s="16" t="s">
        <v>292</v>
      </c>
      <c r="N3" s="16" t="s">
        <v>292</v>
      </c>
      <c r="O3" s="16" t="s">
        <v>292</v>
      </c>
      <c r="P3" s="16" t="s">
        <v>292</v>
      </c>
      <c r="Q3" s="16" t="s">
        <v>292</v>
      </c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54"/>
      <c r="CN3" s="54"/>
      <c r="CO3" s="54"/>
      <c r="CP3" s="54"/>
      <c r="CQ3" s="54"/>
      <c r="CR3" s="54"/>
      <c r="CS3" s="54"/>
      <c r="CT3" s="54"/>
      <c r="CU3" s="54"/>
      <c r="CV3" s="54"/>
      <c r="CW3" s="54"/>
      <c r="CX3" s="54"/>
      <c r="CY3" s="54"/>
      <c r="CZ3" s="54"/>
      <c r="DA3" s="54"/>
      <c r="DB3" s="54"/>
      <c r="DC3" s="54"/>
      <c r="DD3" s="54"/>
      <c r="DE3" s="54"/>
      <c r="DF3" s="54"/>
      <c r="DG3" s="54"/>
      <c r="DH3" s="54"/>
      <c r="DI3" s="54"/>
      <c r="DJ3" s="54"/>
      <c r="DK3" s="54"/>
      <c r="DL3" s="54"/>
      <c r="DM3" s="54"/>
      <c r="DN3" s="54"/>
      <c r="DO3" s="54"/>
      <c r="DP3" s="54"/>
      <c r="DQ3" s="54"/>
      <c r="DR3" s="54"/>
      <c r="DS3" s="54"/>
      <c r="DT3" s="54"/>
      <c r="DU3" s="54"/>
      <c r="DV3" s="54"/>
      <c r="DW3" s="54"/>
      <c r="DX3" s="54"/>
      <c r="DY3" s="54"/>
      <c r="DZ3" s="54"/>
      <c r="EA3" s="54"/>
      <c r="EB3" s="54"/>
      <c r="EC3" s="54"/>
    </row>
    <row r="4" spans="1:133" s="56" customFormat="1" x14ac:dyDescent="0.25">
      <c r="A4" s="178" t="s">
        <v>12</v>
      </c>
      <c r="B4" s="178"/>
      <c r="C4" s="179"/>
      <c r="D4" s="179"/>
      <c r="E4" s="178"/>
      <c r="F4" s="16">
        <v>31</v>
      </c>
      <c r="G4" s="16">
        <v>28</v>
      </c>
      <c r="H4" s="16">
        <v>31</v>
      </c>
      <c r="I4" s="16">
        <v>30</v>
      </c>
      <c r="J4" s="16">
        <v>31</v>
      </c>
      <c r="K4" s="16">
        <v>30</v>
      </c>
      <c r="L4" s="16" t="s">
        <v>297</v>
      </c>
      <c r="M4" s="16" t="s">
        <v>297</v>
      </c>
      <c r="N4" s="16" t="s">
        <v>297</v>
      </c>
      <c r="O4" s="16" t="s">
        <v>297</v>
      </c>
      <c r="P4" s="16" t="s">
        <v>297</v>
      </c>
      <c r="Q4" s="16" t="s">
        <v>297</v>
      </c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4"/>
      <c r="CO4" s="54"/>
      <c r="CP4" s="54"/>
      <c r="CQ4" s="54"/>
      <c r="CR4" s="54"/>
      <c r="CS4" s="54"/>
      <c r="CT4" s="54"/>
      <c r="CU4" s="54"/>
      <c r="CV4" s="54"/>
      <c r="CW4" s="54"/>
      <c r="CX4" s="54"/>
      <c r="CY4" s="54"/>
      <c r="CZ4" s="54"/>
      <c r="DA4" s="54"/>
      <c r="DB4" s="54"/>
      <c r="DC4" s="54"/>
      <c r="DD4" s="54"/>
      <c r="DE4" s="54"/>
      <c r="DF4" s="54"/>
      <c r="DG4" s="54"/>
      <c r="DH4" s="54"/>
      <c r="DI4" s="54"/>
      <c r="DJ4" s="54"/>
      <c r="DK4" s="54"/>
      <c r="DL4" s="54"/>
      <c r="DM4" s="54"/>
      <c r="DN4" s="54"/>
      <c r="DO4" s="54"/>
      <c r="DP4" s="54"/>
      <c r="DQ4" s="54"/>
      <c r="DR4" s="54"/>
      <c r="DS4" s="54"/>
      <c r="DT4" s="54"/>
      <c r="DU4" s="54"/>
      <c r="DV4" s="54"/>
      <c r="DW4" s="54"/>
      <c r="DX4" s="54"/>
      <c r="DY4" s="54"/>
      <c r="DZ4" s="54"/>
      <c r="EA4" s="54"/>
      <c r="EB4" s="54"/>
      <c r="EC4" s="54"/>
    </row>
    <row r="5" spans="1:133" ht="46.8" x14ac:dyDescent="0.25">
      <c r="A5" s="59" t="s">
        <v>13</v>
      </c>
      <c r="B5" s="60" t="s">
        <v>14</v>
      </c>
      <c r="C5" s="53" t="s">
        <v>15</v>
      </c>
      <c r="D5" s="53" t="s">
        <v>369</v>
      </c>
      <c r="E5" s="61">
        <f>SUM(F5:K5)</f>
        <v>1090.391981695944</v>
      </c>
      <c r="F5" s="62">
        <f>$E$6*$E$7*F8*$E$19</f>
        <v>180.59326602777884</v>
      </c>
      <c r="G5" s="62">
        <f t="shared" ref="G5:K5" si="0">$E$6*$E$7*G8*$E$19</f>
        <v>163.12631238388275</v>
      </c>
      <c r="H5" s="62">
        <f t="shared" si="0"/>
        <v>180.78540426103001</v>
      </c>
      <c r="I5" s="62">
        <f t="shared" si="0"/>
        <v>174.79022577913858</v>
      </c>
      <c r="J5" s="62">
        <f t="shared" si="0"/>
        <v>203.07650440191682</v>
      </c>
      <c r="K5" s="62">
        <f t="shared" si="0"/>
        <v>188.02026884219705</v>
      </c>
      <c r="L5" s="62" t="s">
        <v>297</v>
      </c>
      <c r="M5" s="62" t="s">
        <v>297</v>
      </c>
      <c r="N5" s="62" t="s">
        <v>297</v>
      </c>
      <c r="O5" s="62" t="s">
        <v>297</v>
      </c>
      <c r="P5" s="62" t="s">
        <v>297</v>
      </c>
      <c r="Q5" s="62" t="s">
        <v>297</v>
      </c>
    </row>
    <row r="6" spans="1:133" ht="31.2" x14ac:dyDescent="0.25">
      <c r="A6" s="63" t="s">
        <v>16</v>
      </c>
      <c r="B6" s="60" t="s">
        <v>193</v>
      </c>
      <c r="C6" s="35" t="s">
        <v>17</v>
      </c>
      <c r="D6" s="35" t="s">
        <v>205</v>
      </c>
      <c r="E6" s="176">
        <v>28</v>
      </c>
      <c r="F6" s="176"/>
      <c r="G6" s="176"/>
      <c r="H6" s="176"/>
      <c r="I6" s="176"/>
      <c r="J6" s="176"/>
      <c r="K6" s="176"/>
      <c r="L6" s="176"/>
      <c r="M6" s="176"/>
      <c r="N6" s="176"/>
      <c r="O6" s="176"/>
      <c r="P6" s="176"/>
      <c r="Q6" s="176"/>
    </row>
    <row r="7" spans="1:133" ht="64.8" x14ac:dyDescent="0.25">
      <c r="A7" s="63" t="s">
        <v>18</v>
      </c>
      <c r="B7" s="25" t="s">
        <v>194</v>
      </c>
      <c r="C7" s="35" t="s">
        <v>20</v>
      </c>
      <c r="D7" s="35" t="s">
        <v>394</v>
      </c>
      <c r="E7" s="176">
        <v>0.21</v>
      </c>
      <c r="F7" s="176"/>
      <c r="G7" s="176"/>
      <c r="H7" s="176"/>
      <c r="I7" s="176"/>
      <c r="J7" s="176"/>
      <c r="K7" s="176"/>
      <c r="L7" s="176"/>
      <c r="M7" s="176"/>
      <c r="N7" s="176"/>
      <c r="O7" s="176"/>
      <c r="P7" s="176"/>
      <c r="Q7" s="176"/>
    </row>
    <row r="8" spans="1:133" ht="46.8" x14ac:dyDescent="0.25">
      <c r="A8" s="35" t="s">
        <v>21</v>
      </c>
      <c r="B8" s="25" t="s">
        <v>195</v>
      </c>
      <c r="C8" s="53" t="s">
        <v>22</v>
      </c>
      <c r="D8" s="53" t="s">
        <v>370</v>
      </c>
      <c r="E8" s="64">
        <f t="shared" ref="E8:K8" si="1">E16*E9</f>
        <v>293.66992195000427</v>
      </c>
      <c r="F8" s="64">
        <f t="shared" si="1"/>
        <v>48.638298180243716</v>
      </c>
      <c r="G8" s="64">
        <f t="shared" si="1"/>
        <v>43.934009264500688</v>
      </c>
      <c r="H8" s="64">
        <f t="shared" si="1"/>
        <v>48.690045827795856</v>
      </c>
      <c r="I8" s="64">
        <f t="shared" si="1"/>
        <v>47.075393825205886</v>
      </c>
      <c r="J8" s="64">
        <f t="shared" si="1"/>
        <v>54.693598447810793</v>
      </c>
      <c r="K8" s="64">
        <f t="shared" si="1"/>
        <v>50.638576404447363</v>
      </c>
      <c r="L8" s="64" t="s">
        <v>297</v>
      </c>
      <c r="M8" s="64" t="s">
        <v>297</v>
      </c>
      <c r="N8" s="64" t="s">
        <v>297</v>
      </c>
      <c r="O8" s="64" t="s">
        <v>297</v>
      </c>
      <c r="P8" s="64" t="s">
        <v>297</v>
      </c>
      <c r="Q8" s="64" t="s">
        <v>297</v>
      </c>
    </row>
    <row r="9" spans="1:133" ht="46.8" x14ac:dyDescent="0.25">
      <c r="A9" s="35" t="s">
        <v>23</v>
      </c>
      <c r="B9" s="25" t="s">
        <v>197</v>
      </c>
      <c r="C9" s="35" t="s">
        <v>191</v>
      </c>
      <c r="D9" s="35" t="s">
        <v>371</v>
      </c>
      <c r="E9" s="20">
        <f>SUM(F9:K9)</f>
        <v>309.04032544446835</v>
      </c>
      <c r="F9" s="20">
        <f>F11*F14</f>
        <v>51.183980296240861</v>
      </c>
      <c r="G9" s="20">
        <f t="shared" ref="G9:K9" si="2">G11*G14</f>
        <v>46.23347338748929</v>
      </c>
      <c r="H9" s="20">
        <f t="shared" si="2"/>
        <v>51.238436366288177</v>
      </c>
      <c r="I9" s="20">
        <f t="shared" si="2"/>
        <v>49.539275018586665</v>
      </c>
      <c r="J9" s="20">
        <f t="shared" si="2"/>
        <v>57.556209201833347</v>
      </c>
      <c r="K9" s="20">
        <f t="shared" si="2"/>
        <v>53.288951174030032</v>
      </c>
      <c r="L9" s="20" t="s">
        <v>297</v>
      </c>
      <c r="M9" s="20" t="s">
        <v>297</v>
      </c>
      <c r="N9" s="20" t="s">
        <v>297</v>
      </c>
      <c r="O9" s="20" t="s">
        <v>297</v>
      </c>
      <c r="P9" s="20" t="s">
        <v>297</v>
      </c>
      <c r="Q9" s="20" t="s">
        <v>297</v>
      </c>
    </row>
    <row r="10" spans="1:133" ht="62.4" x14ac:dyDescent="0.25">
      <c r="A10" s="17" t="s">
        <v>335</v>
      </c>
      <c r="B10" s="60" t="s">
        <v>192</v>
      </c>
      <c r="C10" s="35" t="s">
        <v>25</v>
      </c>
      <c r="D10" s="35" t="s">
        <v>333</v>
      </c>
      <c r="E10" s="121">
        <f>AVERAGE(F10:K10)</f>
        <v>4038.7034994111632</v>
      </c>
      <c r="F10" s="121">
        <v>3877.8043870967745</v>
      </c>
      <c r="G10" s="121">
        <v>3878.9887857142858</v>
      </c>
      <c r="H10" s="121">
        <v>3878.8004193548386</v>
      </c>
      <c r="I10" s="121">
        <v>3878.6191333333336</v>
      </c>
      <c r="J10" s="121">
        <v>4358.678870967743</v>
      </c>
      <c r="K10" s="121">
        <v>4359.3294000000014</v>
      </c>
      <c r="L10" s="20" t="s">
        <v>297</v>
      </c>
      <c r="M10" s="20" t="s">
        <v>297</v>
      </c>
      <c r="N10" s="20" t="s">
        <v>297</v>
      </c>
      <c r="O10" s="20" t="s">
        <v>297</v>
      </c>
      <c r="P10" s="20" t="s">
        <v>297</v>
      </c>
      <c r="Q10" s="20" t="s">
        <v>297</v>
      </c>
    </row>
    <row r="11" spans="1:133" ht="46.8" x14ac:dyDescent="0.25">
      <c r="A11" s="35" t="s">
        <v>26</v>
      </c>
      <c r="B11" s="60" t="s">
        <v>198</v>
      </c>
      <c r="C11" s="35" t="s">
        <v>27</v>
      </c>
      <c r="D11" s="35" t="s">
        <v>206</v>
      </c>
      <c r="E11" s="65">
        <f>SUM(F11:K11)</f>
        <v>731323.93599999999</v>
      </c>
      <c r="F11" s="65">
        <f>F10*F4</f>
        <v>120211.936</v>
      </c>
      <c r="G11" s="65">
        <f t="shared" ref="G11:K11" si="3">G10*G4</f>
        <v>108611.686</v>
      </c>
      <c r="H11" s="65">
        <f t="shared" si="3"/>
        <v>120242.81299999999</v>
      </c>
      <c r="I11" s="65">
        <f t="shared" si="3"/>
        <v>116358.57400000001</v>
      </c>
      <c r="J11" s="65">
        <f t="shared" si="3"/>
        <v>135119.04500000004</v>
      </c>
      <c r="K11" s="65">
        <f t="shared" si="3"/>
        <v>130779.88200000004</v>
      </c>
      <c r="L11" s="65" t="s">
        <v>297</v>
      </c>
      <c r="M11" s="65" t="s">
        <v>297</v>
      </c>
      <c r="N11" s="65" t="s">
        <v>297</v>
      </c>
      <c r="O11" s="65" t="s">
        <v>297</v>
      </c>
      <c r="P11" s="65" t="s">
        <v>297</v>
      </c>
      <c r="Q11" s="65" t="s">
        <v>297</v>
      </c>
    </row>
    <row r="12" spans="1:133" ht="62.4" x14ac:dyDescent="0.25">
      <c r="A12" s="35" t="s">
        <v>28</v>
      </c>
      <c r="B12" s="60" t="s">
        <v>199</v>
      </c>
      <c r="C12" s="35" t="s">
        <v>29</v>
      </c>
      <c r="D12" s="35" t="s">
        <v>332</v>
      </c>
      <c r="E12" s="125">
        <f>AVERAGE(F12:K12)</f>
        <v>422.79443143027828</v>
      </c>
      <c r="F12" s="125">
        <v>425.78118279569895</v>
      </c>
      <c r="G12" s="125">
        <v>425.67678571428576</v>
      </c>
      <c r="H12" s="125">
        <v>426.12473118279576</v>
      </c>
      <c r="I12" s="125">
        <v>425.74666666666661</v>
      </c>
      <c r="J12" s="125">
        <v>425.96666666666664</v>
      </c>
      <c r="K12" s="125">
        <v>407.47055555555568</v>
      </c>
      <c r="L12" s="66" t="s">
        <v>297</v>
      </c>
      <c r="M12" s="66" t="s">
        <v>297</v>
      </c>
      <c r="N12" s="66" t="s">
        <v>297</v>
      </c>
      <c r="O12" s="66" t="s">
        <v>297</v>
      </c>
      <c r="P12" s="66" t="s">
        <v>297</v>
      </c>
      <c r="Q12" s="66" t="s">
        <v>297</v>
      </c>
    </row>
    <row r="13" spans="1:133" ht="62.4" x14ac:dyDescent="0.25">
      <c r="A13" s="35" t="s">
        <v>30</v>
      </c>
      <c r="B13" s="60" t="s">
        <v>199</v>
      </c>
      <c r="C13" s="35" t="s">
        <v>31</v>
      </c>
      <c r="D13" s="35" t="s">
        <v>331</v>
      </c>
      <c r="E13" s="125">
        <f>AVERAGE(F13:J13)</f>
        <v>19.886479134664619</v>
      </c>
      <c r="F13" s="125">
        <v>19.599999999999998</v>
      </c>
      <c r="G13" s="125">
        <v>20.265773809523811</v>
      </c>
      <c r="H13" s="125">
        <v>19.893548387096775</v>
      </c>
      <c r="I13" s="125">
        <v>19.806944444444447</v>
      </c>
      <c r="J13" s="125">
        <v>19.866129032258065</v>
      </c>
      <c r="K13" s="126">
        <v>19.826944444444443</v>
      </c>
      <c r="L13" s="65" t="s">
        <v>297</v>
      </c>
      <c r="M13" s="65" t="s">
        <v>297</v>
      </c>
      <c r="N13" s="65" t="s">
        <v>297</v>
      </c>
      <c r="O13" s="65" t="s">
        <v>297</v>
      </c>
      <c r="P13" s="65" t="s">
        <v>297</v>
      </c>
      <c r="Q13" s="65" t="s">
        <v>297</v>
      </c>
    </row>
    <row r="14" spans="1:133" ht="62.4" x14ac:dyDescent="0.25">
      <c r="A14" s="35" t="s">
        <v>32</v>
      </c>
      <c r="B14" s="60" t="s">
        <v>200</v>
      </c>
      <c r="C14" s="35" t="s">
        <v>34</v>
      </c>
      <c r="D14" s="35" t="s">
        <v>338</v>
      </c>
      <c r="E14" s="122">
        <f>E12/1000000</f>
        <v>4.2279443143027827E-4</v>
      </c>
      <c r="F14" s="120">
        <f>F12/1000000</f>
        <v>4.2578118279569896E-4</v>
      </c>
      <c r="G14" s="120">
        <f t="shared" ref="G14:K15" si="4">G12/1000000</f>
        <v>4.2567678571428578E-4</v>
      </c>
      <c r="H14" s="120">
        <f t="shared" si="4"/>
        <v>4.2612473118279574E-4</v>
      </c>
      <c r="I14" s="120">
        <f t="shared" si="4"/>
        <v>4.257466666666666E-4</v>
      </c>
      <c r="J14" s="120">
        <f t="shared" si="4"/>
        <v>4.2596666666666665E-4</v>
      </c>
      <c r="K14" s="120">
        <f t="shared" si="4"/>
        <v>4.0747055555555566E-4</v>
      </c>
      <c r="L14" s="22" t="s">
        <v>297</v>
      </c>
      <c r="M14" s="22" t="s">
        <v>297</v>
      </c>
      <c r="N14" s="22" t="s">
        <v>297</v>
      </c>
      <c r="O14" s="22" t="s">
        <v>297</v>
      </c>
      <c r="P14" s="22" t="s">
        <v>297</v>
      </c>
      <c r="Q14" s="22" t="s">
        <v>297</v>
      </c>
    </row>
    <row r="15" spans="1:133" ht="62.4" x14ac:dyDescent="0.25">
      <c r="A15" s="35" t="s">
        <v>30</v>
      </c>
      <c r="B15" s="60" t="s">
        <v>33</v>
      </c>
      <c r="C15" s="35" t="s">
        <v>35</v>
      </c>
      <c r="D15" s="35" t="s">
        <v>339</v>
      </c>
      <c r="E15" s="122">
        <f>E13/1000000</f>
        <v>1.9886479134664618E-5</v>
      </c>
      <c r="F15" s="120">
        <f>F13/1000000</f>
        <v>1.9599999999999999E-5</v>
      </c>
      <c r="G15" s="120">
        <f t="shared" si="4"/>
        <v>2.0265773809523812E-5</v>
      </c>
      <c r="H15" s="120">
        <f t="shared" si="4"/>
        <v>1.9893548387096774E-5</v>
      </c>
      <c r="I15" s="120">
        <f t="shared" si="4"/>
        <v>1.9806944444444447E-5</v>
      </c>
      <c r="J15" s="120">
        <f t="shared" si="4"/>
        <v>1.9866129032258066E-5</v>
      </c>
      <c r="K15" s="120">
        <f t="shared" si="4"/>
        <v>1.9826944444444444E-5</v>
      </c>
      <c r="L15" s="22" t="s">
        <v>297</v>
      </c>
      <c r="M15" s="22" t="s">
        <v>297</v>
      </c>
      <c r="N15" s="22" t="s">
        <v>297</v>
      </c>
      <c r="O15" s="22" t="s">
        <v>297</v>
      </c>
      <c r="P15" s="22" t="s">
        <v>297</v>
      </c>
      <c r="Q15" s="22" t="s">
        <v>297</v>
      </c>
    </row>
    <row r="16" spans="1:133" ht="46.8" x14ac:dyDescent="0.25">
      <c r="A16" s="63" t="s">
        <v>36</v>
      </c>
      <c r="B16" s="25" t="s">
        <v>201</v>
      </c>
      <c r="C16" s="35" t="s">
        <v>38</v>
      </c>
      <c r="D16" s="35" t="s">
        <v>368</v>
      </c>
      <c r="E16" s="68">
        <f>(1-(E17/E18))</f>
        <v>0.95026408455803291</v>
      </c>
      <c r="F16" s="68">
        <f>E16</f>
        <v>0.95026408455803291</v>
      </c>
      <c r="G16" s="68">
        <f>E16</f>
        <v>0.95026408455803291</v>
      </c>
      <c r="H16" s="68">
        <f>E16</f>
        <v>0.95026408455803291</v>
      </c>
      <c r="I16" s="68">
        <f>E16</f>
        <v>0.95026408455803291</v>
      </c>
      <c r="J16" s="68">
        <f>E16</f>
        <v>0.95026408455803291</v>
      </c>
      <c r="K16" s="68">
        <f>F16</f>
        <v>0.95026408455803291</v>
      </c>
      <c r="L16" s="68" t="s">
        <v>297</v>
      </c>
      <c r="M16" s="68" t="s">
        <v>297</v>
      </c>
      <c r="N16" s="68" t="s">
        <v>297</v>
      </c>
      <c r="O16" s="68" t="s">
        <v>297</v>
      </c>
      <c r="P16" s="68" t="s">
        <v>297</v>
      </c>
      <c r="Q16" s="68" t="s">
        <v>297</v>
      </c>
    </row>
    <row r="17" spans="1:133" ht="31.2" x14ac:dyDescent="0.25">
      <c r="A17" s="35" t="s">
        <v>39</v>
      </c>
      <c r="B17" s="25" t="s">
        <v>196</v>
      </c>
      <c r="C17" s="35" t="s">
        <v>40</v>
      </c>
      <c r="D17" s="35" t="s">
        <v>351</v>
      </c>
      <c r="E17" s="52">
        <f>SUM(F17:K17)</f>
        <v>14.717356558199999</v>
      </c>
      <c r="F17" s="52">
        <v>2.5206522281999999</v>
      </c>
      <c r="G17" s="52">
        <v>2.2767181415999995</v>
      </c>
      <c r="H17" s="52">
        <v>2.5206522281999999</v>
      </c>
      <c r="I17" s="52">
        <v>2.4393408659999998</v>
      </c>
      <c r="J17" s="52">
        <v>2.5206522281999999</v>
      </c>
      <c r="K17" s="52">
        <v>2.4393408659999998</v>
      </c>
      <c r="L17" s="69" t="s">
        <v>297</v>
      </c>
      <c r="M17" s="69" t="s">
        <v>297</v>
      </c>
      <c r="N17" s="69" t="s">
        <v>297</v>
      </c>
      <c r="O17" s="69" t="s">
        <v>297</v>
      </c>
      <c r="P17" s="69" t="s">
        <v>297</v>
      </c>
      <c r="Q17" s="69" t="s">
        <v>297</v>
      </c>
    </row>
    <row r="18" spans="1:133" ht="31.2" x14ac:dyDescent="0.25">
      <c r="A18" s="63" t="s">
        <v>41</v>
      </c>
      <c r="B18" s="25" t="s">
        <v>24</v>
      </c>
      <c r="C18" s="35" t="s">
        <v>42</v>
      </c>
      <c r="D18" s="35" t="s">
        <v>351</v>
      </c>
      <c r="E18" s="52">
        <f>SUM(F18:K18)</f>
        <v>295.91003658860001</v>
      </c>
      <c r="F18" s="52">
        <v>50.680724498600007</v>
      </c>
      <c r="G18" s="52">
        <v>45.776138256800003</v>
      </c>
      <c r="H18" s="52">
        <v>50.680724498600007</v>
      </c>
      <c r="I18" s="52">
        <v>49.045862418000006</v>
      </c>
      <c r="J18" s="52">
        <v>50.680724498600007</v>
      </c>
      <c r="K18" s="52">
        <v>49.045862418000006</v>
      </c>
      <c r="L18" s="69" t="s">
        <v>297</v>
      </c>
      <c r="M18" s="69" t="s">
        <v>297</v>
      </c>
      <c r="N18" s="69" t="s">
        <v>297</v>
      </c>
      <c r="O18" s="69" t="s">
        <v>297</v>
      </c>
      <c r="P18" s="69" t="s">
        <v>297</v>
      </c>
      <c r="Q18" s="69" t="s">
        <v>297</v>
      </c>
    </row>
    <row r="19" spans="1:133" ht="31.2" x14ac:dyDescent="0.25">
      <c r="A19" s="53" t="s">
        <v>43</v>
      </c>
      <c r="B19" s="25" t="s">
        <v>201</v>
      </c>
      <c r="C19" s="53" t="s">
        <v>44</v>
      </c>
      <c r="D19" s="35" t="s">
        <v>372</v>
      </c>
      <c r="E19" s="177">
        <f>E20*E21*0.89</f>
        <v>0.63146001463904167</v>
      </c>
      <c r="F19" s="177"/>
      <c r="G19" s="177"/>
      <c r="H19" s="177"/>
      <c r="I19" s="177"/>
      <c r="J19" s="177"/>
      <c r="K19" s="177"/>
      <c r="L19" s="177"/>
      <c r="M19" s="177"/>
      <c r="N19" s="177"/>
      <c r="O19" s="177"/>
      <c r="P19" s="177"/>
      <c r="Q19" s="177"/>
    </row>
    <row r="20" spans="1:133" ht="31.2" x14ac:dyDescent="0.25">
      <c r="A20" s="70" t="s">
        <v>45</v>
      </c>
      <c r="B20" s="25" t="s">
        <v>201</v>
      </c>
      <c r="C20" s="53" t="s">
        <v>46</v>
      </c>
      <c r="D20" s="35" t="s">
        <v>373</v>
      </c>
      <c r="E20" s="162">
        <v>0.7</v>
      </c>
      <c r="F20" s="163"/>
      <c r="G20" s="163"/>
      <c r="H20" s="163"/>
      <c r="I20" s="163"/>
      <c r="J20" s="163"/>
      <c r="K20" s="163"/>
      <c r="L20" s="163"/>
      <c r="M20" s="163"/>
      <c r="N20" s="163"/>
      <c r="O20" s="163"/>
      <c r="P20" s="163"/>
      <c r="Q20" s="164"/>
    </row>
    <row r="21" spans="1:133" ht="36" customHeight="1" x14ac:dyDescent="0.25">
      <c r="A21" s="70" t="s">
        <v>47</v>
      </c>
      <c r="B21" s="25" t="s">
        <v>37</v>
      </c>
      <c r="C21" s="53" t="s">
        <v>48</v>
      </c>
      <c r="D21" s="35" t="s">
        <v>374</v>
      </c>
      <c r="E21" s="159">
        <f>(F22*F27+G22*G27+H22*H27+I22*I27+J22*J27+K22*K27)/(F16*F11*F14+G16*G14*G11+H16*H11*H14+I16*I14*I11+J16*J14*J11+K16*K14*K11)</f>
        <v>1.0135794777512708</v>
      </c>
      <c r="F21" s="160"/>
      <c r="G21" s="160"/>
      <c r="H21" s="160"/>
      <c r="I21" s="160"/>
      <c r="J21" s="160"/>
      <c r="K21" s="160"/>
      <c r="L21" s="160"/>
      <c r="M21" s="160"/>
      <c r="N21" s="160"/>
      <c r="O21" s="160"/>
      <c r="P21" s="160"/>
      <c r="Q21" s="161"/>
    </row>
    <row r="22" spans="1:133" s="9" customFormat="1" ht="46.8" x14ac:dyDescent="0.4">
      <c r="A22" s="71" t="s">
        <v>49</v>
      </c>
      <c r="B22" s="25" t="s">
        <v>37</v>
      </c>
      <c r="C22" s="53" t="s">
        <v>50</v>
      </c>
      <c r="D22" s="53" t="s">
        <v>375</v>
      </c>
      <c r="E22" s="72">
        <f>AVERAGE(F22:K22)</f>
        <v>0.54689538420497319</v>
      </c>
      <c r="F22" s="72">
        <f t="shared" ref="F22:K22" si="5">IF(F26&lt;283,0,IF(F26&gt;303,1,EXP(($E$23*(F26-$E$24))/($E$25*$E$24*F26))))</f>
        <v>0.35374940126825682</v>
      </c>
      <c r="G22" s="72">
        <f t="shared" si="5"/>
        <v>0.26921004737855481</v>
      </c>
      <c r="H22" s="72">
        <f t="shared" si="5"/>
        <v>0.50475941545474445</v>
      </c>
      <c r="I22" s="72">
        <f t="shared" si="5"/>
        <v>0.55084569341606926</v>
      </c>
      <c r="J22" s="72">
        <f t="shared" si="5"/>
        <v>0.6835684899717327</v>
      </c>
      <c r="K22" s="72">
        <f t="shared" si="5"/>
        <v>0.91923925774048054</v>
      </c>
      <c r="L22" s="72" t="s">
        <v>297</v>
      </c>
      <c r="M22" s="72" t="s">
        <v>297</v>
      </c>
      <c r="N22" s="72" t="s">
        <v>297</v>
      </c>
      <c r="O22" s="72" t="s">
        <v>297</v>
      </c>
      <c r="P22" s="72" t="s">
        <v>297</v>
      </c>
      <c r="Q22" s="72" t="s">
        <v>297</v>
      </c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  <c r="AJ22" s="78"/>
      <c r="AK22" s="78"/>
      <c r="AL22" s="78"/>
      <c r="AM22" s="78"/>
      <c r="AN22" s="78"/>
      <c r="AO22" s="78"/>
      <c r="AP22" s="78"/>
      <c r="AQ22" s="78"/>
      <c r="AR22" s="78"/>
      <c r="AS22" s="78"/>
      <c r="AT22" s="78"/>
      <c r="AU22" s="78"/>
      <c r="AV22" s="78"/>
      <c r="AW22" s="78"/>
      <c r="AX22" s="78"/>
      <c r="AY22" s="78"/>
      <c r="AZ22" s="78"/>
      <c r="BA22" s="78"/>
      <c r="BB22" s="78"/>
      <c r="BC22" s="78"/>
      <c r="BD22" s="78"/>
      <c r="BE22" s="78"/>
      <c r="BF22" s="78"/>
      <c r="BG22" s="78"/>
      <c r="BH22" s="78"/>
      <c r="BI22" s="78"/>
      <c r="BJ22" s="78"/>
      <c r="BK22" s="78"/>
      <c r="BL22" s="78"/>
      <c r="BM22" s="78"/>
      <c r="BN22" s="78"/>
      <c r="BO22" s="78"/>
      <c r="BP22" s="78"/>
      <c r="BQ22" s="78"/>
      <c r="BR22" s="78"/>
      <c r="BS22" s="78"/>
      <c r="BT22" s="78"/>
      <c r="BU22" s="78"/>
      <c r="BV22" s="78"/>
      <c r="BW22" s="78"/>
      <c r="BX22" s="78"/>
      <c r="BY22" s="78"/>
      <c r="BZ22" s="78"/>
      <c r="CA22" s="78"/>
      <c r="CB22" s="78"/>
      <c r="CC22" s="78"/>
      <c r="CD22" s="78"/>
      <c r="CE22" s="78"/>
      <c r="CF22" s="78"/>
      <c r="CG22" s="78"/>
      <c r="CH22" s="78"/>
      <c r="CI22" s="78"/>
      <c r="CJ22" s="78"/>
      <c r="CK22" s="78"/>
      <c r="CL22" s="78"/>
      <c r="CM22" s="78"/>
      <c r="CN22" s="78"/>
      <c r="CO22" s="78"/>
      <c r="CP22" s="78"/>
      <c r="CQ22" s="78"/>
      <c r="CR22" s="78"/>
      <c r="CS22" s="78"/>
      <c r="CT22" s="78"/>
      <c r="CU22" s="78"/>
      <c r="CV22" s="78"/>
      <c r="CW22" s="78"/>
      <c r="CX22" s="78"/>
      <c r="CY22" s="78"/>
      <c r="CZ22" s="78"/>
      <c r="DA22" s="78"/>
      <c r="DB22" s="78"/>
      <c r="DC22" s="78"/>
      <c r="DD22" s="78"/>
      <c r="DE22" s="78"/>
      <c r="DF22" s="78"/>
      <c r="DG22" s="78"/>
      <c r="DH22" s="78"/>
      <c r="DI22" s="78"/>
      <c r="DJ22" s="78"/>
      <c r="DK22" s="78"/>
      <c r="DL22" s="78"/>
      <c r="DM22" s="78"/>
      <c r="DN22" s="78"/>
      <c r="DO22" s="78"/>
      <c r="DP22" s="78"/>
      <c r="DQ22" s="78"/>
      <c r="DR22" s="78"/>
      <c r="DS22" s="78"/>
      <c r="DT22" s="78"/>
      <c r="DU22" s="78"/>
      <c r="DV22" s="78"/>
      <c r="DW22" s="78"/>
      <c r="DX22" s="78"/>
      <c r="DY22" s="78"/>
      <c r="DZ22" s="78"/>
      <c r="EA22" s="78"/>
      <c r="EB22" s="78"/>
      <c r="EC22" s="78"/>
    </row>
    <row r="23" spans="1:133" s="9" customFormat="1" x14ac:dyDescent="0.25">
      <c r="A23" s="73" t="s">
        <v>51</v>
      </c>
      <c r="B23" s="60" t="s">
        <v>202</v>
      </c>
      <c r="C23" s="53" t="s">
        <v>53</v>
      </c>
      <c r="D23" s="53" t="s">
        <v>376</v>
      </c>
      <c r="E23" s="162">
        <v>15175</v>
      </c>
      <c r="F23" s="163"/>
      <c r="G23" s="163"/>
      <c r="H23" s="163"/>
      <c r="I23" s="163"/>
      <c r="J23" s="163"/>
      <c r="K23" s="163"/>
      <c r="L23" s="163"/>
      <c r="M23" s="163"/>
      <c r="N23" s="163"/>
      <c r="O23" s="163"/>
      <c r="P23" s="163"/>
      <c r="Q23" s="164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  <c r="AJ23" s="78"/>
      <c r="AK23" s="78"/>
      <c r="AL23" s="78"/>
      <c r="AM23" s="78"/>
      <c r="AN23" s="78"/>
      <c r="AO23" s="78"/>
      <c r="AP23" s="78"/>
      <c r="AQ23" s="78"/>
      <c r="AR23" s="78"/>
      <c r="AS23" s="78"/>
      <c r="AT23" s="78"/>
      <c r="AU23" s="78"/>
      <c r="AV23" s="78"/>
      <c r="AW23" s="78"/>
      <c r="AX23" s="78"/>
      <c r="AY23" s="78"/>
      <c r="AZ23" s="78"/>
      <c r="BA23" s="78"/>
      <c r="BB23" s="78"/>
      <c r="BC23" s="78"/>
      <c r="BD23" s="78"/>
      <c r="BE23" s="78"/>
      <c r="BF23" s="78"/>
      <c r="BG23" s="78"/>
      <c r="BH23" s="78"/>
      <c r="BI23" s="78"/>
      <c r="BJ23" s="78"/>
      <c r="BK23" s="78"/>
      <c r="BL23" s="78"/>
      <c r="BM23" s="78"/>
      <c r="BN23" s="78"/>
      <c r="BO23" s="78"/>
      <c r="BP23" s="78"/>
      <c r="BQ23" s="78"/>
      <c r="BR23" s="78"/>
      <c r="BS23" s="78"/>
      <c r="BT23" s="78"/>
      <c r="BU23" s="78"/>
      <c r="BV23" s="78"/>
      <c r="BW23" s="78"/>
      <c r="BX23" s="78"/>
      <c r="BY23" s="78"/>
      <c r="BZ23" s="78"/>
      <c r="CA23" s="78"/>
      <c r="CB23" s="78"/>
      <c r="CC23" s="78"/>
      <c r="CD23" s="78"/>
      <c r="CE23" s="78"/>
      <c r="CF23" s="78"/>
      <c r="CG23" s="78"/>
      <c r="CH23" s="78"/>
      <c r="CI23" s="78"/>
      <c r="CJ23" s="78"/>
      <c r="CK23" s="78"/>
      <c r="CL23" s="78"/>
      <c r="CM23" s="78"/>
      <c r="CN23" s="78"/>
      <c r="CO23" s="78"/>
      <c r="CP23" s="78"/>
      <c r="CQ23" s="78"/>
      <c r="CR23" s="78"/>
      <c r="CS23" s="78"/>
      <c r="CT23" s="78"/>
      <c r="CU23" s="78"/>
      <c r="CV23" s="78"/>
      <c r="CW23" s="78"/>
      <c r="CX23" s="78"/>
      <c r="CY23" s="78"/>
      <c r="CZ23" s="78"/>
      <c r="DA23" s="78"/>
      <c r="DB23" s="78"/>
      <c r="DC23" s="78"/>
      <c r="DD23" s="78"/>
      <c r="DE23" s="78"/>
      <c r="DF23" s="78"/>
      <c r="DG23" s="78"/>
      <c r="DH23" s="78"/>
      <c r="DI23" s="78"/>
      <c r="DJ23" s="78"/>
      <c r="DK23" s="78"/>
      <c r="DL23" s="78"/>
      <c r="DM23" s="78"/>
      <c r="DN23" s="78"/>
      <c r="DO23" s="78"/>
      <c r="DP23" s="78"/>
      <c r="DQ23" s="78"/>
      <c r="DR23" s="78"/>
      <c r="DS23" s="78"/>
      <c r="DT23" s="78"/>
      <c r="DU23" s="78"/>
      <c r="DV23" s="78"/>
      <c r="DW23" s="78"/>
      <c r="DX23" s="78"/>
      <c r="DY23" s="78"/>
      <c r="DZ23" s="78"/>
      <c r="EA23" s="78"/>
      <c r="EB23" s="78"/>
      <c r="EC23" s="78"/>
    </row>
    <row r="24" spans="1:133" s="9" customFormat="1" ht="18" x14ac:dyDescent="0.25">
      <c r="A24" s="73" t="s">
        <v>54</v>
      </c>
      <c r="B24" s="60" t="s">
        <v>203</v>
      </c>
      <c r="C24" s="53" t="s">
        <v>56</v>
      </c>
      <c r="D24" s="53" t="s">
        <v>376</v>
      </c>
      <c r="E24" s="162">
        <v>303.16000000000003</v>
      </c>
      <c r="F24" s="163"/>
      <c r="G24" s="163"/>
      <c r="H24" s="163"/>
      <c r="I24" s="163"/>
      <c r="J24" s="163"/>
      <c r="K24" s="163"/>
      <c r="L24" s="163"/>
      <c r="M24" s="163"/>
      <c r="N24" s="163"/>
      <c r="O24" s="163"/>
      <c r="P24" s="163"/>
      <c r="Q24" s="164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  <c r="AJ24" s="78"/>
      <c r="AK24" s="78"/>
      <c r="AL24" s="78"/>
      <c r="AM24" s="78"/>
      <c r="AN24" s="78"/>
      <c r="AO24" s="78"/>
      <c r="AP24" s="78"/>
      <c r="AQ24" s="78"/>
      <c r="AR24" s="78"/>
      <c r="AS24" s="78"/>
      <c r="AT24" s="78"/>
      <c r="AU24" s="78"/>
      <c r="AV24" s="78"/>
      <c r="AW24" s="78"/>
      <c r="AX24" s="78"/>
      <c r="AY24" s="78"/>
      <c r="AZ24" s="78"/>
      <c r="BA24" s="78"/>
      <c r="BB24" s="78"/>
      <c r="BC24" s="78"/>
      <c r="BD24" s="78"/>
      <c r="BE24" s="78"/>
      <c r="BF24" s="78"/>
      <c r="BG24" s="78"/>
      <c r="BH24" s="78"/>
      <c r="BI24" s="78"/>
      <c r="BJ24" s="78"/>
      <c r="BK24" s="78"/>
      <c r="BL24" s="78"/>
      <c r="BM24" s="78"/>
      <c r="BN24" s="78"/>
      <c r="BO24" s="78"/>
      <c r="BP24" s="78"/>
      <c r="BQ24" s="78"/>
      <c r="BR24" s="78"/>
      <c r="BS24" s="78"/>
      <c r="BT24" s="78"/>
      <c r="BU24" s="78"/>
      <c r="BV24" s="78"/>
      <c r="BW24" s="78"/>
      <c r="BX24" s="78"/>
      <c r="BY24" s="78"/>
      <c r="BZ24" s="78"/>
      <c r="CA24" s="78"/>
      <c r="CB24" s="78"/>
      <c r="CC24" s="78"/>
      <c r="CD24" s="78"/>
      <c r="CE24" s="78"/>
      <c r="CF24" s="78"/>
      <c r="CG24" s="78"/>
      <c r="CH24" s="78"/>
      <c r="CI24" s="78"/>
      <c r="CJ24" s="78"/>
      <c r="CK24" s="78"/>
      <c r="CL24" s="78"/>
      <c r="CM24" s="78"/>
      <c r="CN24" s="78"/>
      <c r="CO24" s="78"/>
      <c r="CP24" s="78"/>
      <c r="CQ24" s="78"/>
      <c r="CR24" s="78"/>
      <c r="CS24" s="78"/>
      <c r="CT24" s="78"/>
      <c r="CU24" s="78"/>
      <c r="CV24" s="78"/>
      <c r="CW24" s="78"/>
      <c r="CX24" s="78"/>
      <c r="CY24" s="78"/>
      <c r="CZ24" s="78"/>
      <c r="DA24" s="78"/>
      <c r="DB24" s="78"/>
      <c r="DC24" s="78"/>
      <c r="DD24" s="78"/>
      <c r="DE24" s="78"/>
      <c r="DF24" s="78"/>
      <c r="DG24" s="78"/>
      <c r="DH24" s="78"/>
      <c r="DI24" s="78"/>
      <c r="DJ24" s="78"/>
      <c r="DK24" s="78"/>
      <c r="DL24" s="78"/>
      <c r="DM24" s="78"/>
      <c r="DN24" s="78"/>
      <c r="DO24" s="78"/>
      <c r="DP24" s="78"/>
      <c r="DQ24" s="78"/>
      <c r="DR24" s="78"/>
      <c r="DS24" s="78"/>
      <c r="DT24" s="78"/>
      <c r="DU24" s="78"/>
      <c r="DV24" s="78"/>
      <c r="DW24" s="78"/>
      <c r="DX24" s="78"/>
      <c r="DY24" s="78"/>
      <c r="DZ24" s="78"/>
      <c r="EA24" s="78"/>
      <c r="EB24" s="78"/>
      <c r="EC24" s="78"/>
    </row>
    <row r="25" spans="1:133" s="9" customFormat="1" x14ac:dyDescent="0.25">
      <c r="A25" s="73" t="s">
        <v>57</v>
      </c>
      <c r="B25" s="60" t="s">
        <v>204</v>
      </c>
      <c r="C25" s="53" t="s">
        <v>59</v>
      </c>
      <c r="D25" s="53" t="s">
        <v>376</v>
      </c>
      <c r="E25" s="162">
        <v>1.9870000000000001</v>
      </c>
      <c r="F25" s="163"/>
      <c r="G25" s="163"/>
      <c r="H25" s="163"/>
      <c r="I25" s="163"/>
      <c r="J25" s="163"/>
      <c r="K25" s="163"/>
      <c r="L25" s="163"/>
      <c r="M25" s="163"/>
      <c r="N25" s="163"/>
      <c r="O25" s="163"/>
      <c r="P25" s="163"/>
      <c r="Q25" s="164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  <c r="AJ25" s="78"/>
      <c r="AK25" s="78"/>
      <c r="AL25" s="78"/>
      <c r="AM25" s="78"/>
      <c r="AN25" s="78"/>
      <c r="AO25" s="78"/>
      <c r="AP25" s="78"/>
      <c r="AQ25" s="78"/>
      <c r="AR25" s="78"/>
      <c r="AS25" s="78"/>
      <c r="AT25" s="78"/>
      <c r="AU25" s="78"/>
      <c r="AV25" s="78"/>
      <c r="AW25" s="78"/>
      <c r="AX25" s="78"/>
      <c r="AY25" s="78"/>
      <c r="AZ25" s="78"/>
      <c r="BA25" s="78"/>
      <c r="BB25" s="78"/>
      <c r="BC25" s="78"/>
      <c r="BD25" s="78"/>
      <c r="BE25" s="78"/>
      <c r="BF25" s="78"/>
      <c r="BG25" s="78"/>
      <c r="BH25" s="78"/>
      <c r="BI25" s="78"/>
      <c r="BJ25" s="78"/>
      <c r="BK25" s="78"/>
      <c r="BL25" s="78"/>
      <c r="BM25" s="78"/>
      <c r="BN25" s="78"/>
      <c r="BO25" s="78"/>
      <c r="BP25" s="78"/>
      <c r="BQ25" s="78"/>
      <c r="BR25" s="78"/>
      <c r="BS25" s="78"/>
      <c r="BT25" s="78"/>
      <c r="BU25" s="78"/>
      <c r="BV25" s="78"/>
      <c r="BW25" s="78"/>
      <c r="BX25" s="78"/>
      <c r="BY25" s="78"/>
      <c r="BZ25" s="78"/>
      <c r="CA25" s="78"/>
      <c r="CB25" s="78"/>
      <c r="CC25" s="78"/>
      <c r="CD25" s="78"/>
      <c r="CE25" s="78"/>
      <c r="CF25" s="78"/>
      <c r="CG25" s="78"/>
      <c r="CH25" s="78"/>
      <c r="CI25" s="78"/>
      <c r="CJ25" s="78"/>
      <c r="CK25" s="78"/>
      <c r="CL25" s="78"/>
      <c r="CM25" s="78"/>
      <c r="CN25" s="78"/>
      <c r="CO25" s="78"/>
      <c r="CP25" s="78"/>
      <c r="CQ25" s="78"/>
      <c r="CR25" s="78"/>
      <c r="CS25" s="78"/>
      <c r="CT25" s="78"/>
      <c r="CU25" s="78"/>
      <c r="CV25" s="78"/>
      <c r="CW25" s="78"/>
      <c r="CX25" s="78"/>
      <c r="CY25" s="78"/>
      <c r="CZ25" s="78"/>
      <c r="DA25" s="78"/>
      <c r="DB25" s="78"/>
      <c r="DC25" s="78"/>
      <c r="DD25" s="78"/>
      <c r="DE25" s="78"/>
      <c r="DF25" s="78"/>
      <c r="DG25" s="78"/>
      <c r="DH25" s="78"/>
      <c r="DI25" s="78"/>
      <c r="DJ25" s="78"/>
      <c r="DK25" s="78"/>
      <c r="DL25" s="78"/>
      <c r="DM25" s="78"/>
      <c r="DN25" s="78"/>
      <c r="DO25" s="78"/>
      <c r="DP25" s="78"/>
      <c r="DQ25" s="78"/>
      <c r="DR25" s="78"/>
      <c r="DS25" s="78"/>
      <c r="DT25" s="78"/>
      <c r="DU25" s="78"/>
      <c r="DV25" s="78"/>
      <c r="DW25" s="78"/>
      <c r="DX25" s="78"/>
      <c r="DY25" s="78"/>
      <c r="DZ25" s="78"/>
      <c r="EA25" s="78"/>
      <c r="EB25" s="78"/>
      <c r="EC25" s="78"/>
    </row>
    <row r="26" spans="1:133" s="9" customFormat="1" ht="31.2" x14ac:dyDescent="0.25">
      <c r="A26" s="73" t="s">
        <v>60</v>
      </c>
      <c r="B26" s="60" t="s">
        <v>203</v>
      </c>
      <c r="C26" s="53" t="s">
        <v>61</v>
      </c>
      <c r="D26" s="143" t="s">
        <v>363</v>
      </c>
      <c r="E26" s="98">
        <f>AVERAGE(F26:K26)</f>
        <v>295.23333333333335</v>
      </c>
      <c r="F26" s="60">
        <v>291.14999999999998</v>
      </c>
      <c r="G26" s="60">
        <v>288.14999999999998</v>
      </c>
      <c r="H26" s="60">
        <v>295.14999999999998</v>
      </c>
      <c r="I26" s="60">
        <v>296.14999999999998</v>
      </c>
      <c r="J26" s="60">
        <v>298.64999999999998</v>
      </c>
      <c r="K26" s="60">
        <v>302.14999999999998</v>
      </c>
      <c r="L26" s="60" t="s">
        <v>297</v>
      </c>
      <c r="M26" s="60" t="s">
        <v>297</v>
      </c>
      <c r="N26" s="60" t="s">
        <v>297</v>
      </c>
      <c r="O26" s="60" t="s">
        <v>297</v>
      </c>
      <c r="P26" s="60" t="s">
        <v>297</v>
      </c>
      <c r="Q26" s="60" t="s">
        <v>297</v>
      </c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  <c r="AJ26" s="78"/>
      <c r="AK26" s="78"/>
      <c r="AL26" s="78"/>
      <c r="AM26" s="78"/>
      <c r="AN26" s="78"/>
      <c r="AO26" s="78"/>
      <c r="AP26" s="78"/>
      <c r="AQ26" s="78"/>
      <c r="AR26" s="78"/>
      <c r="AS26" s="78"/>
      <c r="AT26" s="78"/>
      <c r="AU26" s="78"/>
      <c r="AV26" s="78"/>
      <c r="AW26" s="78"/>
      <c r="AX26" s="78"/>
      <c r="AY26" s="78"/>
      <c r="AZ26" s="78"/>
      <c r="BA26" s="78"/>
      <c r="BB26" s="78"/>
      <c r="BC26" s="78"/>
      <c r="BD26" s="78"/>
      <c r="BE26" s="78"/>
      <c r="BF26" s="78"/>
      <c r="BG26" s="78"/>
      <c r="BH26" s="78"/>
      <c r="BI26" s="78"/>
      <c r="BJ26" s="78"/>
      <c r="BK26" s="78"/>
      <c r="BL26" s="78"/>
      <c r="BM26" s="78"/>
      <c r="BN26" s="78"/>
      <c r="BO26" s="78"/>
      <c r="BP26" s="78"/>
      <c r="BQ26" s="78"/>
      <c r="BR26" s="78"/>
      <c r="BS26" s="78"/>
      <c r="BT26" s="78"/>
      <c r="BU26" s="78"/>
      <c r="BV26" s="78"/>
      <c r="BW26" s="78"/>
      <c r="BX26" s="78"/>
      <c r="BY26" s="78"/>
      <c r="BZ26" s="78"/>
      <c r="CA26" s="78"/>
      <c r="CB26" s="78"/>
      <c r="CC26" s="78"/>
      <c r="CD26" s="78"/>
      <c r="CE26" s="78"/>
      <c r="CF26" s="78"/>
      <c r="CG26" s="78"/>
      <c r="CH26" s="78"/>
      <c r="CI26" s="78"/>
      <c r="CJ26" s="78"/>
      <c r="CK26" s="78"/>
      <c r="CL26" s="78"/>
      <c r="CM26" s="78"/>
      <c r="CN26" s="78"/>
      <c r="CO26" s="78"/>
      <c r="CP26" s="78"/>
      <c r="CQ26" s="78"/>
      <c r="CR26" s="78"/>
      <c r="CS26" s="78"/>
      <c r="CT26" s="78"/>
      <c r="CU26" s="78"/>
      <c r="CV26" s="78"/>
      <c r="CW26" s="78"/>
      <c r="CX26" s="78"/>
      <c r="CY26" s="78"/>
      <c r="CZ26" s="78"/>
      <c r="DA26" s="78"/>
      <c r="DB26" s="78"/>
      <c r="DC26" s="78"/>
      <c r="DD26" s="78"/>
      <c r="DE26" s="78"/>
      <c r="DF26" s="78"/>
      <c r="DG26" s="78"/>
      <c r="DH26" s="78"/>
      <c r="DI26" s="78"/>
      <c r="DJ26" s="78"/>
      <c r="DK26" s="78"/>
      <c r="DL26" s="78"/>
      <c r="DM26" s="78"/>
      <c r="DN26" s="78"/>
      <c r="DO26" s="78"/>
      <c r="DP26" s="78"/>
      <c r="DQ26" s="78"/>
      <c r="DR26" s="78"/>
      <c r="DS26" s="78"/>
      <c r="DT26" s="78"/>
      <c r="DU26" s="78"/>
      <c r="DV26" s="78"/>
      <c r="DW26" s="78"/>
      <c r="DX26" s="78"/>
      <c r="DY26" s="78"/>
      <c r="DZ26" s="78"/>
      <c r="EA26" s="78"/>
      <c r="EB26" s="78"/>
      <c r="EC26" s="78"/>
    </row>
    <row r="27" spans="1:133" s="9" customFormat="1" ht="31.2" x14ac:dyDescent="0.4">
      <c r="A27" s="71" t="s">
        <v>62</v>
      </c>
      <c r="B27" s="60" t="s">
        <v>196</v>
      </c>
      <c r="C27" s="53" t="s">
        <v>63</v>
      </c>
      <c r="D27" s="53" t="s">
        <v>377</v>
      </c>
      <c r="E27" s="74">
        <f>SUM(F27:K27)</f>
        <v>598.04747134921706</v>
      </c>
      <c r="F27" s="74">
        <f>F16*F11*F14+(1-F22)*'Baseline Emissions 2021'!Q27</f>
        <v>116.09490245280827</v>
      </c>
      <c r="G27" s="74">
        <f t="shared" ref="G27:K27" si="6">G16*G11*G14+(1-G22)*F27</f>
        <v>128.77499752757973</v>
      </c>
      <c r="H27" s="74">
        <f t="shared" si="6"/>
        <v>112.46465087816827</v>
      </c>
      <c r="I27" s="74">
        <f t="shared" si="6"/>
        <v>97.589376105593402</v>
      </c>
      <c r="J27" s="74">
        <f t="shared" si="6"/>
        <v>85.573952091620228</v>
      </c>
      <c r="K27" s="74">
        <f t="shared" si="6"/>
        <v>57.549592293447169</v>
      </c>
      <c r="L27" s="74" t="s">
        <v>297</v>
      </c>
      <c r="M27" s="74" t="s">
        <v>297</v>
      </c>
      <c r="N27" s="74" t="s">
        <v>297</v>
      </c>
      <c r="O27" s="74" t="s">
        <v>297</v>
      </c>
      <c r="P27" s="74" t="s">
        <v>297</v>
      </c>
      <c r="Q27" s="74" t="s">
        <v>297</v>
      </c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  <c r="AJ27" s="78"/>
      <c r="AK27" s="78"/>
      <c r="AL27" s="78"/>
      <c r="AM27" s="78"/>
      <c r="AN27" s="78"/>
      <c r="AO27" s="78"/>
      <c r="AP27" s="78"/>
      <c r="AQ27" s="78"/>
      <c r="AR27" s="78"/>
      <c r="AS27" s="78"/>
      <c r="AT27" s="78"/>
      <c r="AU27" s="78"/>
      <c r="AV27" s="78"/>
      <c r="AW27" s="78"/>
      <c r="AX27" s="78"/>
      <c r="AY27" s="78"/>
      <c r="AZ27" s="78"/>
      <c r="BA27" s="78"/>
      <c r="BB27" s="78"/>
      <c r="BC27" s="78"/>
      <c r="BD27" s="78"/>
      <c r="BE27" s="78"/>
      <c r="BF27" s="78"/>
      <c r="BG27" s="78"/>
      <c r="BH27" s="78"/>
      <c r="BI27" s="78"/>
      <c r="BJ27" s="78"/>
      <c r="BK27" s="78"/>
      <c r="BL27" s="78"/>
      <c r="BM27" s="78"/>
      <c r="BN27" s="78"/>
      <c r="BO27" s="78"/>
      <c r="BP27" s="78"/>
      <c r="BQ27" s="78"/>
      <c r="BR27" s="78"/>
      <c r="BS27" s="78"/>
      <c r="BT27" s="78"/>
      <c r="BU27" s="78"/>
      <c r="BV27" s="78"/>
      <c r="BW27" s="78"/>
      <c r="BX27" s="78"/>
      <c r="BY27" s="78"/>
      <c r="BZ27" s="78"/>
      <c r="CA27" s="78"/>
      <c r="CB27" s="78"/>
      <c r="CC27" s="78"/>
      <c r="CD27" s="78"/>
      <c r="CE27" s="78"/>
      <c r="CF27" s="78"/>
      <c r="CG27" s="78"/>
      <c r="CH27" s="78"/>
      <c r="CI27" s="78"/>
      <c r="CJ27" s="78"/>
      <c r="CK27" s="78"/>
      <c r="CL27" s="78"/>
      <c r="CM27" s="78"/>
      <c r="CN27" s="78"/>
      <c r="CO27" s="78"/>
      <c r="CP27" s="78"/>
      <c r="CQ27" s="78"/>
      <c r="CR27" s="78"/>
      <c r="CS27" s="78"/>
      <c r="CT27" s="78"/>
      <c r="CU27" s="78"/>
      <c r="CV27" s="78"/>
      <c r="CW27" s="78"/>
      <c r="CX27" s="78"/>
      <c r="CY27" s="78"/>
      <c r="CZ27" s="78"/>
      <c r="DA27" s="78"/>
      <c r="DB27" s="78"/>
      <c r="DC27" s="78"/>
      <c r="DD27" s="78"/>
      <c r="DE27" s="78"/>
      <c r="DF27" s="78"/>
      <c r="DG27" s="78"/>
      <c r="DH27" s="78"/>
      <c r="DI27" s="78"/>
      <c r="DJ27" s="78"/>
      <c r="DK27" s="78"/>
      <c r="DL27" s="78"/>
      <c r="DM27" s="78"/>
      <c r="DN27" s="78"/>
      <c r="DO27" s="78"/>
      <c r="DP27" s="78"/>
      <c r="DQ27" s="78"/>
      <c r="DR27" s="78"/>
      <c r="DS27" s="78"/>
      <c r="DT27" s="78"/>
      <c r="DU27" s="78"/>
      <c r="DV27" s="78"/>
      <c r="DW27" s="78"/>
      <c r="DX27" s="78"/>
      <c r="DY27" s="78"/>
      <c r="DZ27" s="78"/>
      <c r="EA27" s="78"/>
      <c r="EB27" s="78"/>
      <c r="EC27" s="78"/>
    </row>
    <row r="29" spans="1:133" x14ac:dyDescent="0.25">
      <c r="A29" s="158" t="s">
        <v>64</v>
      </c>
      <c r="B29" s="158"/>
      <c r="C29" s="158"/>
      <c r="D29" s="158"/>
      <c r="E29" s="158"/>
    </row>
    <row r="30" spans="1:133" x14ac:dyDescent="0.25">
      <c r="A30" s="57" t="s">
        <v>8</v>
      </c>
      <c r="B30" s="58" t="s">
        <v>9</v>
      </c>
      <c r="C30" s="34" t="s">
        <v>10</v>
      </c>
      <c r="D30" s="34" t="s">
        <v>340</v>
      </c>
      <c r="E30" s="16" t="s">
        <v>65</v>
      </c>
    </row>
    <row r="31" spans="1:133" ht="62.4" x14ac:dyDescent="0.25">
      <c r="A31" s="59" t="s">
        <v>66</v>
      </c>
      <c r="B31" s="60" t="s">
        <v>14</v>
      </c>
      <c r="C31" s="53" t="s">
        <v>67</v>
      </c>
      <c r="D31" s="53" t="s">
        <v>68</v>
      </c>
      <c r="E31" s="75">
        <v>0</v>
      </c>
    </row>
    <row r="32" spans="1:133" s="13" customFormat="1" ht="46.8" x14ac:dyDescent="0.25">
      <c r="A32" s="63" t="s">
        <v>69</v>
      </c>
      <c r="B32" s="25" t="s">
        <v>70</v>
      </c>
      <c r="C32" s="35" t="s">
        <v>71</v>
      </c>
      <c r="D32" s="35" t="str">
        <f>D38</f>
        <v>Historical data on site in the FSR (It was calculated with conservative value)</v>
      </c>
      <c r="E32" s="74">
        <f>E38</f>
        <v>136.71074366847714</v>
      </c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  <c r="CC32" s="14"/>
      <c r="CD32" s="14"/>
      <c r="CE32" s="14"/>
      <c r="CF32" s="14"/>
      <c r="CG32" s="14"/>
      <c r="CH32" s="14"/>
      <c r="CI32" s="14"/>
      <c r="CJ32" s="14"/>
      <c r="CK32" s="14"/>
      <c r="CL32" s="14"/>
      <c r="CM32" s="14"/>
      <c r="CN32" s="14"/>
      <c r="CO32" s="14"/>
      <c r="CP32" s="14"/>
      <c r="CQ32" s="14"/>
      <c r="CR32" s="14"/>
      <c r="CS32" s="14"/>
      <c r="CT32" s="14"/>
      <c r="CU32" s="14"/>
      <c r="CV32" s="14"/>
      <c r="CW32" s="14"/>
      <c r="CX32" s="14"/>
      <c r="CY32" s="14"/>
      <c r="CZ32" s="14"/>
      <c r="DA32" s="14"/>
      <c r="DB32" s="14"/>
      <c r="DC32" s="14"/>
      <c r="DD32" s="14"/>
      <c r="DE32" s="14"/>
      <c r="DF32" s="14"/>
      <c r="DG32" s="14"/>
      <c r="DH32" s="14"/>
      <c r="DI32" s="14"/>
      <c r="DJ32" s="14"/>
      <c r="DK32" s="14"/>
      <c r="DL32" s="14"/>
      <c r="DM32" s="14"/>
      <c r="DN32" s="14"/>
      <c r="DO32" s="14"/>
      <c r="DP32" s="14"/>
      <c r="DQ32" s="14"/>
      <c r="DR32" s="14"/>
      <c r="DS32" s="14"/>
      <c r="DT32" s="14"/>
      <c r="DU32" s="14"/>
      <c r="DV32" s="14"/>
      <c r="DW32" s="14"/>
      <c r="DX32" s="14"/>
      <c r="DY32" s="14"/>
      <c r="DZ32" s="14"/>
      <c r="EA32" s="14"/>
      <c r="EB32" s="14"/>
      <c r="EC32" s="14"/>
    </row>
    <row r="33" spans="1:133" s="13" customFormat="1" x14ac:dyDescent="0.25">
      <c r="A33" s="14"/>
      <c r="C33" s="12"/>
      <c r="D33" s="12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14"/>
      <c r="BY33" s="14"/>
      <c r="BZ33" s="14"/>
      <c r="CA33" s="14"/>
      <c r="CB33" s="14"/>
      <c r="CC33" s="14"/>
      <c r="CD33" s="14"/>
      <c r="CE33" s="14"/>
      <c r="CF33" s="14"/>
      <c r="CG33" s="14"/>
      <c r="CH33" s="14"/>
      <c r="CI33" s="14"/>
      <c r="CJ33" s="14"/>
      <c r="CK33" s="14"/>
      <c r="CL33" s="14"/>
      <c r="CM33" s="14"/>
      <c r="CN33" s="14"/>
      <c r="CO33" s="14"/>
      <c r="CP33" s="14"/>
      <c r="CQ33" s="14"/>
      <c r="CR33" s="14"/>
      <c r="CS33" s="14"/>
      <c r="CT33" s="14"/>
      <c r="CU33" s="14"/>
      <c r="CV33" s="14"/>
      <c r="CW33" s="14"/>
      <c r="CX33" s="14"/>
      <c r="CY33" s="14"/>
      <c r="CZ33" s="14"/>
      <c r="DA33" s="14"/>
      <c r="DB33" s="14"/>
      <c r="DC33" s="14"/>
      <c r="DD33" s="14"/>
      <c r="DE33" s="14"/>
      <c r="DF33" s="14"/>
      <c r="DG33" s="14"/>
      <c r="DH33" s="14"/>
      <c r="DI33" s="14"/>
      <c r="DJ33" s="14"/>
      <c r="DK33" s="14"/>
      <c r="DL33" s="14"/>
      <c r="DM33" s="14"/>
      <c r="DN33" s="14"/>
      <c r="DO33" s="14"/>
      <c r="DP33" s="14"/>
      <c r="DQ33" s="14"/>
      <c r="DR33" s="14"/>
      <c r="DS33" s="14"/>
      <c r="DT33" s="14"/>
      <c r="DU33" s="14"/>
      <c r="DV33" s="14"/>
      <c r="DW33" s="14"/>
      <c r="DX33" s="14"/>
      <c r="DY33" s="14"/>
      <c r="DZ33" s="14"/>
      <c r="EA33" s="14"/>
      <c r="EB33" s="14"/>
      <c r="EC33" s="14"/>
    </row>
    <row r="34" spans="1:133" s="13" customFormat="1" x14ac:dyDescent="0.25">
      <c r="A34" s="174" t="s">
        <v>72</v>
      </c>
      <c r="B34" s="174"/>
      <c r="C34" s="175"/>
      <c r="D34" s="175"/>
      <c r="E34" s="17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14"/>
      <c r="CB34" s="14"/>
      <c r="CC34" s="14"/>
      <c r="CD34" s="14"/>
      <c r="CE34" s="14"/>
      <c r="CF34" s="14"/>
      <c r="CG34" s="14"/>
      <c r="CH34" s="14"/>
      <c r="CI34" s="14"/>
      <c r="CJ34" s="14"/>
      <c r="CK34" s="14"/>
      <c r="CL34" s="14"/>
      <c r="CM34" s="14"/>
      <c r="CN34" s="14"/>
      <c r="CO34" s="14"/>
      <c r="CP34" s="14"/>
      <c r="CQ34" s="14"/>
      <c r="CR34" s="14"/>
      <c r="CS34" s="14"/>
      <c r="CT34" s="14"/>
      <c r="CU34" s="14"/>
      <c r="CV34" s="14"/>
      <c r="CW34" s="14"/>
      <c r="CX34" s="14"/>
      <c r="CY34" s="14"/>
      <c r="CZ34" s="14"/>
      <c r="DA34" s="14"/>
      <c r="DB34" s="14"/>
      <c r="DC34" s="14"/>
      <c r="DD34" s="14"/>
      <c r="DE34" s="14"/>
      <c r="DF34" s="14"/>
      <c r="DG34" s="14"/>
      <c r="DH34" s="14"/>
      <c r="DI34" s="14"/>
      <c r="DJ34" s="14"/>
      <c r="DK34" s="14"/>
      <c r="DL34" s="14"/>
      <c r="DM34" s="14"/>
      <c r="DN34" s="14"/>
      <c r="DO34" s="14"/>
      <c r="DP34" s="14"/>
      <c r="DQ34" s="14"/>
      <c r="DR34" s="14"/>
      <c r="DS34" s="14"/>
      <c r="DT34" s="14"/>
      <c r="DU34" s="14"/>
      <c r="DV34" s="14"/>
      <c r="DW34" s="14"/>
      <c r="DX34" s="14"/>
      <c r="DY34" s="14"/>
      <c r="DZ34" s="14"/>
      <c r="EA34" s="14"/>
      <c r="EB34" s="14"/>
      <c r="EC34" s="14"/>
    </row>
    <row r="35" spans="1:133" s="13" customFormat="1" x14ac:dyDescent="0.25">
      <c r="A35" s="59" t="s">
        <v>8</v>
      </c>
      <c r="B35" s="16" t="s">
        <v>9</v>
      </c>
      <c r="C35" s="38" t="s">
        <v>10</v>
      </c>
      <c r="D35" s="38" t="s">
        <v>340</v>
      </c>
      <c r="E35" s="16" t="s">
        <v>65</v>
      </c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4"/>
      <c r="DQ35" s="14"/>
      <c r="DR35" s="14"/>
      <c r="DS35" s="14"/>
      <c r="DT35" s="14"/>
      <c r="DU35" s="14"/>
      <c r="DV35" s="14"/>
      <c r="DW35" s="14"/>
      <c r="DX35" s="14"/>
      <c r="DY35" s="14"/>
      <c r="DZ35" s="14"/>
      <c r="EA35" s="14"/>
      <c r="EB35" s="14"/>
      <c r="EC35" s="14"/>
    </row>
    <row r="36" spans="1:133" s="13" customFormat="1" ht="33.6" x14ac:dyDescent="0.4">
      <c r="A36" s="76" t="s">
        <v>73</v>
      </c>
      <c r="B36" s="25" t="s">
        <v>74</v>
      </c>
      <c r="C36" s="35" t="s">
        <v>75</v>
      </c>
      <c r="D36" s="35" t="s">
        <v>378</v>
      </c>
      <c r="E36" s="50">
        <f>E37*E40*E41*E42*E43*E44</f>
        <v>0.55528226218994403</v>
      </c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4"/>
      <c r="BO36" s="14"/>
      <c r="BP36" s="14"/>
      <c r="BQ36" s="14"/>
      <c r="BR36" s="14"/>
      <c r="BS36" s="14"/>
      <c r="BT36" s="14"/>
      <c r="BU36" s="14"/>
      <c r="BV36" s="14"/>
      <c r="BW36" s="14"/>
      <c r="BX36" s="14"/>
      <c r="BY36" s="14"/>
      <c r="BZ36" s="14"/>
      <c r="CA36" s="14"/>
      <c r="CB36" s="14"/>
      <c r="CC36" s="14"/>
      <c r="CD36" s="14"/>
      <c r="CE36" s="14"/>
      <c r="CF36" s="14"/>
      <c r="CG36" s="14"/>
      <c r="CH36" s="14"/>
      <c r="CI36" s="14"/>
      <c r="CJ36" s="14"/>
      <c r="CK36" s="14"/>
      <c r="CL36" s="14"/>
      <c r="CM36" s="14"/>
      <c r="CN36" s="14"/>
      <c r="CO36" s="14"/>
      <c r="CP36" s="14"/>
      <c r="CQ36" s="14"/>
      <c r="CR36" s="14"/>
      <c r="CS36" s="14"/>
      <c r="CT36" s="14"/>
      <c r="CU36" s="14"/>
      <c r="CV36" s="14"/>
      <c r="CW36" s="14"/>
      <c r="CX36" s="14"/>
      <c r="CY36" s="14"/>
      <c r="CZ36" s="14"/>
      <c r="DA36" s="14"/>
      <c r="DB36" s="14"/>
      <c r="DC36" s="14"/>
      <c r="DD36" s="14"/>
      <c r="DE36" s="14"/>
      <c r="DF36" s="14"/>
      <c r="DG36" s="14"/>
      <c r="DH36" s="14"/>
      <c r="DI36" s="14"/>
      <c r="DJ36" s="14"/>
      <c r="DK36" s="14"/>
      <c r="DL36" s="14"/>
      <c r="DM36" s="14"/>
      <c r="DN36" s="14"/>
      <c r="DO36" s="14"/>
      <c r="DP36" s="14"/>
      <c r="DQ36" s="14"/>
      <c r="DR36" s="14"/>
      <c r="DS36" s="14"/>
      <c r="DT36" s="14"/>
      <c r="DU36" s="14"/>
      <c r="DV36" s="14"/>
      <c r="DW36" s="14"/>
      <c r="DX36" s="14"/>
      <c r="DY36" s="14"/>
      <c r="DZ36" s="14"/>
      <c r="EA36" s="14"/>
      <c r="EB36" s="14"/>
      <c r="EC36" s="14"/>
    </row>
    <row r="37" spans="1:133" s="13" customFormat="1" ht="46.8" x14ac:dyDescent="0.4">
      <c r="A37" s="77" t="s">
        <v>207</v>
      </c>
      <c r="B37" s="25" t="s">
        <v>76</v>
      </c>
      <c r="C37" s="35" t="s">
        <v>77</v>
      </c>
      <c r="D37" s="35" t="s">
        <v>379</v>
      </c>
      <c r="E37" s="52">
        <f>E38/E39</f>
        <v>27.342148733695428</v>
      </c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4"/>
      <c r="CA37" s="14"/>
      <c r="CB37" s="14"/>
      <c r="CC37" s="14"/>
      <c r="CD37" s="14"/>
      <c r="CE37" s="14"/>
      <c r="CF37" s="14"/>
      <c r="CG37" s="14"/>
      <c r="CH37" s="14"/>
      <c r="CI37" s="14"/>
      <c r="CJ37" s="14"/>
      <c r="CK37" s="14"/>
      <c r="CL37" s="14"/>
      <c r="CM37" s="14"/>
      <c r="CN37" s="14"/>
      <c r="CO37" s="14"/>
      <c r="CP37" s="14"/>
      <c r="CQ37" s="14"/>
      <c r="CR37" s="14"/>
      <c r="CS37" s="14"/>
      <c r="CT37" s="14"/>
      <c r="CU37" s="14"/>
      <c r="CV37" s="14"/>
      <c r="CW37" s="14"/>
      <c r="CX37" s="14"/>
      <c r="CY37" s="14"/>
      <c r="CZ37" s="14"/>
      <c r="DA37" s="14"/>
      <c r="DB37" s="14"/>
      <c r="DC37" s="14"/>
      <c r="DD37" s="14"/>
      <c r="DE37" s="14"/>
      <c r="DF37" s="14"/>
      <c r="DG37" s="14"/>
      <c r="DH37" s="14"/>
      <c r="DI37" s="14"/>
      <c r="DJ37" s="14"/>
      <c r="DK37" s="14"/>
      <c r="DL37" s="14"/>
      <c r="DM37" s="14"/>
      <c r="DN37" s="14"/>
      <c r="DO37" s="14"/>
      <c r="DP37" s="14"/>
      <c r="DQ37" s="14"/>
      <c r="DR37" s="14"/>
      <c r="DS37" s="14"/>
      <c r="DT37" s="14"/>
      <c r="DU37" s="14"/>
      <c r="DV37" s="14"/>
      <c r="DW37" s="14"/>
      <c r="DX37" s="14"/>
      <c r="DY37" s="14"/>
      <c r="DZ37" s="14"/>
      <c r="EA37" s="14"/>
      <c r="EB37" s="14"/>
      <c r="EC37" s="14"/>
    </row>
    <row r="38" spans="1:133" s="13" customFormat="1" ht="46.8" x14ac:dyDescent="0.25">
      <c r="A38" s="63" t="s">
        <v>208</v>
      </c>
      <c r="B38" s="25" t="s">
        <v>78</v>
      </c>
      <c r="C38" s="35" t="s">
        <v>79</v>
      </c>
      <c r="D38" s="53" t="s">
        <v>352</v>
      </c>
      <c r="E38" s="52">
        <f>0.000186935962216991*E11</f>
        <v>136.71074366847714</v>
      </c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4"/>
      <c r="BR38" s="14"/>
      <c r="BS38" s="14"/>
      <c r="BT38" s="14"/>
      <c r="BU38" s="14"/>
      <c r="BV38" s="14"/>
      <c r="BW38" s="14"/>
      <c r="BX38" s="14"/>
      <c r="BY38" s="14"/>
      <c r="BZ38" s="14"/>
      <c r="CA38" s="14"/>
      <c r="CB38" s="14"/>
      <c r="CC38" s="14"/>
      <c r="CD38" s="14"/>
      <c r="CE38" s="14"/>
      <c r="CF38" s="14"/>
      <c r="CG38" s="14"/>
      <c r="CH38" s="14"/>
      <c r="CI38" s="14"/>
      <c r="CJ38" s="14"/>
      <c r="CK38" s="14"/>
      <c r="CL38" s="14"/>
      <c r="CM38" s="14"/>
      <c r="CN38" s="14"/>
      <c r="CO38" s="14"/>
      <c r="CP38" s="14"/>
      <c r="CQ38" s="14"/>
      <c r="CR38" s="14"/>
      <c r="CS38" s="14"/>
      <c r="CT38" s="14"/>
      <c r="CU38" s="14"/>
      <c r="CV38" s="14"/>
      <c r="CW38" s="14"/>
      <c r="CX38" s="14"/>
      <c r="CY38" s="14"/>
      <c r="CZ38" s="14"/>
      <c r="DA38" s="14"/>
      <c r="DB38" s="14"/>
      <c r="DC38" s="14"/>
      <c r="DD38" s="14"/>
      <c r="DE38" s="14"/>
      <c r="DF38" s="14"/>
      <c r="DG38" s="14"/>
      <c r="DH38" s="14"/>
      <c r="DI38" s="14"/>
      <c r="DJ38" s="14"/>
      <c r="DK38" s="14"/>
      <c r="DL38" s="14"/>
      <c r="DM38" s="14"/>
      <c r="DN38" s="14"/>
      <c r="DO38" s="14"/>
      <c r="DP38" s="14"/>
      <c r="DQ38" s="14"/>
      <c r="DR38" s="14"/>
      <c r="DS38" s="14"/>
      <c r="DT38" s="14"/>
      <c r="DU38" s="14"/>
      <c r="DV38" s="14"/>
      <c r="DW38" s="14"/>
      <c r="DX38" s="14"/>
      <c r="DY38" s="14"/>
      <c r="DZ38" s="14"/>
      <c r="EA38" s="14"/>
      <c r="EB38" s="14"/>
      <c r="EC38" s="14"/>
    </row>
    <row r="39" spans="1:133" s="13" customFormat="1" ht="31.2" x14ac:dyDescent="0.25">
      <c r="A39" s="63" t="s">
        <v>209</v>
      </c>
      <c r="B39" s="25" t="s">
        <v>80</v>
      </c>
      <c r="C39" s="35" t="s">
        <v>81</v>
      </c>
      <c r="D39" s="35" t="s">
        <v>353</v>
      </c>
      <c r="E39" s="25">
        <f>5</f>
        <v>5</v>
      </c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  <c r="BO39" s="14"/>
      <c r="BP39" s="14"/>
      <c r="BQ39" s="14"/>
      <c r="BR39" s="14"/>
      <c r="BS39" s="14"/>
      <c r="BT39" s="14"/>
      <c r="BU39" s="14"/>
      <c r="BV39" s="14"/>
      <c r="BW39" s="14"/>
      <c r="BX39" s="14"/>
      <c r="BY39" s="14"/>
      <c r="BZ39" s="14"/>
      <c r="CA39" s="14"/>
      <c r="CB39" s="14"/>
      <c r="CC39" s="14"/>
      <c r="CD39" s="14"/>
      <c r="CE39" s="14"/>
      <c r="CF39" s="14"/>
      <c r="CG39" s="14"/>
      <c r="CH39" s="14"/>
      <c r="CI39" s="14"/>
      <c r="CJ39" s="14"/>
      <c r="CK39" s="14"/>
      <c r="CL39" s="14"/>
      <c r="CM39" s="14"/>
      <c r="CN39" s="14"/>
      <c r="CO39" s="14"/>
      <c r="CP39" s="14"/>
      <c r="CQ39" s="14"/>
      <c r="CR39" s="14"/>
      <c r="CS39" s="14"/>
      <c r="CT39" s="14"/>
      <c r="CU39" s="14"/>
      <c r="CV39" s="14"/>
      <c r="CW39" s="14"/>
      <c r="CX39" s="14"/>
      <c r="CY39" s="14"/>
      <c r="CZ39" s="14"/>
      <c r="DA39" s="14"/>
      <c r="DB39" s="14"/>
      <c r="DC39" s="14"/>
      <c r="DD39" s="14"/>
      <c r="DE39" s="14"/>
      <c r="DF39" s="14"/>
      <c r="DG39" s="14"/>
      <c r="DH39" s="14"/>
      <c r="DI39" s="14"/>
      <c r="DJ39" s="14"/>
      <c r="DK39" s="14"/>
      <c r="DL39" s="14"/>
      <c r="DM39" s="14"/>
      <c r="DN39" s="14"/>
      <c r="DO39" s="14"/>
      <c r="DP39" s="14"/>
      <c r="DQ39" s="14"/>
      <c r="DR39" s="14"/>
      <c r="DS39" s="14"/>
      <c r="DT39" s="14"/>
      <c r="DU39" s="14"/>
      <c r="DV39" s="14"/>
      <c r="DW39" s="14"/>
      <c r="DX39" s="14"/>
      <c r="DY39" s="14"/>
      <c r="DZ39" s="14"/>
      <c r="EA39" s="14"/>
      <c r="EB39" s="14"/>
      <c r="EC39" s="14"/>
    </row>
    <row r="40" spans="1:133" s="13" customFormat="1" ht="62.4" x14ac:dyDescent="0.25">
      <c r="A40" s="63" t="s">
        <v>210</v>
      </c>
      <c r="B40" s="25" t="s">
        <v>82</v>
      </c>
      <c r="C40" s="35" t="s">
        <v>83</v>
      </c>
      <c r="D40" s="53" t="s">
        <v>354</v>
      </c>
      <c r="E40" s="25">
        <f>15*2</f>
        <v>30</v>
      </c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14"/>
      <c r="CY40" s="14"/>
      <c r="CZ40" s="14"/>
      <c r="DA40" s="14"/>
      <c r="DB40" s="14"/>
      <c r="DC40" s="14"/>
      <c r="DD40" s="14"/>
      <c r="DE40" s="14"/>
      <c r="DF40" s="14"/>
      <c r="DG40" s="14"/>
      <c r="DH40" s="14"/>
      <c r="DI40" s="14"/>
      <c r="DJ40" s="14"/>
      <c r="DK40" s="14"/>
      <c r="DL40" s="14"/>
      <c r="DM40" s="14"/>
      <c r="DN40" s="14"/>
      <c r="DO40" s="14"/>
      <c r="DP40" s="14"/>
      <c r="DQ40" s="14"/>
      <c r="DR40" s="14"/>
      <c r="DS40" s="14"/>
      <c r="DT40" s="14"/>
      <c r="DU40" s="14"/>
      <c r="DV40" s="14"/>
      <c r="DW40" s="14"/>
      <c r="DX40" s="14"/>
      <c r="DY40" s="14"/>
      <c r="DZ40" s="14"/>
      <c r="EA40" s="14"/>
      <c r="EB40" s="14"/>
      <c r="EC40" s="14"/>
    </row>
    <row r="41" spans="1:133" s="13" customFormat="1" ht="172.2" x14ac:dyDescent="0.25">
      <c r="A41" s="63" t="s">
        <v>211</v>
      </c>
      <c r="B41" s="25" t="s">
        <v>84</v>
      </c>
      <c r="C41" s="35" t="s">
        <v>85</v>
      </c>
      <c r="D41" s="35" t="s">
        <v>355</v>
      </c>
      <c r="E41" s="25">
        <f>25.1/100</f>
        <v>0.251</v>
      </c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4"/>
      <c r="BY41" s="14"/>
      <c r="BZ41" s="14"/>
      <c r="CA41" s="14"/>
      <c r="CB41" s="14"/>
      <c r="CC41" s="14"/>
      <c r="CD41" s="14"/>
      <c r="CE41" s="14"/>
      <c r="CF41" s="14"/>
      <c r="CG41" s="14"/>
      <c r="CH41" s="14"/>
      <c r="CI41" s="14"/>
      <c r="CJ41" s="14"/>
      <c r="CK41" s="14"/>
      <c r="CL41" s="14"/>
      <c r="CM41" s="14"/>
      <c r="CN41" s="14"/>
      <c r="CO41" s="14"/>
      <c r="CP41" s="14"/>
      <c r="CQ41" s="14"/>
      <c r="CR41" s="14"/>
      <c r="CS41" s="14"/>
      <c r="CT41" s="14"/>
      <c r="CU41" s="14"/>
      <c r="CV41" s="14"/>
      <c r="CW41" s="14"/>
      <c r="CX41" s="14"/>
      <c r="CY41" s="14"/>
      <c r="CZ41" s="14"/>
      <c r="DA41" s="14"/>
      <c r="DB41" s="14"/>
      <c r="DC41" s="14"/>
      <c r="DD41" s="14"/>
      <c r="DE41" s="14"/>
      <c r="DF41" s="14"/>
      <c r="DG41" s="14"/>
      <c r="DH41" s="14"/>
      <c r="DI41" s="14"/>
      <c r="DJ41" s="14"/>
      <c r="DK41" s="14"/>
      <c r="DL41" s="14"/>
      <c r="DM41" s="14"/>
      <c r="DN41" s="14"/>
      <c r="DO41" s="14"/>
      <c r="DP41" s="14"/>
      <c r="DQ41" s="14"/>
      <c r="DR41" s="14"/>
      <c r="DS41" s="14"/>
      <c r="DT41" s="14"/>
      <c r="DU41" s="14"/>
      <c r="DV41" s="14"/>
      <c r="DW41" s="14"/>
      <c r="DX41" s="14"/>
      <c r="DY41" s="14"/>
      <c r="DZ41" s="14"/>
      <c r="EA41" s="14"/>
      <c r="EB41" s="14"/>
      <c r="EC41" s="14"/>
    </row>
    <row r="42" spans="1:133" s="13" customFormat="1" ht="156" x14ac:dyDescent="0.25">
      <c r="A42" s="63" t="s">
        <v>212</v>
      </c>
      <c r="B42" s="25" t="s">
        <v>87</v>
      </c>
      <c r="C42" s="35" t="s">
        <v>86</v>
      </c>
      <c r="D42" s="35" t="s">
        <v>356</v>
      </c>
      <c r="E42" s="25">
        <f>0.84/1000</f>
        <v>8.3999999999999993E-4</v>
      </c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  <c r="BM42" s="14"/>
      <c r="BN42" s="14"/>
      <c r="BO42" s="14"/>
      <c r="BP42" s="14"/>
      <c r="BQ42" s="14"/>
      <c r="BR42" s="14"/>
      <c r="BS42" s="14"/>
      <c r="BT42" s="14"/>
      <c r="BU42" s="14"/>
      <c r="BV42" s="14"/>
      <c r="BW42" s="14"/>
      <c r="BX42" s="14"/>
      <c r="BY42" s="14"/>
      <c r="BZ42" s="14"/>
      <c r="CA42" s="14"/>
      <c r="CB42" s="14"/>
      <c r="CC42" s="14"/>
      <c r="CD42" s="14"/>
      <c r="CE42" s="14"/>
      <c r="CF42" s="14"/>
      <c r="CG42" s="14"/>
      <c r="CH42" s="14"/>
      <c r="CI42" s="14"/>
      <c r="CJ42" s="14"/>
      <c r="CK42" s="14"/>
      <c r="CL42" s="14"/>
      <c r="CM42" s="14"/>
      <c r="CN42" s="14"/>
      <c r="CO42" s="14"/>
      <c r="CP42" s="14"/>
      <c r="CQ42" s="14"/>
      <c r="CR42" s="14"/>
      <c r="CS42" s="14"/>
      <c r="CT42" s="14"/>
      <c r="CU42" s="14"/>
      <c r="CV42" s="14"/>
      <c r="CW42" s="14"/>
      <c r="CX42" s="14"/>
      <c r="CY42" s="14"/>
      <c r="CZ42" s="14"/>
      <c r="DA42" s="14"/>
      <c r="DB42" s="14"/>
      <c r="DC42" s="14"/>
      <c r="DD42" s="14"/>
      <c r="DE42" s="14"/>
      <c r="DF42" s="14"/>
      <c r="DG42" s="14"/>
      <c r="DH42" s="14"/>
      <c r="DI42" s="14"/>
      <c r="DJ42" s="14"/>
      <c r="DK42" s="14"/>
      <c r="DL42" s="14"/>
      <c r="DM42" s="14"/>
      <c r="DN42" s="14"/>
      <c r="DO42" s="14"/>
      <c r="DP42" s="14"/>
      <c r="DQ42" s="14"/>
      <c r="DR42" s="14"/>
      <c r="DS42" s="14"/>
      <c r="DT42" s="14"/>
      <c r="DU42" s="14"/>
      <c r="DV42" s="14"/>
      <c r="DW42" s="14"/>
      <c r="DX42" s="14"/>
      <c r="DY42" s="14"/>
      <c r="DZ42" s="14"/>
      <c r="EA42" s="14"/>
      <c r="EB42" s="14"/>
      <c r="EC42" s="14"/>
    </row>
    <row r="43" spans="1:133" s="13" customFormat="1" ht="171.6" x14ac:dyDescent="0.25">
      <c r="A43" s="63" t="s">
        <v>213</v>
      </c>
      <c r="B43" s="25" t="s">
        <v>88</v>
      </c>
      <c r="C43" s="35" t="s">
        <v>89</v>
      </c>
      <c r="D43" s="35" t="s">
        <v>357</v>
      </c>
      <c r="E43" s="25">
        <f>43.33/1000</f>
        <v>4.333E-2</v>
      </c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  <c r="BM43" s="14"/>
      <c r="BN43" s="14"/>
      <c r="BO43" s="14"/>
      <c r="BP43" s="14"/>
      <c r="BQ43" s="14"/>
      <c r="BR43" s="14"/>
      <c r="BS43" s="14"/>
      <c r="BT43" s="14"/>
      <c r="BU43" s="14"/>
      <c r="BV43" s="14"/>
      <c r="BW43" s="14"/>
      <c r="BX43" s="14"/>
      <c r="BY43" s="14"/>
      <c r="BZ43" s="14"/>
      <c r="CA43" s="14"/>
      <c r="CB43" s="14"/>
      <c r="CC43" s="14"/>
      <c r="CD43" s="14"/>
      <c r="CE43" s="14"/>
      <c r="CF43" s="14"/>
      <c r="CG43" s="14"/>
      <c r="CH43" s="14"/>
      <c r="CI43" s="14"/>
      <c r="CJ43" s="14"/>
      <c r="CK43" s="14"/>
      <c r="CL43" s="14"/>
      <c r="CM43" s="14"/>
      <c r="CN43" s="14"/>
      <c r="CO43" s="14"/>
      <c r="CP43" s="14"/>
      <c r="CQ43" s="14"/>
      <c r="CR43" s="14"/>
      <c r="CS43" s="14"/>
      <c r="CT43" s="14"/>
      <c r="CU43" s="14"/>
      <c r="CV43" s="14"/>
      <c r="CW43" s="14"/>
      <c r="CX43" s="14"/>
      <c r="CY43" s="14"/>
      <c r="CZ43" s="14"/>
      <c r="DA43" s="14"/>
      <c r="DB43" s="14"/>
      <c r="DC43" s="14"/>
      <c r="DD43" s="14"/>
      <c r="DE43" s="14"/>
      <c r="DF43" s="14"/>
      <c r="DG43" s="14"/>
      <c r="DH43" s="14"/>
      <c r="DI43" s="14"/>
      <c r="DJ43" s="14"/>
      <c r="DK43" s="14"/>
      <c r="DL43" s="14"/>
      <c r="DM43" s="14"/>
      <c r="DN43" s="14"/>
      <c r="DO43" s="14"/>
      <c r="DP43" s="14"/>
      <c r="DQ43" s="14"/>
      <c r="DR43" s="14"/>
      <c r="DS43" s="14"/>
      <c r="DT43" s="14"/>
      <c r="DU43" s="14"/>
      <c r="DV43" s="14"/>
      <c r="DW43" s="14"/>
      <c r="DX43" s="14"/>
      <c r="DY43" s="14"/>
      <c r="DZ43" s="14"/>
      <c r="EA43" s="14"/>
      <c r="EB43" s="14"/>
      <c r="EC43" s="14"/>
    </row>
    <row r="44" spans="1:133" s="13" customFormat="1" ht="62.4" x14ac:dyDescent="0.25">
      <c r="A44" s="63" t="s">
        <v>214</v>
      </c>
      <c r="B44" s="25" t="s">
        <v>90</v>
      </c>
      <c r="C44" s="35" t="s">
        <v>91</v>
      </c>
      <c r="D44" s="35" t="s">
        <v>358</v>
      </c>
      <c r="E44" s="25">
        <v>74.099999999999994</v>
      </c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  <c r="BO44" s="14"/>
      <c r="BP44" s="14"/>
      <c r="BQ44" s="14"/>
      <c r="BR44" s="14"/>
      <c r="BS44" s="14"/>
      <c r="BT44" s="14"/>
      <c r="BU44" s="14"/>
      <c r="BV44" s="14"/>
      <c r="BW44" s="14"/>
      <c r="BX44" s="14"/>
      <c r="BY44" s="14"/>
      <c r="BZ44" s="14"/>
      <c r="CA44" s="14"/>
      <c r="CB44" s="14"/>
      <c r="CC44" s="14"/>
      <c r="CD44" s="14"/>
      <c r="CE44" s="14"/>
      <c r="CF44" s="14"/>
      <c r="CG44" s="14"/>
      <c r="CH44" s="14"/>
      <c r="CI44" s="14"/>
      <c r="CJ44" s="14"/>
      <c r="CK44" s="14"/>
      <c r="CL44" s="14"/>
      <c r="CM44" s="14"/>
      <c r="CN44" s="14"/>
      <c r="CO44" s="14"/>
      <c r="CP44" s="14"/>
      <c r="CQ44" s="14"/>
      <c r="CR44" s="14"/>
      <c r="CS44" s="14"/>
      <c r="CT44" s="14"/>
      <c r="CU44" s="14"/>
      <c r="CV44" s="14"/>
      <c r="CW44" s="14"/>
      <c r="CX44" s="14"/>
      <c r="CY44" s="14"/>
      <c r="CZ44" s="14"/>
      <c r="DA44" s="14"/>
      <c r="DB44" s="14"/>
      <c r="DC44" s="14"/>
      <c r="DD44" s="14"/>
      <c r="DE44" s="14"/>
      <c r="DF44" s="14"/>
      <c r="DG44" s="14"/>
      <c r="DH44" s="14"/>
      <c r="DI44" s="14"/>
      <c r="DJ44" s="14"/>
      <c r="DK44" s="14"/>
      <c r="DL44" s="14"/>
      <c r="DM44" s="14"/>
      <c r="DN44" s="14"/>
      <c r="DO44" s="14"/>
      <c r="DP44" s="14"/>
      <c r="DQ44" s="14"/>
      <c r="DR44" s="14"/>
      <c r="DS44" s="14"/>
      <c r="DT44" s="14"/>
      <c r="DU44" s="14"/>
      <c r="DV44" s="14"/>
      <c r="DW44" s="14"/>
      <c r="DX44" s="14"/>
      <c r="DY44" s="14"/>
      <c r="DZ44" s="14"/>
      <c r="EA44" s="14"/>
      <c r="EB44" s="14"/>
      <c r="EC44" s="14"/>
    </row>
    <row r="46" spans="1:133" s="13" customFormat="1" x14ac:dyDescent="0.25">
      <c r="A46" s="158" t="s">
        <v>93</v>
      </c>
      <c r="B46" s="158"/>
      <c r="C46" s="158"/>
      <c r="D46" s="158"/>
      <c r="E46" s="158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  <c r="BQ46" s="14"/>
      <c r="BR46" s="14"/>
      <c r="BS46" s="14"/>
      <c r="BT46" s="14"/>
      <c r="BU46" s="14"/>
      <c r="BV46" s="14"/>
      <c r="BW46" s="14"/>
      <c r="BX46" s="14"/>
      <c r="BY46" s="14"/>
      <c r="BZ46" s="14"/>
      <c r="CA46" s="14"/>
      <c r="CB46" s="14"/>
      <c r="CC46" s="14"/>
      <c r="CD46" s="14"/>
      <c r="CE46" s="14"/>
      <c r="CF46" s="14"/>
      <c r="CG46" s="14"/>
      <c r="CH46" s="14"/>
      <c r="CI46" s="14"/>
      <c r="CJ46" s="14"/>
      <c r="CK46" s="14"/>
      <c r="CL46" s="14"/>
      <c r="CM46" s="14"/>
      <c r="CN46" s="14"/>
      <c r="CO46" s="14"/>
      <c r="CP46" s="14"/>
      <c r="CQ46" s="14"/>
      <c r="CR46" s="14"/>
      <c r="CS46" s="14"/>
      <c r="CT46" s="14"/>
      <c r="CU46" s="14"/>
      <c r="CV46" s="14"/>
      <c r="CW46" s="14"/>
      <c r="CX46" s="14"/>
      <c r="CY46" s="14"/>
      <c r="CZ46" s="14"/>
      <c r="DA46" s="14"/>
      <c r="DB46" s="14"/>
      <c r="DC46" s="14"/>
      <c r="DD46" s="14"/>
      <c r="DE46" s="14"/>
      <c r="DF46" s="14"/>
      <c r="DG46" s="14"/>
      <c r="DH46" s="14"/>
      <c r="DI46" s="14"/>
      <c r="DJ46" s="14"/>
      <c r="DK46" s="14"/>
      <c r="DL46" s="14"/>
      <c r="DM46" s="14"/>
      <c r="DN46" s="14"/>
      <c r="DO46" s="14"/>
      <c r="DP46" s="14"/>
      <c r="DQ46" s="14"/>
      <c r="DR46" s="14"/>
      <c r="DS46" s="14"/>
      <c r="DT46" s="14"/>
      <c r="DU46" s="14"/>
      <c r="DV46" s="14"/>
      <c r="DW46" s="14"/>
      <c r="DX46" s="14"/>
      <c r="DY46" s="14"/>
      <c r="DZ46" s="14"/>
      <c r="EA46" s="14"/>
      <c r="EB46" s="14"/>
      <c r="EC46" s="14"/>
    </row>
    <row r="47" spans="1:133" s="13" customFormat="1" x14ac:dyDescent="0.25">
      <c r="A47" s="57" t="s">
        <v>8</v>
      </c>
      <c r="B47" s="58" t="s">
        <v>9</v>
      </c>
      <c r="C47" s="34" t="s">
        <v>10</v>
      </c>
      <c r="D47" s="34" t="s">
        <v>340</v>
      </c>
      <c r="E47" s="16" t="s">
        <v>65</v>
      </c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  <c r="BT47" s="14"/>
      <c r="BU47" s="14"/>
      <c r="BV47" s="14"/>
      <c r="BW47" s="14"/>
      <c r="BX47" s="14"/>
      <c r="BY47" s="14"/>
      <c r="BZ47" s="14"/>
      <c r="CA47" s="14"/>
      <c r="CB47" s="14"/>
      <c r="CC47" s="14"/>
      <c r="CD47" s="14"/>
      <c r="CE47" s="14"/>
      <c r="CF47" s="14"/>
      <c r="CG47" s="14"/>
      <c r="CH47" s="14"/>
      <c r="CI47" s="14"/>
      <c r="CJ47" s="14"/>
      <c r="CK47" s="14"/>
      <c r="CL47" s="14"/>
      <c r="CM47" s="14"/>
      <c r="CN47" s="14"/>
      <c r="CO47" s="14"/>
      <c r="CP47" s="14"/>
      <c r="CQ47" s="14"/>
      <c r="CR47" s="14"/>
      <c r="CS47" s="14"/>
      <c r="CT47" s="14"/>
      <c r="CU47" s="14"/>
      <c r="CV47" s="14"/>
      <c r="CW47" s="14"/>
      <c r="CX47" s="14"/>
      <c r="CY47" s="14"/>
      <c r="CZ47" s="14"/>
      <c r="DA47" s="14"/>
      <c r="DB47" s="14"/>
      <c r="DC47" s="14"/>
      <c r="DD47" s="14"/>
      <c r="DE47" s="14"/>
      <c r="DF47" s="14"/>
      <c r="DG47" s="14"/>
      <c r="DH47" s="14"/>
      <c r="DI47" s="14"/>
      <c r="DJ47" s="14"/>
      <c r="DK47" s="14"/>
      <c r="DL47" s="14"/>
      <c r="DM47" s="14"/>
      <c r="DN47" s="14"/>
      <c r="DO47" s="14"/>
      <c r="DP47" s="14"/>
      <c r="DQ47" s="14"/>
      <c r="DR47" s="14"/>
      <c r="DS47" s="14"/>
      <c r="DT47" s="14"/>
      <c r="DU47" s="14"/>
      <c r="DV47" s="14"/>
      <c r="DW47" s="14"/>
      <c r="DX47" s="14"/>
      <c r="DY47" s="14"/>
      <c r="DZ47" s="14"/>
      <c r="EA47" s="14"/>
      <c r="EB47" s="14"/>
      <c r="EC47" s="14"/>
    </row>
    <row r="48" spans="1:133" ht="64.8" x14ac:dyDescent="0.25">
      <c r="A48" s="15" t="s">
        <v>94</v>
      </c>
      <c r="B48" s="25" t="s">
        <v>95</v>
      </c>
      <c r="C48" s="35" t="s">
        <v>96</v>
      </c>
      <c r="D48" s="35" t="s">
        <v>97</v>
      </c>
      <c r="E48" s="16">
        <v>0</v>
      </c>
    </row>
    <row r="50" spans="1:133" x14ac:dyDescent="0.25">
      <c r="A50" s="158" t="s">
        <v>98</v>
      </c>
      <c r="B50" s="158"/>
      <c r="C50" s="158"/>
      <c r="D50" s="158"/>
      <c r="E50" s="158"/>
    </row>
    <row r="51" spans="1:133" x14ac:dyDescent="0.25">
      <c r="A51" s="57" t="s">
        <v>8</v>
      </c>
      <c r="B51" s="58" t="s">
        <v>9</v>
      </c>
      <c r="C51" s="34" t="s">
        <v>10</v>
      </c>
      <c r="D51" s="34" t="s">
        <v>340</v>
      </c>
      <c r="E51" s="16" t="s">
        <v>65</v>
      </c>
    </row>
    <row r="52" spans="1:133" ht="49.2" x14ac:dyDescent="0.25">
      <c r="A52" s="15" t="s">
        <v>99</v>
      </c>
      <c r="B52" s="25" t="s">
        <v>95</v>
      </c>
      <c r="C52" s="35" t="s">
        <v>100</v>
      </c>
      <c r="D52" s="35" t="s">
        <v>101</v>
      </c>
      <c r="E52" s="16">
        <v>0</v>
      </c>
    </row>
    <row r="54" spans="1:133" x14ac:dyDescent="0.25">
      <c r="A54" s="57" t="s">
        <v>8</v>
      </c>
      <c r="B54" s="58" t="s">
        <v>9</v>
      </c>
      <c r="C54" s="34" t="s">
        <v>10</v>
      </c>
      <c r="D54" s="34" t="s">
        <v>340</v>
      </c>
      <c r="E54" s="16" t="s">
        <v>65</v>
      </c>
    </row>
    <row r="55" spans="1:133" ht="18" x14ac:dyDescent="0.25">
      <c r="A55" s="59" t="s">
        <v>102</v>
      </c>
      <c r="B55" s="25" t="s">
        <v>103</v>
      </c>
      <c r="C55" s="35" t="s">
        <v>104</v>
      </c>
      <c r="D55" s="53" t="s">
        <v>380</v>
      </c>
      <c r="E55" s="18">
        <f>ROUNDDOWN(E5+E36+E31+E48+E52,0)</f>
        <v>1090</v>
      </c>
    </row>
    <row r="57" spans="1:133" s="183" customFormat="1" ht="36" customHeight="1" x14ac:dyDescent="0.25">
      <c r="A57" s="183" t="s">
        <v>237</v>
      </c>
    </row>
    <row r="58" spans="1:133" s="56" customFormat="1" ht="31.2" x14ac:dyDescent="0.25">
      <c r="A58" s="92" t="s">
        <v>8</v>
      </c>
      <c r="B58" s="93" t="s">
        <v>9</v>
      </c>
      <c r="C58" s="94" t="s">
        <v>10</v>
      </c>
      <c r="D58" s="93" t="s">
        <v>341</v>
      </c>
      <c r="E58" s="93" t="s">
        <v>11</v>
      </c>
      <c r="F58" s="16" t="s">
        <v>322</v>
      </c>
      <c r="G58" s="16" t="s">
        <v>323</v>
      </c>
      <c r="H58" s="16" t="s">
        <v>324</v>
      </c>
      <c r="I58" s="16" t="s">
        <v>325</v>
      </c>
      <c r="J58" s="16" t="s">
        <v>326</v>
      </c>
      <c r="K58" s="16" t="s">
        <v>329</v>
      </c>
      <c r="L58" s="16" t="s">
        <v>297</v>
      </c>
      <c r="M58" s="16" t="s">
        <v>297</v>
      </c>
      <c r="N58" s="16" t="s">
        <v>297</v>
      </c>
      <c r="O58" s="16" t="s">
        <v>297</v>
      </c>
      <c r="P58" s="16" t="s">
        <v>297</v>
      </c>
      <c r="Q58" s="16" t="s">
        <v>297</v>
      </c>
      <c r="R58" s="54"/>
      <c r="S58" s="54"/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F58" s="54"/>
      <c r="AG58" s="54"/>
      <c r="AH58" s="54"/>
      <c r="AI58" s="54"/>
      <c r="AJ58" s="54"/>
      <c r="AK58" s="54"/>
      <c r="AL58" s="54"/>
      <c r="AM58" s="54"/>
      <c r="AN58" s="54"/>
      <c r="AO58" s="54"/>
      <c r="AP58" s="54"/>
      <c r="AQ58" s="54"/>
      <c r="AR58" s="54"/>
      <c r="AS58" s="54"/>
      <c r="AT58" s="54"/>
      <c r="AU58" s="54"/>
      <c r="AV58" s="54"/>
      <c r="AW58" s="54"/>
      <c r="AX58" s="54"/>
      <c r="AY58" s="54"/>
      <c r="AZ58" s="54"/>
      <c r="BA58" s="54"/>
      <c r="BB58" s="54"/>
      <c r="BC58" s="54"/>
      <c r="BD58" s="54"/>
      <c r="BE58" s="54"/>
      <c r="BF58" s="54"/>
      <c r="BG58" s="54"/>
      <c r="BH58" s="54"/>
      <c r="BI58" s="54"/>
      <c r="BJ58" s="54"/>
      <c r="BK58" s="54"/>
      <c r="BL58" s="54"/>
      <c r="BM58" s="54"/>
      <c r="BN58" s="54"/>
      <c r="BO58" s="54"/>
      <c r="BP58" s="54"/>
      <c r="BQ58" s="54"/>
      <c r="BR58" s="54"/>
      <c r="BS58" s="54"/>
      <c r="BT58" s="54"/>
      <c r="BU58" s="54"/>
      <c r="BV58" s="54"/>
      <c r="BW58" s="54"/>
      <c r="BX58" s="54"/>
      <c r="BY58" s="54"/>
      <c r="BZ58" s="54"/>
      <c r="CA58" s="54"/>
      <c r="CB58" s="54"/>
      <c r="CC58" s="54"/>
      <c r="CD58" s="54"/>
      <c r="CE58" s="54"/>
      <c r="CF58" s="54"/>
      <c r="CG58" s="54"/>
      <c r="CH58" s="54"/>
      <c r="CI58" s="54"/>
      <c r="CJ58" s="54"/>
      <c r="CK58" s="54"/>
      <c r="CL58" s="54"/>
      <c r="CM58" s="54"/>
      <c r="CN58" s="54"/>
      <c r="CO58" s="54"/>
      <c r="CP58" s="54"/>
      <c r="CQ58" s="54"/>
      <c r="CR58" s="54"/>
      <c r="CS58" s="54"/>
      <c r="CT58" s="54"/>
      <c r="CU58" s="54"/>
      <c r="CV58" s="54"/>
      <c r="CW58" s="54"/>
      <c r="CX58" s="54"/>
      <c r="CY58" s="54"/>
      <c r="CZ58" s="54"/>
      <c r="DA58" s="54"/>
      <c r="DB58" s="54"/>
      <c r="DC58" s="54"/>
      <c r="DD58" s="54"/>
      <c r="DE58" s="54"/>
      <c r="DF58" s="54"/>
      <c r="DG58" s="54"/>
      <c r="DH58" s="54"/>
      <c r="DI58" s="54"/>
      <c r="DJ58" s="54"/>
      <c r="DK58" s="54"/>
      <c r="DL58" s="54"/>
      <c r="DM58" s="54"/>
      <c r="DN58" s="54"/>
      <c r="DO58" s="54"/>
      <c r="DP58" s="54"/>
      <c r="DQ58" s="54"/>
      <c r="DR58" s="54"/>
      <c r="DS58" s="54"/>
      <c r="DT58" s="54"/>
      <c r="DU58" s="54"/>
      <c r="DV58" s="54"/>
      <c r="DW58" s="54"/>
      <c r="DX58" s="54"/>
      <c r="DY58" s="54"/>
      <c r="DZ58" s="54"/>
      <c r="EA58" s="54"/>
      <c r="EB58" s="54"/>
      <c r="EC58" s="54"/>
    </row>
    <row r="59" spans="1:133" s="56" customFormat="1" x14ac:dyDescent="0.25">
      <c r="A59" s="178" t="s">
        <v>12</v>
      </c>
      <c r="B59" s="178"/>
      <c r="C59" s="179"/>
      <c r="D59" s="179"/>
      <c r="E59" s="178"/>
      <c r="F59" s="16">
        <v>31</v>
      </c>
      <c r="G59" s="16">
        <v>28</v>
      </c>
      <c r="H59" s="16">
        <v>31</v>
      </c>
      <c r="I59" s="16">
        <v>30</v>
      </c>
      <c r="J59" s="16">
        <v>31</v>
      </c>
      <c r="K59" s="16">
        <v>30</v>
      </c>
      <c r="L59" s="16" t="s">
        <v>297</v>
      </c>
      <c r="M59" s="16" t="s">
        <v>297</v>
      </c>
      <c r="N59" s="16" t="s">
        <v>297</v>
      </c>
      <c r="O59" s="16" t="s">
        <v>297</v>
      </c>
      <c r="P59" s="16" t="s">
        <v>297</v>
      </c>
      <c r="Q59" s="16" t="s">
        <v>297</v>
      </c>
      <c r="R59" s="54"/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54"/>
      <c r="AK59" s="54"/>
      <c r="AL59" s="54"/>
      <c r="AM59" s="54"/>
      <c r="AN59" s="54"/>
      <c r="AO59" s="54"/>
      <c r="AP59" s="54"/>
      <c r="AQ59" s="54"/>
      <c r="AR59" s="54"/>
      <c r="AS59" s="54"/>
      <c r="AT59" s="54"/>
      <c r="AU59" s="54"/>
      <c r="AV59" s="54"/>
      <c r="AW59" s="54"/>
      <c r="AX59" s="54"/>
      <c r="AY59" s="54"/>
      <c r="AZ59" s="54"/>
      <c r="BA59" s="54"/>
      <c r="BB59" s="54"/>
      <c r="BC59" s="54"/>
      <c r="BD59" s="54"/>
      <c r="BE59" s="54"/>
      <c r="BF59" s="54"/>
      <c r="BG59" s="54"/>
      <c r="BH59" s="54"/>
      <c r="BI59" s="54"/>
      <c r="BJ59" s="54"/>
      <c r="BK59" s="54"/>
      <c r="BL59" s="54"/>
      <c r="BM59" s="54"/>
      <c r="BN59" s="54"/>
      <c r="BO59" s="54"/>
      <c r="BP59" s="54"/>
      <c r="BQ59" s="54"/>
      <c r="BR59" s="54"/>
      <c r="BS59" s="54"/>
      <c r="BT59" s="54"/>
      <c r="BU59" s="54"/>
      <c r="BV59" s="54"/>
      <c r="BW59" s="54"/>
      <c r="BX59" s="54"/>
      <c r="BY59" s="54"/>
      <c r="BZ59" s="54"/>
      <c r="CA59" s="54"/>
      <c r="CB59" s="54"/>
      <c r="CC59" s="54"/>
      <c r="CD59" s="54"/>
      <c r="CE59" s="54"/>
      <c r="CF59" s="54"/>
      <c r="CG59" s="54"/>
      <c r="CH59" s="54"/>
      <c r="CI59" s="54"/>
      <c r="CJ59" s="54"/>
      <c r="CK59" s="54"/>
      <c r="CL59" s="54"/>
      <c r="CM59" s="54"/>
      <c r="CN59" s="54"/>
      <c r="CO59" s="54"/>
      <c r="CP59" s="54"/>
      <c r="CQ59" s="54"/>
      <c r="CR59" s="54"/>
      <c r="CS59" s="54"/>
      <c r="CT59" s="54"/>
      <c r="CU59" s="54"/>
      <c r="CV59" s="54"/>
      <c r="CW59" s="54"/>
      <c r="CX59" s="54"/>
      <c r="CY59" s="54"/>
      <c r="CZ59" s="54"/>
      <c r="DA59" s="54"/>
      <c r="DB59" s="54"/>
      <c r="DC59" s="54"/>
      <c r="DD59" s="54"/>
      <c r="DE59" s="54"/>
      <c r="DF59" s="54"/>
      <c r="DG59" s="54"/>
      <c r="DH59" s="54"/>
      <c r="DI59" s="54"/>
      <c r="DJ59" s="54"/>
      <c r="DK59" s="54"/>
      <c r="DL59" s="54"/>
      <c r="DM59" s="54"/>
      <c r="DN59" s="54"/>
      <c r="DO59" s="54"/>
      <c r="DP59" s="54"/>
      <c r="DQ59" s="54"/>
      <c r="DR59" s="54"/>
      <c r="DS59" s="54"/>
      <c r="DT59" s="54"/>
      <c r="DU59" s="54"/>
      <c r="DV59" s="54"/>
      <c r="DW59" s="54"/>
      <c r="DX59" s="54"/>
      <c r="DY59" s="54"/>
      <c r="DZ59" s="54"/>
      <c r="EA59" s="54"/>
      <c r="EB59" s="54"/>
      <c r="EC59" s="54"/>
    </row>
    <row r="60" spans="1:133" ht="46.8" x14ac:dyDescent="0.25">
      <c r="A60" s="59" t="s">
        <v>13</v>
      </c>
      <c r="B60" s="60" t="s">
        <v>14</v>
      </c>
      <c r="C60" s="53" t="s">
        <v>15</v>
      </c>
      <c r="D60" s="53" t="s">
        <v>369</v>
      </c>
      <c r="E60" s="61">
        <f>SUM(F60:K60)</f>
        <v>1623.9103921640544</v>
      </c>
      <c r="F60" s="62">
        <f>$E$61*$E$62*F63*$E$74</f>
        <v>267.40441325615797</v>
      </c>
      <c r="G60" s="62">
        <f t="shared" ref="G60:K60" si="7">$E$61*$E$62*G63*$E$74</f>
        <v>241.24930767044629</v>
      </c>
      <c r="H60" s="62">
        <f t="shared" si="7"/>
        <v>266.99903762486582</v>
      </c>
      <c r="I60" s="62">
        <f t="shared" si="7"/>
        <v>289.89555497909828</v>
      </c>
      <c r="J60" s="62">
        <f t="shared" si="7"/>
        <v>299.74584243818299</v>
      </c>
      <c r="K60" s="62">
        <f t="shared" si="7"/>
        <v>258.61623619530303</v>
      </c>
      <c r="L60" s="62" t="s">
        <v>297</v>
      </c>
      <c r="M60" s="62" t="s">
        <v>297</v>
      </c>
      <c r="N60" s="62" t="s">
        <v>297</v>
      </c>
      <c r="O60" s="62" t="s">
        <v>297</v>
      </c>
      <c r="P60" s="62" t="s">
        <v>297</v>
      </c>
      <c r="Q60" s="62" t="s">
        <v>297</v>
      </c>
    </row>
    <row r="61" spans="1:133" ht="31.2" x14ac:dyDescent="0.25">
      <c r="A61" s="63" t="s">
        <v>16</v>
      </c>
      <c r="B61" s="60" t="s">
        <v>193</v>
      </c>
      <c r="C61" s="35" t="s">
        <v>17</v>
      </c>
      <c r="D61" s="35" t="s">
        <v>205</v>
      </c>
      <c r="E61" s="176">
        <v>28</v>
      </c>
      <c r="F61" s="176"/>
      <c r="G61" s="176"/>
      <c r="H61" s="176"/>
      <c r="I61" s="176"/>
      <c r="J61" s="176"/>
      <c r="K61" s="176"/>
      <c r="L61" s="176"/>
      <c r="M61" s="176"/>
      <c r="N61" s="176"/>
      <c r="O61" s="176"/>
      <c r="P61" s="176"/>
      <c r="Q61" s="176"/>
    </row>
    <row r="62" spans="1:133" ht="64.8" x14ac:dyDescent="0.25">
      <c r="A62" s="63" t="s">
        <v>18</v>
      </c>
      <c r="B62" s="25" t="s">
        <v>194</v>
      </c>
      <c r="C62" s="35" t="s">
        <v>20</v>
      </c>
      <c r="D62" s="35" t="s">
        <v>394</v>
      </c>
      <c r="E62" s="176">
        <v>0.21</v>
      </c>
      <c r="F62" s="176"/>
      <c r="G62" s="176"/>
      <c r="H62" s="176"/>
      <c r="I62" s="176"/>
      <c r="J62" s="176"/>
      <c r="K62" s="176"/>
      <c r="L62" s="176"/>
      <c r="M62" s="176"/>
      <c r="N62" s="176"/>
      <c r="O62" s="176"/>
      <c r="P62" s="176"/>
      <c r="Q62" s="176"/>
    </row>
    <row r="63" spans="1:133" ht="46.8" x14ac:dyDescent="0.25">
      <c r="A63" s="35" t="s">
        <v>21</v>
      </c>
      <c r="B63" s="25" t="s">
        <v>195</v>
      </c>
      <c r="C63" s="53" t="s">
        <v>22</v>
      </c>
      <c r="D63" s="53" t="s">
        <v>370</v>
      </c>
      <c r="E63" s="64">
        <f t="shared" ref="E63:K63" si="8">E71*E64</f>
        <v>436.17678145877653</v>
      </c>
      <c r="F63" s="64">
        <f t="shared" si="8"/>
        <v>71.823911519226598</v>
      </c>
      <c r="G63" s="64">
        <f t="shared" si="8"/>
        <v>64.798739546598625</v>
      </c>
      <c r="H63" s="64">
        <f t="shared" si="8"/>
        <v>71.715029010073366</v>
      </c>
      <c r="I63" s="64">
        <f t="shared" si="8"/>
        <v>77.864955320277801</v>
      </c>
      <c r="J63" s="64">
        <f t="shared" si="8"/>
        <v>80.510708867443526</v>
      </c>
      <c r="K63" s="64">
        <f t="shared" si="8"/>
        <v>69.463437195156672</v>
      </c>
      <c r="L63" s="64" t="s">
        <v>297</v>
      </c>
      <c r="M63" s="64" t="s">
        <v>297</v>
      </c>
      <c r="N63" s="64" t="s">
        <v>297</v>
      </c>
      <c r="O63" s="64" t="s">
        <v>297</v>
      </c>
      <c r="P63" s="64" t="s">
        <v>297</v>
      </c>
      <c r="Q63" s="64" t="s">
        <v>297</v>
      </c>
    </row>
    <row r="64" spans="1:133" ht="46.8" x14ac:dyDescent="0.25">
      <c r="A64" s="35" t="s">
        <v>23</v>
      </c>
      <c r="B64" s="25" t="s">
        <v>197</v>
      </c>
      <c r="C64" s="35" t="s">
        <v>191</v>
      </c>
      <c r="D64" s="35" t="s">
        <v>371</v>
      </c>
      <c r="E64" s="20">
        <f>SUM(F64:K64)</f>
        <v>459.57552454721161</v>
      </c>
      <c r="F64" s="20">
        <f>F66*F69</f>
        <v>75.676911781240108</v>
      </c>
      <c r="G64" s="20">
        <f t="shared" ref="G64:K64" si="9">G66*G69</f>
        <v>68.274873819574765</v>
      </c>
      <c r="H64" s="20">
        <f t="shared" si="9"/>
        <v>75.562188259986272</v>
      </c>
      <c r="I64" s="20">
        <f t="shared" si="9"/>
        <v>82.042027926110322</v>
      </c>
      <c r="J64" s="20">
        <f t="shared" si="9"/>
        <v>84.829713162804325</v>
      </c>
      <c r="K64" s="20">
        <f t="shared" si="9"/>
        <v>73.189809597495866</v>
      </c>
      <c r="L64" s="20" t="s">
        <v>297</v>
      </c>
      <c r="M64" s="20" t="s">
        <v>297</v>
      </c>
      <c r="N64" s="20" t="s">
        <v>297</v>
      </c>
      <c r="O64" s="20" t="s">
        <v>297</v>
      </c>
      <c r="P64" s="20" t="s">
        <v>297</v>
      </c>
      <c r="Q64" s="20" t="s">
        <v>297</v>
      </c>
    </row>
    <row r="65" spans="1:133" ht="62.4" x14ac:dyDescent="0.25">
      <c r="A65" s="17" t="s">
        <v>335</v>
      </c>
      <c r="B65" s="60" t="s">
        <v>192</v>
      </c>
      <c r="C65" s="35" t="s">
        <v>25</v>
      </c>
      <c r="D65" s="35" t="s">
        <v>333</v>
      </c>
      <c r="E65" s="121">
        <f>AVERAGE(F65:K65)</f>
        <v>5841.0950231182806</v>
      </c>
      <c r="F65" s="121">
        <v>5843.2367666666687</v>
      </c>
      <c r="G65" s="121">
        <v>5841.1130645161302</v>
      </c>
      <c r="H65" s="121">
        <v>5840.8603548387091</v>
      </c>
      <c r="I65" s="121">
        <v>5839.2313666666687</v>
      </c>
      <c r="J65" s="121">
        <v>5842.6054193548389</v>
      </c>
      <c r="K65" s="121">
        <v>5839.5231666666687</v>
      </c>
      <c r="L65" s="20" t="s">
        <v>297</v>
      </c>
      <c r="M65" s="20" t="s">
        <v>297</v>
      </c>
      <c r="N65" s="20" t="s">
        <v>297</v>
      </c>
      <c r="O65" s="20" t="s">
        <v>297</v>
      </c>
      <c r="P65" s="20" t="s">
        <v>297</v>
      </c>
      <c r="Q65" s="20" t="s">
        <v>297</v>
      </c>
    </row>
    <row r="66" spans="1:133" ht="46.8" x14ac:dyDescent="0.25">
      <c r="A66" s="35" t="s">
        <v>26</v>
      </c>
      <c r="B66" s="60" t="s">
        <v>198</v>
      </c>
      <c r="C66" s="35" t="s">
        <v>27</v>
      </c>
      <c r="D66" s="35" t="s">
        <v>206</v>
      </c>
      <c r="E66" s="65">
        <f>SUM(F66:K66)</f>
        <v>1057241.5805731183</v>
      </c>
      <c r="F66" s="65">
        <f>F65*F59</f>
        <v>181140.33976666673</v>
      </c>
      <c r="G66" s="65">
        <f t="shared" ref="G66:K66" si="10">G65*G59</f>
        <v>163551.16580645164</v>
      </c>
      <c r="H66" s="65">
        <f t="shared" si="10"/>
        <v>181066.67099999997</v>
      </c>
      <c r="I66" s="65">
        <f t="shared" si="10"/>
        <v>175176.94100000005</v>
      </c>
      <c r="J66" s="65">
        <f t="shared" si="10"/>
        <v>181120.76800000001</v>
      </c>
      <c r="K66" s="65">
        <f t="shared" si="10"/>
        <v>175185.69500000007</v>
      </c>
      <c r="L66" s="65" t="s">
        <v>297</v>
      </c>
      <c r="M66" s="65" t="s">
        <v>297</v>
      </c>
      <c r="N66" s="65" t="s">
        <v>297</v>
      </c>
      <c r="O66" s="65" t="s">
        <v>297</v>
      </c>
      <c r="P66" s="65" t="s">
        <v>297</v>
      </c>
      <c r="Q66" s="65" t="s">
        <v>297</v>
      </c>
    </row>
    <row r="67" spans="1:133" ht="62.4" x14ac:dyDescent="0.25">
      <c r="A67" s="35" t="s">
        <v>28</v>
      </c>
      <c r="B67" s="60" t="s">
        <v>199</v>
      </c>
      <c r="C67" s="35" t="s">
        <v>29</v>
      </c>
      <c r="D67" s="35" t="s">
        <v>332</v>
      </c>
      <c r="E67" s="125">
        <f>AVERAGE(F67:K67)</f>
        <v>434.50539127837527</v>
      </c>
      <c r="F67" s="125">
        <v>417.78055555555551</v>
      </c>
      <c r="G67" s="125">
        <v>417.45268817204305</v>
      </c>
      <c r="H67" s="125">
        <v>417.31693548387096</v>
      </c>
      <c r="I67" s="125">
        <v>468.33805555555563</v>
      </c>
      <c r="J67" s="125">
        <v>468.35994623655927</v>
      </c>
      <c r="K67" s="137">
        <v>417.78416666666669</v>
      </c>
      <c r="L67" s="66" t="s">
        <v>297</v>
      </c>
      <c r="M67" s="66" t="s">
        <v>297</v>
      </c>
      <c r="N67" s="66" t="s">
        <v>297</v>
      </c>
      <c r="O67" s="66" t="s">
        <v>297</v>
      </c>
      <c r="P67" s="66" t="s">
        <v>297</v>
      </c>
      <c r="Q67" s="66" t="s">
        <v>297</v>
      </c>
    </row>
    <row r="68" spans="1:133" ht="62.4" x14ac:dyDescent="0.25">
      <c r="A68" s="35" t="s">
        <v>30</v>
      </c>
      <c r="B68" s="60" t="s">
        <v>199</v>
      </c>
      <c r="C68" s="35" t="s">
        <v>31</v>
      </c>
      <c r="D68" s="35" t="s">
        <v>331</v>
      </c>
      <c r="E68" s="125">
        <f>AVERAGE(F68:K68)</f>
        <v>20.696011051373954</v>
      </c>
      <c r="F68" s="125">
        <v>19.78361111111111</v>
      </c>
      <c r="G68" s="125">
        <v>19.883333333333336</v>
      </c>
      <c r="H68" s="125">
        <v>20.111559139784941</v>
      </c>
      <c r="I68" s="125">
        <v>22.184444444444448</v>
      </c>
      <c r="J68" s="125">
        <v>23.089784946236559</v>
      </c>
      <c r="K68" s="137">
        <v>19.123333333333335</v>
      </c>
      <c r="L68" s="65" t="s">
        <v>297</v>
      </c>
      <c r="M68" s="65" t="s">
        <v>297</v>
      </c>
      <c r="N68" s="65" t="s">
        <v>297</v>
      </c>
      <c r="O68" s="65" t="s">
        <v>297</v>
      </c>
      <c r="P68" s="65" t="s">
        <v>297</v>
      </c>
      <c r="Q68" s="65" t="s">
        <v>297</v>
      </c>
    </row>
    <row r="69" spans="1:133" ht="62.4" x14ac:dyDescent="0.25">
      <c r="A69" s="35" t="s">
        <v>32</v>
      </c>
      <c r="B69" s="60" t="s">
        <v>200</v>
      </c>
      <c r="C69" s="35" t="s">
        <v>34</v>
      </c>
      <c r="D69" s="35" t="s">
        <v>338</v>
      </c>
      <c r="E69" s="122">
        <f>E67/1000000</f>
        <v>4.3450539127837528E-4</v>
      </c>
      <c r="F69" s="120">
        <f>F67/1000000</f>
        <v>4.1778055555555553E-4</v>
      </c>
      <c r="G69" s="120">
        <f t="shared" ref="G69:K70" si="11">G67/1000000</f>
        <v>4.1745268817204307E-4</v>
      </c>
      <c r="H69" s="120">
        <f t="shared" si="11"/>
        <v>4.1731693548387096E-4</v>
      </c>
      <c r="I69" s="120">
        <f t="shared" si="11"/>
        <v>4.6833805555555565E-4</v>
      </c>
      <c r="J69" s="120">
        <f t="shared" si="11"/>
        <v>4.6835994623655927E-4</v>
      </c>
      <c r="K69" s="120">
        <f t="shared" si="11"/>
        <v>4.1778416666666667E-4</v>
      </c>
      <c r="L69" s="22" t="s">
        <v>297</v>
      </c>
      <c r="M69" s="22" t="s">
        <v>297</v>
      </c>
      <c r="N69" s="22" t="s">
        <v>297</v>
      </c>
      <c r="O69" s="22" t="s">
        <v>297</v>
      </c>
      <c r="P69" s="22" t="s">
        <v>297</v>
      </c>
      <c r="Q69" s="22" t="s">
        <v>297</v>
      </c>
    </row>
    <row r="70" spans="1:133" ht="62.4" x14ac:dyDescent="0.25">
      <c r="A70" s="35" t="s">
        <v>30</v>
      </c>
      <c r="B70" s="60" t="s">
        <v>33</v>
      </c>
      <c r="C70" s="35" t="s">
        <v>35</v>
      </c>
      <c r="D70" s="35" t="s">
        <v>339</v>
      </c>
      <c r="E70" s="122">
        <f>E68/1000000</f>
        <v>2.0696011051373954E-5</v>
      </c>
      <c r="F70" s="120">
        <f>F68/1000000</f>
        <v>1.978361111111111E-5</v>
      </c>
      <c r="G70" s="120">
        <f t="shared" si="11"/>
        <v>1.9883333333333337E-5</v>
      </c>
      <c r="H70" s="120">
        <f t="shared" si="11"/>
        <v>2.0111559139784939E-5</v>
      </c>
      <c r="I70" s="120">
        <f t="shared" si="11"/>
        <v>2.218444444444445E-5</v>
      </c>
      <c r="J70" s="120">
        <f t="shared" si="11"/>
        <v>2.3089784946236558E-5</v>
      </c>
      <c r="K70" s="120">
        <f t="shared" si="11"/>
        <v>1.9123333333333334E-5</v>
      </c>
      <c r="L70" s="22" t="s">
        <v>297</v>
      </c>
      <c r="M70" s="22" t="s">
        <v>297</v>
      </c>
      <c r="N70" s="22" t="s">
        <v>297</v>
      </c>
      <c r="O70" s="22" t="s">
        <v>297</v>
      </c>
      <c r="P70" s="22" t="s">
        <v>297</v>
      </c>
      <c r="Q70" s="22" t="s">
        <v>297</v>
      </c>
    </row>
    <row r="71" spans="1:133" ht="46.8" x14ac:dyDescent="0.25">
      <c r="A71" s="63" t="s">
        <v>36</v>
      </c>
      <c r="B71" s="25" t="s">
        <v>201</v>
      </c>
      <c r="C71" s="35" t="s">
        <v>38</v>
      </c>
      <c r="D71" s="35" t="s">
        <v>368</v>
      </c>
      <c r="E71" s="68">
        <f>(1-(E72/E73))</f>
        <v>0.94908618531962019</v>
      </c>
      <c r="F71" s="68">
        <f>E71</f>
        <v>0.94908618531962019</v>
      </c>
      <c r="G71" s="68">
        <f>E71</f>
        <v>0.94908618531962019</v>
      </c>
      <c r="H71" s="68">
        <f>E71</f>
        <v>0.94908618531962019</v>
      </c>
      <c r="I71" s="68">
        <f>E71</f>
        <v>0.94908618531962019</v>
      </c>
      <c r="J71" s="68">
        <f>E71</f>
        <v>0.94908618531962019</v>
      </c>
      <c r="K71" s="68">
        <f>F71</f>
        <v>0.94908618531962019</v>
      </c>
      <c r="L71" s="68" t="s">
        <v>297</v>
      </c>
      <c r="M71" s="68" t="s">
        <v>297</v>
      </c>
      <c r="N71" s="68" t="s">
        <v>297</v>
      </c>
      <c r="O71" s="68" t="s">
        <v>297</v>
      </c>
      <c r="P71" s="68" t="s">
        <v>297</v>
      </c>
      <c r="Q71" s="68" t="s">
        <v>297</v>
      </c>
    </row>
    <row r="72" spans="1:133" ht="31.2" x14ac:dyDescent="0.25">
      <c r="A72" s="35" t="s">
        <v>39</v>
      </c>
      <c r="B72" s="25" t="s">
        <v>196</v>
      </c>
      <c r="C72" s="35" t="s">
        <v>40</v>
      </c>
      <c r="D72" s="35" t="s">
        <v>351</v>
      </c>
      <c r="E72" s="52">
        <f>SUM(F72:K72)</f>
        <v>21.819689207099998</v>
      </c>
      <c r="F72" s="52">
        <v>3.7370738421</v>
      </c>
      <c r="G72" s="52">
        <v>3.3754215348000001</v>
      </c>
      <c r="H72" s="52">
        <v>3.7370738421</v>
      </c>
      <c r="I72" s="52">
        <v>3.6165230729999998</v>
      </c>
      <c r="J72" s="52">
        <v>3.7370738421</v>
      </c>
      <c r="K72" s="52">
        <v>3.6165230729999998</v>
      </c>
      <c r="L72" s="69" t="s">
        <v>297</v>
      </c>
      <c r="M72" s="69" t="s">
        <v>297</v>
      </c>
      <c r="N72" s="69" t="s">
        <v>297</v>
      </c>
      <c r="O72" s="69" t="s">
        <v>297</v>
      </c>
      <c r="P72" s="69" t="s">
        <v>297</v>
      </c>
      <c r="Q72" s="69" t="s">
        <v>297</v>
      </c>
    </row>
    <row r="73" spans="1:133" ht="31.2" x14ac:dyDescent="0.25">
      <c r="A73" s="63" t="s">
        <v>41</v>
      </c>
      <c r="B73" s="25" t="s">
        <v>24</v>
      </c>
      <c r="C73" s="35" t="s">
        <v>42</v>
      </c>
      <c r="D73" s="35" t="s">
        <v>351</v>
      </c>
      <c r="E73" s="52">
        <f>SUM(F73:K73)</f>
        <v>428.56127249699995</v>
      </c>
      <c r="F73" s="52">
        <v>73.399996946999991</v>
      </c>
      <c r="G73" s="52">
        <v>66.296771436</v>
      </c>
      <c r="H73" s="52">
        <v>73.399996946999991</v>
      </c>
      <c r="I73" s="52">
        <v>71.032255109999994</v>
      </c>
      <c r="J73" s="52">
        <v>73.399996946999991</v>
      </c>
      <c r="K73" s="52">
        <v>71.032255109999994</v>
      </c>
      <c r="L73" s="69" t="s">
        <v>297</v>
      </c>
      <c r="M73" s="69" t="s">
        <v>297</v>
      </c>
      <c r="N73" s="69" t="s">
        <v>297</v>
      </c>
      <c r="O73" s="69" t="s">
        <v>297</v>
      </c>
      <c r="P73" s="69" t="s">
        <v>297</v>
      </c>
      <c r="Q73" s="69" t="s">
        <v>297</v>
      </c>
    </row>
    <row r="74" spans="1:133" ht="31.2" x14ac:dyDescent="0.25">
      <c r="A74" s="53" t="s">
        <v>43</v>
      </c>
      <c r="B74" s="25" t="s">
        <v>201</v>
      </c>
      <c r="C74" s="53" t="s">
        <v>44</v>
      </c>
      <c r="D74" s="35" t="s">
        <v>372</v>
      </c>
      <c r="E74" s="177">
        <f>E75*E76*0.89</f>
        <v>0.63317271460194824</v>
      </c>
      <c r="F74" s="177"/>
      <c r="G74" s="177"/>
      <c r="H74" s="177"/>
      <c r="I74" s="177"/>
      <c r="J74" s="177"/>
      <c r="K74" s="177"/>
      <c r="L74" s="177"/>
      <c r="M74" s="177"/>
      <c r="N74" s="177"/>
      <c r="O74" s="177"/>
      <c r="P74" s="177"/>
      <c r="Q74" s="177"/>
    </row>
    <row r="75" spans="1:133" ht="31.2" x14ac:dyDescent="0.25">
      <c r="A75" s="70" t="s">
        <v>45</v>
      </c>
      <c r="B75" s="25" t="s">
        <v>201</v>
      </c>
      <c r="C75" s="53" t="s">
        <v>46</v>
      </c>
      <c r="D75" s="35" t="s">
        <v>373</v>
      </c>
      <c r="E75" s="162">
        <v>0.7</v>
      </c>
      <c r="F75" s="163"/>
      <c r="G75" s="163"/>
      <c r="H75" s="163"/>
      <c r="I75" s="163"/>
      <c r="J75" s="163"/>
      <c r="K75" s="163"/>
      <c r="L75" s="163"/>
      <c r="M75" s="163"/>
      <c r="N75" s="163"/>
      <c r="O75" s="163"/>
      <c r="P75" s="163"/>
      <c r="Q75" s="164"/>
    </row>
    <row r="76" spans="1:133" ht="36" customHeight="1" x14ac:dyDescent="0.25">
      <c r="A76" s="70" t="s">
        <v>47</v>
      </c>
      <c r="B76" s="25" t="s">
        <v>37</v>
      </c>
      <c r="C76" s="53" t="s">
        <v>48</v>
      </c>
      <c r="D76" s="35" t="s">
        <v>374</v>
      </c>
      <c r="E76" s="159">
        <f>(F77*F82+G77*G82+H77*H82+I77*I82+J77*J82+K77*K82)/(F71*F66*F69+G71*G69*G66+H71*H66*H69+I71*I69*I66+J71*J69*J66+K71*K69*K66)</f>
        <v>1.0163285948666907</v>
      </c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1"/>
    </row>
    <row r="77" spans="1:133" s="9" customFormat="1" ht="46.8" x14ac:dyDescent="0.4">
      <c r="A77" s="71" t="s">
        <v>49</v>
      </c>
      <c r="B77" s="25" t="s">
        <v>37</v>
      </c>
      <c r="C77" s="53" t="s">
        <v>50</v>
      </c>
      <c r="D77" s="53" t="s">
        <v>375</v>
      </c>
      <c r="E77" s="72">
        <f>AVERAGE(F77:K77)</f>
        <v>0.54689538420497319</v>
      </c>
      <c r="F77" s="72">
        <f>IF(F81&lt;283,0,IF(F81&gt;303,1,EXP(($E$78*(F81-$E$79))/($E$80*$E$79*F81))))</f>
        <v>0.35374940126825682</v>
      </c>
      <c r="G77" s="72">
        <f t="shared" ref="G77:K77" si="12">IF(G81&lt;283,0,IF(G81&gt;303,1,EXP(($E$78*(G81-$E$79))/($E$80*$E$79*G81))))</f>
        <v>0.26921004737855481</v>
      </c>
      <c r="H77" s="72">
        <f t="shared" si="12"/>
        <v>0.50475941545474445</v>
      </c>
      <c r="I77" s="72">
        <f t="shared" si="12"/>
        <v>0.55084569341606926</v>
      </c>
      <c r="J77" s="72">
        <f t="shared" si="12"/>
        <v>0.6835684899717327</v>
      </c>
      <c r="K77" s="72">
        <f t="shared" si="12"/>
        <v>0.91923925774048054</v>
      </c>
      <c r="L77" s="72" t="s">
        <v>297</v>
      </c>
      <c r="M77" s="72" t="s">
        <v>297</v>
      </c>
      <c r="N77" s="72" t="s">
        <v>297</v>
      </c>
      <c r="O77" s="72" t="s">
        <v>297</v>
      </c>
      <c r="P77" s="72" t="s">
        <v>297</v>
      </c>
      <c r="Q77" s="72" t="s">
        <v>297</v>
      </c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  <c r="AE77" s="78"/>
      <c r="AF77" s="78"/>
      <c r="AG77" s="78"/>
      <c r="AH77" s="78"/>
      <c r="AI77" s="78"/>
      <c r="AJ77" s="78"/>
      <c r="AK77" s="78"/>
      <c r="AL77" s="78"/>
      <c r="AM77" s="78"/>
      <c r="AN77" s="78"/>
      <c r="AO77" s="78"/>
      <c r="AP77" s="78"/>
      <c r="AQ77" s="78"/>
      <c r="AR77" s="78"/>
      <c r="AS77" s="78"/>
      <c r="AT77" s="78"/>
      <c r="AU77" s="78"/>
      <c r="AV77" s="78"/>
      <c r="AW77" s="78"/>
      <c r="AX77" s="78"/>
      <c r="AY77" s="78"/>
      <c r="AZ77" s="78"/>
      <c r="BA77" s="78"/>
      <c r="BB77" s="78"/>
      <c r="BC77" s="78"/>
      <c r="BD77" s="78"/>
      <c r="BE77" s="78"/>
      <c r="BF77" s="78"/>
      <c r="BG77" s="78"/>
      <c r="BH77" s="78"/>
      <c r="BI77" s="78"/>
      <c r="BJ77" s="78"/>
      <c r="BK77" s="78"/>
      <c r="BL77" s="78"/>
      <c r="BM77" s="78"/>
      <c r="BN77" s="78"/>
      <c r="BO77" s="78"/>
      <c r="BP77" s="78"/>
      <c r="BQ77" s="78"/>
      <c r="BR77" s="78"/>
      <c r="BS77" s="78"/>
      <c r="BT77" s="78"/>
      <c r="BU77" s="78"/>
      <c r="BV77" s="78"/>
      <c r="BW77" s="78"/>
      <c r="BX77" s="78"/>
      <c r="BY77" s="78"/>
      <c r="BZ77" s="78"/>
      <c r="CA77" s="78"/>
      <c r="CB77" s="78"/>
      <c r="CC77" s="78"/>
      <c r="CD77" s="78"/>
      <c r="CE77" s="78"/>
      <c r="CF77" s="78"/>
      <c r="CG77" s="78"/>
      <c r="CH77" s="78"/>
      <c r="CI77" s="78"/>
      <c r="CJ77" s="78"/>
      <c r="CK77" s="78"/>
      <c r="CL77" s="78"/>
      <c r="CM77" s="78"/>
      <c r="CN77" s="78"/>
      <c r="CO77" s="78"/>
      <c r="CP77" s="78"/>
      <c r="CQ77" s="78"/>
      <c r="CR77" s="78"/>
      <c r="CS77" s="78"/>
      <c r="CT77" s="78"/>
      <c r="CU77" s="78"/>
      <c r="CV77" s="78"/>
      <c r="CW77" s="78"/>
      <c r="CX77" s="78"/>
      <c r="CY77" s="78"/>
      <c r="CZ77" s="78"/>
      <c r="DA77" s="78"/>
      <c r="DB77" s="78"/>
      <c r="DC77" s="78"/>
      <c r="DD77" s="78"/>
      <c r="DE77" s="78"/>
      <c r="DF77" s="78"/>
      <c r="DG77" s="78"/>
      <c r="DH77" s="78"/>
      <c r="DI77" s="78"/>
      <c r="DJ77" s="78"/>
      <c r="DK77" s="78"/>
      <c r="DL77" s="78"/>
      <c r="DM77" s="78"/>
      <c r="DN77" s="78"/>
      <c r="DO77" s="78"/>
      <c r="DP77" s="78"/>
      <c r="DQ77" s="78"/>
      <c r="DR77" s="78"/>
      <c r="DS77" s="78"/>
      <c r="DT77" s="78"/>
      <c r="DU77" s="78"/>
      <c r="DV77" s="78"/>
      <c r="DW77" s="78"/>
      <c r="DX77" s="78"/>
      <c r="DY77" s="78"/>
      <c r="DZ77" s="78"/>
      <c r="EA77" s="78"/>
      <c r="EB77" s="78"/>
      <c r="EC77" s="78"/>
    </row>
    <row r="78" spans="1:133" s="9" customFormat="1" x14ac:dyDescent="0.25">
      <c r="A78" s="73" t="s">
        <v>51</v>
      </c>
      <c r="B78" s="60" t="s">
        <v>202</v>
      </c>
      <c r="C78" s="53" t="s">
        <v>53</v>
      </c>
      <c r="D78" s="53" t="s">
        <v>376</v>
      </c>
      <c r="E78" s="162">
        <v>15175</v>
      </c>
      <c r="F78" s="163"/>
      <c r="G78" s="163"/>
      <c r="H78" s="163"/>
      <c r="I78" s="163"/>
      <c r="J78" s="163"/>
      <c r="K78" s="163"/>
      <c r="L78" s="163"/>
      <c r="M78" s="163"/>
      <c r="N78" s="163"/>
      <c r="O78" s="163"/>
      <c r="P78" s="163"/>
      <c r="Q78" s="164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  <c r="AE78" s="78"/>
      <c r="AF78" s="78"/>
      <c r="AG78" s="78"/>
      <c r="AH78" s="78"/>
      <c r="AI78" s="78"/>
      <c r="AJ78" s="78"/>
      <c r="AK78" s="78"/>
      <c r="AL78" s="78"/>
      <c r="AM78" s="78"/>
      <c r="AN78" s="78"/>
      <c r="AO78" s="78"/>
      <c r="AP78" s="78"/>
      <c r="AQ78" s="78"/>
      <c r="AR78" s="78"/>
      <c r="AS78" s="78"/>
      <c r="AT78" s="78"/>
      <c r="AU78" s="78"/>
      <c r="AV78" s="78"/>
      <c r="AW78" s="78"/>
      <c r="AX78" s="78"/>
      <c r="AY78" s="78"/>
      <c r="AZ78" s="78"/>
      <c r="BA78" s="78"/>
      <c r="BB78" s="78"/>
      <c r="BC78" s="78"/>
      <c r="BD78" s="78"/>
      <c r="BE78" s="78"/>
      <c r="BF78" s="78"/>
      <c r="BG78" s="78"/>
      <c r="BH78" s="78"/>
      <c r="BI78" s="78"/>
      <c r="BJ78" s="78"/>
      <c r="BK78" s="78"/>
      <c r="BL78" s="78"/>
      <c r="BM78" s="78"/>
      <c r="BN78" s="78"/>
      <c r="BO78" s="78"/>
      <c r="BP78" s="78"/>
      <c r="BQ78" s="78"/>
      <c r="BR78" s="78"/>
      <c r="BS78" s="78"/>
      <c r="BT78" s="78"/>
      <c r="BU78" s="78"/>
      <c r="BV78" s="78"/>
      <c r="BW78" s="78"/>
      <c r="BX78" s="78"/>
      <c r="BY78" s="78"/>
      <c r="BZ78" s="78"/>
      <c r="CA78" s="78"/>
      <c r="CB78" s="78"/>
      <c r="CC78" s="78"/>
      <c r="CD78" s="78"/>
      <c r="CE78" s="78"/>
      <c r="CF78" s="78"/>
      <c r="CG78" s="78"/>
      <c r="CH78" s="78"/>
      <c r="CI78" s="78"/>
      <c r="CJ78" s="78"/>
      <c r="CK78" s="78"/>
      <c r="CL78" s="78"/>
      <c r="CM78" s="78"/>
      <c r="CN78" s="78"/>
      <c r="CO78" s="78"/>
      <c r="CP78" s="78"/>
      <c r="CQ78" s="78"/>
      <c r="CR78" s="78"/>
      <c r="CS78" s="78"/>
      <c r="CT78" s="78"/>
      <c r="CU78" s="78"/>
      <c r="CV78" s="78"/>
      <c r="CW78" s="78"/>
      <c r="CX78" s="78"/>
      <c r="CY78" s="78"/>
      <c r="CZ78" s="78"/>
      <c r="DA78" s="78"/>
      <c r="DB78" s="78"/>
      <c r="DC78" s="78"/>
      <c r="DD78" s="78"/>
      <c r="DE78" s="78"/>
      <c r="DF78" s="78"/>
      <c r="DG78" s="78"/>
      <c r="DH78" s="78"/>
      <c r="DI78" s="78"/>
      <c r="DJ78" s="78"/>
      <c r="DK78" s="78"/>
      <c r="DL78" s="78"/>
      <c r="DM78" s="78"/>
      <c r="DN78" s="78"/>
      <c r="DO78" s="78"/>
      <c r="DP78" s="78"/>
      <c r="DQ78" s="78"/>
      <c r="DR78" s="78"/>
      <c r="DS78" s="78"/>
      <c r="DT78" s="78"/>
      <c r="DU78" s="78"/>
      <c r="DV78" s="78"/>
      <c r="DW78" s="78"/>
      <c r="DX78" s="78"/>
      <c r="DY78" s="78"/>
      <c r="DZ78" s="78"/>
      <c r="EA78" s="78"/>
      <c r="EB78" s="78"/>
      <c r="EC78" s="78"/>
    </row>
    <row r="79" spans="1:133" s="9" customFormat="1" ht="18" x14ac:dyDescent="0.25">
      <c r="A79" s="73" t="s">
        <v>54</v>
      </c>
      <c r="B79" s="60" t="s">
        <v>203</v>
      </c>
      <c r="C79" s="53" t="s">
        <v>56</v>
      </c>
      <c r="D79" s="53" t="s">
        <v>376</v>
      </c>
      <c r="E79" s="162">
        <v>303.16000000000003</v>
      </c>
      <c r="F79" s="163"/>
      <c r="G79" s="163"/>
      <c r="H79" s="163"/>
      <c r="I79" s="163"/>
      <c r="J79" s="163"/>
      <c r="K79" s="163"/>
      <c r="L79" s="163"/>
      <c r="M79" s="163"/>
      <c r="N79" s="163"/>
      <c r="O79" s="163"/>
      <c r="P79" s="163"/>
      <c r="Q79" s="164"/>
      <c r="R79" s="78"/>
      <c r="S79" s="78"/>
      <c r="T79" s="78"/>
      <c r="U79" s="78"/>
      <c r="V79" s="78"/>
      <c r="W79" s="78"/>
      <c r="X79" s="78"/>
      <c r="Y79" s="78"/>
      <c r="Z79" s="78"/>
      <c r="AA79" s="78"/>
      <c r="AB79" s="78"/>
      <c r="AC79" s="78"/>
      <c r="AD79" s="78"/>
      <c r="AE79" s="78"/>
      <c r="AF79" s="78"/>
      <c r="AG79" s="78"/>
      <c r="AH79" s="78"/>
      <c r="AI79" s="78"/>
      <c r="AJ79" s="78"/>
      <c r="AK79" s="78"/>
      <c r="AL79" s="78"/>
      <c r="AM79" s="78"/>
      <c r="AN79" s="78"/>
      <c r="AO79" s="78"/>
      <c r="AP79" s="78"/>
      <c r="AQ79" s="78"/>
      <c r="AR79" s="78"/>
      <c r="AS79" s="78"/>
      <c r="AT79" s="78"/>
      <c r="AU79" s="78"/>
      <c r="AV79" s="78"/>
      <c r="AW79" s="78"/>
      <c r="AX79" s="78"/>
      <c r="AY79" s="78"/>
      <c r="AZ79" s="78"/>
      <c r="BA79" s="78"/>
      <c r="BB79" s="78"/>
      <c r="BC79" s="78"/>
      <c r="BD79" s="78"/>
      <c r="BE79" s="78"/>
      <c r="BF79" s="78"/>
      <c r="BG79" s="78"/>
      <c r="BH79" s="78"/>
      <c r="BI79" s="78"/>
      <c r="BJ79" s="78"/>
      <c r="BK79" s="78"/>
      <c r="BL79" s="78"/>
      <c r="BM79" s="78"/>
      <c r="BN79" s="78"/>
      <c r="BO79" s="78"/>
      <c r="BP79" s="78"/>
      <c r="BQ79" s="78"/>
      <c r="BR79" s="78"/>
      <c r="BS79" s="78"/>
      <c r="BT79" s="78"/>
      <c r="BU79" s="78"/>
      <c r="BV79" s="78"/>
      <c r="BW79" s="78"/>
      <c r="BX79" s="78"/>
      <c r="BY79" s="78"/>
      <c r="BZ79" s="78"/>
      <c r="CA79" s="78"/>
      <c r="CB79" s="78"/>
      <c r="CC79" s="78"/>
      <c r="CD79" s="78"/>
      <c r="CE79" s="78"/>
      <c r="CF79" s="78"/>
      <c r="CG79" s="78"/>
      <c r="CH79" s="78"/>
      <c r="CI79" s="78"/>
      <c r="CJ79" s="78"/>
      <c r="CK79" s="78"/>
      <c r="CL79" s="78"/>
      <c r="CM79" s="78"/>
      <c r="CN79" s="78"/>
      <c r="CO79" s="78"/>
      <c r="CP79" s="78"/>
      <c r="CQ79" s="78"/>
      <c r="CR79" s="78"/>
      <c r="CS79" s="78"/>
      <c r="CT79" s="78"/>
      <c r="CU79" s="78"/>
      <c r="CV79" s="78"/>
      <c r="CW79" s="78"/>
      <c r="CX79" s="78"/>
      <c r="CY79" s="78"/>
      <c r="CZ79" s="78"/>
      <c r="DA79" s="78"/>
      <c r="DB79" s="78"/>
      <c r="DC79" s="78"/>
      <c r="DD79" s="78"/>
      <c r="DE79" s="78"/>
      <c r="DF79" s="78"/>
      <c r="DG79" s="78"/>
      <c r="DH79" s="78"/>
      <c r="DI79" s="78"/>
      <c r="DJ79" s="78"/>
      <c r="DK79" s="78"/>
      <c r="DL79" s="78"/>
      <c r="DM79" s="78"/>
      <c r="DN79" s="78"/>
      <c r="DO79" s="78"/>
      <c r="DP79" s="78"/>
      <c r="DQ79" s="78"/>
      <c r="DR79" s="78"/>
      <c r="DS79" s="78"/>
      <c r="DT79" s="78"/>
      <c r="DU79" s="78"/>
      <c r="DV79" s="78"/>
      <c r="DW79" s="78"/>
      <c r="DX79" s="78"/>
      <c r="DY79" s="78"/>
      <c r="DZ79" s="78"/>
      <c r="EA79" s="78"/>
      <c r="EB79" s="78"/>
      <c r="EC79" s="78"/>
    </row>
    <row r="80" spans="1:133" s="9" customFormat="1" x14ac:dyDescent="0.25">
      <c r="A80" s="73" t="s">
        <v>57</v>
      </c>
      <c r="B80" s="60" t="s">
        <v>204</v>
      </c>
      <c r="C80" s="53" t="s">
        <v>59</v>
      </c>
      <c r="D80" s="53" t="s">
        <v>376</v>
      </c>
      <c r="E80" s="162">
        <v>1.9870000000000001</v>
      </c>
      <c r="F80" s="163"/>
      <c r="G80" s="163"/>
      <c r="H80" s="163"/>
      <c r="I80" s="163"/>
      <c r="J80" s="163"/>
      <c r="K80" s="163"/>
      <c r="L80" s="163"/>
      <c r="M80" s="163"/>
      <c r="N80" s="163"/>
      <c r="O80" s="163"/>
      <c r="P80" s="163"/>
      <c r="Q80" s="164"/>
      <c r="R80" s="78"/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78"/>
      <c r="AD80" s="78"/>
      <c r="AE80" s="78"/>
      <c r="AF80" s="78"/>
      <c r="AG80" s="78"/>
      <c r="AH80" s="78"/>
      <c r="AI80" s="78"/>
      <c r="AJ80" s="78"/>
      <c r="AK80" s="78"/>
      <c r="AL80" s="78"/>
      <c r="AM80" s="78"/>
      <c r="AN80" s="78"/>
      <c r="AO80" s="78"/>
      <c r="AP80" s="78"/>
      <c r="AQ80" s="78"/>
      <c r="AR80" s="78"/>
      <c r="AS80" s="78"/>
      <c r="AT80" s="78"/>
      <c r="AU80" s="78"/>
      <c r="AV80" s="78"/>
      <c r="AW80" s="78"/>
      <c r="AX80" s="78"/>
      <c r="AY80" s="78"/>
      <c r="AZ80" s="78"/>
      <c r="BA80" s="78"/>
      <c r="BB80" s="78"/>
      <c r="BC80" s="78"/>
      <c r="BD80" s="78"/>
      <c r="BE80" s="78"/>
      <c r="BF80" s="78"/>
      <c r="BG80" s="78"/>
      <c r="BH80" s="78"/>
      <c r="BI80" s="78"/>
      <c r="BJ80" s="78"/>
      <c r="BK80" s="78"/>
      <c r="BL80" s="78"/>
      <c r="BM80" s="78"/>
      <c r="BN80" s="78"/>
      <c r="BO80" s="78"/>
      <c r="BP80" s="78"/>
      <c r="BQ80" s="78"/>
      <c r="BR80" s="78"/>
      <c r="BS80" s="78"/>
      <c r="BT80" s="78"/>
      <c r="BU80" s="78"/>
      <c r="BV80" s="78"/>
      <c r="BW80" s="78"/>
      <c r="BX80" s="78"/>
      <c r="BY80" s="78"/>
      <c r="BZ80" s="78"/>
      <c r="CA80" s="78"/>
      <c r="CB80" s="78"/>
      <c r="CC80" s="78"/>
      <c r="CD80" s="78"/>
      <c r="CE80" s="78"/>
      <c r="CF80" s="78"/>
      <c r="CG80" s="78"/>
      <c r="CH80" s="78"/>
      <c r="CI80" s="78"/>
      <c r="CJ80" s="78"/>
      <c r="CK80" s="78"/>
      <c r="CL80" s="78"/>
      <c r="CM80" s="78"/>
      <c r="CN80" s="78"/>
      <c r="CO80" s="78"/>
      <c r="CP80" s="78"/>
      <c r="CQ80" s="78"/>
      <c r="CR80" s="78"/>
      <c r="CS80" s="78"/>
      <c r="CT80" s="78"/>
      <c r="CU80" s="78"/>
      <c r="CV80" s="78"/>
      <c r="CW80" s="78"/>
      <c r="CX80" s="78"/>
      <c r="CY80" s="78"/>
      <c r="CZ80" s="78"/>
      <c r="DA80" s="78"/>
      <c r="DB80" s="78"/>
      <c r="DC80" s="78"/>
      <c r="DD80" s="78"/>
      <c r="DE80" s="78"/>
      <c r="DF80" s="78"/>
      <c r="DG80" s="78"/>
      <c r="DH80" s="78"/>
      <c r="DI80" s="78"/>
      <c r="DJ80" s="78"/>
      <c r="DK80" s="78"/>
      <c r="DL80" s="78"/>
      <c r="DM80" s="78"/>
      <c r="DN80" s="78"/>
      <c r="DO80" s="78"/>
      <c r="DP80" s="78"/>
      <c r="DQ80" s="78"/>
      <c r="DR80" s="78"/>
      <c r="DS80" s="78"/>
      <c r="DT80" s="78"/>
      <c r="DU80" s="78"/>
      <c r="DV80" s="78"/>
      <c r="DW80" s="78"/>
      <c r="DX80" s="78"/>
      <c r="DY80" s="78"/>
      <c r="DZ80" s="78"/>
      <c r="EA80" s="78"/>
      <c r="EB80" s="78"/>
      <c r="EC80" s="78"/>
    </row>
    <row r="81" spans="1:133" s="9" customFormat="1" ht="31.2" x14ac:dyDescent="0.25">
      <c r="A81" s="73" t="s">
        <v>60</v>
      </c>
      <c r="B81" s="60" t="s">
        <v>203</v>
      </c>
      <c r="C81" s="53" t="s">
        <v>61</v>
      </c>
      <c r="D81" s="143" t="s">
        <v>363</v>
      </c>
      <c r="E81" s="98">
        <f>AVERAGE(F81:K81)</f>
        <v>295.23333333333335</v>
      </c>
      <c r="F81" s="60">
        <v>291.14999999999998</v>
      </c>
      <c r="G81" s="60">
        <v>288.14999999999998</v>
      </c>
      <c r="H81" s="60">
        <v>295.14999999999998</v>
      </c>
      <c r="I81" s="60">
        <v>296.14999999999998</v>
      </c>
      <c r="J81" s="60">
        <v>298.64999999999998</v>
      </c>
      <c r="K81" s="60">
        <v>302.14999999999998</v>
      </c>
      <c r="L81" s="60" t="s">
        <v>297</v>
      </c>
      <c r="M81" s="60" t="s">
        <v>297</v>
      </c>
      <c r="N81" s="60" t="s">
        <v>297</v>
      </c>
      <c r="O81" s="60" t="s">
        <v>297</v>
      </c>
      <c r="P81" s="60" t="s">
        <v>297</v>
      </c>
      <c r="Q81" s="60" t="s">
        <v>297</v>
      </c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  <c r="AE81" s="78"/>
      <c r="AF81" s="78"/>
      <c r="AG81" s="78"/>
      <c r="AH81" s="78"/>
      <c r="AI81" s="78"/>
      <c r="AJ81" s="78"/>
      <c r="AK81" s="78"/>
      <c r="AL81" s="78"/>
      <c r="AM81" s="78"/>
      <c r="AN81" s="78"/>
      <c r="AO81" s="78"/>
      <c r="AP81" s="78"/>
      <c r="AQ81" s="78"/>
      <c r="AR81" s="78"/>
      <c r="AS81" s="78"/>
      <c r="AT81" s="78"/>
      <c r="AU81" s="78"/>
      <c r="AV81" s="78"/>
      <c r="AW81" s="78"/>
      <c r="AX81" s="78"/>
      <c r="AY81" s="78"/>
      <c r="AZ81" s="78"/>
      <c r="BA81" s="78"/>
      <c r="BB81" s="78"/>
      <c r="BC81" s="78"/>
      <c r="BD81" s="78"/>
      <c r="BE81" s="78"/>
      <c r="BF81" s="78"/>
      <c r="BG81" s="78"/>
      <c r="BH81" s="78"/>
      <c r="BI81" s="78"/>
      <c r="BJ81" s="78"/>
      <c r="BK81" s="78"/>
      <c r="BL81" s="78"/>
      <c r="BM81" s="78"/>
      <c r="BN81" s="78"/>
      <c r="BO81" s="78"/>
      <c r="BP81" s="78"/>
      <c r="BQ81" s="78"/>
      <c r="BR81" s="78"/>
      <c r="BS81" s="78"/>
      <c r="BT81" s="78"/>
      <c r="BU81" s="78"/>
      <c r="BV81" s="78"/>
      <c r="BW81" s="78"/>
      <c r="BX81" s="78"/>
      <c r="BY81" s="78"/>
      <c r="BZ81" s="78"/>
      <c r="CA81" s="78"/>
      <c r="CB81" s="78"/>
      <c r="CC81" s="78"/>
      <c r="CD81" s="78"/>
      <c r="CE81" s="78"/>
      <c r="CF81" s="78"/>
      <c r="CG81" s="78"/>
      <c r="CH81" s="78"/>
      <c r="CI81" s="78"/>
      <c r="CJ81" s="78"/>
      <c r="CK81" s="78"/>
      <c r="CL81" s="78"/>
      <c r="CM81" s="78"/>
      <c r="CN81" s="78"/>
      <c r="CO81" s="78"/>
      <c r="CP81" s="78"/>
      <c r="CQ81" s="78"/>
      <c r="CR81" s="78"/>
      <c r="CS81" s="78"/>
      <c r="CT81" s="78"/>
      <c r="CU81" s="78"/>
      <c r="CV81" s="78"/>
      <c r="CW81" s="78"/>
      <c r="CX81" s="78"/>
      <c r="CY81" s="78"/>
      <c r="CZ81" s="78"/>
      <c r="DA81" s="78"/>
      <c r="DB81" s="78"/>
      <c r="DC81" s="78"/>
      <c r="DD81" s="78"/>
      <c r="DE81" s="78"/>
      <c r="DF81" s="78"/>
      <c r="DG81" s="78"/>
      <c r="DH81" s="78"/>
      <c r="DI81" s="78"/>
      <c r="DJ81" s="78"/>
      <c r="DK81" s="78"/>
      <c r="DL81" s="78"/>
      <c r="DM81" s="78"/>
      <c r="DN81" s="78"/>
      <c r="DO81" s="78"/>
      <c r="DP81" s="78"/>
      <c r="DQ81" s="78"/>
      <c r="DR81" s="78"/>
      <c r="DS81" s="78"/>
      <c r="DT81" s="78"/>
      <c r="DU81" s="78"/>
      <c r="DV81" s="78"/>
      <c r="DW81" s="78"/>
      <c r="DX81" s="78"/>
      <c r="DY81" s="78"/>
      <c r="DZ81" s="78"/>
      <c r="EA81" s="78"/>
      <c r="EB81" s="78"/>
      <c r="EC81" s="78"/>
    </row>
    <row r="82" spans="1:133" s="9" customFormat="1" ht="31.2" x14ac:dyDescent="0.4">
      <c r="A82" s="71" t="s">
        <v>62</v>
      </c>
      <c r="B82" s="60" t="s">
        <v>196</v>
      </c>
      <c r="C82" s="53" t="s">
        <v>63</v>
      </c>
      <c r="D82" s="53" t="s">
        <v>377</v>
      </c>
      <c r="E82" s="74">
        <f>SUM(F82:K82)</f>
        <v>894.85478705079731</v>
      </c>
      <c r="F82" s="74">
        <f>F71*F66*F69+(1-F77)*'Baseline Emissions 2021'!Q82</f>
        <v>174.26881796713073</v>
      </c>
      <c r="G82" s="74">
        <f t="shared" ref="G82:K82" si="13">G71*G66*G69+(1-G77)*F82</f>
        <v>192.15264077219337</v>
      </c>
      <c r="H82" s="74">
        <f t="shared" si="13"/>
        <v>166.87681514800892</v>
      </c>
      <c r="I82" s="74">
        <f t="shared" si="13"/>
        <v>152.81839551301653</v>
      </c>
      <c r="J82" s="74">
        <f t="shared" si="13"/>
        <v>128.86726451972433</v>
      </c>
      <c r="K82" s="74">
        <f t="shared" si="13"/>
        <v>79.870853130723447</v>
      </c>
      <c r="L82" s="74" t="s">
        <v>297</v>
      </c>
      <c r="M82" s="74" t="s">
        <v>297</v>
      </c>
      <c r="N82" s="74" t="s">
        <v>297</v>
      </c>
      <c r="O82" s="74" t="s">
        <v>297</v>
      </c>
      <c r="P82" s="74" t="s">
        <v>297</v>
      </c>
      <c r="Q82" s="74" t="s">
        <v>297</v>
      </c>
      <c r="R82" s="78"/>
      <c r="S82" s="78"/>
      <c r="T82" s="78"/>
      <c r="U82" s="78"/>
      <c r="V82" s="78"/>
      <c r="W82" s="78"/>
      <c r="X82" s="78"/>
      <c r="Y82" s="78"/>
      <c r="Z82" s="78"/>
      <c r="AA82" s="78"/>
      <c r="AB82" s="78"/>
      <c r="AC82" s="78"/>
      <c r="AD82" s="78"/>
      <c r="AE82" s="78"/>
      <c r="AF82" s="78"/>
      <c r="AG82" s="78"/>
      <c r="AH82" s="78"/>
      <c r="AI82" s="78"/>
      <c r="AJ82" s="78"/>
      <c r="AK82" s="78"/>
      <c r="AL82" s="78"/>
      <c r="AM82" s="78"/>
      <c r="AN82" s="78"/>
      <c r="AO82" s="78"/>
      <c r="AP82" s="78"/>
      <c r="AQ82" s="78"/>
      <c r="AR82" s="78"/>
      <c r="AS82" s="78"/>
      <c r="AT82" s="78"/>
      <c r="AU82" s="78"/>
      <c r="AV82" s="78"/>
      <c r="AW82" s="78"/>
      <c r="AX82" s="78"/>
      <c r="AY82" s="78"/>
      <c r="AZ82" s="78"/>
      <c r="BA82" s="78"/>
      <c r="BB82" s="78"/>
      <c r="BC82" s="78"/>
      <c r="BD82" s="78"/>
      <c r="BE82" s="78"/>
      <c r="BF82" s="78"/>
      <c r="BG82" s="78"/>
      <c r="BH82" s="78"/>
      <c r="BI82" s="78"/>
      <c r="BJ82" s="78"/>
      <c r="BK82" s="78"/>
      <c r="BL82" s="78"/>
      <c r="BM82" s="78"/>
      <c r="BN82" s="78"/>
      <c r="BO82" s="78"/>
      <c r="BP82" s="78"/>
      <c r="BQ82" s="78"/>
      <c r="BR82" s="78"/>
      <c r="BS82" s="78"/>
      <c r="BT82" s="78"/>
      <c r="BU82" s="78"/>
      <c r="BV82" s="78"/>
      <c r="BW82" s="78"/>
      <c r="BX82" s="78"/>
      <c r="BY82" s="78"/>
      <c r="BZ82" s="78"/>
      <c r="CA82" s="78"/>
      <c r="CB82" s="78"/>
      <c r="CC82" s="78"/>
      <c r="CD82" s="78"/>
      <c r="CE82" s="78"/>
      <c r="CF82" s="78"/>
      <c r="CG82" s="78"/>
      <c r="CH82" s="78"/>
      <c r="CI82" s="78"/>
      <c r="CJ82" s="78"/>
      <c r="CK82" s="78"/>
      <c r="CL82" s="78"/>
      <c r="CM82" s="78"/>
      <c r="CN82" s="78"/>
      <c r="CO82" s="78"/>
      <c r="CP82" s="78"/>
      <c r="CQ82" s="78"/>
      <c r="CR82" s="78"/>
      <c r="CS82" s="78"/>
      <c r="CT82" s="78"/>
      <c r="CU82" s="78"/>
      <c r="CV82" s="78"/>
      <c r="CW82" s="78"/>
      <c r="CX82" s="78"/>
      <c r="CY82" s="78"/>
      <c r="CZ82" s="78"/>
      <c r="DA82" s="78"/>
      <c r="DB82" s="78"/>
      <c r="DC82" s="78"/>
      <c r="DD82" s="78"/>
      <c r="DE82" s="78"/>
      <c r="DF82" s="78"/>
      <c r="DG82" s="78"/>
      <c r="DH82" s="78"/>
      <c r="DI82" s="78"/>
      <c r="DJ82" s="78"/>
      <c r="DK82" s="78"/>
      <c r="DL82" s="78"/>
      <c r="DM82" s="78"/>
      <c r="DN82" s="78"/>
      <c r="DO82" s="78"/>
      <c r="DP82" s="78"/>
      <c r="DQ82" s="78"/>
      <c r="DR82" s="78"/>
      <c r="DS82" s="78"/>
      <c r="DT82" s="78"/>
      <c r="DU82" s="78"/>
      <c r="DV82" s="78"/>
      <c r="DW82" s="78"/>
      <c r="DX82" s="78"/>
      <c r="DY82" s="78"/>
      <c r="DZ82" s="78"/>
      <c r="EA82" s="78"/>
      <c r="EB82" s="78"/>
      <c r="EC82" s="78"/>
    </row>
    <row r="84" spans="1:133" x14ac:dyDescent="0.25">
      <c r="A84" s="158" t="s">
        <v>64</v>
      </c>
      <c r="B84" s="158"/>
      <c r="C84" s="158"/>
      <c r="D84" s="158"/>
      <c r="E84" s="158"/>
    </row>
    <row r="85" spans="1:133" x14ac:dyDescent="0.25">
      <c r="A85" s="57" t="s">
        <v>8</v>
      </c>
      <c r="B85" s="58" t="s">
        <v>9</v>
      </c>
      <c r="C85" s="34" t="s">
        <v>10</v>
      </c>
      <c r="D85" s="34" t="s">
        <v>340</v>
      </c>
      <c r="E85" s="16" t="s">
        <v>65</v>
      </c>
    </row>
    <row r="86" spans="1:133" ht="62.4" x14ac:dyDescent="0.25">
      <c r="A86" s="59" t="s">
        <v>66</v>
      </c>
      <c r="B86" s="60" t="s">
        <v>14</v>
      </c>
      <c r="C86" s="53" t="s">
        <v>67</v>
      </c>
      <c r="D86" s="53" t="s">
        <v>68</v>
      </c>
      <c r="E86" s="75">
        <v>0</v>
      </c>
    </row>
    <row r="87" spans="1:133" ht="46.8" x14ac:dyDescent="0.25">
      <c r="A87" s="63" t="s">
        <v>69</v>
      </c>
      <c r="B87" s="25" t="s">
        <v>70</v>
      </c>
      <c r="C87" s="35" t="s">
        <v>71</v>
      </c>
      <c r="D87" s="35" t="str">
        <f>D93</f>
        <v>Historical data on site in the FSR (It was calculated with conservative value)</v>
      </c>
      <c r="E87" s="74">
        <f>E93</f>
        <v>196.21468302216405</v>
      </c>
    </row>
    <row r="89" spans="1:133" x14ac:dyDescent="0.25">
      <c r="A89" s="174" t="s">
        <v>72</v>
      </c>
      <c r="B89" s="174"/>
      <c r="C89" s="175"/>
      <c r="D89" s="175"/>
      <c r="E89" s="174"/>
    </row>
    <row r="90" spans="1:133" x14ac:dyDescent="0.25">
      <c r="A90" s="59" t="s">
        <v>8</v>
      </c>
      <c r="B90" s="16" t="s">
        <v>9</v>
      </c>
      <c r="C90" s="38" t="s">
        <v>10</v>
      </c>
      <c r="D90" s="38" t="s">
        <v>340</v>
      </c>
      <c r="E90" s="16" t="s">
        <v>65</v>
      </c>
    </row>
    <row r="91" spans="1:133" ht="33.6" x14ac:dyDescent="0.4">
      <c r="A91" s="76" t="s">
        <v>73</v>
      </c>
      <c r="B91" s="25" t="s">
        <v>74</v>
      </c>
      <c r="C91" s="35" t="s">
        <v>75</v>
      </c>
      <c r="D91" s="35" t="s">
        <v>378</v>
      </c>
      <c r="E91" s="50">
        <f>E92*E95*E96*E97*E98*E99</f>
        <v>0.79697125580447603</v>
      </c>
    </row>
    <row r="92" spans="1:133" ht="46.8" x14ac:dyDescent="0.4">
      <c r="A92" s="77" t="s">
        <v>207</v>
      </c>
      <c r="B92" s="25" t="s">
        <v>76</v>
      </c>
      <c r="C92" s="35" t="s">
        <v>77</v>
      </c>
      <c r="D92" s="35" t="s">
        <v>379</v>
      </c>
      <c r="E92" s="52">
        <f>E93/E94</f>
        <v>39.242936604432813</v>
      </c>
    </row>
    <row r="93" spans="1:133" ht="46.8" x14ac:dyDescent="0.25">
      <c r="A93" s="63" t="s">
        <v>208</v>
      </c>
      <c r="B93" s="25" t="s">
        <v>78</v>
      </c>
      <c r="C93" s="35" t="s">
        <v>79</v>
      </c>
      <c r="D93" s="53" t="s">
        <v>352</v>
      </c>
      <c r="E93" s="52">
        <f>0.000185591152133648*E66</f>
        <v>196.21468302216405</v>
      </c>
    </row>
    <row r="94" spans="1:133" ht="31.2" x14ac:dyDescent="0.25">
      <c r="A94" s="63" t="s">
        <v>209</v>
      </c>
      <c r="B94" s="25" t="s">
        <v>80</v>
      </c>
      <c r="C94" s="35" t="s">
        <v>81</v>
      </c>
      <c r="D94" s="35" t="s">
        <v>353</v>
      </c>
      <c r="E94" s="25">
        <f>5</f>
        <v>5</v>
      </c>
    </row>
    <row r="95" spans="1:133" ht="62.4" x14ac:dyDescent="0.25">
      <c r="A95" s="63" t="s">
        <v>210</v>
      </c>
      <c r="B95" s="25" t="s">
        <v>82</v>
      </c>
      <c r="C95" s="35" t="s">
        <v>83</v>
      </c>
      <c r="D95" s="53" t="s">
        <v>354</v>
      </c>
      <c r="E95" s="25">
        <f>15*2</f>
        <v>30</v>
      </c>
    </row>
    <row r="96" spans="1:133" s="13" customFormat="1" ht="172.2" x14ac:dyDescent="0.25">
      <c r="A96" s="63" t="s">
        <v>211</v>
      </c>
      <c r="B96" s="25" t="s">
        <v>84</v>
      </c>
      <c r="C96" s="35" t="s">
        <v>85</v>
      </c>
      <c r="D96" s="35" t="s">
        <v>355</v>
      </c>
      <c r="E96" s="25">
        <f>25.1/100</f>
        <v>0.251</v>
      </c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  <c r="BH96" s="14"/>
      <c r="BI96" s="14"/>
      <c r="BJ96" s="14"/>
      <c r="BK96" s="14"/>
      <c r="BL96" s="14"/>
      <c r="BM96" s="14"/>
      <c r="BN96" s="14"/>
      <c r="BO96" s="14"/>
      <c r="BP96" s="14"/>
      <c r="BQ96" s="14"/>
      <c r="BR96" s="14"/>
      <c r="BS96" s="14"/>
      <c r="BT96" s="14"/>
      <c r="BU96" s="14"/>
      <c r="BV96" s="14"/>
      <c r="BW96" s="14"/>
      <c r="BX96" s="14"/>
      <c r="BY96" s="14"/>
      <c r="BZ96" s="14"/>
      <c r="CA96" s="14"/>
      <c r="CB96" s="14"/>
      <c r="CC96" s="14"/>
      <c r="CD96" s="14"/>
      <c r="CE96" s="14"/>
      <c r="CF96" s="14"/>
      <c r="CG96" s="14"/>
      <c r="CH96" s="14"/>
      <c r="CI96" s="14"/>
      <c r="CJ96" s="14"/>
      <c r="CK96" s="14"/>
      <c r="CL96" s="14"/>
      <c r="CM96" s="14"/>
      <c r="CN96" s="14"/>
      <c r="CO96" s="14"/>
      <c r="CP96" s="14"/>
      <c r="CQ96" s="14"/>
      <c r="CR96" s="14"/>
      <c r="CS96" s="14"/>
      <c r="CT96" s="14"/>
      <c r="CU96" s="14"/>
      <c r="CV96" s="14"/>
      <c r="CW96" s="14"/>
      <c r="CX96" s="14"/>
      <c r="CY96" s="14"/>
      <c r="CZ96" s="14"/>
      <c r="DA96" s="14"/>
      <c r="DB96" s="14"/>
      <c r="DC96" s="14"/>
      <c r="DD96" s="14"/>
      <c r="DE96" s="14"/>
      <c r="DF96" s="14"/>
      <c r="DG96" s="14"/>
      <c r="DH96" s="14"/>
      <c r="DI96" s="14"/>
      <c r="DJ96" s="14"/>
      <c r="DK96" s="14"/>
      <c r="DL96" s="14"/>
      <c r="DM96" s="14"/>
      <c r="DN96" s="14"/>
      <c r="DO96" s="14"/>
      <c r="DP96" s="14"/>
      <c r="DQ96" s="14"/>
      <c r="DR96" s="14"/>
      <c r="DS96" s="14"/>
      <c r="DT96" s="14"/>
      <c r="DU96" s="14"/>
      <c r="DV96" s="14"/>
      <c r="DW96" s="14"/>
      <c r="DX96" s="14"/>
      <c r="DY96" s="14"/>
      <c r="DZ96" s="14"/>
      <c r="EA96" s="14"/>
      <c r="EB96" s="14"/>
      <c r="EC96" s="14"/>
    </row>
    <row r="97" spans="1:133" s="13" customFormat="1" ht="156" x14ac:dyDescent="0.25">
      <c r="A97" s="63" t="s">
        <v>212</v>
      </c>
      <c r="B97" s="25" t="s">
        <v>87</v>
      </c>
      <c r="C97" s="35" t="s">
        <v>86</v>
      </c>
      <c r="D97" s="35" t="s">
        <v>356</v>
      </c>
      <c r="E97" s="25">
        <f>0.84/1000</f>
        <v>8.3999999999999993E-4</v>
      </c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14"/>
      <c r="AP97" s="14"/>
      <c r="AQ97" s="14"/>
      <c r="AR97" s="14"/>
      <c r="AS97" s="14"/>
      <c r="AT97" s="14"/>
      <c r="AU97" s="14"/>
      <c r="AV97" s="14"/>
      <c r="AW97" s="14"/>
      <c r="AX97" s="14"/>
      <c r="AY97" s="14"/>
      <c r="AZ97" s="14"/>
      <c r="BA97" s="14"/>
      <c r="BB97" s="14"/>
      <c r="BC97" s="14"/>
      <c r="BD97" s="14"/>
      <c r="BE97" s="14"/>
      <c r="BF97" s="14"/>
      <c r="BG97" s="14"/>
      <c r="BH97" s="14"/>
      <c r="BI97" s="14"/>
      <c r="BJ97" s="14"/>
      <c r="BK97" s="14"/>
      <c r="BL97" s="14"/>
      <c r="BM97" s="14"/>
      <c r="BN97" s="14"/>
      <c r="BO97" s="14"/>
      <c r="BP97" s="14"/>
      <c r="BQ97" s="14"/>
      <c r="BR97" s="14"/>
      <c r="BS97" s="14"/>
      <c r="BT97" s="14"/>
      <c r="BU97" s="14"/>
      <c r="BV97" s="14"/>
      <c r="BW97" s="14"/>
      <c r="BX97" s="14"/>
      <c r="BY97" s="14"/>
      <c r="BZ97" s="14"/>
      <c r="CA97" s="14"/>
      <c r="CB97" s="14"/>
      <c r="CC97" s="14"/>
      <c r="CD97" s="14"/>
      <c r="CE97" s="14"/>
      <c r="CF97" s="14"/>
      <c r="CG97" s="14"/>
      <c r="CH97" s="14"/>
      <c r="CI97" s="14"/>
      <c r="CJ97" s="14"/>
      <c r="CK97" s="14"/>
      <c r="CL97" s="14"/>
      <c r="CM97" s="14"/>
      <c r="CN97" s="14"/>
      <c r="CO97" s="14"/>
      <c r="CP97" s="14"/>
      <c r="CQ97" s="14"/>
      <c r="CR97" s="14"/>
      <c r="CS97" s="14"/>
      <c r="CT97" s="14"/>
      <c r="CU97" s="14"/>
      <c r="CV97" s="14"/>
      <c r="CW97" s="14"/>
      <c r="CX97" s="14"/>
      <c r="CY97" s="14"/>
      <c r="CZ97" s="14"/>
      <c r="DA97" s="14"/>
      <c r="DB97" s="14"/>
      <c r="DC97" s="14"/>
      <c r="DD97" s="14"/>
      <c r="DE97" s="14"/>
      <c r="DF97" s="14"/>
      <c r="DG97" s="14"/>
      <c r="DH97" s="14"/>
      <c r="DI97" s="14"/>
      <c r="DJ97" s="14"/>
      <c r="DK97" s="14"/>
      <c r="DL97" s="14"/>
      <c r="DM97" s="14"/>
      <c r="DN97" s="14"/>
      <c r="DO97" s="14"/>
      <c r="DP97" s="14"/>
      <c r="DQ97" s="14"/>
      <c r="DR97" s="14"/>
      <c r="DS97" s="14"/>
      <c r="DT97" s="14"/>
      <c r="DU97" s="14"/>
      <c r="DV97" s="14"/>
      <c r="DW97" s="14"/>
      <c r="DX97" s="14"/>
      <c r="DY97" s="14"/>
      <c r="DZ97" s="14"/>
      <c r="EA97" s="14"/>
      <c r="EB97" s="14"/>
      <c r="EC97" s="14"/>
    </row>
    <row r="98" spans="1:133" s="13" customFormat="1" ht="171.6" x14ac:dyDescent="0.25">
      <c r="A98" s="63" t="s">
        <v>213</v>
      </c>
      <c r="B98" s="25" t="s">
        <v>88</v>
      </c>
      <c r="C98" s="35" t="s">
        <v>89</v>
      </c>
      <c r="D98" s="35" t="s">
        <v>357</v>
      </c>
      <c r="E98" s="25">
        <f>43.33/1000</f>
        <v>4.333E-2</v>
      </c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14"/>
      <c r="AP98" s="14"/>
      <c r="AQ98" s="14"/>
      <c r="AR98" s="14"/>
      <c r="AS98" s="14"/>
      <c r="AT98" s="14"/>
      <c r="AU98" s="14"/>
      <c r="AV98" s="14"/>
      <c r="AW98" s="14"/>
      <c r="AX98" s="14"/>
      <c r="AY98" s="14"/>
      <c r="AZ98" s="14"/>
      <c r="BA98" s="14"/>
      <c r="BB98" s="14"/>
      <c r="BC98" s="14"/>
      <c r="BD98" s="14"/>
      <c r="BE98" s="14"/>
      <c r="BF98" s="14"/>
      <c r="BG98" s="14"/>
      <c r="BH98" s="14"/>
      <c r="BI98" s="14"/>
      <c r="BJ98" s="14"/>
      <c r="BK98" s="14"/>
      <c r="BL98" s="14"/>
      <c r="BM98" s="14"/>
      <c r="BN98" s="14"/>
      <c r="BO98" s="14"/>
      <c r="BP98" s="14"/>
      <c r="BQ98" s="14"/>
      <c r="BR98" s="14"/>
      <c r="BS98" s="14"/>
      <c r="BT98" s="14"/>
      <c r="BU98" s="14"/>
      <c r="BV98" s="14"/>
      <c r="BW98" s="14"/>
      <c r="BX98" s="14"/>
      <c r="BY98" s="14"/>
      <c r="BZ98" s="14"/>
      <c r="CA98" s="14"/>
      <c r="CB98" s="14"/>
      <c r="CC98" s="14"/>
      <c r="CD98" s="14"/>
      <c r="CE98" s="14"/>
      <c r="CF98" s="14"/>
      <c r="CG98" s="14"/>
      <c r="CH98" s="14"/>
      <c r="CI98" s="14"/>
      <c r="CJ98" s="14"/>
      <c r="CK98" s="14"/>
      <c r="CL98" s="14"/>
      <c r="CM98" s="14"/>
      <c r="CN98" s="14"/>
      <c r="CO98" s="14"/>
      <c r="CP98" s="14"/>
      <c r="CQ98" s="14"/>
      <c r="CR98" s="14"/>
      <c r="CS98" s="14"/>
      <c r="CT98" s="14"/>
      <c r="CU98" s="14"/>
      <c r="CV98" s="14"/>
      <c r="CW98" s="14"/>
      <c r="CX98" s="14"/>
      <c r="CY98" s="14"/>
      <c r="CZ98" s="14"/>
      <c r="DA98" s="14"/>
      <c r="DB98" s="14"/>
      <c r="DC98" s="14"/>
      <c r="DD98" s="14"/>
      <c r="DE98" s="14"/>
      <c r="DF98" s="14"/>
      <c r="DG98" s="14"/>
      <c r="DH98" s="14"/>
      <c r="DI98" s="14"/>
      <c r="DJ98" s="14"/>
      <c r="DK98" s="14"/>
      <c r="DL98" s="14"/>
      <c r="DM98" s="14"/>
      <c r="DN98" s="14"/>
      <c r="DO98" s="14"/>
      <c r="DP98" s="14"/>
      <c r="DQ98" s="14"/>
      <c r="DR98" s="14"/>
      <c r="DS98" s="14"/>
      <c r="DT98" s="14"/>
      <c r="DU98" s="14"/>
      <c r="DV98" s="14"/>
      <c r="DW98" s="14"/>
      <c r="DX98" s="14"/>
      <c r="DY98" s="14"/>
      <c r="DZ98" s="14"/>
      <c r="EA98" s="14"/>
      <c r="EB98" s="14"/>
      <c r="EC98" s="14"/>
    </row>
    <row r="99" spans="1:133" s="13" customFormat="1" ht="62.4" x14ac:dyDescent="0.25">
      <c r="A99" s="63" t="s">
        <v>214</v>
      </c>
      <c r="B99" s="25" t="s">
        <v>90</v>
      </c>
      <c r="C99" s="35" t="s">
        <v>91</v>
      </c>
      <c r="D99" s="35" t="s">
        <v>358</v>
      </c>
      <c r="E99" s="25">
        <v>74.099999999999994</v>
      </c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  <c r="AO99" s="14"/>
      <c r="AP99" s="14"/>
      <c r="AQ99" s="14"/>
      <c r="AR99" s="14"/>
      <c r="AS99" s="14"/>
      <c r="AT99" s="14"/>
      <c r="AU99" s="14"/>
      <c r="AV99" s="14"/>
      <c r="AW99" s="14"/>
      <c r="AX99" s="14"/>
      <c r="AY99" s="14"/>
      <c r="AZ99" s="14"/>
      <c r="BA99" s="14"/>
      <c r="BB99" s="14"/>
      <c r="BC99" s="14"/>
      <c r="BD99" s="14"/>
      <c r="BE99" s="14"/>
      <c r="BF99" s="14"/>
      <c r="BG99" s="14"/>
      <c r="BH99" s="14"/>
      <c r="BI99" s="14"/>
      <c r="BJ99" s="14"/>
      <c r="BK99" s="14"/>
      <c r="BL99" s="14"/>
      <c r="BM99" s="14"/>
      <c r="BN99" s="14"/>
      <c r="BO99" s="14"/>
      <c r="BP99" s="14"/>
      <c r="BQ99" s="14"/>
      <c r="BR99" s="14"/>
      <c r="BS99" s="14"/>
      <c r="BT99" s="14"/>
      <c r="BU99" s="14"/>
      <c r="BV99" s="14"/>
      <c r="BW99" s="14"/>
      <c r="BX99" s="14"/>
      <c r="BY99" s="14"/>
      <c r="BZ99" s="14"/>
      <c r="CA99" s="14"/>
      <c r="CB99" s="14"/>
      <c r="CC99" s="14"/>
      <c r="CD99" s="14"/>
      <c r="CE99" s="14"/>
      <c r="CF99" s="14"/>
      <c r="CG99" s="14"/>
      <c r="CH99" s="14"/>
      <c r="CI99" s="14"/>
      <c r="CJ99" s="14"/>
      <c r="CK99" s="14"/>
      <c r="CL99" s="14"/>
      <c r="CM99" s="14"/>
      <c r="CN99" s="14"/>
      <c r="CO99" s="14"/>
      <c r="CP99" s="14"/>
      <c r="CQ99" s="14"/>
      <c r="CR99" s="14"/>
      <c r="CS99" s="14"/>
      <c r="CT99" s="14"/>
      <c r="CU99" s="14"/>
      <c r="CV99" s="14"/>
      <c r="CW99" s="14"/>
      <c r="CX99" s="14"/>
      <c r="CY99" s="14"/>
      <c r="CZ99" s="14"/>
      <c r="DA99" s="14"/>
      <c r="DB99" s="14"/>
      <c r="DC99" s="14"/>
      <c r="DD99" s="14"/>
      <c r="DE99" s="14"/>
      <c r="DF99" s="14"/>
      <c r="DG99" s="14"/>
      <c r="DH99" s="14"/>
      <c r="DI99" s="14"/>
      <c r="DJ99" s="14"/>
      <c r="DK99" s="14"/>
      <c r="DL99" s="14"/>
      <c r="DM99" s="14"/>
      <c r="DN99" s="14"/>
      <c r="DO99" s="14"/>
      <c r="DP99" s="14"/>
      <c r="DQ99" s="14"/>
      <c r="DR99" s="14"/>
      <c r="DS99" s="14"/>
      <c r="DT99" s="14"/>
      <c r="DU99" s="14"/>
      <c r="DV99" s="14"/>
      <c r="DW99" s="14"/>
      <c r="DX99" s="14"/>
      <c r="DY99" s="14"/>
      <c r="DZ99" s="14"/>
      <c r="EA99" s="14"/>
      <c r="EB99" s="14"/>
      <c r="EC99" s="14"/>
    </row>
    <row r="101" spans="1:133" s="13" customFormat="1" x14ac:dyDescent="0.25">
      <c r="A101" s="158" t="s">
        <v>93</v>
      </c>
      <c r="B101" s="158"/>
      <c r="C101" s="158"/>
      <c r="D101" s="158"/>
      <c r="E101" s="158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  <c r="AO101" s="14"/>
      <c r="AP101" s="14"/>
      <c r="AQ101" s="14"/>
      <c r="AR101" s="14"/>
      <c r="AS101" s="14"/>
      <c r="AT101" s="14"/>
      <c r="AU101" s="14"/>
      <c r="AV101" s="14"/>
      <c r="AW101" s="14"/>
      <c r="AX101" s="14"/>
      <c r="AY101" s="14"/>
      <c r="AZ101" s="14"/>
      <c r="BA101" s="14"/>
      <c r="BB101" s="14"/>
      <c r="BC101" s="14"/>
      <c r="BD101" s="14"/>
      <c r="BE101" s="14"/>
      <c r="BF101" s="14"/>
      <c r="BG101" s="14"/>
      <c r="BH101" s="14"/>
      <c r="BI101" s="14"/>
      <c r="BJ101" s="14"/>
      <c r="BK101" s="14"/>
      <c r="BL101" s="14"/>
      <c r="BM101" s="14"/>
      <c r="BN101" s="14"/>
      <c r="BO101" s="14"/>
      <c r="BP101" s="14"/>
      <c r="BQ101" s="14"/>
      <c r="BR101" s="14"/>
      <c r="BS101" s="14"/>
      <c r="BT101" s="14"/>
      <c r="BU101" s="14"/>
      <c r="BV101" s="14"/>
      <c r="BW101" s="14"/>
      <c r="BX101" s="14"/>
      <c r="BY101" s="14"/>
      <c r="BZ101" s="14"/>
      <c r="CA101" s="14"/>
      <c r="CB101" s="14"/>
      <c r="CC101" s="14"/>
      <c r="CD101" s="14"/>
      <c r="CE101" s="14"/>
      <c r="CF101" s="14"/>
      <c r="CG101" s="14"/>
      <c r="CH101" s="14"/>
      <c r="CI101" s="14"/>
      <c r="CJ101" s="14"/>
      <c r="CK101" s="14"/>
      <c r="CL101" s="14"/>
      <c r="CM101" s="14"/>
      <c r="CN101" s="14"/>
      <c r="CO101" s="14"/>
      <c r="CP101" s="14"/>
      <c r="CQ101" s="14"/>
      <c r="CR101" s="14"/>
      <c r="CS101" s="14"/>
      <c r="CT101" s="14"/>
      <c r="CU101" s="14"/>
      <c r="CV101" s="14"/>
      <c r="CW101" s="14"/>
      <c r="CX101" s="14"/>
      <c r="CY101" s="14"/>
      <c r="CZ101" s="14"/>
      <c r="DA101" s="14"/>
      <c r="DB101" s="14"/>
      <c r="DC101" s="14"/>
      <c r="DD101" s="14"/>
      <c r="DE101" s="14"/>
      <c r="DF101" s="14"/>
      <c r="DG101" s="14"/>
      <c r="DH101" s="14"/>
      <c r="DI101" s="14"/>
      <c r="DJ101" s="14"/>
      <c r="DK101" s="14"/>
      <c r="DL101" s="14"/>
      <c r="DM101" s="14"/>
      <c r="DN101" s="14"/>
      <c r="DO101" s="14"/>
      <c r="DP101" s="14"/>
      <c r="DQ101" s="14"/>
      <c r="DR101" s="14"/>
      <c r="DS101" s="14"/>
      <c r="DT101" s="14"/>
      <c r="DU101" s="14"/>
      <c r="DV101" s="14"/>
      <c r="DW101" s="14"/>
      <c r="DX101" s="14"/>
      <c r="DY101" s="14"/>
      <c r="DZ101" s="14"/>
      <c r="EA101" s="14"/>
      <c r="EB101" s="14"/>
      <c r="EC101" s="14"/>
    </row>
    <row r="102" spans="1:133" s="13" customFormat="1" x14ac:dyDescent="0.25">
      <c r="A102" s="57" t="s">
        <v>8</v>
      </c>
      <c r="B102" s="58" t="s">
        <v>9</v>
      </c>
      <c r="C102" s="34" t="s">
        <v>10</v>
      </c>
      <c r="D102" s="34" t="s">
        <v>340</v>
      </c>
      <c r="E102" s="16" t="s">
        <v>65</v>
      </c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  <c r="AM102" s="14"/>
      <c r="AN102" s="14"/>
      <c r="AO102" s="14"/>
      <c r="AP102" s="14"/>
      <c r="AQ102" s="14"/>
      <c r="AR102" s="14"/>
      <c r="AS102" s="14"/>
      <c r="AT102" s="14"/>
      <c r="AU102" s="14"/>
      <c r="AV102" s="14"/>
      <c r="AW102" s="14"/>
      <c r="AX102" s="14"/>
      <c r="AY102" s="14"/>
      <c r="AZ102" s="14"/>
      <c r="BA102" s="14"/>
      <c r="BB102" s="14"/>
      <c r="BC102" s="14"/>
      <c r="BD102" s="14"/>
      <c r="BE102" s="14"/>
      <c r="BF102" s="14"/>
      <c r="BG102" s="14"/>
      <c r="BH102" s="14"/>
      <c r="BI102" s="14"/>
      <c r="BJ102" s="14"/>
      <c r="BK102" s="14"/>
      <c r="BL102" s="14"/>
      <c r="BM102" s="14"/>
      <c r="BN102" s="14"/>
      <c r="BO102" s="14"/>
      <c r="BP102" s="14"/>
      <c r="BQ102" s="14"/>
      <c r="BR102" s="14"/>
      <c r="BS102" s="14"/>
      <c r="BT102" s="14"/>
      <c r="BU102" s="14"/>
      <c r="BV102" s="14"/>
      <c r="BW102" s="14"/>
      <c r="BX102" s="14"/>
      <c r="BY102" s="14"/>
      <c r="BZ102" s="14"/>
      <c r="CA102" s="14"/>
      <c r="CB102" s="14"/>
      <c r="CC102" s="14"/>
      <c r="CD102" s="14"/>
      <c r="CE102" s="14"/>
      <c r="CF102" s="14"/>
      <c r="CG102" s="14"/>
      <c r="CH102" s="14"/>
      <c r="CI102" s="14"/>
      <c r="CJ102" s="14"/>
      <c r="CK102" s="14"/>
      <c r="CL102" s="14"/>
      <c r="CM102" s="14"/>
      <c r="CN102" s="14"/>
      <c r="CO102" s="14"/>
      <c r="CP102" s="14"/>
      <c r="CQ102" s="14"/>
      <c r="CR102" s="14"/>
      <c r="CS102" s="14"/>
      <c r="CT102" s="14"/>
      <c r="CU102" s="14"/>
      <c r="CV102" s="14"/>
      <c r="CW102" s="14"/>
      <c r="CX102" s="14"/>
      <c r="CY102" s="14"/>
      <c r="CZ102" s="14"/>
      <c r="DA102" s="14"/>
      <c r="DB102" s="14"/>
      <c r="DC102" s="14"/>
      <c r="DD102" s="14"/>
      <c r="DE102" s="14"/>
      <c r="DF102" s="14"/>
      <c r="DG102" s="14"/>
      <c r="DH102" s="14"/>
      <c r="DI102" s="14"/>
      <c r="DJ102" s="14"/>
      <c r="DK102" s="14"/>
      <c r="DL102" s="14"/>
      <c r="DM102" s="14"/>
      <c r="DN102" s="14"/>
      <c r="DO102" s="14"/>
      <c r="DP102" s="14"/>
      <c r="DQ102" s="14"/>
      <c r="DR102" s="14"/>
      <c r="DS102" s="14"/>
      <c r="DT102" s="14"/>
      <c r="DU102" s="14"/>
      <c r="DV102" s="14"/>
      <c r="DW102" s="14"/>
      <c r="DX102" s="14"/>
      <c r="DY102" s="14"/>
      <c r="DZ102" s="14"/>
      <c r="EA102" s="14"/>
      <c r="EB102" s="14"/>
      <c r="EC102" s="14"/>
    </row>
    <row r="103" spans="1:133" s="13" customFormat="1" ht="64.8" x14ac:dyDescent="0.25">
      <c r="A103" s="15" t="s">
        <v>94</v>
      </c>
      <c r="B103" s="25" t="s">
        <v>95</v>
      </c>
      <c r="C103" s="35" t="s">
        <v>96</v>
      </c>
      <c r="D103" s="35" t="s">
        <v>97</v>
      </c>
      <c r="E103" s="16">
        <v>0</v>
      </c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  <c r="AM103" s="14"/>
      <c r="AN103" s="14"/>
      <c r="AO103" s="14"/>
      <c r="AP103" s="14"/>
      <c r="AQ103" s="14"/>
      <c r="AR103" s="14"/>
      <c r="AS103" s="14"/>
      <c r="AT103" s="14"/>
      <c r="AU103" s="14"/>
      <c r="AV103" s="14"/>
      <c r="AW103" s="14"/>
      <c r="AX103" s="14"/>
      <c r="AY103" s="14"/>
      <c r="AZ103" s="14"/>
      <c r="BA103" s="14"/>
      <c r="BB103" s="14"/>
      <c r="BC103" s="14"/>
      <c r="BD103" s="14"/>
      <c r="BE103" s="14"/>
      <c r="BF103" s="14"/>
      <c r="BG103" s="14"/>
      <c r="BH103" s="14"/>
      <c r="BI103" s="14"/>
      <c r="BJ103" s="14"/>
      <c r="BK103" s="14"/>
      <c r="BL103" s="14"/>
      <c r="BM103" s="14"/>
      <c r="BN103" s="14"/>
      <c r="BO103" s="14"/>
      <c r="BP103" s="14"/>
      <c r="BQ103" s="14"/>
      <c r="BR103" s="14"/>
      <c r="BS103" s="14"/>
      <c r="BT103" s="14"/>
      <c r="BU103" s="14"/>
      <c r="BV103" s="14"/>
      <c r="BW103" s="14"/>
      <c r="BX103" s="14"/>
      <c r="BY103" s="14"/>
      <c r="BZ103" s="14"/>
      <c r="CA103" s="14"/>
      <c r="CB103" s="14"/>
      <c r="CC103" s="14"/>
      <c r="CD103" s="14"/>
      <c r="CE103" s="14"/>
      <c r="CF103" s="14"/>
      <c r="CG103" s="14"/>
      <c r="CH103" s="14"/>
      <c r="CI103" s="14"/>
      <c r="CJ103" s="14"/>
      <c r="CK103" s="14"/>
      <c r="CL103" s="14"/>
      <c r="CM103" s="14"/>
      <c r="CN103" s="14"/>
      <c r="CO103" s="14"/>
      <c r="CP103" s="14"/>
      <c r="CQ103" s="14"/>
      <c r="CR103" s="14"/>
      <c r="CS103" s="14"/>
      <c r="CT103" s="14"/>
      <c r="CU103" s="14"/>
      <c r="CV103" s="14"/>
      <c r="CW103" s="14"/>
      <c r="CX103" s="14"/>
      <c r="CY103" s="14"/>
      <c r="CZ103" s="14"/>
      <c r="DA103" s="14"/>
      <c r="DB103" s="14"/>
      <c r="DC103" s="14"/>
      <c r="DD103" s="14"/>
      <c r="DE103" s="14"/>
      <c r="DF103" s="14"/>
      <c r="DG103" s="14"/>
      <c r="DH103" s="14"/>
      <c r="DI103" s="14"/>
      <c r="DJ103" s="14"/>
      <c r="DK103" s="14"/>
      <c r="DL103" s="14"/>
      <c r="DM103" s="14"/>
      <c r="DN103" s="14"/>
      <c r="DO103" s="14"/>
      <c r="DP103" s="14"/>
      <c r="DQ103" s="14"/>
      <c r="DR103" s="14"/>
      <c r="DS103" s="14"/>
      <c r="DT103" s="14"/>
      <c r="DU103" s="14"/>
      <c r="DV103" s="14"/>
      <c r="DW103" s="14"/>
      <c r="DX103" s="14"/>
      <c r="DY103" s="14"/>
      <c r="DZ103" s="14"/>
      <c r="EA103" s="14"/>
      <c r="EB103" s="14"/>
      <c r="EC103" s="14"/>
    </row>
    <row r="105" spans="1:133" s="13" customFormat="1" x14ac:dyDescent="0.25">
      <c r="A105" s="158" t="s">
        <v>98</v>
      </c>
      <c r="B105" s="158"/>
      <c r="C105" s="158"/>
      <c r="D105" s="158"/>
      <c r="E105" s="158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  <c r="AM105" s="14"/>
      <c r="AN105" s="14"/>
      <c r="AO105" s="14"/>
      <c r="AP105" s="14"/>
      <c r="AQ105" s="14"/>
      <c r="AR105" s="14"/>
      <c r="AS105" s="14"/>
      <c r="AT105" s="14"/>
      <c r="AU105" s="14"/>
      <c r="AV105" s="14"/>
      <c r="AW105" s="14"/>
      <c r="AX105" s="14"/>
      <c r="AY105" s="14"/>
      <c r="AZ105" s="14"/>
      <c r="BA105" s="14"/>
      <c r="BB105" s="14"/>
      <c r="BC105" s="14"/>
      <c r="BD105" s="14"/>
      <c r="BE105" s="14"/>
      <c r="BF105" s="14"/>
      <c r="BG105" s="14"/>
      <c r="BH105" s="14"/>
      <c r="BI105" s="14"/>
      <c r="BJ105" s="14"/>
      <c r="BK105" s="14"/>
      <c r="BL105" s="14"/>
      <c r="BM105" s="14"/>
      <c r="BN105" s="14"/>
      <c r="BO105" s="14"/>
      <c r="BP105" s="14"/>
      <c r="BQ105" s="14"/>
      <c r="BR105" s="14"/>
      <c r="BS105" s="14"/>
      <c r="BT105" s="14"/>
      <c r="BU105" s="14"/>
      <c r="BV105" s="14"/>
      <c r="BW105" s="14"/>
      <c r="BX105" s="14"/>
      <c r="BY105" s="14"/>
      <c r="BZ105" s="14"/>
      <c r="CA105" s="14"/>
      <c r="CB105" s="14"/>
      <c r="CC105" s="14"/>
      <c r="CD105" s="14"/>
      <c r="CE105" s="14"/>
      <c r="CF105" s="14"/>
      <c r="CG105" s="14"/>
      <c r="CH105" s="14"/>
      <c r="CI105" s="14"/>
      <c r="CJ105" s="14"/>
      <c r="CK105" s="14"/>
      <c r="CL105" s="14"/>
      <c r="CM105" s="14"/>
      <c r="CN105" s="14"/>
      <c r="CO105" s="14"/>
      <c r="CP105" s="14"/>
      <c r="CQ105" s="14"/>
      <c r="CR105" s="14"/>
      <c r="CS105" s="14"/>
      <c r="CT105" s="14"/>
      <c r="CU105" s="14"/>
      <c r="CV105" s="14"/>
      <c r="CW105" s="14"/>
      <c r="CX105" s="14"/>
      <c r="CY105" s="14"/>
      <c r="CZ105" s="14"/>
      <c r="DA105" s="14"/>
      <c r="DB105" s="14"/>
      <c r="DC105" s="14"/>
      <c r="DD105" s="14"/>
      <c r="DE105" s="14"/>
      <c r="DF105" s="14"/>
      <c r="DG105" s="14"/>
      <c r="DH105" s="14"/>
      <c r="DI105" s="14"/>
      <c r="DJ105" s="14"/>
      <c r="DK105" s="14"/>
      <c r="DL105" s="14"/>
      <c r="DM105" s="14"/>
      <c r="DN105" s="14"/>
      <c r="DO105" s="14"/>
      <c r="DP105" s="14"/>
      <c r="DQ105" s="14"/>
      <c r="DR105" s="14"/>
      <c r="DS105" s="14"/>
      <c r="DT105" s="14"/>
      <c r="DU105" s="14"/>
      <c r="DV105" s="14"/>
      <c r="DW105" s="14"/>
      <c r="DX105" s="14"/>
      <c r="DY105" s="14"/>
      <c r="DZ105" s="14"/>
      <c r="EA105" s="14"/>
      <c r="EB105" s="14"/>
      <c r="EC105" s="14"/>
    </row>
    <row r="106" spans="1:133" s="13" customFormat="1" x14ac:dyDescent="0.25">
      <c r="A106" s="57" t="s">
        <v>8</v>
      </c>
      <c r="B106" s="58" t="s">
        <v>9</v>
      </c>
      <c r="C106" s="34" t="s">
        <v>10</v>
      </c>
      <c r="D106" s="34" t="s">
        <v>340</v>
      </c>
      <c r="E106" s="16" t="s">
        <v>65</v>
      </c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  <c r="AI106" s="14"/>
      <c r="AJ106" s="14"/>
      <c r="AK106" s="14"/>
      <c r="AL106" s="14"/>
      <c r="AM106" s="14"/>
      <c r="AN106" s="14"/>
      <c r="AO106" s="14"/>
      <c r="AP106" s="14"/>
      <c r="AQ106" s="14"/>
      <c r="AR106" s="14"/>
      <c r="AS106" s="14"/>
      <c r="AT106" s="14"/>
      <c r="AU106" s="14"/>
      <c r="AV106" s="14"/>
      <c r="AW106" s="14"/>
      <c r="AX106" s="14"/>
      <c r="AY106" s="14"/>
      <c r="AZ106" s="14"/>
      <c r="BA106" s="14"/>
      <c r="BB106" s="14"/>
      <c r="BC106" s="14"/>
      <c r="BD106" s="14"/>
      <c r="BE106" s="14"/>
      <c r="BF106" s="14"/>
      <c r="BG106" s="14"/>
      <c r="BH106" s="14"/>
      <c r="BI106" s="14"/>
      <c r="BJ106" s="14"/>
      <c r="BK106" s="14"/>
      <c r="BL106" s="14"/>
      <c r="BM106" s="14"/>
      <c r="BN106" s="14"/>
      <c r="BO106" s="14"/>
      <c r="BP106" s="14"/>
      <c r="BQ106" s="14"/>
      <c r="BR106" s="14"/>
      <c r="BS106" s="14"/>
      <c r="BT106" s="14"/>
      <c r="BU106" s="14"/>
      <c r="BV106" s="14"/>
      <c r="BW106" s="14"/>
      <c r="BX106" s="14"/>
      <c r="BY106" s="14"/>
      <c r="BZ106" s="14"/>
      <c r="CA106" s="14"/>
      <c r="CB106" s="14"/>
      <c r="CC106" s="14"/>
      <c r="CD106" s="14"/>
      <c r="CE106" s="14"/>
      <c r="CF106" s="14"/>
      <c r="CG106" s="14"/>
      <c r="CH106" s="14"/>
      <c r="CI106" s="14"/>
      <c r="CJ106" s="14"/>
      <c r="CK106" s="14"/>
      <c r="CL106" s="14"/>
      <c r="CM106" s="14"/>
      <c r="CN106" s="14"/>
      <c r="CO106" s="14"/>
      <c r="CP106" s="14"/>
      <c r="CQ106" s="14"/>
      <c r="CR106" s="14"/>
      <c r="CS106" s="14"/>
      <c r="CT106" s="14"/>
      <c r="CU106" s="14"/>
      <c r="CV106" s="14"/>
      <c r="CW106" s="14"/>
      <c r="CX106" s="14"/>
      <c r="CY106" s="14"/>
      <c r="CZ106" s="14"/>
      <c r="DA106" s="14"/>
      <c r="DB106" s="14"/>
      <c r="DC106" s="14"/>
      <c r="DD106" s="14"/>
      <c r="DE106" s="14"/>
      <c r="DF106" s="14"/>
      <c r="DG106" s="14"/>
      <c r="DH106" s="14"/>
      <c r="DI106" s="14"/>
      <c r="DJ106" s="14"/>
      <c r="DK106" s="14"/>
      <c r="DL106" s="14"/>
      <c r="DM106" s="14"/>
      <c r="DN106" s="14"/>
      <c r="DO106" s="14"/>
      <c r="DP106" s="14"/>
      <c r="DQ106" s="14"/>
      <c r="DR106" s="14"/>
      <c r="DS106" s="14"/>
      <c r="DT106" s="14"/>
      <c r="DU106" s="14"/>
      <c r="DV106" s="14"/>
      <c r="DW106" s="14"/>
      <c r="DX106" s="14"/>
      <c r="DY106" s="14"/>
      <c r="DZ106" s="14"/>
      <c r="EA106" s="14"/>
      <c r="EB106" s="14"/>
      <c r="EC106" s="14"/>
    </row>
    <row r="107" spans="1:133" s="13" customFormat="1" ht="49.2" x14ac:dyDescent="0.25">
      <c r="A107" s="15" t="s">
        <v>99</v>
      </c>
      <c r="B107" s="25" t="s">
        <v>95</v>
      </c>
      <c r="C107" s="35" t="s">
        <v>100</v>
      </c>
      <c r="D107" s="35" t="s">
        <v>101</v>
      </c>
      <c r="E107" s="16">
        <v>0</v>
      </c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  <c r="AI107" s="14"/>
      <c r="AJ107" s="14"/>
      <c r="AK107" s="14"/>
      <c r="AL107" s="14"/>
      <c r="AM107" s="14"/>
      <c r="AN107" s="14"/>
      <c r="AO107" s="14"/>
      <c r="AP107" s="14"/>
      <c r="AQ107" s="14"/>
      <c r="AR107" s="14"/>
      <c r="AS107" s="14"/>
      <c r="AT107" s="14"/>
      <c r="AU107" s="14"/>
      <c r="AV107" s="14"/>
      <c r="AW107" s="14"/>
      <c r="AX107" s="14"/>
      <c r="AY107" s="14"/>
      <c r="AZ107" s="14"/>
      <c r="BA107" s="14"/>
      <c r="BB107" s="14"/>
      <c r="BC107" s="14"/>
      <c r="BD107" s="14"/>
      <c r="BE107" s="14"/>
      <c r="BF107" s="14"/>
      <c r="BG107" s="14"/>
      <c r="BH107" s="14"/>
      <c r="BI107" s="14"/>
      <c r="BJ107" s="14"/>
      <c r="BK107" s="14"/>
      <c r="BL107" s="14"/>
      <c r="BM107" s="14"/>
      <c r="BN107" s="14"/>
      <c r="BO107" s="14"/>
      <c r="BP107" s="14"/>
      <c r="BQ107" s="14"/>
      <c r="BR107" s="14"/>
      <c r="BS107" s="14"/>
      <c r="BT107" s="14"/>
      <c r="BU107" s="14"/>
      <c r="BV107" s="14"/>
      <c r="BW107" s="14"/>
      <c r="BX107" s="14"/>
      <c r="BY107" s="14"/>
      <c r="BZ107" s="14"/>
      <c r="CA107" s="14"/>
      <c r="CB107" s="14"/>
      <c r="CC107" s="14"/>
      <c r="CD107" s="14"/>
      <c r="CE107" s="14"/>
      <c r="CF107" s="14"/>
      <c r="CG107" s="14"/>
      <c r="CH107" s="14"/>
      <c r="CI107" s="14"/>
      <c r="CJ107" s="14"/>
      <c r="CK107" s="14"/>
      <c r="CL107" s="14"/>
      <c r="CM107" s="14"/>
      <c r="CN107" s="14"/>
      <c r="CO107" s="14"/>
      <c r="CP107" s="14"/>
      <c r="CQ107" s="14"/>
      <c r="CR107" s="14"/>
      <c r="CS107" s="14"/>
      <c r="CT107" s="14"/>
      <c r="CU107" s="14"/>
      <c r="CV107" s="14"/>
      <c r="CW107" s="14"/>
      <c r="CX107" s="14"/>
      <c r="CY107" s="14"/>
      <c r="CZ107" s="14"/>
      <c r="DA107" s="14"/>
      <c r="DB107" s="14"/>
      <c r="DC107" s="14"/>
      <c r="DD107" s="14"/>
      <c r="DE107" s="14"/>
      <c r="DF107" s="14"/>
      <c r="DG107" s="14"/>
      <c r="DH107" s="14"/>
      <c r="DI107" s="14"/>
      <c r="DJ107" s="14"/>
      <c r="DK107" s="14"/>
      <c r="DL107" s="14"/>
      <c r="DM107" s="14"/>
      <c r="DN107" s="14"/>
      <c r="DO107" s="14"/>
      <c r="DP107" s="14"/>
      <c r="DQ107" s="14"/>
      <c r="DR107" s="14"/>
      <c r="DS107" s="14"/>
      <c r="DT107" s="14"/>
      <c r="DU107" s="14"/>
      <c r="DV107" s="14"/>
      <c r="DW107" s="14"/>
      <c r="DX107" s="14"/>
      <c r="DY107" s="14"/>
      <c r="DZ107" s="14"/>
      <c r="EA107" s="14"/>
      <c r="EB107" s="14"/>
      <c r="EC107" s="14"/>
    </row>
    <row r="109" spans="1:133" s="13" customFormat="1" x14ac:dyDescent="0.25">
      <c r="A109" s="57" t="s">
        <v>8</v>
      </c>
      <c r="B109" s="58" t="s">
        <v>9</v>
      </c>
      <c r="C109" s="34" t="s">
        <v>10</v>
      </c>
      <c r="D109" s="34" t="s">
        <v>340</v>
      </c>
      <c r="E109" s="16" t="s">
        <v>65</v>
      </c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  <c r="AO109" s="14"/>
      <c r="AP109" s="14"/>
      <c r="AQ109" s="14"/>
      <c r="AR109" s="14"/>
      <c r="AS109" s="14"/>
      <c r="AT109" s="14"/>
      <c r="AU109" s="14"/>
      <c r="AV109" s="14"/>
      <c r="AW109" s="14"/>
      <c r="AX109" s="14"/>
      <c r="AY109" s="14"/>
      <c r="AZ109" s="14"/>
      <c r="BA109" s="14"/>
      <c r="BB109" s="14"/>
      <c r="BC109" s="14"/>
      <c r="BD109" s="14"/>
      <c r="BE109" s="14"/>
      <c r="BF109" s="14"/>
      <c r="BG109" s="14"/>
      <c r="BH109" s="14"/>
      <c r="BI109" s="14"/>
      <c r="BJ109" s="14"/>
      <c r="BK109" s="14"/>
      <c r="BL109" s="14"/>
      <c r="BM109" s="14"/>
      <c r="BN109" s="14"/>
      <c r="BO109" s="14"/>
      <c r="BP109" s="14"/>
      <c r="BQ109" s="14"/>
      <c r="BR109" s="14"/>
      <c r="BS109" s="14"/>
      <c r="BT109" s="14"/>
      <c r="BU109" s="14"/>
      <c r="BV109" s="14"/>
      <c r="BW109" s="14"/>
      <c r="BX109" s="14"/>
      <c r="BY109" s="14"/>
      <c r="BZ109" s="14"/>
      <c r="CA109" s="14"/>
      <c r="CB109" s="14"/>
      <c r="CC109" s="14"/>
      <c r="CD109" s="14"/>
      <c r="CE109" s="14"/>
      <c r="CF109" s="14"/>
      <c r="CG109" s="14"/>
      <c r="CH109" s="14"/>
      <c r="CI109" s="14"/>
      <c r="CJ109" s="14"/>
      <c r="CK109" s="14"/>
      <c r="CL109" s="14"/>
      <c r="CM109" s="14"/>
      <c r="CN109" s="14"/>
      <c r="CO109" s="14"/>
      <c r="CP109" s="14"/>
      <c r="CQ109" s="14"/>
      <c r="CR109" s="14"/>
      <c r="CS109" s="14"/>
      <c r="CT109" s="14"/>
      <c r="CU109" s="14"/>
      <c r="CV109" s="14"/>
      <c r="CW109" s="14"/>
      <c r="CX109" s="14"/>
      <c r="CY109" s="14"/>
      <c r="CZ109" s="14"/>
      <c r="DA109" s="14"/>
      <c r="DB109" s="14"/>
      <c r="DC109" s="14"/>
      <c r="DD109" s="14"/>
      <c r="DE109" s="14"/>
      <c r="DF109" s="14"/>
      <c r="DG109" s="14"/>
      <c r="DH109" s="14"/>
      <c r="DI109" s="14"/>
      <c r="DJ109" s="14"/>
      <c r="DK109" s="14"/>
      <c r="DL109" s="14"/>
      <c r="DM109" s="14"/>
      <c r="DN109" s="14"/>
      <c r="DO109" s="14"/>
      <c r="DP109" s="14"/>
      <c r="DQ109" s="14"/>
      <c r="DR109" s="14"/>
      <c r="DS109" s="14"/>
      <c r="DT109" s="14"/>
      <c r="DU109" s="14"/>
      <c r="DV109" s="14"/>
      <c r="DW109" s="14"/>
      <c r="DX109" s="14"/>
      <c r="DY109" s="14"/>
      <c r="DZ109" s="14"/>
      <c r="EA109" s="14"/>
      <c r="EB109" s="14"/>
      <c r="EC109" s="14"/>
    </row>
    <row r="110" spans="1:133" s="13" customFormat="1" ht="18" x14ac:dyDescent="0.25">
      <c r="A110" s="101" t="s">
        <v>102</v>
      </c>
      <c r="B110" s="95" t="s">
        <v>103</v>
      </c>
      <c r="C110" s="96" t="s">
        <v>104</v>
      </c>
      <c r="D110" s="97" t="s">
        <v>380</v>
      </c>
      <c r="E110" s="102">
        <f>ROUNDDOWN(E60+E91+E86+E103+E107,0)</f>
        <v>1624</v>
      </c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  <c r="AI110" s="14"/>
      <c r="AJ110" s="14"/>
      <c r="AK110" s="14"/>
      <c r="AL110" s="14"/>
      <c r="AM110" s="14"/>
      <c r="AN110" s="14"/>
      <c r="AO110" s="14"/>
      <c r="AP110" s="14"/>
      <c r="AQ110" s="14"/>
      <c r="AR110" s="14"/>
      <c r="AS110" s="14"/>
      <c r="AT110" s="14"/>
      <c r="AU110" s="14"/>
      <c r="AV110" s="14"/>
      <c r="AW110" s="14"/>
      <c r="AX110" s="14"/>
      <c r="AY110" s="14"/>
      <c r="AZ110" s="14"/>
      <c r="BA110" s="14"/>
      <c r="BB110" s="14"/>
      <c r="BC110" s="14"/>
      <c r="BD110" s="14"/>
      <c r="BE110" s="14"/>
      <c r="BF110" s="14"/>
      <c r="BG110" s="14"/>
      <c r="BH110" s="14"/>
      <c r="BI110" s="14"/>
      <c r="BJ110" s="14"/>
      <c r="BK110" s="14"/>
      <c r="BL110" s="14"/>
      <c r="BM110" s="14"/>
      <c r="BN110" s="14"/>
      <c r="BO110" s="14"/>
      <c r="BP110" s="14"/>
      <c r="BQ110" s="14"/>
      <c r="BR110" s="14"/>
      <c r="BS110" s="14"/>
      <c r="BT110" s="14"/>
      <c r="BU110" s="14"/>
      <c r="BV110" s="14"/>
      <c r="BW110" s="14"/>
      <c r="BX110" s="14"/>
      <c r="BY110" s="14"/>
      <c r="BZ110" s="14"/>
      <c r="CA110" s="14"/>
      <c r="CB110" s="14"/>
      <c r="CC110" s="14"/>
      <c r="CD110" s="14"/>
      <c r="CE110" s="14"/>
      <c r="CF110" s="14"/>
      <c r="CG110" s="14"/>
      <c r="CH110" s="14"/>
      <c r="CI110" s="14"/>
      <c r="CJ110" s="14"/>
      <c r="CK110" s="14"/>
      <c r="CL110" s="14"/>
      <c r="CM110" s="14"/>
      <c r="CN110" s="14"/>
      <c r="CO110" s="14"/>
      <c r="CP110" s="14"/>
      <c r="CQ110" s="14"/>
      <c r="CR110" s="14"/>
      <c r="CS110" s="14"/>
      <c r="CT110" s="14"/>
      <c r="CU110" s="14"/>
      <c r="CV110" s="14"/>
      <c r="CW110" s="14"/>
      <c r="CX110" s="14"/>
      <c r="CY110" s="14"/>
      <c r="CZ110" s="14"/>
      <c r="DA110" s="14"/>
      <c r="DB110" s="14"/>
      <c r="DC110" s="14"/>
      <c r="DD110" s="14"/>
      <c r="DE110" s="14"/>
      <c r="DF110" s="14"/>
      <c r="DG110" s="14"/>
      <c r="DH110" s="14"/>
      <c r="DI110" s="14"/>
      <c r="DJ110" s="14"/>
      <c r="DK110" s="14"/>
      <c r="DL110" s="14"/>
      <c r="DM110" s="14"/>
      <c r="DN110" s="14"/>
      <c r="DO110" s="14"/>
      <c r="DP110" s="14"/>
      <c r="DQ110" s="14"/>
      <c r="DR110" s="14"/>
      <c r="DS110" s="14"/>
      <c r="DT110" s="14"/>
      <c r="DU110" s="14"/>
      <c r="DV110" s="14"/>
      <c r="DW110" s="14"/>
      <c r="DX110" s="14"/>
      <c r="DY110" s="14"/>
      <c r="DZ110" s="14"/>
      <c r="EA110" s="14"/>
      <c r="EB110" s="14"/>
      <c r="EC110" s="14"/>
    </row>
    <row r="111" spans="1:133" s="166" customFormat="1" ht="38.4" customHeight="1" x14ac:dyDescent="0.25">
      <c r="A111" s="165" t="s">
        <v>221</v>
      </c>
    </row>
    <row r="112" spans="1:133" s="167" customFormat="1" ht="43.2" customHeight="1" x14ac:dyDescent="0.25">
      <c r="A112" s="167" t="s">
        <v>222</v>
      </c>
    </row>
    <row r="113" spans="1:133" s="56" customFormat="1" ht="31.2" x14ac:dyDescent="0.25">
      <c r="A113" s="92" t="s">
        <v>8</v>
      </c>
      <c r="B113" s="93" t="s">
        <v>9</v>
      </c>
      <c r="C113" s="94" t="s">
        <v>10</v>
      </c>
      <c r="D113" s="93" t="s">
        <v>341</v>
      </c>
      <c r="E113" s="93" t="s">
        <v>11</v>
      </c>
      <c r="F113" s="16" t="s">
        <v>322</v>
      </c>
      <c r="G113" s="16" t="s">
        <v>323</v>
      </c>
      <c r="H113" s="16" t="s">
        <v>324</v>
      </c>
      <c r="I113" s="16" t="s">
        <v>325</v>
      </c>
      <c r="J113" s="16" t="s">
        <v>326</v>
      </c>
      <c r="K113" s="16" t="s">
        <v>329</v>
      </c>
      <c r="L113" s="16" t="s">
        <v>297</v>
      </c>
      <c r="M113" s="16" t="s">
        <v>297</v>
      </c>
      <c r="N113" s="16" t="s">
        <v>297</v>
      </c>
      <c r="O113" s="16" t="s">
        <v>297</v>
      </c>
      <c r="P113" s="16" t="s">
        <v>297</v>
      </c>
      <c r="Q113" s="16" t="s">
        <v>297</v>
      </c>
      <c r="R113" s="54"/>
      <c r="S113" s="54"/>
      <c r="T113" s="54"/>
      <c r="U113" s="54"/>
      <c r="V113" s="54"/>
      <c r="W113" s="54"/>
      <c r="X113" s="54"/>
      <c r="Y113" s="54"/>
      <c r="Z113" s="54"/>
      <c r="AA113" s="54"/>
      <c r="AB113" s="54"/>
      <c r="AC113" s="54"/>
      <c r="AD113" s="54"/>
      <c r="AE113" s="54"/>
      <c r="AF113" s="54"/>
      <c r="AG113" s="54"/>
      <c r="AH113" s="54"/>
      <c r="AI113" s="54"/>
      <c r="AJ113" s="54"/>
      <c r="AK113" s="54"/>
      <c r="AL113" s="54"/>
      <c r="AM113" s="54"/>
      <c r="AN113" s="54"/>
      <c r="AO113" s="54"/>
      <c r="AP113" s="54"/>
      <c r="AQ113" s="54"/>
      <c r="AR113" s="54"/>
      <c r="AS113" s="54"/>
      <c r="AT113" s="54"/>
      <c r="AU113" s="54"/>
      <c r="AV113" s="54"/>
      <c r="AW113" s="54"/>
      <c r="AX113" s="54"/>
      <c r="AY113" s="54"/>
      <c r="AZ113" s="54"/>
      <c r="BA113" s="54"/>
      <c r="BB113" s="54"/>
      <c r="BC113" s="54"/>
      <c r="BD113" s="54"/>
      <c r="BE113" s="54"/>
      <c r="BF113" s="54"/>
      <c r="BG113" s="54"/>
      <c r="BH113" s="54"/>
      <c r="BI113" s="54"/>
      <c r="BJ113" s="54"/>
      <c r="BK113" s="54"/>
      <c r="BL113" s="54"/>
      <c r="BM113" s="54"/>
      <c r="BN113" s="54"/>
      <c r="BO113" s="54"/>
      <c r="BP113" s="54"/>
      <c r="BQ113" s="54"/>
      <c r="BR113" s="54"/>
      <c r="BS113" s="54"/>
      <c r="BT113" s="54"/>
      <c r="BU113" s="54"/>
      <c r="BV113" s="54"/>
      <c r="BW113" s="54"/>
      <c r="BX113" s="54"/>
      <c r="BY113" s="54"/>
      <c r="BZ113" s="54"/>
      <c r="CA113" s="54"/>
      <c r="CB113" s="54"/>
      <c r="CC113" s="54"/>
      <c r="CD113" s="54"/>
      <c r="CE113" s="54"/>
      <c r="CF113" s="54"/>
      <c r="CG113" s="54"/>
      <c r="CH113" s="54"/>
      <c r="CI113" s="54"/>
      <c r="CJ113" s="54"/>
      <c r="CK113" s="54"/>
      <c r="CL113" s="54"/>
      <c r="CM113" s="54"/>
      <c r="CN113" s="54"/>
      <c r="CO113" s="54"/>
      <c r="CP113" s="54"/>
      <c r="CQ113" s="54"/>
      <c r="CR113" s="54"/>
      <c r="CS113" s="54"/>
      <c r="CT113" s="54"/>
      <c r="CU113" s="54"/>
      <c r="CV113" s="54"/>
      <c r="CW113" s="54"/>
      <c r="CX113" s="54"/>
      <c r="CY113" s="54"/>
      <c r="CZ113" s="54"/>
      <c r="DA113" s="54"/>
      <c r="DB113" s="54"/>
      <c r="DC113" s="54"/>
      <c r="DD113" s="54"/>
      <c r="DE113" s="54"/>
      <c r="DF113" s="54"/>
      <c r="DG113" s="54"/>
      <c r="DH113" s="54"/>
      <c r="DI113" s="54"/>
      <c r="DJ113" s="54"/>
      <c r="DK113" s="54"/>
      <c r="DL113" s="54"/>
      <c r="DM113" s="54"/>
      <c r="DN113" s="54"/>
      <c r="DO113" s="54"/>
      <c r="DP113" s="54"/>
      <c r="DQ113" s="54"/>
      <c r="DR113" s="54"/>
      <c r="DS113" s="54"/>
      <c r="DT113" s="54"/>
      <c r="DU113" s="54"/>
      <c r="DV113" s="54"/>
      <c r="DW113" s="54"/>
      <c r="DX113" s="54"/>
      <c r="DY113" s="54"/>
      <c r="DZ113" s="54"/>
      <c r="EA113" s="54"/>
      <c r="EB113" s="54"/>
      <c r="EC113" s="54"/>
    </row>
    <row r="114" spans="1:133" s="56" customFormat="1" x14ac:dyDescent="0.25">
      <c r="A114" s="178" t="s">
        <v>12</v>
      </c>
      <c r="B114" s="178"/>
      <c r="C114" s="179"/>
      <c r="D114" s="179"/>
      <c r="E114" s="178"/>
      <c r="F114" s="16">
        <v>31</v>
      </c>
      <c r="G114" s="16">
        <v>28</v>
      </c>
      <c r="H114" s="16">
        <v>31</v>
      </c>
      <c r="I114" s="16">
        <v>30</v>
      </c>
      <c r="J114" s="16">
        <v>31</v>
      </c>
      <c r="K114" s="16">
        <v>30</v>
      </c>
      <c r="L114" s="16" t="s">
        <v>297</v>
      </c>
      <c r="M114" s="16" t="s">
        <v>297</v>
      </c>
      <c r="N114" s="16" t="s">
        <v>297</v>
      </c>
      <c r="O114" s="16" t="s">
        <v>297</v>
      </c>
      <c r="P114" s="16" t="s">
        <v>297</v>
      </c>
      <c r="Q114" s="16" t="s">
        <v>297</v>
      </c>
      <c r="R114" s="54"/>
      <c r="S114" s="54"/>
      <c r="T114" s="54"/>
      <c r="U114" s="54"/>
      <c r="V114" s="54"/>
      <c r="W114" s="54"/>
      <c r="X114" s="54"/>
      <c r="Y114" s="54"/>
      <c r="Z114" s="54"/>
      <c r="AA114" s="54"/>
      <c r="AB114" s="54"/>
      <c r="AC114" s="54"/>
      <c r="AD114" s="54"/>
      <c r="AE114" s="54"/>
      <c r="AF114" s="54"/>
      <c r="AG114" s="54"/>
      <c r="AH114" s="54"/>
      <c r="AI114" s="54"/>
      <c r="AJ114" s="54"/>
      <c r="AK114" s="54"/>
      <c r="AL114" s="54"/>
      <c r="AM114" s="54"/>
      <c r="AN114" s="54"/>
      <c r="AO114" s="54"/>
      <c r="AP114" s="54"/>
      <c r="AQ114" s="54"/>
      <c r="AR114" s="54"/>
      <c r="AS114" s="54"/>
      <c r="AT114" s="54"/>
      <c r="AU114" s="54"/>
      <c r="AV114" s="54"/>
      <c r="AW114" s="54"/>
      <c r="AX114" s="54"/>
      <c r="AY114" s="54"/>
      <c r="AZ114" s="54"/>
      <c r="BA114" s="54"/>
      <c r="BB114" s="54"/>
      <c r="BC114" s="54"/>
      <c r="BD114" s="54"/>
      <c r="BE114" s="54"/>
      <c r="BF114" s="54"/>
      <c r="BG114" s="54"/>
      <c r="BH114" s="54"/>
      <c r="BI114" s="54"/>
      <c r="BJ114" s="54"/>
      <c r="BK114" s="54"/>
      <c r="BL114" s="54"/>
      <c r="BM114" s="54"/>
      <c r="BN114" s="54"/>
      <c r="BO114" s="54"/>
      <c r="BP114" s="54"/>
      <c r="BQ114" s="54"/>
      <c r="BR114" s="54"/>
      <c r="BS114" s="54"/>
      <c r="BT114" s="54"/>
      <c r="BU114" s="54"/>
      <c r="BV114" s="54"/>
      <c r="BW114" s="54"/>
      <c r="BX114" s="54"/>
      <c r="BY114" s="54"/>
      <c r="BZ114" s="54"/>
      <c r="CA114" s="54"/>
      <c r="CB114" s="54"/>
      <c r="CC114" s="54"/>
      <c r="CD114" s="54"/>
      <c r="CE114" s="54"/>
      <c r="CF114" s="54"/>
      <c r="CG114" s="54"/>
      <c r="CH114" s="54"/>
      <c r="CI114" s="54"/>
      <c r="CJ114" s="54"/>
      <c r="CK114" s="54"/>
      <c r="CL114" s="54"/>
      <c r="CM114" s="54"/>
      <c r="CN114" s="54"/>
      <c r="CO114" s="54"/>
      <c r="CP114" s="54"/>
      <c r="CQ114" s="54"/>
      <c r="CR114" s="54"/>
      <c r="CS114" s="54"/>
      <c r="CT114" s="54"/>
      <c r="CU114" s="54"/>
      <c r="CV114" s="54"/>
      <c r="CW114" s="54"/>
      <c r="CX114" s="54"/>
      <c r="CY114" s="54"/>
      <c r="CZ114" s="54"/>
      <c r="DA114" s="54"/>
      <c r="DB114" s="54"/>
      <c r="DC114" s="54"/>
      <c r="DD114" s="54"/>
      <c r="DE114" s="54"/>
      <c r="DF114" s="54"/>
      <c r="DG114" s="54"/>
      <c r="DH114" s="54"/>
      <c r="DI114" s="54"/>
      <c r="DJ114" s="54"/>
      <c r="DK114" s="54"/>
      <c r="DL114" s="54"/>
      <c r="DM114" s="54"/>
      <c r="DN114" s="54"/>
      <c r="DO114" s="54"/>
      <c r="DP114" s="54"/>
      <c r="DQ114" s="54"/>
      <c r="DR114" s="54"/>
      <c r="DS114" s="54"/>
      <c r="DT114" s="54"/>
      <c r="DU114" s="54"/>
      <c r="DV114" s="54"/>
      <c r="DW114" s="54"/>
      <c r="DX114" s="54"/>
      <c r="DY114" s="54"/>
      <c r="DZ114" s="54"/>
      <c r="EA114" s="54"/>
      <c r="EB114" s="54"/>
      <c r="EC114" s="54"/>
    </row>
    <row r="115" spans="1:133" ht="46.8" x14ac:dyDescent="0.25">
      <c r="A115" s="59" t="s">
        <v>13</v>
      </c>
      <c r="B115" s="60" t="s">
        <v>14</v>
      </c>
      <c r="C115" s="53" t="s">
        <v>15</v>
      </c>
      <c r="D115" s="53" t="s">
        <v>369</v>
      </c>
      <c r="E115" s="61">
        <f>SUM(F115:K115)</f>
        <v>392.59521318090435</v>
      </c>
      <c r="F115" s="62">
        <f>$E$116*$E$117*F118*$E$129</f>
        <v>63.279714944122226</v>
      </c>
      <c r="G115" s="62">
        <f t="shared" ref="G115:K115" si="14">$E$116*$E$117*G118*$E$129</f>
        <v>57.148857631613858</v>
      </c>
      <c r="H115" s="62">
        <f t="shared" si="14"/>
        <v>63.269727703955859</v>
      </c>
      <c r="I115" s="62">
        <f t="shared" si="14"/>
        <v>61.170330383227224</v>
      </c>
      <c r="J115" s="62">
        <f t="shared" si="14"/>
        <v>77.814472543444765</v>
      </c>
      <c r="K115" s="62">
        <f t="shared" si="14"/>
        <v>69.9121099745404</v>
      </c>
      <c r="L115" s="62" t="s">
        <v>297</v>
      </c>
      <c r="M115" s="62" t="s">
        <v>297</v>
      </c>
      <c r="N115" s="62" t="s">
        <v>297</v>
      </c>
      <c r="O115" s="62" t="s">
        <v>297</v>
      </c>
      <c r="P115" s="62" t="s">
        <v>297</v>
      </c>
      <c r="Q115" s="62" t="s">
        <v>297</v>
      </c>
    </row>
    <row r="116" spans="1:133" ht="31.2" x14ac:dyDescent="0.25">
      <c r="A116" s="63" t="s">
        <v>16</v>
      </c>
      <c r="B116" s="60" t="s">
        <v>193</v>
      </c>
      <c r="C116" s="35" t="s">
        <v>17</v>
      </c>
      <c r="D116" s="35" t="s">
        <v>205</v>
      </c>
      <c r="E116" s="176">
        <v>28</v>
      </c>
      <c r="F116" s="176"/>
      <c r="G116" s="176"/>
      <c r="H116" s="176"/>
      <c r="I116" s="176"/>
      <c r="J116" s="176"/>
      <c r="K116" s="176"/>
      <c r="L116" s="176"/>
      <c r="M116" s="176"/>
      <c r="N116" s="176"/>
      <c r="O116" s="176"/>
      <c r="P116" s="176"/>
      <c r="Q116" s="176"/>
    </row>
    <row r="117" spans="1:133" ht="64.8" x14ac:dyDescent="0.25">
      <c r="A117" s="63" t="s">
        <v>18</v>
      </c>
      <c r="B117" s="25" t="s">
        <v>194</v>
      </c>
      <c r="C117" s="35" t="s">
        <v>20</v>
      </c>
      <c r="D117" s="35" t="s">
        <v>394</v>
      </c>
      <c r="E117" s="176">
        <v>0.21</v>
      </c>
      <c r="F117" s="176"/>
      <c r="G117" s="176"/>
      <c r="H117" s="176"/>
      <c r="I117" s="176"/>
      <c r="J117" s="176"/>
      <c r="K117" s="176"/>
      <c r="L117" s="176"/>
      <c r="M117" s="176"/>
      <c r="N117" s="176"/>
      <c r="O117" s="176"/>
      <c r="P117" s="176"/>
      <c r="Q117" s="176"/>
    </row>
    <row r="118" spans="1:133" ht="46.8" x14ac:dyDescent="0.25">
      <c r="A118" s="35" t="s">
        <v>21</v>
      </c>
      <c r="B118" s="25" t="s">
        <v>195</v>
      </c>
      <c r="C118" s="53" t="s">
        <v>22</v>
      </c>
      <c r="D118" s="53" t="s">
        <v>370</v>
      </c>
      <c r="E118" s="64">
        <f t="shared" ref="E118:K118" si="15">E126*E119</f>
        <v>104.9363806312757</v>
      </c>
      <c r="F118" s="64">
        <f t="shared" si="15"/>
        <v>16.91397151741436</v>
      </c>
      <c r="G118" s="64">
        <f t="shared" si="15"/>
        <v>15.275260817584792</v>
      </c>
      <c r="H118" s="64">
        <f t="shared" si="15"/>
        <v>16.911302038010721</v>
      </c>
      <c r="I118" s="64">
        <f t="shared" si="15"/>
        <v>16.350156234527002</v>
      </c>
      <c r="J118" s="64">
        <f t="shared" si="15"/>
        <v>20.798952293079161</v>
      </c>
      <c r="K118" s="64">
        <f t="shared" si="15"/>
        <v>18.686737730659658</v>
      </c>
      <c r="L118" s="64" t="s">
        <v>297</v>
      </c>
      <c r="M118" s="64" t="s">
        <v>297</v>
      </c>
      <c r="N118" s="64" t="s">
        <v>297</v>
      </c>
      <c r="O118" s="64" t="s">
        <v>297</v>
      </c>
      <c r="P118" s="64" t="s">
        <v>297</v>
      </c>
      <c r="Q118" s="64" t="s">
        <v>297</v>
      </c>
    </row>
    <row r="119" spans="1:133" ht="46.8" x14ac:dyDescent="0.25">
      <c r="A119" s="35" t="s">
        <v>23</v>
      </c>
      <c r="B119" s="25" t="s">
        <v>197</v>
      </c>
      <c r="C119" s="35" t="s">
        <v>191</v>
      </c>
      <c r="D119" s="35" t="s">
        <v>371</v>
      </c>
      <c r="E119" s="20">
        <f>SUM(F119:K119)</f>
        <v>111.37287657726567</v>
      </c>
      <c r="F119" s="20">
        <f>F121*F124</f>
        <v>17.951425910709684</v>
      </c>
      <c r="G119" s="20">
        <f t="shared" ref="G119:K119" si="16">G121*G124</f>
        <v>16.212201407062494</v>
      </c>
      <c r="H119" s="20">
        <f t="shared" si="16"/>
        <v>17.948592693112904</v>
      </c>
      <c r="I119" s="20">
        <f t="shared" si="16"/>
        <v>17.353027819069439</v>
      </c>
      <c r="J119" s="20">
        <f t="shared" si="16"/>
        <v>22.074700239691136</v>
      </c>
      <c r="K119" s="20">
        <f t="shared" si="16"/>
        <v>19.832928507620007</v>
      </c>
      <c r="L119" s="20" t="s">
        <v>297</v>
      </c>
      <c r="M119" s="20" t="s">
        <v>297</v>
      </c>
      <c r="N119" s="20" t="s">
        <v>297</v>
      </c>
      <c r="O119" s="20" t="s">
        <v>297</v>
      </c>
      <c r="P119" s="20" t="s">
        <v>297</v>
      </c>
      <c r="Q119" s="20" t="s">
        <v>297</v>
      </c>
    </row>
    <row r="120" spans="1:133" ht="62.4" x14ac:dyDescent="0.25">
      <c r="A120" s="17" t="s">
        <v>335</v>
      </c>
      <c r="B120" s="60" t="s">
        <v>192</v>
      </c>
      <c r="C120" s="35" t="s">
        <v>25</v>
      </c>
      <c r="D120" s="35" t="s">
        <v>333</v>
      </c>
      <c r="E120" s="121">
        <f>AVERAGE(F120:K120)</f>
        <v>2257.6815535202254</v>
      </c>
      <c r="F120" s="121">
        <v>2096.8679032258069</v>
      </c>
      <c r="G120" s="121">
        <v>2096.9341071428566</v>
      </c>
      <c r="H120" s="121">
        <v>2096.7573870967744</v>
      </c>
      <c r="I120" s="121">
        <v>2097.1482333333324</v>
      </c>
      <c r="J120" s="121">
        <v>2579.2042903225811</v>
      </c>
      <c r="K120" s="121">
        <v>2579.1774000000005</v>
      </c>
      <c r="L120" s="20" t="s">
        <v>297</v>
      </c>
      <c r="M120" s="20" t="s">
        <v>297</v>
      </c>
      <c r="N120" s="20" t="s">
        <v>297</v>
      </c>
      <c r="O120" s="20" t="s">
        <v>297</v>
      </c>
      <c r="P120" s="20" t="s">
        <v>297</v>
      </c>
      <c r="Q120" s="20" t="s">
        <v>297</v>
      </c>
    </row>
    <row r="121" spans="1:133" ht="46.8" x14ac:dyDescent="0.25">
      <c r="A121" s="35" t="s">
        <v>26</v>
      </c>
      <c r="B121" s="60" t="s">
        <v>198</v>
      </c>
      <c r="C121" s="35" t="s">
        <v>27</v>
      </c>
      <c r="D121" s="35" t="s">
        <v>206</v>
      </c>
      <c r="E121" s="65">
        <f>SUM(F121:K121)</f>
        <v>408961.64100000006</v>
      </c>
      <c r="F121" s="65">
        <f>F120*F114</f>
        <v>65002.905000000013</v>
      </c>
      <c r="G121" s="65">
        <f t="shared" ref="G121:K121" si="17">G120*G114</f>
        <v>58714.154999999984</v>
      </c>
      <c r="H121" s="65">
        <f t="shared" si="17"/>
        <v>64999.479000000007</v>
      </c>
      <c r="I121" s="65">
        <f t="shared" si="17"/>
        <v>62914.446999999971</v>
      </c>
      <c r="J121" s="65">
        <f t="shared" si="17"/>
        <v>79955.333000000013</v>
      </c>
      <c r="K121" s="65">
        <f t="shared" si="17"/>
        <v>77375.322000000015</v>
      </c>
      <c r="L121" s="65" t="s">
        <v>297</v>
      </c>
      <c r="M121" s="65" t="s">
        <v>297</v>
      </c>
      <c r="N121" s="65" t="s">
        <v>297</v>
      </c>
      <c r="O121" s="65" t="s">
        <v>297</v>
      </c>
      <c r="P121" s="65" t="s">
        <v>297</v>
      </c>
      <c r="Q121" s="65" t="s">
        <v>297</v>
      </c>
    </row>
    <row r="122" spans="1:133" ht="62.4" x14ac:dyDescent="0.25">
      <c r="A122" s="35" t="s">
        <v>28</v>
      </c>
      <c r="B122" s="60" t="s">
        <v>199</v>
      </c>
      <c r="C122" s="35" t="s">
        <v>29</v>
      </c>
      <c r="D122" s="35" t="s">
        <v>332</v>
      </c>
      <c r="E122" s="125">
        <f>AVERAGE(F122:K122)</f>
        <v>272.77452359617683</v>
      </c>
      <c r="F122" s="125">
        <v>276.16344086021508</v>
      </c>
      <c r="G122" s="125">
        <v>276.12083333333328</v>
      </c>
      <c r="H122" s="125">
        <v>276.13440860215053</v>
      </c>
      <c r="I122" s="125">
        <v>275.81944444444446</v>
      </c>
      <c r="J122" s="125">
        <v>276.08790322580649</v>
      </c>
      <c r="K122" s="137">
        <v>256.32111111111112</v>
      </c>
      <c r="L122" s="66" t="s">
        <v>297</v>
      </c>
      <c r="M122" s="66" t="s">
        <v>297</v>
      </c>
      <c r="N122" s="66" t="s">
        <v>297</v>
      </c>
      <c r="O122" s="66" t="s">
        <v>297</v>
      </c>
      <c r="P122" s="66" t="s">
        <v>297</v>
      </c>
      <c r="Q122" s="66" t="s">
        <v>297</v>
      </c>
    </row>
    <row r="123" spans="1:133" ht="62.4" x14ac:dyDescent="0.25">
      <c r="A123" s="35" t="s">
        <v>30</v>
      </c>
      <c r="B123" s="60" t="s">
        <v>199</v>
      </c>
      <c r="C123" s="35" t="s">
        <v>31</v>
      </c>
      <c r="D123" s="35" t="s">
        <v>331</v>
      </c>
      <c r="E123" s="125">
        <f>AVERAGE(F123:K123)</f>
        <v>15.307212621607784</v>
      </c>
      <c r="F123" s="125">
        <v>14.987096774193548</v>
      </c>
      <c r="G123" s="125">
        <v>15.828571428571427</v>
      </c>
      <c r="H123" s="125">
        <v>15.327688172043011</v>
      </c>
      <c r="I123" s="125">
        <v>15.326666666666666</v>
      </c>
      <c r="J123" s="125">
        <v>15.102419354838711</v>
      </c>
      <c r="K123" s="137">
        <v>15.270833333333336</v>
      </c>
      <c r="L123" s="65" t="s">
        <v>297</v>
      </c>
      <c r="M123" s="65" t="s">
        <v>297</v>
      </c>
      <c r="N123" s="65" t="s">
        <v>297</v>
      </c>
      <c r="O123" s="65" t="s">
        <v>297</v>
      </c>
      <c r="P123" s="65" t="s">
        <v>297</v>
      </c>
      <c r="Q123" s="65" t="s">
        <v>297</v>
      </c>
    </row>
    <row r="124" spans="1:133" ht="62.4" x14ac:dyDescent="0.25">
      <c r="A124" s="35" t="s">
        <v>32</v>
      </c>
      <c r="B124" s="60" t="s">
        <v>200</v>
      </c>
      <c r="C124" s="35" t="s">
        <v>34</v>
      </c>
      <c r="D124" s="35" t="s">
        <v>338</v>
      </c>
      <c r="E124" s="122">
        <f>E122/1000000</f>
        <v>2.7277452359617682E-4</v>
      </c>
      <c r="F124" s="120">
        <f>F122/1000000</f>
        <v>2.7616344086021509E-4</v>
      </c>
      <c r="G124" s="120">
        <f t="shared" ref="G124:K125" si="18">G122/1000000</f>
        <v>2.7612083333333331E-4</v>
      </c>
      <c r="H124" s="120">
        <f t="shared" si="18"/>
        <v>2.7613440860215052E-4</v>
      </c>
      <c r="I124" s="120">
        <f t="shared" si="18"/>
        <v>2.7581944444444447E-4</v>
      </c>
      <c r="J124" s="120">
        <f t="shared" si="18"/>
        <v>2.7608790322580649E-4</v>
      </c>
      <c r="K124" s="120">
        <f t="shared" si="18"/>
        <v>2.5632111111111114E-4</v>
      </c>
      <c r="L124" s="22" t="s">
        <v>297</v>
      </c>
      <c r="M124" s="22" t="s">
        <v>297</v>
      </c>
      <c r="N124" s="22" t="s">
        <v>297</v>
      </c>
      <c r="O124" s="22" t="s">
        <v>297</v>
      </c>
      <c r="P124" s="22" t="s">
        <v>297</v>
      </c>
      <c r="Q124" s="22" t="s">
        <v>297</v>
      </c>
    </row>
    <row r="125" spans="1:133" ht="62.4" x14ac:dyDescent="0.25">
      <c r="A125" s="35" t="s">
        <v>30</v>
      </c>
      <c r="B125" s="60" t="s">
        <v>33</v>
      </c>
      <c r="C125" s="35" t="s">
        <v>35</v>
      </c>
      <c r="D125" s="35" t="s">
        <v>339</v>
      </c>
      <c r="E125" s="122">
        <f>E123/1000000</f>
        <v>1.5307212621607784E-5</v>
      </c>
      <c r="F125" s="120">
        <f>F123/1000000</f>
        <v>1.4987096774193548E-5</v>
      </c>
      <c r="G125" s="120">
        <f t="shared" si="18"/>
        <v>1.5828571428571428E-5</v>
      </c>
      <c r="H125" s="120">
        <f t="shared" si="18"/>
        <v>1.5327688172043009E-5</v>
      </c>
      <c r="I125" s="120">
        <f t="shared" si="18"/>
        <v>1.5326666666666667E-5</v>
      </c>
      <c r="J125" s="120">
        <f t="shared" si="18"/>
        <v>1.510241935483871E-5</v>
      </c>
      <c r="K125" s="120">
        <f t="shared" si="18"/>
        <v>1.5270833333333336E-5</v>
      </c>
      <c r="L125" s="22" t="s">
        <v>297</v>
      </c>
      <c r="M125" s="22" t="s">
        <v>297</v>
      </c>
      <c r="N125" s="22" t="s">
        <v>297</v>
      </c>
      <c r="O125" s="22" t="s">
        <v>297</v>
      </c>
      <c r="P125" s="22" t="s">
        <v>297</v>
      </c>
      <c r="Q125" s="22" t="s">
        <v>297</v>
      </c>
    </row>
    <row r="126" spans="1:133" ht="46.8" x14ac:dyDescent="0.25">
      <c r="A126" s="63" t="s">
        <v>36</v>
      </c>
      <c r="B126" s="25" t="s">
        <v>201</v>
      </c>
      <c r="C126" s="35" t="s">
        <v>38</v>
      </c>
      <c r="D126" s="35" t="s">
        <v>368</v>
      </c>
      <c r="E126" s="68">
        <f>(1-(E127/E128))</f>
        <v>0.94220768876769911</v>
      </c>
      <c r="F126" s="68">
        <f>E126</f>
        <v>0.94220768876769911</v>
      </c>
      <c r="G126" s="68">
        <f>E126</f>
        <v>0.94220768876769911</v>
      </c>
      <c r="H126" s="68">
        <f>E126</f>
        <v>0.94220768876769911</v>
      </c>
      <c r="I126" s="68">
        <f>E126</f>
        <v>0.94220768876769911</v>
      </c>
      <c r="J126" s="68">
        <f>E126</f>
        <v>0.94220768876769911</v>
      </c>
      <c r="K126" s="68">
        <f>F126</f>
        <v>0.94220768876769911</v>
      </c>
      <c r="L126" s="68" t="s">
        <v>297</v>
      </c>
      <c r="M126" s="68" t="s">
        <v>297</v>
      </c>
      <c r="N126" s="68" t="s">
        <v>297</v>
      </c>
      <c r="O126" s="68" t="s">
        <v>297</v>
      </c>
      <c r="P126" s="68" t="s">
        <v>297</v>
      </c>
      <c r="Q126" s="68" t="s">
        <v>297</v>
      </c>
    </row>
    <row r="127" spans="1:133" ht="31.2" x14ac:dyDescent="0.25">
      <c r="A127" s="35" t="s">
        <v>39</v>
      </c>
      <c r="B127" s="25" t="s">
        <v>196</v>
      </c>
      <c r="C127" s="35" t="s">
        <v>40</v>
      </c>
      <c r="D127" s="35" t="s">
        <v>351</v>
      </c>
      <c r="E127" s="52">
        <f>SUM(F127:K127)</f>
        <v>5.991016160800001</v>
      </c>
      <c r="F127" s="52">
        <v>1.0260856408000001</v>
      </c>
      <c r="G127" s="52">
        <v>0.92678703040000021</v>
      </c>
      <c r="H127" s="52">
        <v>1.0260856408000001</v>
      </c>
      <c r="I127" s="52">
        <v>0.9929861040000002</v>
      </c>
      <c r="J127" s="52">
        <v>1.0260856408000001</v>
      </c>
      <c r="K127" s="52">
        <v>0.9929861040000002</v>
      </c>
      <c r="L127" s="69" t="s">
        <v>297</v>
      </c>
      <c r="M127" s="69" t="s">
        <v>297</v>
      </c>
      <c r="N127" s="69" t="s">
        <v>297</v>
      </c>
      <c r="O127" s="69" t="s">
        <v>297</v>
      </c>
      <c r="P127" s="69" t="s">
        <v>297</v>
      </c>
      <c r="Q127" s="69" t="s">
        <v>297</v>
      </c>
    </row>
    <row r="128" spans="1:133" ht="31.2" x14ac:dyDescent="0.25">
      <c r="A128" s="63" t="s">
        <v>41</v>
      </c>
      <c r="B128" s="25" t="s">
        <v>24</v>
      </c>
      <c r="C128" s="35" t="s">
        <v>42</v>
      </c>
      <c r="D128" s="35" t="s">
        <v>351</v>
      </c>
      <c r="E128" s="52">
        <f>SUM(F128:K128)</f>
        <v>103.66458847299999</v>
      </c>
      <c r="F128" s="52">
        <v>17.754708522999998</v>
      </c>
      <c r="G128" s="52">
        <v>16.036510923999998</v>
      </c>
      <c r="H128" s="52">
        <v>17.754708522999998</v>
      </c>
      <c r="I128" s="52">
        <v>17.181975989999998</v>
      </c>
      <c r="J128" s="52">
        <v>17.754708522999998</v>
      </c>
      <c r="K128" s="52">
        <v>17.181975989999998</v>
      </c>
      <c r="L128" s="69" t="s">
        <v>297</v>
      </c>
      <c r="M128" s="69" t="s">
        <v>297</v>
      </c>
      <c r="N128" s="69" t="s">
        <v>297</v>
      </c>
      <c r="O128" s="69" t="s">
        <v>297</v>
      </c>
      <c r="P128" s="69" t="s">
        <v>297</v>
      </c>
      <c r="Q128" s="69" t="s">
        <v>297</v>
      </c>
    </row>
    <row r="129" spans="1:133" ht="31.2" x14ac:dyDescent="0.25">
      <c r="A129" s="53" t="s">
        <v>43</v>
      </c>
      <c r="B129" s="25" t="s">
        <v>201</v>
      </c>
      <c r="C129" s="53" t="s">
        <v>44</v>
      </c>
      <c r="D129" s="35" t="s">
        <v>372</v>
      </c>
      <c r="E129" s="177">
        <f>E130*E131*0.89</f>
        <v>0.6362702143570329</v>
      </c>
      <c r="F129" s="177"/>
      <c r="G129" s="177"/>
      <c r="H129" s="177"/>
      <c r="I129" s="177"/>
      <c r="J129" s="177"/>
      <c r="K129" s="177"/>
      <c r="L129" s="177"/>
      <c r="M129" s="177"/>
      <c r="N129" s="177"/>
      <c r="O129" s="177"/>
      <c r="P129" s="177"/>
      <c r="Q129" s="177"/>
    </row>
    <row r="130" spans="1:133" ht="31.2" x14ac:dyDescent="0.25">
      <c r="A130" s="70" t="s">
        <v>45</v>
      </c>
      <c r="B130" s="25" t="s">
        <v>201</v>
      </c>
      <c r="C130" s="53" t="s">
        <v>46</v>
      </c>
      <c r="D130" s="35" t="s">
        <v>373</v>
      </c>
      <c r="E130" s="162">
        <v>0.7</v>
      </c>
      <c r="F130" s="163"/>
      <c r="G130" s="163"/>
      <c r="H130" s="163"/>
      <c r="I130" s="163"/>
      <c r="J130" s="163"/>
      <c r="K130" s="163"/>
      <c r="L130" s="163"/>
      <c r="M130" s="163"/>
      <c r="N130" s="163"/>
      <c r="O130" s="163"/>
      <c r="P130" s="163"/>
      <c r="Q130" s="164"/>
    </row>
    <row r="131" spans="1:133" ht="36" customHeight="1" x14ac:dyDescent="0.25">
      <c r="A131" s="70" t="s">
        <v>47</v>
      </c>
      <c r="B131" s="25" t="s">
        <v>37</v>
      </c>
      <c r="C131" s="53" t="s">
        <v>48</v>
      </c>
      <c r="D131" s="35" t="s">
        <v>374</v>
      </c>
      <c r="E131" s="159">
        <f>(F132*F137+G132*G137+H132*H137+I132*I137+J132*J137+K132*K137)/(F126*F121*F124+G126*G124*G121+H126*H121*H124+I126*I124*I121+J126*J124*J121+K126*K124*K121)</f>
        <v>1.0213005045859276</v>
      </c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1"/>
    </row>
    <row r="132" spans="1:133" s="9" customFormat="1" ht="46.8" x14ac:dyDescent="0.4">
      <c r="A132" s="71" t="s">
        <v>49</v>
      </c>
      <c r="B132" s="25" t="s">
        <v>37</v>
      </c>
      <c r="C132" s="53" t="s">
        <v>50</v>
      </c>
      <c r="D132" s="53" t="s">
        <v>375</v>
      </c>
      <c r="E132" s="72">
        <f>AVERAGE(F132:K132)</f>
        <v>0.52072660245860247</v>
      </c>
      <c r="F132" s="72">
        <f>IF(F136&lt;283,0,IF(F136&gt;303,1,EXP(($E$133*(F136-$E$134))/($E$135*$E$134*F136))))</f>
        <v>0.32317176495848171</v>
      </c>
      <c r="G132" s="72">
        <f t="shared" ref="G132:K132" si="19">IF(G136&lt;283,0,IF(G136&gt;303,1,EXP(($E$133*(G136-$E$134))/($E$135*$E$134*G136))))</f>
        <v>0.24547412919519337</v>
      </c>
      <c r="H132" s="72">
        <f t="shared" si="19"/>
        <v>0.50475941545474445</v>
      </c>
      <c r="I132" s="72">
        <f t="shared" si="19"/>
        <v>0.55084569341606926</v>
      </c>
      <c r="J132" s="72">
        <f t="shared" si="19"/>
        <v>0.65487347206548807</v>
      </c>
      <c r="K132" s="72">
        <f t="shared" si="19"/>
        <v>0.84523513966163832</v>
      </c>
      <c r="L132" s="72" t="s">
        <v>297</v>
      </c>
      <c r="M132" s="72" t="s">
        <v>297</v>
      </c>
      <c r="N132" s="72" t="s">
        <v>297</v>
      </c>
      <c r="O132" s="72" t="s">
        <v>297</v>
      </c>
      <c r="P132" s="72" t="s">
        <v>297</v>
      </c>
      <c r="Q132" s="72" t="s">
        <v>297</v>
      </c>
      <c r="R132" s="78"/>
      <c r="S132" s="78"/>
      <c r="T132" s="78"/>
      <c r="U132" s="78"/>
      <c r="V132" s="78"/>
      <c r="W132" s="78"/>
      <c r="X132" s="78"/>
      <c r="Y132" s="78"/>
      <c r="Z132" s="78"/>
      <c r="AA132" s="78"/>
      <c r="AB132" s="78"/>
      <c r="AC132" s="78"/>
      <c r="AD132" s="78"/>
      <c r="AE132" s="78"/>
      <c r="AF132" s="78"/>
      <c r="AG132" s="78"/>
      <c r="AH132" s="78"/>
      <c r="AI132" s="78"/>
      <c r="AJ132" s="78"/>
      <c r="AK132" s="78"/>
      <c r="AL132" s="78"/>
      <c r="AM132" s="78"/>
      <c r="AN132" s="78"/>
      <c r="AO132" s="78"/>
      <c r="AP132" s="78"/>
      <c r="AQ132" s="78"/>
      <c r="AR132" s="78"/>
      <c r="AS132" s="78"/>
      <c r="AT132" s="78"/>
      <c r="AU132" s="78"/>
      <c r="AV132" s="78"/>
      <c r="AW132" s="78"/>
      <c r="AX132" s="78"/>
      <c r="AY132" s="78"/>
      <c r="AZ132" s="78"/>
      <c r="BA132" s="78"/>
      <c r="BB132" s="78"/>
      <c r="BC132" s="78"/>
      <c r="BD132" s="78"/>
      <c r="BE132" s="78"/>
      <c r="BF132" s="78"/>
      <c r="BG132" s="78"/>
      <c r="BH132" s="78"/>
      <c r="BI132" s="78"/>
      <c r="BJ132" s="78"/>
      <c r="BK132" s="78"/>
      <c r="BL132" s="78"/>
      <c r="BM132" s="78"/>
      <c r="BN132" s="78"/>
      <c r="BO132" s="78"/>
      <c r="BP132" s="78"/>
      <c r="BQ132" s="78"/>
      <c r="BR132" s="78"/>
      <c r="BS132" s="78"/>
      <c r="BT132" s="78"/>
      <c r="BU132" s="78"/>
      <c r="BV132" s="78"/>
      <c r="BW132" s="78"/>
      <c r="BX132" s="78"/>
      <c r="BY132" s="78"/>
      <c r="BZ132" s="78"/>
      <c r="CA132" s="78"/>
      <c r="CB132" s="78"/>
      <c r="CC132" s="78"/>
      <c r="CD132" s="78"/>
      <c r="CE132" s="78"/>
      <c r="CF132" s="78"/>
      <c r="CG132" s="78"/>
      <c r="CH132" s="78"/>
      <c r="CI132" s="78"/>
      <c r="CJ132" s="78"/>
      <c r="CK132" s="78"/>
      <c r="CL132" s="78"/>
      <c r="CM132" s="78"/>
      <c r="CN132" s="78"/>
      <c r="CO132" s="78"/>
      <c r="CP132" s="78"/>
      <c r="CQ132" s="78"/>
      <c r="CR132" s="78"/>
      <c r="CS132" s="78"/>
      <c r="CT132" s="78"/>
      <c r="CU132" s="78"/>
      <c r="CV132" s="78"/>
      <c r="CW132" s="78"/>
      <c r="CX132" s="78"/>
      <c r="CY132" s="78"/>
      <c r="CZ132" s="78"/>
      <c r="DA132" s="78"/>
      <c r="DB132" s="78"/>
      <c r="DC132" s="78"/>
      <c r="DD132" s="78"/>
      <c r="DE132" s="78"/>
      <c r="DF132" s="78"/>
      <c r="DG132" s="78"/>
      <c r="DH132" s="78"/>
      <c r="DI132" s="78"/>
      <c r="DJ132" s="78"/>
      <c r="DK132" s="78"/>
      <c r="DL132" s="78"/>
      <c r="DM132" s="78"/>
      <c r="DN132" s="78"/>
      <c r="DO132" s="78"/>
      <c r="DP132" s="78"/>
      <c r="DQ132" s="78"/>
      <c r="DR132" s="78"/>
      <c r="DS132" s="78"/>
      <c r="DT132" s="78"/>
      <c r="DU132" s="78"/>
      <c r="DV132" s="78"/>
      <c r="DW132" s="78"/>
      <c r="DX132" s="78"/>
      <c r="DY132" s="78"/>
      <c r="DZ132" s="78"/>
      <c r="EA132" s="78"/>
      <c r="EB132" s="78"/>
      <c r="EC132" s="78"/>
    </row>
    <row r="133" spans="1:133" s="9" customFormat="1" x14ac:dyDescent="0.25">
      <c r="A133" s="73" t="s">
        <v>51</v>
      </c>
      <c r="B133" s="60" t="s">
        <v>202</v>
      </c>
      <c r="C133" s="53" t="s">
        <v>53</v>
      </c>
      <c r="D133" s="53" t="s">
        <v>376</v>
      </c>
      <c r="E133" s="162">
        <v>15175</v>
      </c>
      <c r="F133" s="163"/>
      <c r="G133" s="163"/>
      <c r="H133" s="163"/>
      <c r="I133" s="163"/>
      <c r="J133" s="163"/>
      <c r="K133" s="163"/>
      <c r="L133" s="163"/>
      <c r="M133" s="163"/>
      <c r="N133" s="163"/>
      <c r="O133" s="163"/>
      <c r="P133" s="163"/>
      <c r="Q133" s="164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78"/>
      <c r="AG133" s="78"/>
      <c r="AH133" s="78"/>
      <c r="AI133" s="78"/>
      <c r="AJ133" s="78"/>
      <c r="AK133" s="78"/>
      <c r="AL133" s="78"/>
      <c r="AM133" s="78"/>
      <c r="AN133" s="78"/>
      <c r="AO133" s="78"/>
      <c r="AP133" s="78"/>
      <c r="AQ133" s="78"/>
      <c r="AR133" s="78"/>
      <c r="AS133" s="78"/>
      <c r="AT133" s="78"/>
      <c r="AU133" s="78"/>
      <c r="AV133" s="78"/>
      <c r="AW133" s="78"/>
      <c r="AX133" s="78"/>
      <c r="AY133" s="78"/>
      <c r="AZ133" s="78"/>
      <c r="BA133" s="78"/>
      <c r="BB133" s="78"/>
      <c r="BC133" s="78"/>
      <c r="BD133" s="78"/>
      <c r="BE133" s="78"/>
      <c r="BF133" s="78"/>
      <c r="BG133" s="78"/>
      <c r="BH133" s="78"/>
      <c r="BI133" s="78"/>
      <c r="BJ133" s="78"/>
      <c r="BK133" s="78"/>
      <c r="BL133" s="78"/>
      <c r="BM133" s="78"/>
      <c r="BN133" s="78"/>
      <c r="BO133" s="78"/>
      <c r="BP133" s="78"/>
      <c r="BQ133" s="78"/>
      <c r="BR133" s="78"/>
      <c r="BS133" s="78"/>
      <c r="BT133" s="78"/>
      <c r="BU133" s="78"/>
      <c r="BV133" s="78"/>
      <c r="BW133" s="78"/>
      <c r="BX133" s="78"/>
      <c r="BY133" s="78"/>
      <c r="BZ133" s="78"/>
      <c r="CA133" s="78"/>
      <c r="CB133" s="78"/>
      <c r="CC133" s="78"/>
      <c r="CD133" s="78"/>
      <c r="CE133" s="78"/>
      <c r="CF133" s="78"/>
      <c r="CG133" s="78"/>
      <c r="CH133" s="78"/>
      <c r="CI133" s="78"/>
      <c r="CJ133" s="78"/>
      <c r="CK133" s="78"/>
      <c r="CL133" s="78"/>
      <c r="CM133" s="78"/>
      <c r="CN133" s="78"/>
      <c r="CO133" s="78"/>
      <c r="CP133" s="78"/>
      <c r="CQ133" s="78"/>
      <c r="CR133" s="78"/>
      <c r="CS133" s="78"/>
      <c r="CT133" s="78"/>
      <c r="CU133" s="78"/>
      <c r="CV133" s="78"/>
      <c r="CW133" s="78"/>
      <c r="CX133" s="78"/>
      <c r="CY133" s="78"/>
      <c r="CZ133" s="78"/>
      <c r="DA133" s="78"/>
      <c r="DB133" s="78"/>
      <c r="DC133" s="78"/>
      <c r="DD133" s="78"/>
      <c r="DE133" s="78"/>
      <c r="DF133" s="78"/>
      <c r="DG133" s="78"/>
      <c r="DH133" s="78"/>
      <c r="DI133" s="78"/>
      <c r="DJ133" s="78"/>
      <c r="DK133" s="78"/>
      <c r="DL133" s="78"/>
      <c r="DM133" s="78"/>
      <c r="DN133" s="78"/>
      <c r="DO133" s="78"/>
      <c r="DP133" s="78"/>
      <c r="DQ133" s="78"/>
      <c r="DR133" s="78"/>
      <c r="DS133" s="78"/>
      <c r="DT133" s="78"/>
      <c r="DU133" s="78"/>
      <c r="DV133" s="78"/>
      <c r="DW133" s="78"/>
      <c r="DX133" s="78"/>
      <c r="DY133" s="78"/>
      <c r="DZ133" s="78"/>
      <c r="EA133" s="78"/>
      <c r="EB133" s="78"/>
      <c r="EC133" s="78"/>
    </row>
    <row r="134" spans="1:133" s="9" customFormat="1" ht="18" x14ac:dyDescent="0.25">
      <c r="A134" s="73" t="s">
        <v>54</v>
      </c>
      <c r="B134" s="60" t="s">
        <v>203</v>
      </c>
      <c r="C134" s="53" t="s">
        <v>56</v>
      </c>
      <c r="D134" s="53" t="s">
        <v>376</v>
      </c>
      <c r="E134" s="162">
        <v>303.16000000000003</v>
      </c>
      <c r="F134" s="163"/>
      <c r="G134" s="163"/>
      <c r="H134" s="163"/>
      <c r="I134" s="163"/>
      <c r="J134" s="163"/>
      <c r="K134" s="163"/>
      <c r="L134" s="163"/>
      <c r="M134" s="163"/>
      <c r="N134" s="163"/>
      <c r="O134" s="163"/>
      <c r="P134" s="163"/>
      <c r="Q134" s="164"/>
      <c r="R134" s="78"/>
      <c r="S134" s="78"/>
      <c r="T134" s="78"/>
      <c r="U134" s="78"/>
      <c r="V134" s="78"/>
      <c r="W134" s="78"/>
      <c r="X134" s="78"/>
      <c r="Y134" s="78"/>
      <c r="Z134" s="78"/>
      <c r="AA134" s="78"/>
      <c r="AB134" s="78"/>
      <c r="AC134" s="78"/>
      <c r="AD134" s="78"/>
      <c r="AE134" s="78"/>
      <c r="AF134" s="78"/>
      <c r="AG134" s="78"/>
      <c r="AH134" s="78"/>
      <c r="AI134" s="78"/>
      <c r="AJ134" s="78"/>
      <c r="AK134" s="78"/>
      <c r="AL134" s="78"/>
      <c r="AM134" s="78"/>
      <c r="AN134" s="78"/>
      <c r="AO134" s="78"/>
      <c r="AP134" s="78"/>
      <c r="AQ134" s="78"/>
      <c r="AR134" s="78"/>
      <c r="AS134" s="78"/>
      <c r="AT134" s="78"/>
      <c r="AU134" s="78"/>
      <c r="AV134" s="78"/>
      <c r="AW134" s="78"/>
      <c r="AX134" s="78"/>
      <c r="AY134" s="78"/>
      <c r="AZ134" s="78"/>
      <c r="BA134" s="78"/>
      <c r="BB134" s="78"/>
      <c r="BC134" s="78"/>
      <c r="BD134" s="78"/>
      <c r="BE134" s="78"/>
      <c r="BF134" s="78"/>
      <c r="BG134" s="78"/>
      <c r="BH134" s="78"/>
      <c r="BI134" s="78"/>
      <c r="BJ134" s="78"/>
      <c r="BK134" s="78"/>
      <c r="BL134" s="78"/>
      <c r="BM134" s="78"/>
      <c r="BN134" s="78"/>
      <c r="BO134" s="78"/>
      <c r="BP134" s="78"/>
      <c r="BQ134" s="78"/>
      <c r="BR134" s="78"/>
      <c r="BS134" s="78"/>
      <c r="BT134" s="78"/>
      <c r="BU134" s="78"/>
      <c r="BV134" s="78"/>
      <c r="BW134" s="78"/>
      <c r="BX134" s="78"/>
      <c r="BY134" s="78"/>
      <c r="BZ134" s="78"/>
      <c r="CA134" s="78"/>
      <c r="CB134" s="78"/>
      <c r="CC134" s="78"/>
      <c r="CD134" s="78"/>
      <c r="CE134" s="78"/>
      <c r="CF134" s="78"/>
      <c r="CG134" s="78"/>
      <c r="CH134" s="78"/>
      <c r="CI134" s="78"/>
      <c r="CJ134" s="78"/>
      <c r="CK134" s="78"/>
      <c r="CL134" s="78"/>
      <c r="CM134" s="78"/>
      <c r="CN134" s="78"/>
      <c r="CO134" s="78"/>
      <c r="CP134" s="78"/>
      <c r="CQ134" s="78"/>
      <c r="CR134" s="78"/>
      <c r="CS134" s="78"/>
      <c r="CT134" s="78"/>
      <c r="CU134" s="78"/>
      <c r="CV134" s="78"/>
      <c r="CW134" s="78"/>
      <c r="CX134" s="78"/>
      <c r="CY134" s="78"/>
      <c r="CZ134" s="78"/>
      <c r="DA134" s="78"/>
      <c r="DB134" s="78"/>
      <c r="DC134" s="78"/>
      <c r="DD134" s="78"/>
      <c r="DE134" s="78"/>
      <c r="DF134" s="78"/>
      <c r="DG134" s="78"/>
      <c r="DH134" s="78"/>
      <c r="DI134" s="78"/>
      <c r="DJ134" s="78"/>
      <c r="DK134" s="78"/>
      <c r="DL134" s="78"/>
      <c r="DM134" s="78"/>
      <c r="DN134" s="78"/>
      <c r="DO134" s="78"/>
      <c r="DP134" s="78"/>
      <c r="DQ134" s="78"/>
      <c r="DR134" s="78"/>
      <c r="DS134" s="78"/>
      <c r="DT134" s="78"/>
      <c r="DU134" s="78"/>
      <c r="DV134" s="78"/>
      <c r="DW134" s="78"/>
      <c r="DX134" s="78"/>
      <c r="DY134" s="78"/>
      <c r="DZ134" s="78"/>
      <c r="EA134" s="78"/>
      <c r="EB134" s="78"/>
      <c r="EC134" s="78"/>
    </row>
    <row r="135" spans="1:133" s="9" customFormat="1" x14ac:dyDescent="0.25">
      <c r="A135" s="73" t="s">
        <v>57</v>
      </c>
      <c r="B135" s="60" t="s">
        <v>204</v>
      </c>
      <c r="C135" s="53" t="s">
        <v>59</v>
      </c>
      <c r="D135" s="53" t="s">
        <v>376</v>
      </c>
      <c r="E135" s="162">
        <v>1.9870000000000001</v>
      </c>
      <c r="F135" s="163"/>
      <c r="G135" s="163"/>
      <c r="H135" s="163"/>
      <c r="I135" s="163"/>
      <c r="J135" s="163"/>
      <c r="K135" s="163"/>
      <c r="L135" s="163"/>
      <c r="M135" s="163"/>
      <c r="N135" s="163"/>
      <c r="O135" s="163"/>
      <c r="P135" s="163"/>
      <c r="Q135" s="164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78"/>
      <c r="AG135" s="78"/>
      <c r="AH135" s="78"/>
      <c r="AI135" s="78"/>
      <c r="AJ135" s="78"/>
      <c r="AK135" s="78"/>
      <c r="AL135" s="78"/>
      <c r="AM135" s="78"/>
      <c r="AN135" s="78"/>
      <c r="AO135" s="78"/>
      <c r="AP135" s="78"/>
      <c r="AQ135" s="78"/>
      <c r="AR135" s="78"/>
      <c r="AS135" s="78"/>
      <c r="AT135" s="78"/>
      <c r="AU135" s="78"/>
      <c r="AV135" s="78"/>
      <c r="AW135" s="78"/>
      <c r="AX135" s="78"/>
      <c r="AY135" s="78"/>
      <c r="AZ135" s="78"/>
      <c r="BA135" s="78"/>
      <c r="BB135" s="78"/>
      <c r="BC135" s="78"/>
      <c r="BD135" s="78"/>
      <c r="BE135" s="78"/>
      <c r="BF135" s="78"/>
      <c r="BG135" s="78"/>
      <c r="BH135" s="78"/>
      <c r="BI135" s="78"/>
      <c r="BJ135" s="78"/>
      <c r="BK135" s="78"/>
      <c r="BL135" s="78"/>
      <c r="BM135" s="78"/>
      <c r="BN135" s="78"/>
      <c r="BO135" s="78"/>
      <c r="BP135" s="78"/>
      <c r="BQ135" s="78"/>
      <c r="BR135" s="78"/>
      <c r="BS135" s="78"/>
      <c r="BT135" s="78"/>
      <c r="BU135" s="78"/>
      <c r="BV135" s="78"/>
      <c r="BW135" s="78"/>
      <c r="BX135" s="78"/>
      <c r="BY135" s="78"/>
      <c r="BZ135" s="78"/>
      <c r="CA135" s="78"/>
      <c r="CB135" s="78"/>
      <c r="CC135" s="78"/>
      <c r="CD135" s="78"/>
      <c r="CE135" s="78"/>
      <c r="CF135" s="78"/>
      <c r="CG135" s="78"/>
      <c r="CH135" s="78"/>
      <c r="CI135" s="78"/>
      <c r="CJ135" s="78"/>
      <c r="CK135" s="78"/>
      <c r="CL135" s="78"/>
      <c r="CM135" s="78"/>
      <c r="CN135" s="78"/>
      <c r="CO135" s="78"/>
      <c r="CP135" s="78"/>
      <c r="CQ135" s="78"/>
      <c r="CR135" s="78"/>
      <c r="CS135" s="78"/>
      <c r="CT135" s="78"/>
      <c r="CU135" s="78"/>
      <c r="CV135" s="78"/>
      <c r="CW135" s="78"/>
      <c r="CX135" s="78"/>
      <c r="CY135" s="78"/>
      <c r="CZ135" s="78"/>
      <c r="DA135" s="78"/>
      <c r="DB135" s="78"/>
      <c r="DC135" s="78"/>
      <c r="DD135" s="78"/>
      <c r="DE135" s="78"/>
      <c r="DF135" s="78"/>
      <c r="DG135" s="78"/>
      <c r="DH135" s="78"/>
      <c r="DI135" s="78"/>
      <c r="DJ135" s="78"/>
      <c r="DK135" s="78"/>
      <c r="DL135" s="78"/>
      <c r="DM135" s="78"/>
      <c r="DN135" s="78"/>
      <c r="DO135" s="78"/>
      <c r="DP135" s="78"/>
      <c r="DQ135" s="78"/>
      <c r="DR135" s="78"/>
      <c r="DS135" s="78"/>
      <c r="DT135" s="78"/>
      <c r="DU135" s="78"/>
      <c r="DV135" s="78"/>
      <c r="DW135" s="78"/>
      <c r="DX135" s="78"/>
      <c r="DY135" s="78"/>
      <c r="DZ135" s="78"/>
      <c r="EA135" s="78"/>
      <c r="EB135" s="78"/>
      <c r="EC135" s="78"/>
    </row>
    <row r="136" spans="1:133" s="9" customFormat="1" ht="31.2" x14ac:dyDescent="0.25">
      <c r="A136" s="73" t="s">
        <v>60</v>
      </c>
      <c r="B136" s="60" t="s">
        <v>203</v>
      </c>
      <c r="C136" s="53" t="s">
        <v>61</v>
      </c>
      <c r="D136" s="143" t="s">
        <v>363</v>
      </c>
      <c r="E136" s="98">
        <f>AVERAGE(F136:K136)</f>
        <v>294.65000000000003</v>
      </c>
      <c r="F136" s="60">
        <v>290.14999999999998</v>
      </c>
      <c r="G136" s="60">
        <v>287.14999999999998</v>
      </c>
      <c r="H136" s="60">
        <v>295.14999999999998</v>
      </c>
      <c r="I136" s="60">
        <v>296.14999999999998</v>
      </c>
      <c r="J136" s="60">
        <v>298.14999999999998</v>
      </c>
      <c r="K136" s="60">
        <v>301.14999999999998</v>
      </c>
      <c r="L136" s="60" t="s">
        <v>297</v>
      </c>
      <c r="M136" s="60" t="s">
        <v>297</v>
      </c>
      <c r="N136" s="60" t="s">
        <v>297</v>
      </c>
      <c r="O136" s="60" t="s">
        <v>297</v>
      </c>
      <c r="P136" s="60" t="s">
        <v>297</v>
      </c>
      <c r="Q136" s="60" t="s">
        <v>297</v>
      </c>
      <c r="R136" s="78"/>
      <c r="S136" s="78"/>
      <c r="T136" s="78"/>
      <c r="U136" s="78"/>
      <c r="V136" s="78"/>
      <c r="W136" s="78"/>
      <c r="X136" s="78"/>
      <c r="Y136" s="78"/>
      <c r="Z136" s="78"/>
      <c r="AA136" s="78"/>
      <c r="AB136" s="78"/>
      <c r="AC136" s="78"/>
      <c r="AD136" s="78"/>
      <c r="AE136" s="78"/>
      <c r="AF136" s="78"/>
      <c r="AG136" s="78"/>
      <c r="AH136" s="78"/>
      <c r="AI136" s="78"/>
      <c r="AJ136" s="78"/>
      <c r="AK136" s="78"/>
      <c r="AL136" s="78"/>
      <c r="AM136" s="78"/>
      <c r="AN136" s="78"/>
      <c r="AO136" s="78"/>
      <c r="AP136" s="78"/>
      <c r="AQ136" s="78"/>
      <c r="AR136" s="78"/>
      <c r="AS136" s="78"/>
      <c r="AT136" s="78"/>
      <c r="AU136" s="78"/>
      <c r="AV136" s="78"/>
      <c r="AW136" s="78"/>
      <c r="AX136" s="78"/>
      <c r="AY136" s="78"/>
      <c r="AZ136" s="78"/>
      <c r="BA136" s="78"/>
      <c r="BB136" s="78"/>
      <c r="BC136" s="78"/>
      <c r="BD136" s="78"/>
      <c r="BE136" s="78"/>
      <c r="BF136" s="78"/>
      <c r="BG136" s="78"/>
      <c r="BH136" s="78"/>
      <c r="BI136" s="78"/>
      <c r="BJ136" s="78"/>
      <c r="BK136" s="78"/>
      <c r="BL136" s="78"/>
      <c r="BM136" s="78"/>
      <c r="BN136" s="78"/>
      <c r="BO136" s="78"/>
      <c r="BP136" s="78"/>
      <c r="BQ136" s="78"/>
      <c r="BR136" s="78"/>
      <c r="BS136" s="78"/>
      <c r="BT136" s="78"/>
      <c r="BU136" s="78"/>
      <c r="BV136" s="78"/>
      <c r="BW136" s="78"/>
      <c r="BX136" s="78"/>
      <c r="BY136" s="78"/>
      <c r="BZ136" s="78"/>
      <c r="CA136" s="78"/>
      <c r="CB136" s="78"/>
      <c r="CC136" s="78"/>
      <c r="CD136" s="78"/>
      <c r="CE136" s="78"/>
      <c r="CF136" s="78"/>
      <c r="CG136" s="78"/>
      <c r="CH136" s="78"/>
      <c r="CI136" s="78"/>
      <c r="CJ136" s="78"/>
      <c r="CK136" s="78"/>
      <c r="CL136" s="78"/>
      <c r="CM136" s="78"/>
      <c r="CN136" s="78"/>
      <c r="CO136" s="78"/>
      <c r="CP136" s="78"/>
      <c r="CQ136" s="78"/>
      <c r="CR136" s="78"/>
      <c r="CS136" s="78"/>
      <c r="CT136" s="78"/>
      <c r="CU136" s="78"/>
      <c r="CV136" s="78"/>
      <c r="CW136" s="78"/>
      <c r="CX136" s="78"/>
      <c r="CY136" s="78"/>
      <c r="CZ136" s="78"/>
      <c r="DA136" s="78"/>
      <c r="DB136" s="78"/>
      <c r="DC136" s="78"/>
      <c r="DD136" s="78"/>
      <c r="DE136" s="78"/>
      <c r="DF136" s="78"/>
      <c r="DG136" s="78"/>
      <c r="DH136" s="78"/>
      <c r="DI136" s="78"/>
      <c r="DJ136" s="78"/>
      <c r="DK136" s="78"/>
      <c r="DL136" s="78"/>
      <c r="DM136" s="78"/>
      <c r="DN136" s="78"/>
      <c r="DO136" s="78"/>
      <c r="DP136" s="78"/>
      <c r="DQ136" s="78"/>
      <c r="DR136" s="78"/>
      <c r="DS136" s="78"/>
      <c r="DT136" s="78"/>
      <c r="DU136" s="78"/>
      <c r="DV136" s="78"/>
      <c r="DW136" s="78"/>
      <c r="DX136" s="78"/>
      <c r="DY136" s="78"/>
      <c r="DZ136" s="78"/>
      <c r="EA136" s="78"/>
      <c r="EB136" s="78"/>
      <c r="EC136" s="78"/>
    </row>
    <row r="137" spans="1:133" s="9" customFormat="1" ht="31.2" x14ac:dyDescent="0.4">
      <c r="A137" s="71" t="s">
        <v>62</v>
      </c>
      <c r="B137" s="60" t="s">
        <v>196</v>
      </c>
      <c r="C137" s="53" t="s">
        <v>63</v>
      </c>
      <c r="D137" s="53" t="s">
        <v>377</v>
      </c>
      <c r="E137" s="74">
        <f>SUM(F137:K137)</f>
        <v>223.86216958889574</v>
      </c>
      <c r="F137" s="74">
        <f>F126*F121*F124+(1-F132)*'Baseline Emissions 2021'!Q137</f>
        <v>43.65977051122109</v>
      </c>
      <c r="G137" s="74">
        <f t="shared" ref="G137:K137" si="20">G126*G121*G124+(1-G132)*F137</f>
        <v>48.217687181701905</v>
      </c>
      <c r="H137" s="74">
        <f t="shared" si="20"/>
        <v>40.790657623297051</v>
      </c>
      <c r="I137" s="74">
        <f t="shared" si="20"/>
        <v>34.671455774421517</v>
      </c>
      <c r="J137" s="74">
        <f t="shared" si="20"/>
        <v>32.764991442940243</v>
      </c>
      <c r="K137" s="74">
        <f t="shared" si="20"/>
        <v>23.757607055313919</v>
      </c>
      <c r="L137" s="74" t="s">
        <v>297</v>
      </c>
      <c r="M137" s="74" t="s">
        <v>297</v>
      </c>
      <c r="N137" s="74" t="s">
        <v>297</v>
      </c>
      <c r="O137" s="74" t="s">
        <v>297</v>
      </c>
      <c r="P137" s="74" t="s">
        <v>297</v>
      </c>
      <c r="Q137" s="74" t="s">
        <v>297</v>
      </c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78"/>
      <c r="AG137" s="78"/>
      <c r="AH137" s="78"/>
      <c r="AI137" s="78"/>
      <c r="AJ137" s="78"/>
      <c r="AK137" s="78"/>
      <c r="AL137" s="78"/>
      <c r="AM137" s="78"/>
      <c r="AN137" s="78"/>
      <c r="AO137" s="78"/>
      <c r="AP137" s="78"/>
      <c r="AQ137" s="78"/>
      <c r="AR137" s="78"/>
      <c r="AS137" s="78"/>
      <c r="AT137" s="78"/>
      <c r="AU137" s="78"/>
      <c r="AV137" s="78"/>
      <c r="AW137" s="78"/>
      <c r="AX137" s="78"/>
      <c r="AY137" s="78"/>
      <c r="AZ137" s="78"/>
      <c r="BA137" s="78"/>
      <c r="BB137" s="78"/>
      <c r="BC137" s="78"/>
      <c r="BD137" s="78"/>
      <c r="BE137" s="78"/>
      <c r="BF137" s="78"/>
      <c r="BG137" s="78"/>
      <c r="BH137" s="78"/>
      <c r="BI137" s="78"/>
      <c r="BJ137" s="78"/>
      <c r="BK137" s="78"/>
      <c r="BL137" s="78"/>
      <c r="BM137" s="78"/>
      <c r="BN137" s="78"/>
      <c r="BO137" s="78"/>
      <c r="BP137" s="78"/>
      <c r="BQ137" s="78"/>
      <c r="BR137" s="78"/>
      <c r="BS137" s="78"/>
      <c r="BT137" s="78"/>
      <c r="BU137" s="78"/>
      <c r="BV137" s="78"/>
      <c r="BW137" s="78"/>
      <c r="BX137" s="78"/>
      <c r="BY137" s="78"/>
      <c r="BZ137" s="78"/>
      <c r="CA137" s="78"/>
      <c r="CB137" s="78"/>
      <c r="CC137" s="78"/>
      <c r="CD137" s="78"/>
      <c r="CE137" s="78"/>
      <c r="CF137" s="78"/>
      <c r="CG137" s="78"/>
      <c r="CH137" s="78"/>
      <c r="CI137" s="78"/>
      <c r="CJ137" s="78"/>
      <c r="CK137" s="78"/>
      <c r="CL137" s="78"/>
      <c r="CM137" s="78"/>
      <c r="CN137" s="78"/>
      <c r="CO137" s="78"/>
      <c r="CP137" s="78"/>
      <c r="CQ137" s="78"/>
      <c r="CR137" s="78"/>
      <c r="CS137" s="78"/>
      <c r="CT137" s="78"/>
      <c r="CU137" s="78"/>
      <c r="CV137" s="78"/>
      <c r="CW137" s="78"/>
      <c r="CX137" s="78"/>
      <c r="CY137" s="78"/>
      <c r="CZ137" s="78"/>
      <c r="DA137" s="78"/>
      <c r="DB137" s="78"/>
      <c r="DC137" s="78"/>
      <c r="DD137" s="78"/>
      <c r="DE137" s="78"/>
      <c r="DF137" s="78"/>
      <c r="DG137" s="78"/>
      <c r="DH137" s="78"/>
      <c r="DI137" s="78"/>
      <c r="DJ137" s="78"/>
      <c r="DK137" s="78"/>
      <c r="DL137" s="78"/>
      <c r="DM137" s="78"/>
      <c r="DN137" s="78"/>
      <c r="DO137" s="78"/>
      <c r="DP137" s="78"/>
      <c r="DQ137" s="78"/>
      <c r="DR137" s="78"/>
      <c r="DS137" s="78"/>
      <c r="DT137" s="78"/>
      <c r="DU137" s="78"/>
      <c r="DV137" s="78"/>
      <c r="DW137" s="78"/>
      <c r="DX137" s="78"/>
      <c r="DY137" s="78"/>
      <c r="DZ137" s="78"/>
      <c r="EA137" s="78"/>
      <c r="EB137" s="78"/>
      <c r="EC137" s="78"/>
    </row>
    <row r="139" spans="1:133" x14ac:dyDescent="0.25">
      <c r="A139" s="158" t="s">
        <v>64</v>
      </c>
      <c r="B139" s="158"/>
      <c r="C139" s="158"/>
      <c r="D139" s="158"/>
      <c r="E139" s="158"/>
    </row>
    <row r="140" spans="1:133" x14ac:dyDescent="0.25">
      <c r="A140" s="57" t="s">
        <v>8</v>
      </c>
      <c r="B140" s="58" t="s">
        <v>9</v>
      </c>
      <c r="C140" s="34" t="s">
        <v>10</v>
      </c>
      <c r="D140" s="34" t="s">
        <v>340</v>
      </c>
      <c r="E140" s="16" t="s">
        <v>65</v>
      </c>
    </row>
    <row r="141" spans="1:133" ht="62.4" x14ac:dyDescent="0.25">
      <c r="A141" s="59" t="s">
        <v>66</v>
      </c>
      <c r="B141" s="60" t="s">
        <v>14</v>
      </c>
      <c r="C141" s="53" t="s">
        <v>67</v>
      </c>
      <c r="D141" s="53" t="s">
        <v>68</v>
      </c>
      <c r="E141" s="75">
        <v>0</v>
      </c>
    </row>
    <row r="142" spans="1:133" ht="46.8" x14ac:dyDescent="0.25">
      <c r="A142" s="63" t="s">
        <v>69</v>
      </c>
      <c r="B142" s="25" t="s">
        <v>70</v>
      </c>
      <c r="C142" s="35" t="s">
        <v>71</v>
      </c>
      <c r="D142" s="35" t="str">
        <f>D148</f>
        <v>Historical data on site in the FSR (It was calculated with conservative value)</v>
      </c>
      <c r="E142" s="74">
        <f>E148</f>
        <v>76.324459195421838</v>
      </c>
    </row>
    <row r="144" spans="1:133" s="13" customFormat="1" x14ac:dyDescent="0.25">
      <c r="A144" s="174" t="s">
        <v>72</v>
      </c>
      <c r="B144" s="174"/>
      <c r="C144" s="175"/>
      <c r="D144" s="175"/>
      <c r="E144" s="17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  <c r="AI144" s="14"/>
      <c r="AJ144" s="14"/>
      <c r="AK144" s="14"/>
      <c r="AL144" s="14"/>
      <c r="AM144" s="14"/>
      <c r="AN144" s="14"/>
      <c r="AO144" s="14"/>
      <c r="AP144" s="14"/>
      <c r="AQ144" s="14"/>
      <c r="AR144" s="14"/>
      <c r="AS144" s="14"/>
      <c r="AT144" s="14"/>
      <c r="AU144" s="14"/>
      <c r="AV144" s="14"/>
      <c r="AW144" s="14"/>
      <c r="AX144" s="14"/>
      <c r="AY144" s="14"/>
      <c r="AZ144" s="14"/>
      <c r="BA144" s="14"/>
      <c r="BB144" s="14"/>
      <c r="BC144" s="14"/>
      <c r="BD144" s="14"/>
      <c r="BE144" s="14"/>
      <c r="BF144" s="14"/>
      <c r="BG144" s="14"/>
      <c r="BH144" s="14"/>
      <c r="BI144" s="14"/>
      <c r="BJ144" s="14"/>
      <c r="BK144" s="14"/>
      <c r="BL144" s="14"/>
      <c r="BM144" s="14"/>
      <c r="BN144" s="14"/>
      <c r="BO144" s="14"/>
      <c r="BP144" s="14"/>
      <c r="BQ144" s="14"/>
      <c r="BR144" s="14"/>
      <c r="BS144" s="14"/>
      <c r="BT144" s="14"/>
      <c r="BU144" s="14"/>
      <c r="BV144" s="14"/>
      <c r="BW144" s="14"/>
      <c r="BX144" s="14"/>
      <c r="BY144" s="14"/>
      <c r="BZ144" s="14"/>
      <c r="CA144" s="14"/>
      <c r="CB144" s="14"/>
      <c r="CC144" s="14"/>
      <c r="CD144" s="14"/>
      <c r="CE144" s="14"/>
      <c r="CF144" s="14"/>
      <c r="CG144" s="14"/>
      <c r="CH144" s="14"/>
      <c r="CI144" s="14"/>
      <c r="CJ144" s="14"/>
      <c r="CK144" s="14"/>
      <c r="CL144" s="14"/>
      <c r="CM144" s="14"/>
      <c r="CN144" s="14"/>
      <c r="CO144" s="14"/>
      <c r="CP144" s="14"/>
      <c r="CQ144" s="14"/>
      <c r="CR144" s="14"/>
      <c r="CS144" s="14"/>
      <c r="CT144" s="14"/>
      <c r="CU144" s="14"/>
      <c r="CV144" s="14"/>
      <c r="CW144" s="14"/>
      <c r="CX144" s="14"/>
      <c r="CY144" s="14"/>
      <c r="CZ144" s="14"/>
      <c r="DA144" s="14"/>
      <c r="DB144" s="14"/>
      <c r="DC144" s="14"/>
      <c r="DD144" s="14"/>
      <c r="DE144" s="14"/>
      <c r="DF144" s="14"/>
      <c r="DG144" s="14"/>
      <c r="DH144" s="14"/>
      <c r="DI144" s="14"/>
      <c r="DJ144" s="14"/>
      <c r="DK144" s="14"/>
      <c r="DL144" s="14"/>
      <c r="DM144" s="14"/>
      <c r="DN144" s="14"/>
      <c r="DO144" s="14"/>
      <c r="DP144" s="14"/>
      <c r="DQ144" s="14"/>
      <c r="DR144" s="14"/>
      <c r="DS144" s="14"/>
      <c r="DT144" s="14"/>
      <c r="DU144" s="14"/>
      <c r="DV144" s="14"/>
      <c r="DW144" s="14"/>
      <c r="DX144" s="14"/>
      <c r="DY144" s="14"/>
      <c r="DZ144" s="14"/>
      <c r="EA144" s="14"/>
      <c r="EB144" s="14"/>
      <c r="EC144" s="14"/>
    </row>
    <row r="145" spans="1:133" s="13" customFormat="1" x14ac:dyDescent="0.25">
      <c r="A145" s="59" t="s">
        <v>8</v>
      </c>
      <c r="B145" s="16" t="s">
        <v>9</v>
      </c>
      <c r="C145" s="38" t="s">
        <v>10</v>
      </c>
      <c r="D145" s="38" t="s">
        <v>340</v>
      </c>
      <c r="E145" s="16" t="s">
        <v>65</v>
      </c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  <c r="AI145" s="14"/>
      <c r="AJ145" s="14"/>
      <c r="AK145" s="14"/>
      <c r="AL145" s="14"/>
      <c r="AM145" s="14"/>
      <c r="AN145" s="14"/>
      <c r="AO145" s="14"/>
      <c r="AP145" s="14"/>
      <c r="AQ145" s="14"/>
      <c r="AR145" s="14"/>
      <c r="AS145" s="14"/>
      <c r="AT145" s="14"/>
      <c r="AU145" s="14"/>
      <c r="AV145" s="14"/>
      <c r="AW145" s="14"/>
      <c r="AX145" s="14"/>
      <c r="AY145" s="14"/>
      <c r="AZ145" s="14"/>
      <c r="BA145" s="14"/>
      <c r="BB145" s="14"/>
      <c r="BC145" s="14"/>
      <c r="BD145" s="14"/>
      <c r="BE145" s="14"/>
      <c r="BF145" s="14"/>
      <c r="BG145" s="14"/>
      <c r="BH145" s="14"/>
      <c r="BI145" s="14"/>
      <c r="BJ145" s="14"/>
      <c r="BK145" s="14"/>
      <c r="BL145" s="14"/>
      <c r="BM145" s="14"/>
      <c r="BN145" s="14"/>
      <c r="BO145" s="14"/>
      <c r="BP145" s="14"/>
      <c r="BQ145" s="14"/>
      <c r="BR145" s="14"/>
      <c r="BS145" s="14"/>
      <c r="BT145" s="14"/>
      <c r="BU145" s="14"/>
      <c r="BV145" s="14"/>
      <c r="BW145" s="14"/>
      <c r="BX145" s="14"/>
      <c r="BY145" s="14"/>
      <c r="BZ145" s="14"/>
      <c r="CA145" s="14"/>
      <c r="CB145" s="14"/>
      <c r="CC145" s="14"/>
      <c r="CD145" s="14"/>
      <c r="CE145" s="14"/>
      <c r="CF145" s="14"/>
      <c r="CG145" s="14"/>
      <c r="CH145" s="14"/>
      <c r="CI145" s="14"/>
      <c r="CJ145" s="14"/>
      <c r="CK145" s="14"/>
      <c r="CL145" s="14"/>
      <c r="CM145" s="14"/>
      <c r="CN145" s="14"/>
      <c r="CO145" s="14"/>
      <c r="CP145" s="14"/>
      <c r="CQ145" s="14"/>
      <c r="CR145" s="14"/>
      <c r="CS145" s="14"/>
      <c r="CT145" s="14"/>
      <c r="CU145" s="14"/>
      <c r="CV145" s="14"/>
      <c r="CW145" s="14"/>
      <c r="CX145" s="14"/>
      <c r="CY145" s="14"/>
      <c r="CZ145" s="14"/>
      <c r="DA145" s="14"/>
      <c r="DB145" s="14"/>
      <c r="DC145" s="14"/>
      <c r="DD145" s="14"/>
      <c r="DE145" s="14"/>
      <c r="DF145" s="14"/>
      <c r="DG145" s="14"/>
      <c r="DH145" s="14"/>
      <c r="DI145" s="14"/>
      <c r="DJ145" s="14"/>
      <c r="DK145" s="14"/>
      <c r="DL145" s="14"/>
      <c r="DM145" s="14"/>
      <c r="DN145" s="14"/>
      <c r="DO145" s="14"/>
      <c r="DP145" s="14"/>
      <c r="DQ145" s="14"/>
      <c r="DR145" s="14"/>
      <c r="DS145" s="14"/>
      <c r="DT145" s="14"/>
      <c r="DU145" s="14"/>
      <c r="DV145" s="14"/>
      <c r="DW145" s="14"/>
      <c r="DX145" s="14"/>
      <c r="DY145" s="14"/>
      <c r="DZ145" s="14"/>
      <c r="EA145" s="14"/>
      <c r="EB145" s="14"/>
      <c r="EC145" s="14"/>
    </row>
    <row r="146" spans="1:133" s="13" customFormat="1" ht="33.6" x14ac:dyDescent="0.4">
      <c r="A146" s="76" t="s">
        <v>73</v>
      </c>
      <c r="B146" s="25" t="s">
        <v>74</v>
      </c>
      <c r="C146" s="35" t="s">
        <v>75</v>
      </c>
      <c r="D146" s="35" t="s">
        <v>378</v>
      </c>
      <c r="E146" s="50">
        <f>E147*E150*E151*E152*E153*E154</f>
        <v>0.31000942007332738</v>
      </c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  <c r="AK146" s="14"/>
      <c r="AL146" s="14"/>
      <c r="AM146" s="14"/>
      <c r="AN146" s="14"/>
      <c r="AO146" s="14"/>
      <c r="AP146" s="14"/>
      <c r="AQ146" s="14"/>
      <c r="AR146" s="14"/>
      <c r="AS146" s="14"/>
      <c r="AT146" s="14"/>
      <c r="AU146" s="14"/>
      <c r="AV146" s="14"/>
      <c r="AW146" s="14"/>
      <c r="AX146" s="14"/>
      <c r="AY146" s="14"/>
      <c r="AZ146" s="14"/>
      <c r="BA146" s="14"/>
      <c r="BB146" s="14"/>
      <c r="BC146" s="14"/>
      <c r="BD146" s="14"/>
      <c r="BE146" s="14"/>
      <c r="BF146" s="14"/>
      <c r="BG146" s="14"/>
      <c r="BH146" s="14"/>
      <c r="BI146" s="14"/>
      <c r="BJ146" s="14"/>
      <c r="BK146" s="14"/>
      <c r="BL146" s="14"/>
      <c r="BM146" s="14"/>
      <c r="BN146" s="14"/>
      <c r="BO146" s="14"/>
      <c r="BP146" s="14"/>
      <c r="BQ146" s="14"/>
      <c r="BR146" s="14"/>
      <c r="BS146" s="14"/>
      <c r="BT146" s="14"/>
      <c r="BU146" s="14"/>
      <c r="BV146" s="14"/>
      <c r="BW146" s="14"/>
      <c r="BX146" s="14"/>
      <c r="BY146" s="14"/>
      <c r="BZ146" s="14"/>
      <c r="CA146" s="14"/>
      <c r="CB146" s="14"/>
      <c r="CC146" s="14"/>
      <c r="CD146" s="14"/>
      <c r="CE146" s="14"/>
      <c r="CF146" s="14"/>
      <c r="CG146" s="14"/>
      <c r="CH146" s="14"/>
      <c r="CI146" s="14"/>
      <c r="CJ146" s="14"/>
      <c r="CK146" s="14"/>
      <c r="CL146" s="14"/>
      <c r="CM146" s="14"/>
      <c r="CN146" s="14"/>
      <c r="CO146" s="14"/>
      <c r="CP146" s="14"/>
      <c r="CQ146" s="14"/>
      <c r="CR146" s="14"/>
      <c r="CS146" s="14"/>
      <c r="CT146" s="14"/>
      <c r="CU146" s="14"/>
      <c r="CV146" s="14"/>
      <c r="CW146" s="14"/>
      <c r="CX146" s="14"/>
      <c r="CY146" s="14"/>
      <c r="CZ146" s="14"/>
      <c r="DA146" s="14"/>
      <c r="DB146" s="14"/>
      <c r="DC146" s="14"/>
      <c r="DD146" s="14"/>
      <c r="DE146" s="14"/>
      <c r="DF146" s="14"/>
      <c r="DG146" s="14"/>
      <c r="DH146" s="14"/>
      <c r="DI146" s="14"/>
      <c r="DJ146" s="14"/>
      <c r="DK146" s="14"/>
      <c r="DL146" s="14"/>
      <c r="DM146" s="14"/>
      <c r="DN146" s="14"/>
      <c r="DO146" s="14"/>
      <c r="DP146" s="14"/>
      <c r="DQ146" s="14"/>
      <c r="DR146" s="14"/>
      <c r="DS146" s="14"/>
      <c r="DT146" s="14"/>
      <c r="DU146" s="14"/>
      <c r="DV146" s="14"/>
      <c r="DW146" s="14"/>
      <c r="DX146" s="14"/>
      <c r="DY146" s="14"/>
      <c r="DZ146" s="14"/>
      <c r="EA146" s="14"/>
      <c r="EB146" s="14"/>
      <c r="EC146" s="14"/>
    </row>
    <row r="147" spans="1:133" s="13" customFormat="1" ht="46.8" x14ac:dyDescent="0.4">
      <c r="A147" s="77" t="s">
        <v>207</v>
      </c>
      <c r="B147" s="25" t="s">
        <v>76</v>
      </c>
      <c r="C147" s="35" t="s">
        <v>77</v>
      </c>
      <c r="D147" s="35" t="s">
        <v>379</v>
      </c>
      <c r="E147" s="52">
        <f>E148/E149</f>
        <v>15.264891839084367</v>
      </c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  <c r="AI147" s="14"/>
      <c r="AJ147" s="14"/>
      <c r="AK147" s="14"/>
      <c r="AL147" s="14"/>
      <c r="AM147" s="14"/>
      <c r="AN147" s="14"/>
      <c r="AO147" s="14"/>
      <c r="AP147" s="14"/>
      <c r="AQ147" s="14"/>
      <c r="AR147" s="14"/>
      <c r="AS147" s="14"/>
      <c r="AT147" s="14"/>
      <c r="AU147" s="14"/>
      <c r="AV147" s="14"/>
      <c r="AW147" s="14"/>
      <c r="AX147" s="14"/>
      <c r="AY147" s="14"/>
      <c r="AZ147" s="14"/>
      <c r="BA147" s="14"/>
      <c r="BB147" s="14"/>
      <c r="BC147" s="14"/>
      <c r="BD147" s="14"/>
      <c r="BE147" s="14"/>
      <c r="BF147" s="14"/>
      <c r="BG147" s="14"/>
      <c r="BH147" s="14"/>
      <c r="BI147" s="14"/>
      <c r="BJ147" s="14"/>
      <c r="BK147" s="14"/>
      <c r="BL147" s="14"/>
      <c r="BM147" s="14"/>
      <c r="BN147" s="14"/>
      <c r="BO147" s="14"/>
      <c r="BP147" s="14"/>
      <c r="BQ147" s="14"/>
      <c r="BR147" s="14"/>
      <c r="BS147" s="14"/>
      <c r="BT147" s="14"/>
      <c r="BU147" s="14"/>
      <c r="BV147" s="14"/>
      <c r="BW147" s="14"/>
      <c r="BX147" s="14"/>
      <c r="BY147" s="14"/>
      <c r="BZ147" s="14"/>
      <c r="CA147" s="14"/>
      <c r="CB147" s="14"/>
      <c r="CC147" s="14"/>
      <c r="CD147" s="14"/>
      <c r="CE147" s="14"/>
      <c r="CF147" s="14"/>
      <c r="CG147" s="14"/>
      <c r="CH147" s="14"/>
      <c r="CI147" s="14"/>
      <c r="CJ147" s="14"/>
      <c r="CK147" s="14"/>
      <c r="CL147" s="14"/>
      <c r="CM147" s="14"/>
      <c r="CN147" s="14"/>
      <c r="CO147" s="14"/>
      <c r="CP147" s="14"/>
      <c r="CQ147" s="14"/>
      <c r="CR147" s="14"/>
      <c r="CS147" s="14"/>
      <c r="CT147" s="14"/>
      <c r="CU147" s="14"/>
      <c r="CV147" s="14"/>
      <c r="CW147" s="14"/>
      <c r="CX147" s="14"/>
      <c r="CY147" s="14"/>
      <c r="CZ147" s="14"/>
      <c r="DA147" s="14"/>
      <c r="DB147" s="14"/>
      <c r="DC147" s="14"/>
      <c r="DD147" s="14"/>
      <c r="DE147" s="14"/>
      <c r="DF147" s="14"/>
      <c r="DG147" s="14"/>
      <c r="DH147" s="14"/>
      <c r="DI147" s="14"/>
      <c r="DJ147" s="14"/>
      <c r="DK147" s="14"/>
      <c r="DL147" s="14"/>
      <c r="DM147" s="14"/>
      <c r="DN147" s="14"/>
      <c r="DO147" s="14"/>
      <c r="DP147" s="14"/>
      <c r="DQ147" s="14"/>
      <c r="DR147" s="14"/>
      <c r="DS147" s="14"/>
      <c r="DT147" s="14"/>
      <c r="DU147" s="14"/>
      <c r="DV147" s="14"/>
      <c r="DW147" s="14"/>
      <c r="DX147" s="14"/>
      <c r="DY147" s="14"/>
      <c r="DZ147" s="14"/>
      <c r="EA147" s="14"/>
      <c r="EB147" s="14"/>
      <c r="EC147" s="14"/>
    </row>
    <row r="148" spans="1:133" s="13" customFormat="1" ht="46.8" x14ac:dyDescent="0.25">
      <c r="A148" s="63" t="s">
        <v>208</v>
      </c>
      <c r="B148" s="25" t="s">
        <v>78</v>
      </c>
      <c r="C148" s="35" t="s">
        <v>79</v>
      </c>
      <c r="D148" s="53" t="s">
        <v>352</v>
      </c>
      <c r="E148" s="52">
        <f>0.000186629873180262*E121</f>
        <v>76.324459195421838</v>
      </c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  <c r="AI148" s="14"/>
      <c r="AJ148" s="14"/>
      <c r="AK148" s="14"/>
      <c r="AL148" s="14"/>
      <c r="AM148" s="14"/>
      <c r="AN148" s="14"/>
      <c r="AO148" s="14"/>
      <c r="AP148" s="14"/>
      <c r="AQ148" s="14"/>
      <c r="AR148" s="14"/>
      <c r="AS148" s="14"/>
      <c r="AT148" s="14"/>
      <c r="AU148" s="14"/>
      <c r="AV148" s="14"/>
      <c r="AW148" s="14"/>
      <c r="AX148" s="14"/>
      <c r="AY148" s="14"/>
      <c r="AZ148" s="14"/>
      <c r="BA148" s="14"/>
      <c r="BB148" s="14"/>
      <c r="BC148" s="14"/>
      <c r="BD148" s="14"/>
      <c r="BE148" s="14"/>
      <c r="BF148" s="14"/>
      <c r="BG148" s="14"/>
      <c r="BH148" s="14"/>
      <c r="BI148" s="14"/>
      <c r="BJ148" s="14"/>
      <c r="BK148" s="14"/>
      <c r="BL148" s="14"/>
      <c r="BM148" s="14"/>
      <c r="BN148" s="14"/>
      <c r="BO148" s="14"/>
      <c r="BP148" s="14"/>
      <c r="BQ148" s="14"/>
      <c r="BR148" s="14"/>
      <c r="BS148" s="14"/>
      <c r="BT148" s="14"/>
      <c r="BU148" s="14"/>
      <c r="BV148" s="14"/>
      <c r="BW148" s="14"/>
      <c r="BX148" s="14"/>
      <c r="BY148" s="14"/>
      <c r="BZ148" s="14"/>
      <c r="CA148" s="14"/>
      <c r="CB148" s="14"/>
      <c r="CC148" s="14"/>
      <c r="CD148" s="14"/>
      <c r="CE148" s="14"/>
      <c r="CF148" s="14"/>
      <c r="CG148" s="14"/>
      <c r="CH148" s="14"/>
      <c r="CI148" s="14"/>
      <c r="CJ148" s="14"/>
      <c r="CK148" s="14"/>
      <c r="CL148" s="14"/>
      <c r="CM148" s="14"/>
      <c r="CN148" s="14"/>
      <c r="CO148" s="14"/>
      <c r="CP148" s="14"/>
      <c r="CQ148" s="14"/>
      <c r="CR148" s="14"/>
      <c r="CS148" s="14"/>
      <c r="CT148" s="14"/>
      <c r="CU148" s="14"/>
      <c r="CV148" s="14"/>
      <c r="CW148" s="14"/>
      <c r="CX148" s="14"/>
      <c r="CY148" s="14"/>
      <c r="CZ148" s="14"/>
      <c r="DA148" s="14"/>
      <c r="DB148" s="14"/>
      <c r="DC148" s="14"/>
      <c r="DD148" s="14"/>
      <c r="DE148" s="14"/>
      <c r="DF148" s="14"/>
      <c r="DG148" s="14"/>
      <c r="DH148" s="14"/>
      <c r="DI148" s="14"/>
      <c r="DJ148" s="14"/>
      <c r="DK148" s="14"/>
      <c r="DL148" s="14"/>
      <c r="DM148" s="14"/>
      <c r="DN148" s="14"/>
      <c r="DO148" s="14"/>
      <c r="DP148" s="14"/>
      <c r="DQ148" s="14"/>
      <c r="DR148" s="14"/>
      <c r="DS148" s="14"/>
      <c r="DT148" s="14"/>
      <c r="DU148" s="14"/>
      <c r="DV148" s="14"/>
      <c r="DW148" s="14"/>
      <c r="DX148" s="14"/>
      <c r="DY148" s="14"/>
      <c r="DZ148" s="14"/>
      <c r="EA148" s="14"/>
      <c r="EB148" s="14"/>
      <c r="EC148" s="14"/>
    </row>
    <row r="149" spans="1:133" s="13" customFormat="1" ht="31.2" x14ac:dyDescent="0.25">
      <c r="A149" s="63" t="s">
        <v>209</v>
      </c>
      <c r="B149" s="25" t="s">
        <v>80</v>
      </c>
      <c r="C149" s="35" t="s">
        <v>81</v>
      </c>
      <c r="D149" s="35" t="s">
        <v>353</v>
      </c>
      <c r="E149" s="25">
        <f>5</f>
        <v>5</v>
      </c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  <c r="AI149" s="14"/>
      <c r="AJ149" s="14"/>
      <c r="AK149" s="14"/>
      <c r="AL149" s="14"/>
      <c r="AM149" s="14"/>
      <c r="AN149" s="14"/>
      <c r="AO149" s="14"/>
      <c r="AP149" s="14"/>
      <c r="AQ149" s="14"/>
      <c r="AR149" s="14"/>
      <c r="AS149" s="14"/>
      <c r="AT149" s="14"/>
      <c r="AU149" s="14"/>
      <c r="AV149" s="14"/>
      <c r="AW149" s="14"/>
      <c r="AX149" s="14"/>
      <c r="AY149" s="14"/>
      <c r="AZ149" s="14"/>
      <c r="BA149" s="14"/>
      <c r="BB149" s="14"/>
      <c r="BC149" s="14"/>
      <c r="BD149" s="14"/>
      <c r="BE149" s="14"/>
      <c r="BF149" s="14"/>
      <c r="BG149" s="14"/>
      <c r="BH149" s="14"/>
      <c r="BI149" s="14"/>
      <c r="BJ149" s="14"/>
      <c r="BK149" s="14"/>
      <c r="BL149" s="14"/>
      <c r="BM149" s="14"/>
      <c r="BN149" s="14"/>
      <c r="BO149" s="14"/>
      <c r="BP149" s="14"/>
      <c r="BQ149" s="14"/>
      <c r="BR149" s="14"/>
      <c r="BS149" s="14"/>
      <c r="BT149" s="14"/>
      <c r="BU149" s="14"/>
      <c r="BV149" s="14"/>
      <c r="BW149" s="14"/>
      <c r="BX149" s="14"/>
      <c r="BY149" s="14"/>
      <c r="BZ149" s="14"/>
      <c r="CA149" s="14"/>
      <c r="CB149" s="14"/>
      <c r="CC149" s="14"/>
      <c r="CD149" s="14"/>
      <c r="CE149" s="14"/>
      <c r="CF149" s="14"/>
      <c r="CG149" s="14"/>
      <c r="CH149" s="14"/>
      <c r="CI149" s="14"/>
      <c r="CJ149" s="14"/>
      <c r="CK149" s="14"/>
      <c r="CL149" s="14"/>
      <c r="CM149" s="14"/>
      <c r="CN149" s="14"/>
      <c r="CO149" s="14"/>
      <c r="CP149" s="14"/>
      <c r="CQ149" s="14"/>
      <c r="CR149" s="14"/>
      <c r="CS149" s="14"/>
      <c r="CT149" s="14"/>
      <c r="CU149" s="14"/>
      <c r="CV149" s="14"/>
      <c r="CW149" s="14"/>
      <c r="CX149" s="14"/>
      <c r="CY149" s="14"/>
      <c r="CZ149" s="14"/>
      <c r="DA149" s="14"/>
      <c r="DB149" s="14"/>
      <c r="DC149" s="14"/>
      <c r="DD149" s="14"/>
      <c r="DE149" s="14"/>
      <c r="DF149" s="14"/>
      <c r="DG149" s="14"/>
      <c r="DH149" s="14"/>
      <c r="DI149" s="14"/>
      <c r="DJ149" s="14"/>
      <c r="DK149" s="14"/>
      <c r="DL149" s="14"/>
      <c r="DM149" s="14"/>
      <c r="DN149" s="14"/>
      <c r="DO149" s="14"/>
      <c r="DP149" s="14"/>
      <c r="DQ149" s="14"/>
      <c r="DR149" s="14"/>
      <c r="DS149" s="14"/>
      <c r="DT149" s="14"/>
      <c r="DU149" s="14"/>
      <c r="DV149" s="14"/>
      <c r="DW149" s="14"/>
      <c r="DX149" s="14"/>
      <c r="DY149" s="14"/>
      <c r="DZ149" s="14"/>
      <c r="EA149" s="14"/>
      <c r="EB149" s="14"/>
      <c r="EC149" s="14"/>
    </row>
    <row r="150" spans="1:133" s="13" customFormat="1" ht="62.4" x14ac:dyDescent="0.25">
      <c r="A150" s="63" t="s">
        <v>210</v>
      </c>
      <c r="B150" s="25" t="s">
        <v>82</v>
      </c>
      <c r="C150" s="35" t="s">
        <v>83</v>
      </c>
      <c r="D150" s="53" t="s">
        <v>354</v>
      </c>
      <c r="E150" s="25">
        <f>15*2</f>
        <v>30</v>
      </c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  <c r="AI150" s="14"/>
      <c r="AJ150" s="14"/>
      <c r="AK150" s="14"/>
      <c r="AL150" s="14"/>
      <c r="AM150" s="14"/>
      <c r="AN150" s="14"/>
      <c r="AO150" s="14"/>
      <c r="AP150" s="14"/>
      <c r="AQ150" s="14"/>
      <c r="AR150" s="14"/>
      <c r="AS150" s="14"/>
      <c r="AT150" s="14"/>
      <c r="AU150" s="14"/>
      <c r="AV150" s="14"/>
      <c r="AW150" s="14"/>
      <c r="AX150" s="14"/>
      <c r="AY150" s="14"/>
      <c r="AZ150" s="14"/>
      <c r="BA150" s="14"/>
      <c r="BB150" s="14"/>
      <c r="BC150" s="14"/>
      <c r="BD150" s="14"/>
      <c r="BE150" s="14"/>
      <c r="BF150" s="14"/>
      <c r="BG150" s="14"/>
      <c r="BH150" s="14"/>
      <c r="BI150" s="14"/>
      <c r="BJ150" s="14"/>
      <c r="BK150" s="14"/>
      <c r="BL150" s="14"/>
      <c r="BM150" s="14"/>
      <c r="BN150" s="14"/>
      <c r="BO150" s="14"/>
      <c r="BP150" s="14"/>
      <c r="BQ150" s="14"/>
      <c r="BR150" s="14"/>
      <c r="BS150" s="14"/>
      <c r="BT150" s="14"/>
      <c r="BU150" s="14"/>
      <c r="BV150" s="14"/>
      <c r="BW150" s="14"/>
      <c r="BX150" s="14"/>
      <c r="BY150" s="14"/>
      <c r="BZ150" s="14"/>
      <c r="CA150" s="14"/>
      <c r="CB150" s="14"/>
      <c r="CC150" s="14"/>
      <c r="CD150" s="14"/>
      <c r="CE150" s="14"/>
      <c r="CF150" s="14"/>
      <c r="CG150" s="14"/>
      <c r="CH150" s="14"/>
      <c r="CI150" s="14"/>
      <c r="CJ150" s="14"/>
      <c r="CK150" s="14"/>
      <c r="CL150" s="14"/>
      <c r="CM150" s="14"/>
      <c r="CN150" s="14"/>
      <c r="CO150" s="14"/>
      <c r="CP150" s="14"/>
      <c r="CQ150" s="14"/>
      <c r="CR150" s="14"/>
      <c r="CS150" s="14"/>
      <c r="CT150" s="14"/>
      <c r="CU150" s="14"/>
      <c r="CV150" s="14"/>
      <c r="CW150" s="14"/>
      <c r="CX150" s="14"/>
      <c r="CY150" s="14"/>
      <c r="CZ150" s="14"/>
      <c r="DA150" s="14"/>
      <c r="DB150" s="14"/>
      <c r="DC150" s="14"/>
      <c r="DD150" s="14"/>
      <c r="DE150" s="14"/>
      <c r="DF150" s="14"/>
      <c r="DG150" s="14"/>
      <c r="DH150" s="14"/>
      <c r="DI150" s="14"/>
      <c r="DJ150" s="14"/>
      <c r="DK150" s="14"/>
      <c r="DL150" s="14"/>
      <c r="DM150" s="14"/>
      <c r="DN150" s="14"/>
      <c r="DO150" s="14"/>
      <c r="DP150" s="14"/>
      <c r="DQ150" s="14"/>
      <c r="DR150" s="14"/>
      <c r="DS150" s="14"/>
      <c r="DT150" s="14"/>
      <c r="DU150" s="14"/>
      <c r="DV150" s="14"/>
      <c r="DW150" s="14"/>
      <c r="DX150" s="14"/>
      <c r="DY150" s="14"/>
      <c r="DZ150" s="14"/>
      <c r="EA150" s="14"/>
      <c r="EB150" s="14"/>
      <c r="EC150" s="14"/>
    </row>
    <row r="151" spans="1:133" s="13" customFormat="1" ht="172.2" x14ac:dyDescent="0.25">
      <c r="A151" s="63" t="s">
        <v>211</v>
      </c>
      <c r="B151" s="25" t="s">
        <v>84</v>
      </c>
      <c r="C151" s="35" t="s">
        <v>85</v>
      </c>
      <c r="D151" s="35" t="s">
        <v>355</v>
      </c>
      <c r="E151" s="25">
        <f>25.1/100</f>
        <v>0.251</v>
      </c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  <c r="AM151" s="14"/>
      <c r="AN151" s="14"/>
      <c r="AO151" s="14"/>
      <c r="AP151" s="14"/>
      <c r="AQ151" s="14"/>
      <c r="AR151" s="14"/>
      <c r="AS151" s="14"/>
      <c r="AT151" s="14"/>
      <c r="AU151" s="14"/>
      <c r="AV151" s="14"/>
      <c r="AW151" s="14"/>
      <c r="AX151" s="14"/>
      <c r="AY151" s="14"/>
      <c r="AZ151" s="14"/>
      <c r="BA151" s="14"/>
      <c r="BB151" s="14"/>
      <c r="BC151" s="14"/>
      <c r="BD151" s="14"/>
      <c r="BE151" s="14"/>
      <c r="BF151" s="14"/>
      <c r="BG151" s="14"/>
      <c r="BH151" s="14"/>
      <c r="BI151" s="14"/>
      <c r="BJ151" s="14"/>
      <c r="BK151" s="14"/>
      <c r="BL151" s="14"/>
      <c r="BM151" s="14"/>
      <c r="BN151" s="14"/>
      <c r="BO151" s="14"/>
      <c r="BP151" s="14"/>
      <c r="BQ151" s="14"/>
      <c r="BR151" s="14"/>
      <c r="BS151" s="14"/>
      <c r="BT151" s="14"/>
      <c r="BU151" s="14"/>
      <c r="BV151" s="14"/>
      <c r="BW151" s="14"/>
      <c r="BX151" s="14"/>
      <c r="BY151" s="14"/>
      <c r="BZ151" s="14"/>
      <c r="CA151" s="14"/>
      <c r="CB151" s="14"/>
      <c r="CC151" s="14"/>
      <c r="CD151" s="14"/>
      <c r="CE151" s="14"/>
      <c r="CF151" s="14"/>
      <c r="CG151" s="14"/>
      <c r="CH151" s="14"/>
      <c r="CI151" s="14"/>
      <c r="CJ151" s="14"/>
      <c r="CK151" s="14"/>
      <c r="CL151" s="14"/>
      <c r="CM151" s="14"/>
      <c r="CN151" s="14"/>
      <c r="CO151" s="14"/>
      <c r="CP151" s="14"/>
      <c r="CQ151" s="14"/>
      <c r="CR151" s="14"/>
      <c r="CS151" s="14"/>
      <c r="CT151" s="14"/>
      <c r="CU151" s="14"/>
      <c r="CV151" s="14"/>
      <c r="CW151" s="14"/>
      <c r="CX151" s="14"/>
      <c r="CY151" s="14"/>
      <c r="CZ151" s="14"/>
      <c r="DA151" s="14"/>
      <c r="DB151" s="14"/>
      <c r="DC151" s="14"/>
      <c r="DD151" s="14"/>
      <c r="DE151" s="14"/>
      <c r="DF151" s="14"/>
      <c r="DG151" s="14"/>
      <c r="DH151" s="14"/>
      <c r="DI151" s="14"/>
      <c r="DJ151" s="14"/>
      <c r="DK151" s="14"/>
      <c r="DL151" s="14"/>
      <c r="DM151" s="14"/>
      <c r="DN151" s="14"/>
      <c r="DO151" s="14"/>
      <c r="DP151" s="14"/>
      <c r="DQ151" s="14"/>
      <c r="DR151" s="14"/>
      <c r="DS151" s="14"/>
      <c r="DT151" s="14"/>
      <c r="DU151" s="14"/>
      <c r="DV151" s="14"/>
      <c r="DW151" s="14"/>
      <c r="DX151" s="14"/>
      <c r="DY151" s="14"/>
      <c r="DZ151" s="14"/>
      <c r="EA151" s="14"/>
      <c r="EB151" s="14"/>
      <c r="EC151" s="14"/>
    </row>
    <row r="152" spans="1:133" s="13" customFormat="1" ht="156" x14ac:dyDescent="0.25">
      <c r="A152" s="63" t="s">
        <v>212</v>
      </c>
      <c r="B152" s="25" t="s">
        <v>87</v>
      </c>
      <c r="C152" s="35" t="s">
        <v>86</v>
      </c>
      <c r="D152" s="35" t="s">
        <v>356</v>
      </c>
      <c r="E152" s="25">
        <f>0.84/1000</f>
        <v>8.3999999999999993E-4</v>
      </c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  <c r="AM152" s="14"/>
      <c r="AN152" s="14"/>
      <c r="AO152" s="14"/>
      <c r="AP152" s="14"/>
      <c r="AQ152" s="14"/>
      <c r="AR152" s="14"/>
      <c r="AS152" s="14"/>
      <c r="AT152" s="14"/>
      <c r="AU152" s="14"/>
      <c r="AV152" s="14"/>
      <c r="AW152" s="14"/>
      <c r="AX152" s="14"/>
      <c r="AY152" s="14"/>
      <c r="AZ152" s="14"/>
      <c r="BA152" s="14"/>
      <c r="BB152" s="14"/>
      <c r="BC152" s="14"/>
      <c r="BD152" s="14"/>
      <c r="BE152" s="14"/>
      <c r="BF152" s="14"/>
      <c r="BG152" s="14"/>
      <c r="BH152" s="14"/>
      <c r="BI152" s="14"/>
      <c r="BJ152" s="14"/>
      <c r="BK152" s="14"/>
      <c r="BL152" s="14"/>
      <c r="BM152" s="14"/>
      <c r="BN152" s="14"/>
      <c r="BO152" s="14"/>
      <c r="BP152" s="14"/>
      <c r="BQ152" s="14"/>
      <c r="BR152" s="14"/>
      <c r="BS152" s="14"/>
      <c r="BT152" s="14"/>
      <c r="BU152" s="14"/>
      <c r="BV152" s="14"/>
      <c r="BW152" s="14"/>
      <c r="BX152" s="14"/>
      <c r="BY152" s="14"/>
      <c r="BZ152" s="14"/>
      <c r="CA152" s="14"/>
      <c r="CB152" s="14"/>
      <c r="CC152" s="14"/>
      <c r="CD152" s="14"/>
      <c r="CE152" s="14"/>
      <c r="CF152" s="14"/>
      <c r="CG152" s="14"/>
      <c r="CH152" s="14"/>
      <c r="CI152" s="14"/>
      <c r="CJ152" s="14"/>
      <c r="CK152" s="14"/>
      <c r="CL152" s="14"/>
      <c r="CM152" s="14"/>
      <c r="CN152" s="14"/>
      <c r="CO152" s="14"/>
      <c r="CP152" s="14"/>
      <c r="CQ152" s="14"/>
      <c r="CR152" s="14"/>
      <c r="CS152" s="14"/>
      <c r="CT152" s="14"/>
      <c r="CU152" s="14"/>
      <c r="CV152" s="14"/>
      <c r="CW152" s="14"/>
      <c r="CX152" s="14"/>
      <c r="CY152" s="14"/>
      <c r="CZ152" s="14"/>
      <c r="DA152" s="14"/>
      <c r="DB152" s="14"/>
      <c r="DC152" s="14"/>
      <c r="DD152" s="14"/>
      <c r="DE152" s="14"/>
      <c r="DF152" s="14"/>
      <c r="DG152" s="14"/>
      <c r="DH152" s="14"/>
      <c r="DI152" s="14"/>
      <c r="DJ152" s="14"/>
      <c r="DK152" s="14"/>
      <c r="DL152" s="14"/>
      <c r="DM152" s="14"/>
      <c r="DN152" s="14"/>
      <c r="DO152" s="14"/>
      <c r="DP152" s="14"/>
      <c r="DQ152" s="14"/>
      <c r="DR152" s="14"/>
      <c r="DS152" s="14"/>
      <c r="DT152" s="14"/>
      <c r="DU152" s="14"/>
      <c r="DV152" s="14"/>
      <c r="DW152" s="14"/>
      <c r="DX152" s="14"/>
      <c r="DY152" s="14"/>
      <c r="DZ152" s="14"/>
      <c r="EA152" s="14"/>
      <c r="EB152" s="14"/>
      <c r="EC152" s="14"/>
    </row>
    <row r="153" spans="1:133" s="13" customFormat="1" ht="171.6" x14ac:dyDescent="0.25">
      <c r="A153" s="63" t="s">
        <v>213</v>
      </c>
      <c r="B153" s="25" t="s">
        <v>88</v>
      </c>
      <c r="C153" s="35" t="s">
        <v>89</v>
      </c>
      <c r="D153" s="35" t="s">
        <v>357</v>
      </c>
      <c r="E153" s="25">
        <f>43.33/1000</f>
        <v>4.333E-2</v>
      </c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  <c r="AJ153" s="14"/>
      <c r="AK153" s="14"/>
      <c r="AL153" s="14"/>
      <c r="AM153" s="14"/>
      <c r="AN153" s="14"/>
      <c r="AO153" s="14"/>
      <c r="AP153" s="14"/>
      <c r="AQ153" s="14"/>
      <c r="AR153" s="14"/>
      <c r="AS153" s="14"/>
      <c r="AT153" s="14"/>
      <c r="AU153" s="14"/>
      <c r="AV153" s="14"/>
      <c r="AW153" s="14"/>
      <c r="AX153" s="14"/>
      <c r="AY153" s="14"/>
      <c r="AZ153" s="14"/>
      <c r="BA153" s="14"/>
      <c r="BB153" s="14"/>
      <c r="BC153" s="14"/>
      <c r="BD153" s="14"/>
      <c r="BE153" s="14"/>
      <c r="BF153" s="14"/>
      <c r="BG153" s="14"/>
      <c r="BH153" s="14"/>
      <c r="BI153" s="14"/>
      <c r="BJ153" s="14"/>
      <c r="BK153" s="14"/>
      <c r="BL153" s="14"/>
      <c r="BM153" s="14"/>
      <c r="BN153" s="14"/>
      <c r="BO153" s="14"/>
      <c r="BP153" s="14"/>
      <c r="BQ153" s="14"/>
      <c r="BR153" s="14"/>
      <c r="BS153" s="14"/>
      <c r="BT153" s="14"/>
      <c r="BU153" s="14"/>
      <c r="BV153" s="14"/>
      <c r="BW153" s="14"/>
      <c r="BX153" s="14"/>
      <c r="BY153" s="14"/>
      <c r="BZ153" s="14"/>
      <c r="CA153" s="14"/>
      <c r="CB153" s="14"/>
      <c r="CC153" s="14"/>
      <c r="CD153" s="14"/>
      <c r="CE153" s="14"/>
      <c r="CF153" s="14"/>
      <c r="CG153" s="14"/>
      <c r="CH153" s="14"/>
      <c r="CI153" s="14"/>
      <c r="CJ153" s="14"/>
      <c r="CK153" s="14"/>
      <c r="CL153" s="14"/>
      <c r="CM153" s="14"/>
      <c r="CN153" s="14"/>
      <c r="CO153" s="14"/>
      <c r="CP153" s="14"/>
      <c r="CQ153" s="14"/>
      <c r="CR153" s="14"/>
      <c r="CS153" s="14"/>
      <c r="CT153" s="14"/>
      <c r="CU153" s="14"/>
      <c r="CV153" s="14"/>
      <c r="CW153" s="14"/>
      <c r="CX153" s="14"/>
      <c r="CY153" s="14"/>
      <c r="CZ153" s="14"/>
      <c r="DA153" s="14"/>
      <c r="DB153" s="14"/>
      <c r="DC153" s="14"/>
      <c r="DD153" s="14"/>
      <c r="DE153" s="14"/>
      <c r="DF153" s="14"/>
      <c r="DG153" s="14"/>
      <c r="DH153" s="14"/>
      <c r="DI153" s="14"/>
      <c r="DJ153" s="14"/>
      <c r="DK153" s="14"/>
      <c r="DL153" s="14"/>
      <c r="DM153" s="14"/>
      <c r="DN153" s="14"/>
      <c r="DO153" s="14"/>
      <c r="DP153" s="14"/>
      <c r="DQ153" s="14"/>
      <c r="DR153" s="14"/>
      <c r="DS153" s="14"/>
      <c r="DT153" s="14"/>
      <c r="DU153" s="14"/>
      <c r="DV153" s="14"/>
      <c r="DW153" s="14"/>
      <c r="DX153" s="14"/>
      <c r="DY153" s="14"/>
      <c r="DZ153" s="14"/>
      <c r="EA153" s="14"/>
      <c r="EB153" s="14"/>
      <c r="EC153" s="14"/>
    </row>
    <row r="154" spans="1:133" s="13" customFormat="1" ht="62.4" x14ac:dyDescent="0.25">
      <c r="A154" s="63" t="s">
        <v>214</v>
      </c>
      <c r="B154" s="25" t="s">
        <v>90</v>
      </c>
      <c r="C154" s="35" t="s">
        <v>91</v>
      </c>
      <c r="D154" s="35" t="s">
        <v>358</v>
      </c>
      <c r="E154" s="25">
        <v>74.099999999999994</v>
      </c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  <c r="AI154" s="14"/>
      <c r="AJ154" s="14"/>
      <c r="AK154" s="14"/>
      <c r="AL154" s="14"/>
      <c r="AM154" s="14"/>
      <c r="AN154" s="14"/>
      <c r="AO154" s="14"/>
      <c r="AP154" s="14"/>
      <c r="AQ154" s="14"/>
      <c r="AR154" s="14"/>
      <c r="AS154" s="14"/>
      <c r="AT154" s="14"/>
      <c r="AU154" s="14"/>
      <c r="AV154" s="14"/>
      <c r="AW154" s="14"/>
      <c r="AX154" s="14"/>
      <c r="AY154" s="14"/>
      <c r="AZ154" s="14"/>
      <c r="BA154" s="14"/>
      <c r="BB154" s="14"/>
      <c r="BC154" s="14"/>
      <c r="BD154" s="14"/>
      <c r="BE154" s="14"/>
      <c r="BF154" s="14"/>
      <c r="BG154" s="14"/>
      <c r="BH154" s="14"/>
      <c r="BI154" s="14"/>
      <c r="BJ154" s="14"/>
      <c r="BK154" s="14"/>
      <c r="BL154" s="14"/>
      <c r="BM154" s="14"/>
      <c r="BN154" s="14"/>
      <c r="BO154" s="14"/>
      <c r="BP154" s="14"/>
      <c r="BQ154" s="14"/>
      <c r="BR154" s="14"/>
      <c r="BS154" s="14"/>
      <c r="BT154" s="14"/>
      <c r="BU154" s="14"/>
      <c r="BV154" s="14"/>
      <c r="BW154" s="14"/>
      <c r="BX154" s="14"/>
      <c r="BY154" s="14"/>
      <c r="BZ154" s="14"/>
      <c r="CA154" s="14"/>
      <c r="CB154" s="14"/>
      <c r="CC154" s="14"/>
      <c r="CD154" s="14"/>
      <c r="CE154" s="14"/>
      <c r="CF154" s="14"/>
      <c r="CG154" s="14"/>
      <c r="CH154" s="14"/>
      <c r="CI154" s="14"/>
      <c r="CJ154" s="14"/>
      <c r="CK154" s="14"/>
      <c r="CL154" s="14"/>
      <c r="CM154" s="14"/>
      <c r="CN154" s="14"/>
      <c r="CO154" s="14"/>
      <c r="CP154" s="14"/>
      <c r="CQ154" s="14"/>
      <c r="CR154" s="14"/>
      <c r="CS154" s="14"/>
      <c r="CT154" s="14"/>
      <c r="CU154" s="14"/>
      <c r="CV154" s="14"/>
      <c r="CW154" s="14"/>
      <c r="CX154" s="14"/>
      <c r="CY154" s="14"/>
      <c r="CZ154" s="14"/>
      <c r="DA154" s="14"/>
      <c r="DB154" s="14"/>
      <c r="DC154" s="14"/>
      <c r="DD154" s="14"/>
      <c r="DE154" s="14"/>
      <c r="DF154" s="14"/>
      <c r="DG154" s="14"/>
      <c r="DH154" s="14"/>
      <c r="DI154" s="14"/>
      <c r="DJ154" s="14"/>
      <c r="DK154" s="14"/>
      <c r="DL154" s="14"/>
      <c r="DM154" s="14"/>
      <c r="DN154" s="14"/>
      <c r="DO154" s="14"/>
      <c r="DP154" s="14"/>
      <c r="DQ154" s="14"/>
      <c r="DR154" s="14"/>
      <c r="DS154" s="14"/>
      <c r="DT154" s="14"/>
      <c r="DU154" s="14"/>
      <c r="DV154" s="14"/>
      <c r="DW154" s="14"/>
      <c r="DX154" s="14"/>
      <c r="DY154" s="14"/>
      <c r="DZ154" s="14"/>
      <c r="EA154" s="14"/>
      <c r="EB154" s="14"/>
      <c r="EC154" s="14"/>
    </row>
    <row r="156" spans="1:133" s="13" customFormat="1" x14ac:dyDescent="0.25">
      <c r="A156" s="158" t="s">
        <v>93</v>
      </c>
      <c r="B156" s="158"/>
      <c r="C156" s="158"/>
      <c r="D156" s="158"/>
      <c r="E156" s="158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  <c r="AI156" s="14"/>
      <c r="AJ156" s="14"/>
      <c r="AK156" s="14"/>
      <c r="AL156" s="14"/>
      <c r="AM156" s="14"/>
      <c r="AN156" s="14"/>
      <c r="AO156" s="14"/>
      <c r="AP156" s="14"/>
      <c r="AQ156" s="14"/>
      <c r="AR156" s="14"/>
      <c r="AS156" s="14"/>
      <c r="AT156" s="14"/>
      <c r="AU156" s="14"/>
      <c r="AV156" s="14"/>
      <c r="AW156" s="14"/>
      <c r="AX156" s="14"/>
      <c r="AY156" s="14"/>
      <c r="AZ156" s="14"/>
      <c r="BA156" s="14"/>
      <c r="BB156" s="14"/>
      <c r="BC156" s="14"/>
      <c r="BD156" s="14"/>
      <c r="BE156" s="14"/>
      <c r="BF156" s="14"/>
      <c r="BG156" s="14"/>
      <c r="BH156" s="14"/>
      <c r="BI156" s="14"/>
      <c r="BJ156" s="14"/>
      <c r="BK156" s="14"/>
      <c r="BL156" s="14"/>
      <c r="BM156" s="14"/>
      <c r="BN156" s="14"/>
      <c r="BO156" s="14"/>
      <c r="BP156" s="14"/>
      <c r="BQ156" s="14"/>
      <c r="BR156" s="14"/>
      <c r="BS156" s="14"/>
      <c r="BT156" s="14"/>
      <c r="BU156" s="14"/>
      <c r="BV156" s="14"/>
      <c r="BW156" s="14"/>
      <c r="BX156" s="14"/>
      <c r="BY156" s="14"/>
      <c r="BZ156" s="14"/>
      <c r="CA156" s="14"/>
      <c r="CB156" s="14"/>
      <c r="CC156" s="14"/>
      <c r="CD156" s="14"/>
      <c r="CE156" s="14"/>
      <c r="CF156" s="14"/>
      <c r="CG156" s="14"/>
      <c r="CH156" s="14"/>
      <c r="CI156" s="14"/>
      <c r="CJ156" s="14"/>
      <c r="CK156" s="14"/>
      <c r="CL156" s="14"/>
      <c r="CM156" s="14"/>
      <c r="CN156" s="14"/>
      <c r="CO156" s="14"/>
      <c r="CP156" s="14"/>
      <c r="CQ156" s="14"/>
      <c r="CR156" s="14"/>
      <c r="CS156" s="14"/>
      <c r="CT156" s="14"/>
      <c r="CU156" s="14"/>
      <c r="CV156" s="14"/>
      <c r="CW156" s="14"/>
      <c r="CX156" s="14"/>
      <c r="CY156" s="14"/>
      <c r="CZ156" s="14"/>
      <c r="DA156" s="14"/>
      <c r="DB156" s="14"/>
      <c r="DC156" s="14"/>
      <c r="DD156" s="14"/>
      <c r="DE156" s="14"/>
      <c r="DF156" s="14"/>
      <c r="DG156" s="14"/>
      <c r="DH156" s="14"/>
      <c r="DI156" s="14"/>
      <c r="DJ156" s="14"/>
      <c r="DK156" s="14"/>
      <c r="DL156" s="14"/>
      <c r="DM156" s="14"/>
      <c r="DN156" s="14"/>
      <c r="DO156" s="14"/>
      <c r="DP156" s="14"/>
      <c r="DQ156" s="14"/>
      <c r="DR156" s="14"/>
      <c r="DS156" s="14"/>
      <c r="DT156" s="14"/>
      <c r="DU156" s="14"/>
      <c r="DV156" s="14"/>
      <c r="DW156" s="14"/>
      <c r="DX156" s="14"/>
      <c r="DY156" s="14"/>
      <c r="DZ156" s="14"/>
      <c r="EA156" s="14"/>
      <c r="EB156" s="14"/>
      <c r="EC156" s="14"/>
    </row>
    <row r="157" spans="1:133" s="13" customFormat="1" x14ac:dyDescent="0.25">
      <c r="A157" s="57" t="s">
        <v>8</v>
      </c>
      <c r="B157" s="58" t="s">
        <v>9</v>
      </c>
      <c r="C157" s="34" t="s">
        <v>10</v>
      </c>
      <c r="D157" s="34" t="s">
        <v>340</v>
      </c>
      <c r="E157" s="16" t="s">
        <v>65</v>
      </c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  <c r="AI157" s="14"/>
      <c r="AJ157" s="14"/>
      <c r="AK157" s="14"/>
      <c r="AL157" s="14"/>
      <c r="AM157" s="14"/>
      <c r="AN157" s="14"/>
      <c r="AO157" s="14"/>
      <c r="AP157" s="14"/>
      <c r="AQ157" s="14"/>
      <c r="AR157" s="14"/>
      <c r="AS157" s="14"/>
      <c r="AT157" s="14"/>
      <c r="AU157" s="14"/>
      <c r="AV157" s="14"/>
      <c r="AW157" s="14"/>
      <c r="AX157" s="14"/>
      <c r="AY157" s="14"/>
      <c r="AZ157" s="14"/>
      <c r="BA157" s="14"/>
      <c r="BB157" s="14"/>
      <c r="BC157" s="14"/>
      <c r="BD157" s="14"/>
      <c r="BE157" s="14"/>
      <c r="BF157" s="14"/>
      <c r="BG157" s="14"/>
      <c r="BH157" s="14"/>
      <c r="BI157" s="14"/>
      <c r="BJ157" s="14"/>
      <c r="BK157" s="14"/>
      <c r="BL157" s="14"/>
      <c r="BM157" s="14"/>
      <c r="BN157" s="14"/>
      <c r="BO157" s="14"/>
      <c r="BP157" s="14"/>
      <c r="BQ157" s="14"/>
      <c r="BR157" s="14"/>
      <c r="BS157" s="14"/>
      <c r="BT157" s="14"/>
      <c r="BU157" s="14"/>
      <c r="BV157" s="14"/>
      <c r="BW157" s="14"/>
      <c r="BX157" s="14"/>
      <c r="BY157" s="14"/>
      <c r="BZ157" s="14"/>
      <c r="CA157" s="14"/>
      <c r="CB157" s="14"/>
      <c r="CC157" s="14"/>
      <c r="CD157" s="14"/>
      <c r="CE157" s="14"/>
      <c r="CF157" s="14"/>
      <c r="CG157" s="14"/>
      <c r="CH157" s="14"/>
      <c r="CI157" s="14"/>
      <c r="CJ157" s="14"/>
      <c r="CK157" s="14"/>
      <c r="CL157" s="14"/>
      <c r="CM157" s="14"/>
      <c r="CN157" s="14"/>
      <c r="CO157" s="14"/>
      <c r="CP157" s="14"/>
      <c r="CQ157" s="14"/>
      <c r="CR157" s="14"/>
      <c r="CS157" s="14"/>
      <c r="CT157" s="14"/>
      <c r="CU157" s="14"/>
      <c r="CV157" s="14"/>
      <c r="CW157" s="14"/>
      <c r="CX157" s="14"/>
      <c r="CY157" s="14"/>
      <c r="CZ157" s="14"/>
      <c r="DA157" s="14"/>
      <c r="DB157" s="14"/>
      <c r="DC157" s="14"/>
      <c r="DD157" s="14"/>
      <c r="DE157" s="14"/>
      <c r="DF157" s="14"/>
      <c r="DG157" s="14"/>
      <c r="DH157" s="14"/>
      <c r="DI157" s="14"/>
      <c r="DJ157" s="14"/>
      <c r="DK157" s="14"/>
      <c r="DL157" s="14"/>
      <c r="DM157" s="14"/>
      <c r="DN157" s="14"/>
      <c r="DO157" s="14"/>
      <c r="DP157" s="14"/>
      <c r="DQ157" s="14"/>
      <c r="DR157" s="14"/>
      <c r="DS157" s="14"/>
      <c r="DT157" s="14"/>
      <c r="DU157" s="14"/>
      <c r="DV157" s="14"/>
      <c r="DW157" s="14"/>
      <c r="DX157" s="14"/>
      <c r="DY157" s="14"/>
      <c r="DZ157" s="14"/>
      <c r="EA157" s="14"/>
      <c r="EB157" s="14"/>
      <c r="EC157" s="14"/>
    </row>
    <row r="158" spans="1:133" s="13" customFormat="1" ht="64.8" x14ac:dyDescent="0.25">
      <c r="A158" s="15" t="s">
        <v>94</v>
      </c>
      <c r="B158" s="25" t="s">
        <v>95</v>
      </c>
      <c r="C158" s="35" t="s">
        <v>96</v>
      </c>
      <c r="D158" s="35" t="s">
        <v>97</v>
      </c>
      <c r="E158" s="16">
        <v>0</v>
      </c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  <c r="AI158" s="14"/>
      <c r="AJ158" s="14"/>
      <c r="AK158" s="14"/>
      <c r="AL158" s="14"/>
      <c r="AM158" s="14"/>
      <c r="AN158" s="14"/>
      <c r="AO158" s="14"/>
      <c r="AP158" s="14"/>
      <c r="AQ158" s="14"/>
      <c r="AR158" s="14"/>
      <c r="AS158" s="14"/>
      <c r="AT158" s="14"/>
      <c r="AU158" s="14"/>
      <c r="AV158" s="14"/>
      <c r="AW158" s="14"/>
      <c r="AX158" s="14"/>
      <c r="AY158" s="14"/>
      <c r="AZ158" s="14"/>
      <c r="BA158" s="14"/>
      <c r="BB158" s="14"/>
      <c r="BC158" s="14"/>
      <c r="BD158" s="14"/>
      <c r="BE158" s="14"/>
      <c r="BF158" s="14"/>
      <c r="BG158" s="14"/>
      <c r="BH158" s="14"/>
      <c r="BI158" s="14"/>
      <c r="BJ158" s="14"/>
      <c r="BK158" s="14"/>
      <c r="BL158" s="14"/>
      <c r="BM158" s="14"/>
      <c r="BN158" s="14"/>
      <c r="BO158" s="14"/>
      <c r="BP158" s="14"/>
      <c r="BQ158" s="14"/>
      <c r="BR158" s="14"/>
      <c r="BS158" s="14"/>
      <c r="BT158" s="14"/>
      <c r="BU158" s="14"/>
      <c r="BV158" s="14"/>
      <c r="BW158" s="14"/>
      <c r="BX158" s="14"/>
      <c r="BY158" s="14"/>
      <c r="BZ158" s="14"/>
      <c r="CA158" s="14"/>
      <c r="CB158" s="14"/>
      <c r="CC158" s="14"/>
      <c r="CD158" s="14"/>
      <c r="CE158" s="14"/>
      <c r="CF158" s="14"/>
      <c r="CG158" s="14"/>
      <c r="CH158" s="14"/>
      <c r="CI158" s="14"/>
      <c r="CJ158" s="14"/>
      <c r="CK158" s="14"/>
      <c r="CL158" s="14"/>
      <c r="CM158" s="14"/>
      <c r="CN158" s="14"/>
      <c r="CO158" s="14"/>
      <c r="CP158" s="14"/>
      <c r="CQ158" s="14"/>
      <c r="CR158" s="14"/>
      <c r="CS158" s="14"/>
      <c r="CT158" s="14"/>
      <c r="CU158" s="14"/>
      <c r="CV158" s="14"/>
      <c r="CW158" s="14"/>
      <c r="CX158" s="14"/>
      <c r="CY158" s="14"/>
      <c r="CZ158" s="14"/>
      <c r="DA158" s="14"/>
      <c r="DB158" s="14"/>
      <c r="DC158" s="14"/>
      <c r="DD158" s="14"/>
      <c r="DE158" s="14"/>
      <c r="DF158" s="14"/>
      <c r="DG158" s="14"/>
      <c r="DH158" s="14"/>
      <c r="DI158" s="14"/>
      <c r="DJ158" s="14"/>
      <c r="DK158" s="14"/>
      <c r="DL158" s="14"/>
      <c r="DM158" s="14"/>
      <c r="DN158" s="14"/>
      <c r="DO158" s="14"/>
      <c r="DP158" s="14"/>
      <c r="DQ158" s="14"/>
      <c r="DR158" s="14"/>
      <c r="DS158" s="14"/>
      <c r="DT158" s="14"/>
      <c r="DU158" s="14"/>
      <c r="DV158" s="14"/>
      <c r="DW158" s="14"/>
      <c r="DX158" s="14"/>
      <c r="DY158" s="14"/>
      <c r="DZ158" s="14"/>
      <c r="EA158" s="14"/>
      <c r="EB158" s="14"/>
      <c r="EC158" s="14"/>
    </row>
    <row r="160" spans="1:133" x14ac:dyDescent="0.25">
      <c r="A160" s="158" t="s">
        <v>98</v>
      </c>
      <c r="B160" s="158"/>
      <c r="C160" s="158"/>
      <c r="D160" s="158"/>
      <c r="E160" s="158"/>
    </row>
    <row r="161" spans="1:133" x14ac:dyDescent="0.25">
      <c r="A161" s="57" t="s">
        <v>8</v>
      </c>
      <c r="B161" s="58" t="s">
        <v>9</v>
      </c>
      <c r="C161" s="34" t="s">
        <v>10</v>
      </c>
      <c r="D161" s="34" t="s">
        <v>340</v>
      </c>
      <c r="E161" s="16" t="s">
        <v>65</v>
      </c>
    </row>
    <row r="162" spans="1:133" ht="49.2" x14ac:dyDescent="0.25">
      <c r="A162" s="15" t="s">
        <v>99</v>
      </c>
      <c r="B162" s="25" t="s">
        <v>95</v>
      </c>
      <c r="C162" s="35" t="s">
        <v>100</v>
      </c>
      <c r="D162" s="35" t="s">
        <v>101</v>
      </c>
      <c r="E162" s="16">
        <v>0</v>
      </c>
    </row>
    <row r="164" spans="1:133" x14ac:dyDescent="0.25">
      <c r="A164" s="57" t="s">
        <v>8</v>
      </c>
      <c r="B164" s="58" t="s">
        <v>9</v>
      </c>
      <c r="C164" s="34" t="s">
        <v>10</v>
      </c>
      <c r="D164" s="34" t="s">
        <v>340</v>
      </c>
      <c r="E164" s="16" t="s">
        <v>65</v>
      </c>
    </row>
    <row r="165" spans="1:133" ht="18" x14ac:dyDescent="0.25">
      <c r="A165" s="59" t="s">
        <v>102</v>
      </c>
      <c r="B165" s="25" t="s">
        <v>103</v>
      </c>
      <c r="C165" s="35" t="s">
        <v>104</v>
      </c>
      <c r="D165" s="53" t="s">
        <v>380</v>
      </c>
      <c r="E165" s="18">
        <f>ROUNDDOWN(E115+E146+E141+E158+E162,0)</f>
        <v>392</v>
      </c>
    </row>
    <row r="166" spans="1:133" s="167" customFormat="1" ht="43.2" customHeight="1" x14ac:dyDescent="0.25">
      <c r="A166" s="167" t="s">
        <v>223</v>
      </c>
    </row>
    <row r="167" spans="1:133" s="56" customFormat="1" ht="31.2" x14ac:dyDescent="0.25">
      <c r="A167" s="92" t="s">
        <v>8</v>
      </c>
      <c r="B167" s="93" t="s">
        <v>9</v>
      </c>
      <c r="C167" s="94" t="s">
        <v>10</v>
      </c>
      <c r="D167" s="93" t="s">
        <v>341</v>
      </c>
      <c r="E167" s="93" t="s">
        <v>11</v>
      </c>
      <c r="F167" s="16" t="s">
        <v>322</v>
      </c>
      <c r="G167" s="16" t="s">
        <v>323</v>
      </c>
      <c r="H167" s="16" t="s">
        <v>324</v>
      </c>
      <c r="I167" s="16" t="s">
        <v>325</v>
      </c>
      <c r="J167" s="16" t="s">
        <v>326</v>
      </c>
      <c r="K167" s="16" t="s">
        <v>329</v>
      </c>
      <c r="L167" s="16" t="s">
        <v>297</v>
      </c>
      <c r="M167" s="16" t="s">
        <v>297</v>
      </c>
      <c r="N167" s="16" t="s">
        <v>297</v>
      </c>
      <c r="O167" s="16" t="s">
        <v>297</v>
      </c>
      <c r="P167" s="16" t="s">
        <v>297</v>
      </c>
      <c r="Q167" s="16" t="s">
        <v>297</v>
      </c>
      <c r="R167" s="54"/>
      <c r="S167" s="54"/>
      <c r="T167" s="54"/>
      <c r="U167" s="54"/>
      <c r="V167" s="54"/>
      <c r="W167" s="54"/>
      <c r="X167" s="54"/>
      <c r="Y167" s="54"/>
      <c r="Z167" s="54"/>
      <c r="AA167" s="54"/>
      <c r="AB167" s="54"/>
      <c r="AC167" s="54"/>
      <c r="AD167" s="54"/>
      <c r="AE167" s="54"/>
      <c r="AF167" s="54"/>
      <c r="AG167" s="54"/>
      <c r="AH167" s="54"/>
      <c r="AI167" s="54"/>
      <c r="AJ167" s="54"/>
      <c r="AK167" s="54"/>
      <c r="AL167" s="54"/>
      <c r="AM167" s="54"/>
      <c r="AN167" s="54"/>
      <c r="AO167" s="54"/>
      <c r="AP167" s="54"/>
      <c r="AQ167" s="54"/>
      <c r="AR167" s="54"/>
      <c r="AS167" s="54"/>
      <c r="AT167" s="54"/>
      <c r="AU167" s="54"/>
      <c r="AV167" s="54"/>
      <c r="AW167" s="54"/>
      <c r="AX167" s="54"/>
      <c r="AY167" s="54"/>
      <c r="AZ167" s="54"/>
      <c r="BA167" s="54"/>
      <c r="BB167" s="54"/>
      <c r="BC167" s="54"/>
      <c r="BD167" s="54"/>
      <c r="BE167" s="54"/>
      <c r="BF167" s="54"/>
      <c r="BG167" s="54"/>
      <c r="BH167" s="54"/>
      <c r="BI167" s="54"/>
      <c r="BJ167" s="54"/>
      <c r="BK167" s="54"/>
      <c r="BL167" s="54"/>
      <c r="BM167" s="54"/>
      <c r="BN167" s="54"/>
      <c r="BO167" s="54"/>
      <c r="BP167" s="54"/>
      <c r="BQ167" s="54"/>
      <c r="BR167" s="54"/>
      <c r="BS167" s="54"/>
      <c r="BT167" s="54"/>
      <c r="BU167" s="54"/>
      <c r="BV167" s="54"/>
      <c r="BW167" s="54"/>
      <c r="BX167" s="54"/>
      <c r="BY167" s="54"/>
      <c r="BZ167" s="54"/>
      <c r="CA167" s="54"/>
      <c r="CB167" s="54"/>
      <c r="CC167" s="54"/>
      <c r="CD167" s="54"/>
      <c r="CE167" s="54"/>
      <c r="CF167" s="54"/>
      <c r="CG167" s="54"/>
      <c r="CH167" s="54"/>
      <c r="CI167" s="54"/>
      <c r="CJ167" s="54"/>
      <c r="CK167" s="54"/>
      <c r="CL167" s="54"/>
      <c r="CM167" s="54"/>
      <c r="CN167" s="54"/>
      <c r="CO167" s="54"/>
      <c r="CP167" s="54"/>
      <c r="CQ167" s="54"/>
      <c r="CR167" s="54"/>
      <c r="CS167" s="54"/>
      <c r="CT167" s="54"/>
      <c r="CU167" s="54"/>
      <c r="CV167" s="54"/>
      <c r="CW167" s="54"/>
      <c r="CX167" s="54"/>
      <c r="CY167" s="54"/>
      <c r="CZ167" s="54"/>
      <c r="DA167" s="54"/>
      <c r="DB167" s="54"/>
      <c r="DC167" s="54"/>
      <c r="DD167" s="54"/>
      <c r="DE167" s="54"/>
      <c r="DF167" s="54"/>
      <c r="DG167" s="54"/>
      <c r="DH167" s="54"/>
      <c r="DI167" s="54"/>
      <c r="DJ167" s="54"/>
      <c r="DK167" s="54"/>
      <c r="DL167" s="54"/>
      <c r="DM167" s="54"/>
      <c r="DN167" s="54"/>
      <c r="DO167" s="54"/>
      <c r="DP167" s="54"/>
      <c r="DQ167" s="54"/>
      <c r="DR167" s="54"/>
      <c r="DS167" s="54"/>
      <c r="DT167" s="54"/>
      <c r="DU167" s="54"/>
      <c r="DV167" s="54"/>
      <c r="DW167" s="54"/>
      <c r="DX167" s="54"/>
      <c r="DY167" s="54"/>
      <c r="DZ167" s="54"/>
      <c r="EA167" s="54"/>
      <c r="EB167" s="54"/>
      <c r="EC167" s="54"/>
    </row>
    <row r="168" spans="1:133" s="56" customFormat="1" x14ac:dyDescent="0.25">
      <c r="A168" s="178" t="s">
        <v>12</v>
      </c>
      <c r="B168" s="178"/>
      <c r="C168" s="179"/>
      <c r="D168" s="179"/>
      <c r="E168" s="178"/>
      <c r="F168" s="16">
        <v>31</v>
      </c>
      <c r="G168" s="16">
        <v>28</v>
      </c>
      <c r="H168" s="16">
        <v>31</v>
      </c>
      <c r="I168" s="16">
        <v>30</v>
      </c>
      <c r="J168" s="16">
        <v>31</v>
      </c>
      <c r="K168" s="16">
        <v>30</v>
      </c>
      <c r="L168" s="16" t="s">
        <v>297</v>
      </c>
      <c r="M168" s="16" t="s">
        <v>297</v>
      </c>
      <c r="N168" s="16" t="s">
        <v>297</v>
      </c>
      <c r="O168" s="16" t="s">
        <v>297</v>
      </c>
      <c r="P168" s="16" t="s">
        <v>297</v>
      </c>
      <c r="Q168" s="16" t="s">
        <v>297</v>
      </c>
      <c r="R168" s="54"/>
      <c r="S168" s="54"/>
      <c r="T168" s="54"/>
      <c r="U168" s="54"/>
      <c r="V168" s="54"/>
      <c r="W168" s="54"/>
      <c r="X168" s="54"/>
      <c r="Y168" s="54"/>
      <c r="Z168" s="54"/>
      <c r="AA168" s="54"/>
      <c r="AB168" s="54"/>
      <c r="AC168" s="54"/>
      <c r="AD168" s="54"/>
      <c r="AE168" s="54"/>
      <c r="AF168" s="54"/>
      <c r="AG168" s="54"/>
      <c r="AH168" s="54"/>
      <c r="AI168" s="54"/>
      <c r="AJ168" s="54"/>
      <c r="AK168" s="54"/>
      <c r="AL168" s="54"/>
      <c r="AM168" s="54"/>
      <c r="AN168" s="54"/>
      <c r="AO168" s="54"/>
      <c r="AP168" s="54"/>
      <c r="AQ168" s="54"/>
      <c r="AR168" s="54"/>
      <c r="AS168" s="54"/>
      <c r="AT168" s="54"/>
      <c r="AU168" s="54"/>
      <c r="AV168" s="54"/>
      <c r="AW168" s="54"/>
      <c r="AX168" s="54"/>
      <c r="AY168" s="54"/>
      <c r="AZ168" s="54"/>
      <c r="BA168" s="54"/>
      <c r="BB168" s="54"/>
      <c r="BC168" s="54"/>
      <c r="BD168" s="54"/>
      <c r="BE168" s="54"/>
      <c r="BF168" s="54"/>
      <c r="BG168" s="54"/>
      <c r="BH168" s="54"/>
      <c r="BI168" s="54"/>
      <c r="BJ168" s="54"/>
      <c r="BK168" s="54"/>
      <c r="BL168" s="54"/>
      <c r="BM168" s="54"/>
      <c r="BN168" s="54"/>
      <c r="BO168" s="54"/>
      <c r="BP168" s="54"/>
      <c r="BQ168" s="54"/>
      <c r="BR168" s="54"/>
      <c r="BS168" s="54"/>
      <c r="BT168" s="54"/>
      <c r="BU168" s="54"/>
      <c r="BV168" s="54"/>
      <c r="BW168" s="54"/>
      <c r="BX168" s="54"/>
      <c r="BY168" s="54"/>
      <c r="BZ168" s="54"/>
      <c r="CA168" s="54"/>
      <c r="CB168" s="54"/>
      <c r="CC168" s="54"/>
      <c r="CD168" s="54"/>
      <c r="CE168" s="54"/>
      <c r="CF168" s="54"/>
      <c r="CG168" s="54"/>
      <c r="CH168" s="54"/>
      <c r="CI168" s="54"/>
      <c r="CJ168" s="54"/>
      <c r="CK168" s="54"/>
      <c r="CL168" s="54"/>
      <c r="CM168" s="54"/>
      <c r="CN168" s="54"/>
      <c r="CO168" s="54"/>
      <c r="CP168" s="54"/>
      <c r="CQ168" s="54"/>
      <c r="CR168" s="54"/>
      <c r="CS168" s="54"/>
      <c r="CT168" s="54"/>
      <c r="CU168" s="54"/>
      <c r="CV168" s="54"/>
      <c r="CW168" s="54"/>
      <c r="CX168" s="54"/>
      <c r="CY168" s="54"/>
      <c r="CZ168" s="54"/>
      <c r="DA168" s="54"/>
      <c r="DB168" s="54"/>
      <c r="DC168" s="54"/>
      <c r="DD168" s="54"/>
      <c r="DE168" s="54"/>
      <c r="DF168" s="54"/>
      <c r="DG168" s="54"/>
      <c r="DH168" s="54"/>
      <c r="DI168" s="54"/>
      <c r="DJ168" s="54"/>
      <c r="DK168" s="54"/>
      <c r="DL168" s="54"/>
      <c r="DM168" s="54"/>
      <c r="DN168" s="54"/>
      <c r="DO168" s="54"/>
      <c r="DP168" s="54"/>
      <c r="DQ168" s="54"/>
      <c r="DR168" s="54"/>
      <c r="DS168" s="54"/>
      <c r="DT168" s="54"/>
      <c r="DU168" s="54"/>
      <c r="DV168" s="54"/>
      <c r="DW168" s="54"/>
      <c r="DX168" s="54"/>
      <c r="DY168" s="54"/>
      <c r="DZ168" s="54"/>
      <c r="EA168" s="54"/>
      <c r="EB168" s="54"/>
      <c r="EC168" s="54"/>
    </row>
    <row r="169" spans="1:133" ht="46.8" x14ac:dyDescent="0.25">
      <c r="A169" s="59" t="s">
        <v>13</v>
      </c>
      <c r="B169" s="60" t="s">
        <v>14</v>
      </c>
      <c r="C169" s="53" t="s">
        <v>15</v>
      </c>
      <c r="D169" s="53" t="s">
        <v>369</v>
      </c>
      <c r="E169" s="61">
        <f>SUM(F169:K169)</f>
        <v>1364.8318478165024</v>
      </c>
      <c r="F169" s="62">
        <f>$E$170*$E$171*F172*$E$183</f>
        <v>228.01557004164042</v>
      </c>
      <c r="G169" s="62">
        <f t="shared" ref="G169:K169" si="21">$E$170*$E$171*G172*$E$183</f>
        <v>205.88960512428707</v>
      </c>
      <c r="H169" s="62">
        <f t="shared" si="21"/>
        <v>227.93470259006128</v>
      </c>
      <c r="I169" s="62">
        <f t="shared" si="21"/>
        <v>220.70029276365611</v>
      </c>
      <c r="J169" s="62">
        <f t="shared" si="21"/>
        <v>250.41267355141395</v>
      </c>
      <c r="K169" s="62">
        <f t="shared" si="21"/>
        <v>231.87900374544361</v>
      </c>
      <c r="L169" s="62" t="s">
        <v>297</v>
      </c>
      <c r="M169" s="62" t="s">
        <v>297</v>
      </c>
      <c r="N169" s="62" t="s">
        <v>297</v>
      </c>
      <c r="O169" s="62" t="s">
        <v>297</v>
      </c>
      <c r="P169" s="62" t="s">
        <v>297</v>
      </c>
      <c r="Q169" s="62" t="s">
        <v>297</v>
      </c>
    </row>
    <row r="170" spans="1:133" ht="31.2" x14ac:dyDescent="0.25">
      <c r="A170" s="63" t="s">
        <v>16</v>
      </c>
      <c r="B170" s="60" t="s">
        <v>193</v>
      </c>
      <c r="C170" s="35" t="s">
        <v>17</v>
      </c>
      <c r="D170" s="35" t="s">
        <v>205</v>
      </c>
      <c r="E170" s="176">
        <v>28</v>
      </c>
      <c r="F170" s="176"/>
      <c r="G170" s="176"/>
      <c r="H170" s="176"/>
      <c r="I170" s="176"/>
      <c r="J170" s="176"/>
      <c r="K170" s="176"/>
      <c r="L170" s="176"/>
      <c r="M170" s="176"/>
      <c r="N170" s="176"/>
      <c r="O170" s="176"/>
      <c r="P170" s="176"/>
      <c r="Q170" s="176"/>
    </row>
    <row r="171" spans="1:133" ht="64.8" x14ac:dyDescent="0.25">
      <c r="A171" s="63" t="s">
        <v>18</v>
      </c>
      <c r="B171" s="25" t="s">
        <v>194</v>
      </c>
      <c r="C171" s="35" t="s">
        <v>20</v>
      </c>
      <c r="D171" s="35" t="s">
        <v>394</v>
      </c>
      <c r="E171" s="176">
        <v>0.21</v>
      </c>
      <c r="F171" s="176"/>
      <c r="G171" s="176"/>
      <c r="H171" s="176"/>
      <c r="I171" s="176"/>
      <c r="J171" s="176"/>
      <c r="K171" s="176"/>
      <c r="L171" s="176"/>
      <c r="M171" s="176"/>
      <c r="N171" s="176"/>
      <c r="O171" s="176"/>
      <c r="P171" s="176"/>
      <c r="Q171" s="176"/>
    </row>
    <row r="172" spans="1:133" ht="46.8" x14ac:dyDescent="0.25">
      <c r="A172" s="35" t="s">
        <v>21</v>
      </c>
      <c r="B172" s="25" t="s">
        <v>195</v>
      </c>
      <c r="C172" s="53" t="s">
        <v>22</v>
      </c>
      <c r="D172" s="53" t="s">
        <v>370</v>
      </c>
      <c r="E172" s="64">
        <f t="shared" ref="E172:K172" si="22">E180*E173</f>
        <v>364.43295101382489</v>
      </c>
      <c r="F172" s="64">
        <f t="shared" si="22"/>
        <v>60.883974242185587</v>
      </c>
      <c r="G172" s="64">
        <f t="shared" si="22"/>
        <v>54.975971214736056</v>
      </c>
      <c r="H172" s="64">
        <f t="shared" si="22"/>
        <v>60.862381278871389</v>
      </c>
      <c r="I172" s="64">
        <f t="shared" si="22"/>
        <v>58.930672749283573</v>
      </c>
      <c r="J172" s="64">
        <f t="shared" si="22"/>
        <v>66.864375812743205</v>
      </c>
      <c r="K172" s="64">
        <f t="shared" si="22"/>
        <v>61.915575716005073</v>
      </c>
      <c r="L172" s="64" t="s">
        <v>297</v>
      </c>
      <c r="M172" s="64" t="s">
        <v>297</v>
      </c>
      <c r="N172" s="64" t="s">
        <v>297</v>
      </c>
      <c r="O172" s="64" t="s">
        <v>297</v>
      </c>
      <c r="P172" s="64" t="s">
        <v>297</v>
      </c>
      <c r="Q172" s="64" t="s">
        <v>297</v>
      </c>
    </row>
    <row r="173" spans="1:133" ht="46.8" x14ac:dyDescent="0.25">
      <c r="A173" s="35" t="s">
        <v>23</v>
      </c>
      <c r="B173" s="25" t="s">
        <v>197</v>
      </c>
      <c r="C173" s="35" t="s">
        <v>191</v>
      </c>
      <c r="D173" s="35" t="s">
        <v>371</v>
      </c>
      <c r="E173" s="20">
        <f>SUM(F173:K173)</f>
        <v>383.44627156322451</v>
      </c>
      <c r="F173" s="20">
        <f>F175*F178</f>
        <v>64.060433767504833</v>
      </c>
      <c r="G173" s="20">
        <f t="shared" ref="G173:K173" si="23">G175*G178</f>
        <v>57.844196385683048</v>
      </c>
      <c r="H173" s="20">
        <f t="shared" si="23"/>
        <v>64.037714248724228</v>
      </c>
      <c r="I173" s="20">
        <f t="shared" si="23"/>
        <v>62.005223961123342</v>
      </c>
      <c r="J173" s="20">
        <f t="shared" si="23"/>
        <v>70.352846893984662</v>
      </c>
      <c r="K173" s="20">
        <f t="shared" si="23"/>
        <v>65.145856306204422</v>
      </c>
      <c r="L173" s="20" t="s">
        <v>297</v>
      </c>
      <c r="M173" s="20" t="s">
        <v>297</v>
      </c>
      <c r="N173" s="20" t="s">
        <v>297</v>
      </c>
      <c r="O173" s="20" t="s">
        <v>297</v>
      </c>
      <c r="P173" s="20" t="s">
        <v>297</v>
      </c>
      <c r="Q173" s="20" t="s">
        <v>297</v>
      </c>
    </row>
    <row r="174" spans="1:133" ht="62.4" x14ac:dyDescent="0.25">
      <c r="A174" s="17" t="s">
        <v>335</v>
      </c>
      <c r="B174" s="60" t="s">
        <v>192</v>
      </c>
      <c r="C174" s="35" t="s">
        <v>25</v>
      </c>
      <c r="D174" s="35" t="s">
        <v>333</v>
      </c>
      <c r="E174" s="121">
        <f>AVERAGE(F174:K174)</f>
        <v>5010.5741632744493</v>
      </c>
      <c r="F174" s="121">
        <v>4851.574612903225</v>
      </c>
      <c r="G174" s="121">
        <v>4849.3616785714294</v>
      </c>
      <c r="H174" s="121">
        <v>4850.588677419355</v>
      </c>
      <c r="I174" s="121">
        <v>4851.1790666666675</v>
      </c>
      <c r="J174" s="121">
        <v>5330.208677419354</v>
      </c>
      <c r="K174" s="121">
        <v>5330.5322666666652</v>
      </c>
      <c r="L174" s="20" t="s">
        <v>297</v>
      </c>
      <c r="M174" s="20" t="s">
        <v>297</v>
      </c>
      <c r="N174" s="20" t="s">
        <v>297</v>
      </c>
      <c r="O174" s="20" t="s">
        <v>297</v>
      </c>
      <c r="P174" s="20" t="s">
        <v>297</v>
      </c>
      <c r="Q174" s="20" t="s">
        <v>297</v>
      </c>
    </row>
    <row r="175" spans="1:133" ht="46.8" x14ac:dyDescent="0.25">
      <c r="A175" s="35" t="s">
        <v>26</v>
      </c>
      <c r="B175" s="60" t="s">
        <v>198</v>
      </c>
      <c r="C175" s="35" t="s">
        <v>27</v>
      </c>
      <c r="D175" s="35" t="s">
        <v>206</v>
      </c>
      <c r="E175" s="65">
        <f>SUM(F175:K175)</f>
        <v>907236.99800000002</v>
      </c>
      <c r="F175" s="65">
        <f>F174*F168</f>
        <v>150398.81299999997</v>
      </c>
      <c r="G175" s="65">
        <f t="shared" ref="G175:K175" si="24">G174*G168</f>
        <v>135782.12700000004</v>
      </c>
      <c r="H175" s="65">
        <f t="shared" si="24"/>
        <v>150368.24900000001</v>
      </c>
      <c r="I175" s="65">
        <f t="shared" si="24"/>
        <v>145535.37200000003</v>
      </c>
      <c r="J175" s="65">
        <f t="shared" si="24"/>
        <v>165236.46899999998</v>
      </c>
      <c r="K175" s="65">
        <f t="shared" si="24"/>
        <v>159915.96799999996</v>
      </c>
      <c r="L175" s="65" t="s">
        <v>297</v>
      </c>
      <c r="M175" s="65" t="s">
        <v>297</v>
      </c>
      <c r="N175" s="65" t="s">
        <v>297</v>
      </c>
      <c r="O175" s="65" t="s">
        <v>297</v>
      </c>
      <c r="P175" s="65" t="s">
        <v>297</v>
      </c>
      <c r="Q175" s="65" t="s">
        <v>297</v>
      </c>
    </row>
    <row r="176" spans="1:133" ht="62.4" x14ac:dyDescent="0.25">
      <c r="A176" s="35" t="s">
        <v>28</v>
      </c>
      <c r="B176" s="60" t="s">
        <v>199</v>
      </c>
      <c r="C176" s="35" t="s">
        <v>29</v>
      </c>
      <c r="D176" s="35" t="s">
        <v>332</v>
      </c>
      <c r="E176" s="125">
        <f>AVERAGE(F176:K176)</f>
        <v>422.8354231737498</v>
      </c>
      <c r="F176" s="125">
        <v>425.93709677419361</v>
      </c>
      <c r="G176" s="125">
        <v>426.00744047619048</v>
      </c>
      <c r="H176" s="125">
        <v>425.87258064516146</v>
      </c>
      <c r="I176" s="125">
        <v>426.04916666666662</v>
      </c>
      <c r="J176" s="125">
        <v>425.77069892473111</v>
      </c>
      <c r="K176" s="137">
        <v>407.37555555555554</v>
      </c>
      <c r="L176" s="66" t="s">
        <v>297</v>
      </c>
      <c r="M176" s="66" t="s">
        <v>297</v>
      </c>
      <c r="N176" s="66" t="s">
        <v>297</v>
      </c>
      <c r="O176" s="66" t="s">
        <v>297</v>
      </c>
      <c r="P176" s="66" t="s">
        <v>297</v>
      </c>
      <c r="Q176" s="66" t="s">
        <v>297</v>
      </c>
    </row>
    <row r="177" spans="1:133" ht="62.4" x14ac:dyDescent="0.25">
      <c r="A177" s="35" t="s">
        <v>30</v>
      </c>
      <c r="B177" s="60" t="s">
        <v>199</v>
      </c>
      <c r="C177" s="35" t="s">
        <v>31</v>
      </c>
      <c r="D177" s="35" t="s">
        <v>331</v>
      </c>
      <c r="E177" s="125">
        <f>AVERAGE(F177:K177)</f>
        <v>19.622052931387611</v>
      </c>
      <c r="F177" s="125">
        <v>19.72983870967742</v>
      </c>
      <c r="G177" s="125">
        <v>19.542559523809523</v>
      </c>
      <c r="H177" s="125">
        <v>19.587634408602149</v>
      </c>
      <c r="I177" s="125">
        <v>19.745000000000001</v>
      </c>
      <c r="J177" s="125">
        <v>19.414784946236558</v>
      </c>
      <c r="K177" s="137">
        <v>19.712499999999999</v>
      </c>
      <c r="L177" s="65" t="s">
        <v>297</v>
      </c>
      <c r="M177" s="65" t="s">
        <v>297</v>
      </c>
      <c r="N177" s="65" t="s">
        <v>297</v>
      </c>
      <c r="O177" s="65" t="s">
        <v>297</v>
      </c>
      <c r="P177" s="65" t="s">
        <v>297</v>
      </c>
      <c r="Q177" s="65" t="s">
        <v>297</v>
      </c>
    </row>
    <row r="178" spans="1:133" ht="62.4" x14ac:dyDescent="0.25">
      <c r="A178" s="35" t="s">
        <v>32</v>
      </c>
      <c r="B178" s="60" t="s">
        <v>200</v>
      </c>
      <c r="C178" s="35" t="s">
        <v>34</v>
      </c>
      <c r="D178" s="35" t="s">
        <v>338</v>
      </c>
      <c r="E178" s="122">
        <f>E176/1000000</f>
        <v>4.2283542317374983E-4</v>
      </c>
      <c r="F178" s="120">
        <f>F176/1000000</f>
        <v>4.2593709677419362E-4</v>
      </c>
      <c r="G178" s="120">
        <f t="shared" ref="G178:K179" si="25">G176/1000000</f>
        <v>4.2600744047619046E-4</v>
      </c>
      <c r="H178" s="120">
        <f t="shared" si="25"/>
        <v>4.2587258064516145E-4</v>
      </c>
      <c r="I178" s="120">
        <f t="shared" si="25"/>
        <v>4.2604916666666665E-4</v>
      </c>
      <c r="J178" s="120">
        <f t="shared" si="25"/>
        <v>4.2577069892473109E-4</v>
      </c>
      <c r="K178" s="120">
        <f t="shared" si="25"/>
        <v>4.0737555555555552E-4</v>
      </c>
      <c r="L178" s="22" t="s">
        <v>297</v>
      </c>
      <c r="M178" s="22" t="s">
        <v>297</v>
      </c>
      <c r="N178" s="22" t="s">
        <v>297</v>
      </c>
      <c r="O178" s="22" t="s">
        <v>297</v>
      </c>
      <c r="P178" s="22" t="s">
        <v>297</v>
      </c>
      <c r="Q178" s="22" t="s">
        <v>297</v>
      </c>
    </row>
    <row r="179" spans="1:133" ht="62.4" x14ac:dyDescent="0.25">
      <c r="A179" s="35" t="s">
        <v>30</v>
      </c>
      <c r="B179" s="60" t="s">
        <v>33</v>
      </c>
      <c r="C179" s="35" t="s">
        <v>35</v>
      </c>
      <c r="D179" s="35" t="s">
        <v>339</v>
      </c>
      <c r="E179" s="122">
        <f>E177/1000000</f>
        <v>1.9622052931387612E-5</v>
      </c>
      <c r="F179" s="120">
        <f>F177/1000000</f>
        <v>1.972983870967742E-5</v>
      </c>
      <c r="G179" s="120">
        <f t="shared" si="25"/>
        <v>1.9542559523809524E-5</v>
      </c>
      <c r="H179" s="120">
        <f t="shared" si="25"/>
        <v>1.958763440860215E-5</v>
      </c>
      <c r="I179" s="120">
        <f t="shared" si="25"/>
        <v>1.9745000000000002E-5</v>
      </c>
      <c r="J179" s="120">
        <f t="shared" si="25"/>
        <v>1.9414784946236557E-5</v>
      </c>
      <c r="K179" s="120">
        <f t="shared" si="25"/>
        <v>1.9712499999999998E-5</v>
      </c>
      <c r="L179" s="22" t="s">
        <v>297</v>
      </c>
      <c r="M179" s="22" t="s">
        <v>297</v>
      </c>
      <c r="N179" s="22" t="s">
        <v>297</v>
      </c>
      <c r="O179" s="22" t="s">
        <v>297</v>
      </c>
      <c r="P179" s="22" t="s">
        <v>297</v>
      </c>
      <c r="Q179" s="22" t="s">
        <v>297</v>
      </c>
    </row>
    <row r="180" spans="1:133" ht="46.8" x14ac:dyDescent="0.25">
      <c r="A180" s="63" t="s">
        <v>36</v>
      </c>
      <c r="B180" s="25" t="s">
        <v>201</v>
      </c>
      <c r="C180" s="35" t="s">
        <v>38</v>
      </c>
      <c r="D180" s="35" t="s">
        <v>368</v>
      </c>
      <c r="E180" s="68">
        <f>(1-(E181/E182))</f>
        <v>0.95041464226034433</v>
      </c>
      <c r="F180" s="68">
        <f>E180</f>
        <v>0.95041464226034433</v>
      </c>
      <c r="G180" s="68">
        <f>E180</f>
        <v>0.95041464226034433</v>
      </c>
      <c r="H180" s="68">
        <f>E180</f>
        <v>0.95041464226034433</v>
      </c>
      <c r="I180" s="68">
        <f>E180</f>
        <v>0.95041464226034433</v>
      </c>
      <c r="J180" s="68">
        <f>E180</f>
        <v>0.95041464226034433</v>
      </c>
      <c r="K180" s="68">
        <f>F180</f>
        <v>0.95041464226034433</v>
      </c>
      <c r="L180" s="68" t="s">
        <v>297</v>
      </c>
      <c r="M180" s="68" t="s">
        <v>297</v>
      </c>
      <c r="N180" s="68" t="s">
        <v>297</v>
      </c>
      <c r="O180" s="68" t="s">
        <v>297</v>
      </c>
      <c r="P180" s="68" t="s">
        <v>297</v>
      </c>
      <c r="Q180" s="68" t="s">
        <v>297</v>
      </c>
    </row>
    <row r="181" spans="1:133" ht="31.2" x14ac:dyDescent="0.25">
      <c r="A181" s="35" t="s">
        <v>39</v>
      </c>
      <c r="B181" s="25" t="s">
        <v>196</v>
      </c>
      <c r="C181" s="35" t="s">
        <v>40</v>
      </c>
      <c r="D181" s="35" t="s">
        <v>351</v>
      </c>
      <c r="E181" s="52">
        <f>SUM(F181:K181)</f>
        <v>18.343710273600003</v>
      </c>
      <c r="F181" s="52">
        <v>3.1417404336000003</v>
      </c>
      <c r="G181" s="52">
        <v>2.8377010368000004</v>
      </c>
      <c r="H181" s="52">
        <v>3.1417404336000003</v>
      </c>
      <c r="I181" s="52">
        <v>3.0403939680000005</v>
      </c>
      <c r="J181" s="52">
        <v>3.1417404336000003</v>
      </c>
      <c r="K181" s="52">
        <v>3.0403939680000005</v>
      </c>
      <c r="L181" s="69" t="s">
        <v>297</v>
      </c>
      <c r="M181" s="69" t="s">
        <v>297</v>
      </c>
      <c r="N181" s="69" t="s">
        <v>297</v>
      </c>
      <c r="O181" s="69" t="s">
        <v>297</v>
      </c>
      <c r="P181" s="69" t="s">
        <v>297</v>
      </c>
      <c r="Q181" s="69" t="s">
        <v>297</v>
      </c>
    </row>
    <row r="182" spans="1:133" ht="31.2" x14ac:dyDescent="0.25">
      <c r="A182" s="63" t="s">
        <v>41</v>
      </c>
      <c r="B182" s="25" t="s">
        <v>24</v>
      </c>
      <c r="C182" s="35" t="s">
        <v>42</v>
      </c>
      <c r="D182" s="35" t="s">
        <v>351</v>
      </c>
      <c r="E182" s="52">
        <f>SUM(F182:Q182)</f>
        <v>369.94207785920003</v>
      </c>
      <c r="F182" s="52">
        <v>63.360245379199995</v>
      </c>
      <c r="G182" s="52">
        <v>57.228608729599998</v>
      </c>
      <c r="H182" s="52">
        <v>63.360245379199995</v>
      </c>
      <c r="I182" s="52">
        <v>61.316366496000008</v>
      </c>
      <c r="J182" s="52">
        <v>63.360245379199995</v>
      </c>
      <c r="K182" s="52">
        <v>61.316366496000008</v>
      </c>
      <c r="L182" s="69" t="s">
        <v>297</v>
      </c>
      <c r="M182" s="69" t="s">
        <v>297</v>
      </c>
      <c r="N182" s="69" t="s">
        <v>297</v>
      </c>
      <c r="O182" s="69" t="s">
        <v>297</v>
      </c>
      <c r="P182" s="69" t="s">
        <v>297</v>
      </c>
      <c r="Q182" s="69" t="s">
        <v>297</v>
      </c>
    </row>
    <row r="183" spans="1:133" ht="31.2" x14ac:dyDescent="0.25">
      <c r="A183" s="53" t="s">
        <v>43</v>
      </c>
      <c r="B183" s="25" t="s">
        <v>201</v>
      </c>
      <c r="C183" s="53" t="s">
        <v>44</v>
      </c>
      <c r="D183" s="35" t="s">
        <v>372</v>
      </c>
      <c r="E183" s="177">
        <f>E184*E185*0.89</f>
        <v>0.63691897010688581</v>
      </c>
      <c r="F183" s="177"/>
      <c r="G183" s="177"/>
      <c r="H183" s="177"/>
      <c r="I183" s="177"/>
      <c r="J183" s="177"/>
      <c r="K183" s="177"/>
      <c r="L183" s="177"/>
      <c r="M183" s="177"/>
      <c r="N183" s="177"/>
      <c r="O183" s="177"/>
      <c r="P183" s="177"/>
      <c r="Q183" s="177"/>
    </row>
    <row r="184" spans="1:133" ht="31.2" x14ac:dyDescent="0.25">
      <c r="A184" s="70" t="s">
        <v>45</v>
      </c>
      <c r="B184" s="25" t="s">
        <v>201</v>
      </c>
      <c r="C184" s="53" t="s">
        <v>46</v>
      </c>
      <c r="D184" s="35" t="s">
        <v>373</v>
      </c>
      <c r="E184" s="162">
        <v>0.7</v>
      </c>
      <c r="F184" s="163"/>
      <c r="G184" s="163"/>
      <c r="H184" s="163"/>
      <c r="I184" s="163"/>
      <c r="J184" s="163"/>
      <c r="K184" s="163"/>
      <c r="L184" s="163"/>
      <c r="M184" s="163"/>
      <c r="N184" s="163"/>
      <c r="O184" s="163"/>
      <c r="P184" s="163"/>
      <c r="Q184" s="164"/>
    </row>
    <row r="185" spans="1:133" ht="36" customHeight="1" x14ac:dyDescent="0.25">
      <c r="A185" s="70" t="s">
        <v>47</v>
      </c>
      <c r="B185" s="25" t="s">
        <v>37</v>
      </c>
      <c r="C185" s="53" t="s">
        <v>48</v>
      </c>
      <c r="D185" s="35" t="s">
        <v>374</v>
      </c>
      <c r="E185" s="159">
        <f>(F186*F191+G186*G191+H186*H191+I186*I191+J186*J191+K186*K191)/(F180*F175*F178+G180*G178*G175+H180*H175*H178+I180*I178*I175+J180*J178*J175+K180*K178*K175)</f>
        <v>1.0223418460784683</v>
      </c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1"/>
    </row>
    <row r="186" spans="1:133" s="9" customFormat="1" ht="46.8" x14ac:dyDescent="0.4">
      <c r="A186" s="71" t="s">
        <v>49</v>
      </c>
      <c r="B186" s="25" t="s">
        <v>37</v>
      </c>
      <c r="C186" s="53" t="s">
        <v>50</v>
      </c>
      <c r="D186" s="53" t="s">
        <v>375</v>
      </c>
      <c r="E186" s="72">
        <f>AVERAGE(F186:K186)</f>
        <v>0.52072660245860247</v>
      </c>
      <c r="F186" s="72">
        <f>IF(F190&lt;283,0,IF(F190&gt;303,1,EXP(($E$187*(F190-$E$188))/($E$189*$E$188*F190))))</f>
        <v>0.32317176495848171</v>
      </c>
      <c r="G186" s="72">
        <f t="shared" ref="G186:K186" si="26">IF(G190&lt;283,0,IF(G190&gt;303,1,EXP(($E$187*(G190-$E$188))/($E$189*$E$188*G190))))</f>
        <v>0.24547412919519337</v>
      </c>
      <c r="H186" s="72">
        <f t="shared" si="26"/>
        <v>0.50475941545474445</v>
      </c>
      <c r="I186" s="72">
        <f t="shared" si="26"/>
        <v>0.55084569341606926</v>
      </c>
      <c r="J186" s="72">
        <f t="shared" si="26"/>
        <v>0.65487347206548807</v>
      </c>
      <c r="K186" s="72">
        <f t="shared" si="26"/>
        <v>0.84523513966163832</v>
      </c>
      <c r="L186" s="72" t="s">
        <v>297</v>
      </c>
      <c r="M186" s="72" t="s">
        <v>297</v>
      </c>
      <c r="N186" s="72" t="s">
        <v>297</v>
      </c>
      <c r="O186" s="72" t="s">
        <v>297</v>
      </c>
      <c r="P186" s="72" t="s">
        <v>297</v>
      </c>
      <c r="Q186" s="72" t="s">
        <v>297</v>
      </c>
      <c r="R186" s="78"/>
      <c r="S186" s="78"/>
      <c r="T186" s="78"/>
      <c r="U186" s="78"/>
      <c r="V186" s="78"/>
      <c r="W186" s="78"/>
      <c r="X186" s="78"/>
      <c r="Y186" s="78"/>
      <c r="Z186" s="78"/>
      <c r="AA186" s="78"/>
      <c r="AB186" s="78"/>
      <c r="AC186" s="78"/>
      <c r="AD186" s="78"/>
      <c r="AE186" s="78"/>
      <c r="AF186" s="78"/>
      <c r="AG186" s="78"/>
      <c r="AH186" s="78"/>
      <c r="AI186" s="78"/>
      <c r="AJ186" s="78"/>
      <c r="AK186" s="78"/>
      <c r="AL186" s="78"/>
      <c r="AM186" s="78"/>
      <c r="AN186" s="78"/>
      <c r="AO186" s="78"/>
      <c r="AP186" s="78"/>
      <c r="AQ186" s="78"/>
      <c r="AR186" s="78"/>
      <c r="AS186" s="78"/>
      <c r="AT186" s="78"/>
      <c r="AU186" s="78"/>
      <c r="AV186" s="78"/>
      <c r="AW186" s="78"/>
      <c r="AX186" s="78"/>
      <c r="AY186" s="78"/>
      <c r="AZ186" s="78"/>
      <c r="BA186" s="78"/>
      <c r="BB186" s="78"/>
      <c r="BC186" s="78"/>
      <c r="BD186" s="78"/>
      <c r="BE186" s="78"/>
      <c r="BF186" s="78"/>
      <c r="BG186" s="78"/>
      <c r="BH186" s="78"/>
      <c r="BI186" s="78"/>
      <c r="BJ186" s="78"/>
      <c r="BK186" s="78"/>
      <c r="BL186" s="78"/>
      <c r="BM186" s="78"/>
      <c r="BN186" s="78"/>
      <c r="BO186" s="78"/>
      <c r="BP186" s="78"/>
      <c r="BQ186" s="78"/>
      <c r="BR186" s="78"/>
      <c r="BS186" s="78"/>
      <c r="BT186" s="78"/>
      <c r="BU186" s="78"/>
      <c r="BV186" s="78"/>
      <c r="BW186" s="78"/>
      <c r="BX186" s="78"/>
      <c r="BY186" s="78"/>
      <c r="BZ186" s="78"/>
      <c r="CA186" s="78"/>
      <c r="CB186" s="78"/>
      <c r="CC186" s="78"/>
      <c r="CD186" s="78"/>
      <c r="CE186" s="78"/>
      <c r="CF186" s="78"/>
      <c r="CG186" s="78"/>
      <c r="CH186" s="78"/>
      <c r="CI186" s="78"/>
      <c r="CJ186" s="78"/>
      <c r="CK186" s="78"/>
      <c r="CL186" s="78"/>
      <c r="CM186" s="78"/>
      <c r="CN186" s="78"/>
      <c r="CO186" s="78"/>
      <c r="CP186" s="78"/>
      <c r="CQ186" s="78"/>
      <c r="CR186" s="78"/>
      <c r="CS186" s="78"/>
      <c r="CT186" s="78"/>
      <c r="CU186" s="78"/>
      <c r="CV186" s="78"/>
      <c r="CW186" s="78"/>
      <c r="CX186" s="78"/>
      <c r="CY186" s="78"/>
      <c r="CZ186" s="78"/>
      <c r="DA186" s="78"/>
      <c r="DB186" s="78"/>
      <c r="DC186" s="78"/>
      <c r="DD186" s="78"/>
      <c r="DE186" s="78"/>
      <c r="DF186" s="78"/>
      <c r="DG186" s="78"/>
      <c r="DH186" s="78"/>
      <c r="DI186" s="78"/>
      <c r="DJ186" s="78"/>
      <c r="DK186" s="78"/>
      <c r="DL186" s="78"/>
      <c r="DM186" s="78"/>
      <c r="DN186" s="78"/>
      <c r="DO186" s="78"/>
      <c r="DP186" s="78"/>
      <c r="DQ186" s="78"/>
      <c r="DR186" s="78"/>
      <c r="DS186" s="78"/>
      <c r="DT186" s="78"/>
      <c r="DU186" s="78"/>
      <c r="DV186" s="78"/>
      <c r="DW186" s="78"/>
      <c r="DX186" s="78"/>
      <c r="DY186" s="78"/>
      <c r="DZ186" s="78"/>
      <c r="EA186" s="78"/>
      <c r="EB186" s="78"/>
      <c r="EC186" s="78"/>
    </row>
    <row r="187" spans="1:133" s="9" customFormat="1" x14ac:dyDescent="0.25">
      <c r="A187" s="73" t="s">
        <v>51</v>
      </c>
      <c r="B187" s="60" t="s">
        <v>202</v>
      </c>
      <c r="C187" s="53" t="s">
        <v>53</v>
      </c>
      <c r="D187" s="53" t="s">
        <v>376</v>
      </c>
      <c r="E187" s="162">
        <v>15175</v>
      </c>
      <c r="F187" s="163"/>
      <c r="G187" s="163"/>
      <c r="H187" s="163"/>
      <c r="I187" s="163"/>
      <c r="J187" s="163"/>
      <c r="K187" s="163"/>
      <c r="L187" s="163"/>
      <c r="M187" s="163"/>
      <c r="N187" s="163"/>
      <c r="O187" s="163"/>
      <c r="P187" s="163"/>
      <c r="Q187" s="164"/>
      <c r="R187" s="78"/>
      <c r="S187" s="78"/>
      <c r="T187" s="78"/>
      <c r="U187" s="78"/>
      <c r="V187" s="78"/>
      <c r="W187" s="78"/>
      <c r="X187" s="78"/>
      <c r="Y187" s="78"/>
      <c r="Z187" s="78"/>
      <c r="AA187" s="78"/>
      <c r="AB187" s="78"/>
      <c r="AC187" s="78"/>
      <c r="AD187" s="78"/>
      <c r="AE187" s="78"/>
      <c r="AF187" s="78"/>
      <c r="AG187" s="78"/>
      <c r="AH187" s="78"/>
      <c r="AI187" s="78"/>
      <c r="AJ187" s="78"/>
      <c r="AK187" s="78"/>
      <c r="AL187" s="78"/>
      <c r="AM187" s="78"/>
      <c r="AN187" s="78"/>
      <c r="AO187" s="78"/>
      <c r="AP187" s="78"/>
      <c r="AQ187" s="78"/>
      <c r="AR187" s="78"/>
      <c r="AS187" s="78"/>
      <c r="AT187" s="78"/>
      <c r="AU187" s="78"/>
      <c r="AV187" s="78"/>
      <c r="AW187" s="78"/>
      <c r="AX187" s="78"/>
      <c r="AY187" s="78"/>
      <c r="AZ187" s="78"/>
      <c r="BA187" s="78"/>
      <c r="BB187" s="78"/>
      <c r="BC187" s="78"/>
      <c r="BD187" s="78"/>
      <c r="BE187" s="78"/>
      <c r="BF187" s="78"/>
      <c r="BG187" s="78"/>
      <c r="BH187" s="78"/>
      <c r="BI187" s="78"/>
      <c r="BJ187" s="78"/>
      <c r="BK187" s="78"/>
      <c r="BL187" s="78"/>
      <c r="BM187" s="78"/>
      <c r="BN187" s="78"/>
      <c r="BO187" s="78"/>
      <c r="BP187" s="78"/>
      <c r="BQ187" s="78"/>
      <c r="BR187" s="78"/>
      <c r="BS187" s="78"/>
      <c r="BT187" s="78"/>
      <c r="BU187" s="78"/>
      <c r="BV187" s="78"/>
      <c r="BW187" s="78"/>
      <c r="BX187" s="78"/>
      <c r="BY187" s="78"/>
      <c r="BZ187" s="78"/>
      <c r="CA187" s="78"/>
      <c r="CB187" s="78"/>
      <c r="CC187" s="78"/>
      <c r="CD187" s="78"/>
      <c r="CE187" s="78"/>
      <c r="CF187" s="78"/>
      <c r="CG187" s="78"/>
      <c r="CH187" s="78"/>
      <c r="CI187" s="78"/>
      <c r="CJ187" s="78"/>
      <c r="CK187" s="78"/>
      <c r="CL187" s="78"/>
      <c r="CM187" s="78"/>
      <c r="CN187" s="78"/>
      <c r="CO187" s="78"/>
      <c r="CP187" s="78"/>
      <c r="CQ187" s="78"/>
      <c r="CR187" s="78"/>
      <c r="CS187" s="78"/>
      <c r="CT187" s="78"/>
      <c r="CU187" s="78"/>
      <c r="CV187" s="78"/>
      <c r="CW187" s="78"/>
      <c r="CX187" s="78"/>
      <c r="CY187" s="78"/>
      <c r="CZ187" s="78"/>
      <c r="DA187" s="78"/>
      <c r="DB187" s="78"/>
      <c r="DC187" s="78"/>
      <c r="DD187" s="78"/>
      <c r="DE187" s="78"/>
      <c r="DF187" s="78"/>
      <c r="DG187" s="78"/>
      <c r="DH187" s="78"/>
      <c r="DI187" s="78"/>
      <c r="DJ187" s="78"/>
      <c r="DK187" s="78"/>
      <c r="DL187" s="78"/>
      <c r="DM187" s="78"/>
      <c r="DN187" s="78"/>
      <c r="DO187" s="78"/>
      <c r="DP187" s="78"/>
      <c r="DQ187" s="78"/>
      <c r="DR187" s="78"/>
      <c r="DS187" s="78"/>
      <c r="DT187" s="78"/>
      <c r="DU187" s="78"/>
      <c r="DV187" s="78"/>
      <c r="DW187" s="78"/>
      <c r="DX187" s="78"/>
      <c r="DY187" s="78"/>
      <c r="DZ187" s="78"/>
      <c r="EA187" s="78"/>
      <c r="EB187" s="78"/>
      <c r="EC187" s="78"/>
    </row>
    <row r="188" spans="1:133" s="9" customFormat="1" ht="18" x14ac:dyDescent="0.25">
      <c r="A188" s="73" t="s">
        <v>54</v>
      </c>
      <c r="B188" s="60" t="s">
        <v>203</v>
      </c>
      <c r="C188" s="53" t="s">
        <v>56</v>
      </c>
      <c r="D188" s="53" t="s">
        <v>376</v>
      </c>
      <c r="E188" s="162">
        <v>303.16000000000003</v>
      </c>
      <c r="F188" s="163"/>
      <c r="G188" s="163"/>
      <c r="H188" s="163"/>
      <c r="I188" s="163"/>
      <c r="J188" s="163"/>
      <c r="K188" s="163"/>
      <c r="L188" s="163"/>
      <c r="M188" s="163"/>
      <c r="N188" s="163"/>
      <c r="O188" s="163"/>
      <c r="P188" s="163"/>
      <c r="Q188" s="164"/>
      <c r="R188" s="78"/>
      <c r="S188" s="78"/>
      <c r="T188" s="78"/>
      <c r="U188" s="78"/>
      <c r="V188" s="78"/>
      <c r="W188" s="78"/>
      <c r="X188" s="78"/>
      <c r="Y188" s="78"/>
      <c r="Z188" s="78"/>
      <c r="AA188" s="78"/>
      <c r="AB188" s="78"/>
      <c r="AC188" s="78"/>
      <c r="AD188" s="78"/>
      <c r="AE188" s="78"/>
      <c r="AF188" s="78"/>
      <c r="AG188" s="78"/>
      <c r="AH188" s="78"/>
      <c r="AI188" s="78"/>
      <c r="AJ188" s="78"/>
      <c r="AK188" s="78"/>
      <c r="AL188" s="78"/>
      <c r="AM188" s="78"/>
      <c r="AN188" s="78"/>
      <c r="AO188" s="78"/>
      <c r="AP188" s="78"/>
      <c r="AQ188" s="78"/>
      <c r="AR188" s="78"/>
      <c r="AS188" s="78"/>
      <c r="AT188" s="78"/>
      <c r="AU188" s="78"/>
      <c r="AV188" s="78"/>
      <c r="AW188" s="78"/>
      <c r="AX188" s="78"/>
      <c r="AY188" s="78"/>
      <c r="AZ188" s="78"/>
      <c r="BA188" s="78"/>
      <c r="BB188" s="78"/>
      <c r="BC188" s="78"/>
      <c r="BD188" s="78"/>
      <c r="BE188" s="78"/>
      <c r="BF188" s="78"/>
      <c r="BG188" s="78"/>
      <c r="BH188" s="78"/>
      <c r="BI188" s="78"/>
      <c r="BJ188" s="78"/>
      <c r="BK188" s="78"/>
      <c r="BL188" s="78"/>
      <c r="BM188" s="78"/>
      <c r="BN188" s="78"/>
      <c r="BO188" s="78"/>
      <c r="BP188" s="78"/>
      <c r="BQ188" s="78"/>
      <c r="BR188" s="78"/>
      <c r="BS188" s="78"/>
      <c r="BT188" s="78"/>
      <c r="BU188" s="78"/>
      <c r="BV188" s="78"/>
      <c r="BW188" s="78"/>
      <c r="BX188" s="78"/>
      <c r="BY188" s="78"/>
      <c r="BZ188" s="78"/>
      <c r="CA188" s="78"/>
      <c r="CB188" s="78"/>
      <c r="CC188" s="78"/>
      <c r="CD188" s="78"/>
      <c r="CE188" s="78"/>
      <c r="CF188" s="78"/>
      <c r="CG188" s="78"/>
      <c r="CH188" s="78"/>
      <c r="CI188" s="78"/>
      <c r="CJ188" s="78"/>
      <c r="CK188" s="78"/>
      <c r="CL188" s="78"/>
      <c r="CM188" s="78"/>
      <c r="CN188" s="78"/>
      <c r="CO188" s="78"/>
      <c r="CP188" s="78"/>
      <c r="CQ188" s="78"/>
      <c r="CR188" s="78"/>
      <c r="CS188" s="78"/>
      <c r="CT188" s="78"/>
      <c r="CU188" s="78"/>
      <c r="CV188" s="78"/>
      <c r="CW188" s="78"/>
      <c r="CX188" s="78"/>
      <c r="CY188" s="78"/>
      <c r="CZ188" s="78"/>
      <c r="DA188" s="78"/>
      <c r="DB188" s="78"/>
      <c r="DC188" s="78"/>
      <c r="DD188" s="78"/>
      <c r="DE188" s="78"/>
      <c r="DF188" s="78"/>
      <c r="DG188" s="78"/>
      <c r="DH188" s="78"/>
      <c r="DI188" s="78"/>
      <c r="DJ188" s="78"/>
      <c r="DK188" s="78"/>
      <c r="DL188" s="78"/>
      <c r="DM188" s="78"/>
      <c r="DN188" s="78"/>
      <c r="DO188" s="78"/>
      <c r="DP188" s="78"/>
      <c r="DQ188" s="78"/>
      <c r="DR188" s="78"/>
      <c r="DS188" s="78"/>
      <c r="DT188" s="78"/>
      <c r="DU188" s="78"/>
      <c r="DV188" s="78"/>
      <c r="DW188" s="78"/>
      <c r="DX188" s="78"/>
      <c r="DY188" s="78"/>
      <c r="DZ188" s="78"/>
      <c r="EA188" s="78"/>
      <c r="EB188" s="78"/>
      <c r="EC188" s="78"/>
    </row>
    <row r="189" spans="1:133" s="9" customFormat="1" x14ac:dyDescent="0.25">
      <c r="A189" s="73" t="s">
        <v>57</v>
      </c>
      <c r="B189" s="60" t="s">
        <v>204</v>
      </c>
      <c r="C189" s="53" t="s">
        <v>59</v>
      </c>
      <c r="D189" s="53" t="s">
        <v>376</v>
      </c>
      <c r="E189" s="162">
        <v>1.9870000000000001</v>
      </c>
      <c r="F189" s="163"/>
      <c r="G189" s="163"/>
      <c r="H189" s="163"/>
      <c r="I189" s="163"/>
      <c r="J189" s="163"/>
      <c r="K189" s="163"/>
      <c r="L189" s="163"/>
      <c r="M189" s="163"/>
      <c r="N189" s="163"/>
      <c r="O189" s="163"/>
      <c r="P189" s="163"/>
      <c r="Q189" s="164"/>
      <c r="R189" s="78"/>
      <c r="S189" s="78"/>
      <c r="T189" s="78"/>
      <c r="U189" s="78"/>
      <c r="V189" s="78"/>
      <c r="W189" s="78"/>
      <c r="X189" s="78"/>
      <c r="Y189" s="78"/>
      <c r="Z189" s="78"/>
      <c r="AA189" s="78"/>
      <c r="AB189" s="78"/>
      <c r="AC189" s="78"/>
      <c r="AD189" s="78"/>
      <c r="AE189" s="78"/>
      <c r="AF189" s="78"/>
      <c r="AG189" s="78"/>
      <c r="AH189" s="78"/>
      <c r="AI189" s="78"/>
      <c r="AJ189" s="78"/>
      <c r="AK189" s="78"/>
      <c r="AL189" s="78"/>
      <c r="AM189" s="78"/>
      <c r="AN189" s="78"/>
      <c r="AO189" s="78"/>
      <c r="AP189" s="78"/>
      <c r="AQ189" s="78"/>
      <c r="AR189" s="78"/>
      <c r="AS189" s="78"/>
      <c r="AT189" s="78"/>
      <c r="AU189" s="78"/>
      <c r="AV189" s="78"/>
      <c r="AW189" s="78"/>
      <c r="AX189" s="78"/>
      <c r="AY189" s="78"/>
      <c r="AZ189" s="78"/>
      <c r="BA189" s="78"/>
      <c r="BB189" s="78"/>
      <c r="BC189" s="78"/>
      <c r="BD189" s="78"/>
      <c r="BE189" s="78"/>
      <c r="BF189" s="78"/>
      <c r="BG189" s="78"/>
      <c r="BH189" s="78"/>
      <c r="BI189" s="78"/>
      <c r="BJ189" s="78"/>
      <c r="BK189" s="78"/>
      <c r="BL189" s="78"/>
      <c r="BM189" s="78"/>
      <c r="BN189" s="78"/>
      <c r="BO189" s="78"/>
      <c r="BP189" s="78"/>
      <c r="BQ189" s="78"/>
      <c r="BR189" s="78"/>
      <c r="BS189" s="78"/>
      <c r="BT189" s="78"/>
      <c r="BU189" s="78"/>
      <c r="BV189" s="78"/>
      <c r="BW189" s="78"/>
      <c r="BX189" s="78"/>
      <c r="BY189" s="78"/>
      <c r="BZ189" s="78"/>
      <c r="CA189" s="78"/>
      <c r="CB189" s="78"/>
      <c r="CC189" s="78"/>
      <c r="CD189" s="78"/>
      <c r="CE189" s="78"/>
      <c r="CF189" s="78"/>
      <c r="CG189" s="78"/>
      <c r="CH189" s="78"/>
      <c r="CI189" s="78"/>
      <c r="CJ189" s="78"/>
      <c r="CK189" s="78"/>
      <c r="CL189" s="78"/>
      <c r="CM189" s="78"/>
      <c r="CN189" s="78"/>
      <c r="CO189" s="78"/>
      <c r="CP189" s="78"/>
      <c r="CQ189" s="78"/>
      <c r="CR189" s="78"/>
      <c r="CS189" s="78"/>
      <c r="CT189" s="78"/>
      <c r="CU189" s="78"/>
      <c r="CV189" s="78"/>
      <c r="CW189" s="78"/>
      <c r="CX189" s="78"/>
      <c r="CY189" s="78"/>
      <c r="CZ189" s="78"/>
      <c r="DA189" s="78"/>
      <c r="DB189" s="78"/>
      <c r="DC189" s="78"/>
      <c r="DD189" s="78"/>
      <c r="DE189" s="78"/>
      <c r="DF189" s="78"/>
      <c r="DG189" s="78"/>
      <c r="DH189" s="78"/>
      <c r="DI189" s="78"/>
      <c r="DJ189" s="78"/>
      <c r="DK189" s="78"/>
      <c r="DL189" s="78"/>
      <c r="DM189" s="78"/>
      <c r="DN189" s="78"/>
      <c r="DO189" s="78"/>
      <c r="DP189" s="78"/>
      <c r="DQ189" s="78"/>
      <c r="DR189" s="78"/>
      <c r="DS189" s="78"/>
      <c r="DT189" s="78"/>
      <c r="DU189" s="78"/>
      <c r="DV189" s="78"/>
      <c r="DW189" s="78"/>
      <c r="DX189" s="78"/>
      <c r="DY189" s="78"/>
      <c r="DZ189" s="78"/>
      <c r="EA189" s="78"/>
      <c r="EB189" s="78"/>
      <c r="EC189" s="78"/>
    </row>
    <row r="190" spans="1:133" s="9" customFormat="1" ht="31.2" x14ac:dyDescent="0.25">
      <c r="A190" s="73" t="s">
        <v>60</v>
      </c>
      <c r="B190" s="60" t="s">
        <v>203</v>
      </c>
      <c r="C190" s="53" t="s">
        <v>61</v>
      </c>
      <c r="D190" s="143" t="s">
        <v>363</v>
      </c>
      <c r="E190" s="98">
        <f>AVERAGE(F190:K190)</f>
        <v>294.65000000000003</v>
      </c>
      <c r="F190" s="60">
        <v>290.14999999999998</v>
      </c>
      <c r="G190" s="60">
        <v>287.14999999999998</v>
      </c>
      <c r="H190" s="60">
        <v>295.14999999999998</v>
      </c>
      <c r="I190" s="60">
        <v>296.14999999999998</v>
      </c>
      <c r="J190" s="60">
        <v>298.14999999999998</v>
      </c>
      <c r="K190" s="60">
        <v>301.14999999999998</v>
      </c>
      <c r="L190" s="60" t="s">
        <v>297</v>
      </c>
      <c r="M190" s="60" t="s">
        <v>297</v>
      </c>
      <c r="N190" s="60" t="s">
        <v>297</v>
      </c>
      <c r="O190" s="60" t="s">
        <v>297</v>
      </c>
      <c r="P190" s="60" t="s">
        <v>297</v>
      </c>
      <c r="Q190" s="60" t="s">
        <v>297</v>
      </c>
      <c r="R190" s="78"/>
      <c r="S190" s="78"/>
      <c r="T190" s="78"/>
      <c r="U190" s="78"/>
      <c r="V190" s="78"/>
      <c r="W190" s="78"/>
      <c r="X190" s="78"/>
      <c r="Y190" s="78"/>
      <c r="Z190" s="78"/>
      <c r="AA190" s="78"/>
      <c r="AB190" s="78"/>
      <c r="AC190" s="78"/>
      <c r="AD190" s="78"/>
      <c r="AE190" s="78"/>
      <c r="AF190" s="78"/>
      <c r="AG190" s="78"/>
      <c r="AH190" s="78"/>
      <c r="AI190" s="78"/>
      <c r="AJ190" s="78"/>
      <c r="AK190" s="78"/>
      <c r="AL190" s="78"/>
      <c r="AM190" s="78"/>
      <c r="AN190" s="78"/>
      <c r="AO190" s="78"/>
      <c r="AP190" s="78"/>
      <c r="AQ190" s="78"/>
      <c r="AR190" s="78"/>
      <c r="AS190" s="78"/>
      <c r="AT190" s="78"/>
      <c r="AU190" s="78"/>
      <c r="AV190" s="78"/>
      <c r="AW190" s="78"/>
      <c r="AX190" s="78"/>
      <c r="AY190" s="78"/>
      <c r="AZ190" s="78"/>
      <c r="BA190" s="78"/>
      <c r="BB190" s="78"/>
      <c r="BC190" s="78"/>
      <c r="BD190" s="78"/>
      <c r="BE190" s="78"/>
      <c r="BF190" s="78"/>
      <c r="BG190" s="78"/>
      <c r="BH190" s="78"/>
      <c r="BI190" s="78"/>
      <c r="BJ190" s="78"/>
      <c r="BK190" s="78"/>
      <c r="BL190" s="78"/>
      <c r="BM190" s="78"/>
      <c r="BN190" s="78"/>
      <c r="BO190" s="78"/>
      <c r="BP190" s="78"/>
      <c r="BQ190" s="78"/>
      <c r="BR190" s="78"/>
      <c r="BS190" s="78"/>
      <c r="BT190" s="78"/>
      <c r="BU190" s="78"/>
      <c r="BV190" s="78"/>
      <c r="BW190" s="78"/>
      <c r="BX190" s="78"/>
      <c r="BY190" s="78"/>
      <c r="BZ190" s="78"/>
      <c r="CA190" s="78"/>
      <c r="CB190" s="78"/>
      <c r="CC190" s="78"/>
      <c r="CD190" s="78"/>
      <c r="CE190" s="78"/>
      <c r="CF190" s="78"/>
      <c r="CG190" s="78"/>
      <c r="CH190" s="78"/>
      <c r="CI190" s="78"/>
      <c r="CJ190" s="78"/>
      <c r="CK190" s="78"/>
      <c r="CL190" s="78"/>
      <c r="CM190" s="78"/>
      <c r="CN190" s="78"/>
      <c r="CO190" s="78"/>
      <c r="CP190" s="78"/>
      <c r="CQ190" s="78"/>
      <c r="CR190" s="78"/>
      <c r="CS190" s="78"/>
      <c r="CT190" s="78"/>
      <c r="CU190" s="78"/>
      <c r="CV190" s="78"/>
      <c r="CW190" s="78"/>
      <c r="CX190" s="78"/>
      <c r="CY190" s="78"/>
      <c r="CZ190" s="78"/>
      <c r="DA190" s="78"/>
      <c r="DB190" s="78"/>
      <c r="DC190" s="78"/>
      <c r="DD190" s="78"/>
      <c r="DE190" s="78"/>
      <c r="DF190" s="78"/>
      <c r="DG190" s="78"/>
      <c r="DH190" s="78"/>
      <c r="DI190" s="78"/>
      <c r="DJ190" s="78"/>
      <c r="DK190" s="78"/>
      <c r="DL190" s="78"/>
      <c r="DM190" s="78"/>
      <c r="DN190" s="78"/>
      <c r="DO190" s="78"/>
      <c r="DP190" s="78"/>
      <c r="DQ190" s="78"/>
      <c r="DR190" s="78"/>
      <c r="DS190" s="78"/>
      <c r="DT190" s="78"/>
      <c r="DU190" s="78"/>
      <c r="DV190" s="78"/>
      <c r="DW190" s="78"/>
      <c r="DX190" s="78"/>
      <c r="DY190" s="78"/>
      <c r="DZ190" s="78"/>
      <c r="EA190" s="78"/>
      <c r="EB190" s="78"/>
      <c r="EC190" s="78"/>
    </row>
    <row r="191" spans="1:133" s="9" customFormat="1" ht="31.2" x14ac:dyDescent="0.4">
      <c r="A191" s="71" t="s">
        <v>62</v>
      </c>
      <c r="B191" s="60" t="s">
        <v>196</v>
      </c>
      <c r="C191" s="53" t="s">
        <v>63</v>
      </c>
      <c r="D191" s="53" t="s">
        <v>377</v>
      </c>
      <c r="E191" s="74">
        <f>SUM(F191:K191)</f>
        <v>784.39844758620438</v>
      </c>
      <c r="F191" s="74">
        <f>F180*F175*F178+(1-F186)*'Baseline Emissions 2021'!Q191</f>
        <v>154.23894363615267</v>
      </c>
      <c r="G191" s="74">
        <f t="shared" ref="G191:K191" si="27">G180*G175*G178+(1-G186)*F191</f>
        <v>171.35324447381765</v>
      </c>
      <c r="H191" s="74">
        <f t="shared" si="27"/>
        <v>145.72346223581093</v>
      </c>
      <c r="I191" s="74">
        <f t="shared" si="27"/>
        <v>124.38299338281885</v>
      </c>
      <c r="J191" s="74">
        <f t="shared" si="27"/>
        <v>109.79224645305685</v>
      </c>
      <c r="K191" s="74">
        <f t="shared" si="27"/>
        <v>78.907557404547404</v>
      </c>
      <c r="L191" s="74" t="s">
        <v>297</v>
      </c>
      <c r="M191" s="74" t="s">
        <v>297</v>
      </c>
      <c r="N191" s="74" t="s">
        <v>297</v>
      </c>
      <c r="O191" s="74" t="s">
        <v>297</v>
      </c>
      <c r="P191" s="74" t="s">
        <v>297</v>
      </c>
      <c r="Q191" s="74" t="s">
        <v>297</v>
      </c>
      <c r="R191" s="78"/>
      <c r="S191" s="78"/>
      <c r="T191" s="78"/>
      <c r="U191" s="78"/>
      <c r="V191" s="78"/>
      <c r="W191" s="78"/>
      <c r="X191" s="78"/>
      <c r="Y191" s="78"/>
      <c r="Z191" s="78"/>
      <c r="AA191" s="78"/>
      <c r="AB191" s="78"/>
      <c r="AC191" s="78"/>
      <c r="AD191" s="78"/>
      <c r="AE191" s="78"/>
      <c r="AF191" s="78"/>
      <c r="AG191" s="78"/>
      <c r="AH191" s="78"/>
      <c r="AI191" s="78"/>
      <c r="AJ191" s="78"/>
      <c r="AK191" s="78"/>
      <c r="AL191" s="78"/>
      <c r="AM191" s="78"/>
      <c r="AN191" s="78"/>
      <c r="AO191" s="78"/>
      <c r="AP191" s="78"/>
      <c r="AQ191" s="78"/>
      <c r="AR191" s="78"/>
      <c r="AS191" s="78"/>
      <c r="AT191" s="78"/>
      <c r="AU191" s="78"/>
      <c r="AV191" s="78"/>
      <c r="AW191" s="78"/>
      <c r="AX191" s="78"/>
      <c r="AY191" s="78"/>
      <c r="AZ191" s="78"/>
      <c r="BA191" s="78"/>
      <c r="BB191" s="78"/>
      <c r="BC191" s="78"/>
      <c r="BD191" s="78"/>
      <c r="BE191" s="78"/>
      <c r="BF191" s="78"/>
      <c r="BG191" s="78"/>
      <c r="BH191" s="78"/>
      <c r="BI191" s="78"/>
      <c r="BJ191" s="78"/>
      <c r="BK191" s="78"/>
      <c r="BL191" s="78"/>
      <c r="BM191" s="78"/>
      <c r="BN191" s="78"/>
      <c r="BO191" s="78"/>
      <c r="BP191" s="78"/>
      <c r="BQ191" s="78"/>
      <c r="BR191" s="78"/>
      <c r="BS191" s="78"/>
      <c r="BT191" s="78"/>
      <c r="BU191" s="78"/>
      <c r="BV191" s="78"/>
      <c r="BW191" s="78"/>
      <c r="BX191" s="78"/>
      <c r="BY191" s="78"/>
      <c r="BZ191" s="78"/>
      <c r="CA191" s="78"/>
      <c r="CB191" s="78"/>
      <c r="CC191" s="78"/>
      <c r="CD191" s="78"/>
      <c r="CE191" s="78"/>
      <c r="CF191" s="78"/>
      <c r="CG191" s="78"/>
      <c r="CH191" s="78"/>
      <c r="CI191" s="78"/>
      <c r="CJ191" s="78"/>
      <c r="CK191" s="78"/>
      <c r="CL191" s="78"/>
      <c r="CM191" s="78"/>
      <c r="CN191" s="78"/>
      <c r="CO191" s="78"/>
      <c r="CP191" s="78"/>
      <c r="CQ191" s="78"/>
      <c r="CR191" s="78"/>
      <c r="CS191" s="78"/>
      <c r="CT191" s="78"/>
      <c r="CU191" s="78"/>
      <c r="CV191" s="78"/>
      <c r="CW191" s="78"/>
      <c r="CX191" s="78"/>
      <c r="CY191" s="78"/>
      <c r="CZ191" s="78"/>
      <c r="DA191" s="78"/>
      <c r="DB191" s="78"/>
      <c r="DC191" s="78"/>
      <c r="DD191" s="78"/>
      <c r="DE191" s="78"/>
      <c r="DF191" s="78"/>
      <c r="DG191" s="78"/>
      <c r="DH191" s="78"/>
      <c r="DI191" s="78"/>
      <c r="DJ191" s="78"/>
      <c r="DK191" s="78"/>
      <c r="DL191" s="78"/>
      <c r="DM191" s="78"/>
      <c r="DN191" s="78"/>
      <c r="DO191" s="78"/>
      <c r="DP191" s="78"/>
      <c r="DQ191" s="78"/>
      <c r="DR191" s="78"/>
      <c r="DS191" s="78"/>
      <c r="DT191" s="78"/>
      <c r="DU191" s="78"/>
      <c r="DV191" s="78"/>
      <c r="DW191" s="78"/>
      <c r="DX191" s="78"/>
      <c r="DY191" s="78"/>
      <c r="DZ191" s="78"/>
      <c r="EA191" s="78"/>
      <c r="EB191" s="78"/>
      <c r="EC191" s="78"/>
    </row>
    <row r="193" spans="1:133" s="13" customFormat="1" x14ac:dyDescent="0.25">
      <c r="A193" s="158" t="s">
        <v>64</v>
      </c>
      <c r="B193" s="158"/>
      <c r="C193" s="158"/>
      <c r="D193" s="158"/>
      <c r="E193" s="158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4"/>
      <c r="AI193" s="14"/>
      <c r="AJ193" s="14"/>
      <c r="AK193" s="14"/>
      <c r="AL193" s="14"/>
      <c r="AM193" s="14"/>
      <c r="AN193" s="14"/>
      <c r="AO193" s="14"/>
      <c r="AP193" s="14"/>
      <c r="AQ193" s="14"/>
      <c r="AR193" s="14"/>
      <c r="AS193" s="14"/>
      <c r="AT193" s="14"/>
      <c r="AU193" s="14"/>
      <c r="AV193" s="14"/>
      <c r="AW193" s="14"/>
      <c r="AX193" s="14"/>
      <c r="AY193" s="14"/>
      <c r="AZ193" s="14"/>
      <c r="BA193" s="14"/>
      <c r="BB193" s="14"/>
      <c r="BC193" s="14"/>
      <c r="BD193" s="14"/>
      <c r="BE193" s="14"/>
      <c r="BF193" s="14"/>
      <c r="BG193" s="14"/>
      <c r="BH193" s="14"/>
      <c r="BI193" s="14"/>
      <c r="BJ193" s="14"/>
      <c r="BK193" s="14"/>
      <c r="BL193" s="14"/>
      <c r="BM193" s="14"/>
      <c r="BN193" s="14"/>
      <c r="BO193" s="14"/>
      <c r="BP193" s="14"/>
      <c r="BQ193" s="14"/>
      <c r="BR193" s="14"/>
      <c r="BS193" s="14"/>
      <c r="BT193" s="14"/>
      <c r="BU193" s="14"/>
      <c r="BV193" s="14"/>
      <c r="BW193" s="14"/>
      <c r="BX193" s="14"/>
      <c r="BY193" s="14"/>
      <c r="BZ193" s="14"/>
      <c r="CA193" s="14"/>
      <c r="CB193" s="14"/>
      <c r="CC193" s="14"/>
      <c r="CD193" s="14"/>
      <c r="CE193" s="14"/>
      <c r="CF193" s="14"/>
      <c r="CG193" s="14"/>
      <c r="CH193" s="14"/>
      <c r="CI193" s="14"/>
      <c r="CJ193" s="14"/>
      <c r="CK193" s="14"/>
      <c r="CL193" s="14"/>
      <c r="CM193" s="14"/>
      <c r="CN193" s="14"/>
      <c r="CO193" s="14"/>
      <c r="CP193" s="14"/>
      <c r="CQ193" s="14"/>
      <c r="CR193" s="14"/>
      <c r="CS193" s="14"/>
      <c r="CT193" s="14"/>
      <c r="CU193" s="14"/>
      <c r="CV193" s="14"/>
      <c r="CW193" s="14"/>
      <c r="CX193" s="14"/>
      <c r="CY193" s="14"/>
      <c r="CZ193" s="14"/>
      <c r="DA193" s="14"/>
      <c r="DB193" s="14"/>
      <c r="DC193" s="14"/>
      <c r="DD193" s="14"/>
      <c r="DE193" s="14"/>
      <c r="DF193" s="14"/>
      <c r="DG193" s="14"/>
      <c r="DH193" s="14"/>
      <c r="DI193" s="14"/>
      <c r="DJ193" s="14"/>
      <c r="DK193" s="14"/>
      <c r="DL193" s="14"/>
      <c r="DM193" s="14"/>
      <c r="DN193" s="14"/>
      <c r="DO193" s="14"/>
      <c r="DP193" s="14"/>
      <c r="DQ193" s="14"/>
      <c r="DR193" s="14"/>
      <c r="DS193" s="14"/>
      <c r="DT193" s="14"/>
      <c r="DU193" s="14"/>
      <c r="DV193" s="14"/>
      <c r="DW193" s="14"/>
      <c r="DX193" s="14"/>
      <c r="DY193" s="14"/>
      <c r="DZ193" s="14"/>
      <c r="EA193" s="14"/>
      <c r="EB193" s="14"/>
      <c r="EC193" s="14"/>
    </row>
    <row r="194" spans="1:133" s="13" customFormat="1" x14ac:dyDescent="0.25">
      <c r="A194" s="57" t="s">
        <v>8</v>
      </c>
      <c r="B194" s="58" t="s">
        <v>9</v>
      </c>
      <c r="C194" s="34" t="s">
        <v>10</v>
      </c>
      <c r="D194" s="34" t="s">
        <v>340</v>
      </c>
      <c r="E194" s="16" t="s">
        <v>65</v>
      </c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4"/>
      <c r="AI194" s="14"/>
      <c r="AJ194" s="14"/>
      <c r="AK194" s="14"/>
      <c r="AL194" s="14"/>
      <c r="AM194" s="14"/>
      <c r="AN194" s="14"/>
      <c r="AO194" s="14"/>
      <c r="AP194" s="14"/>
      <c r="AQ194" s="14"/>
      <c r="AR194" s="14"/>
      <c r="AS194" s="14"/>
      <c r="AT194" s="14"/>
      <c r="AU194" s="14"/>
      <c r="AV194" s="14"/>
      <c r="AW194" s="14"/>
      <c r="AX194" s="14"/>
      <c r="AY194" s="14"/>
      <c r="AZ194" s="14"/>
      <c r="BA194" s="14"/>
      <c r="BB194" s="14"/>
      <c r="BC194" s="14"/>
      <c r="BD194" s="14"/>
      <c r="BE194" s="14"/>
      <c r="BF194" s="14"/>
      <c r="BG194" s="14"/>
      <c r="BH194" s="14"/>
      <c r="BI194" s="14"/>
      <c r="BJ194" s="14"/>
      <c r="BK194" s="14"/>
      <c r="BL194" s="14"/>
      <c r="BM194" s="14"/>
      <c r="BN194" s="14"/>
      <c r="BO194" s="14"/>
      <c r="BP194" s="14"/>
      <c r="BQ194" s="14"/>
      <c r="BR194" s="14"/>
      <c r="BS194" s="14"/>
      <c r="BT194" s="14"/>
      <c r="BU194" s="14"/>
      <c r="BV194" s="14"/>
      <c r="BW194" s="14"/>
      <c r="BX194" s="14"/>
      <c r="BY194" s="14"/>
      <c r="BZ194" s="14"/>
      <c r="CA194" s="14"/>
      <c r="CB194" s="14"/>
      <c r="CC194" s="14"/>
      <c r="CD194" s="14"/>
      <c r="CE194" s="14"/>
      <c r="CF194" s="14"/>
      <c r="CG194" s="14"/>
      <c r="CH194" s="14"/>
      <c r="CI194" s="14"/>
      <c r="CJ194" s="14"/>
      <c r="CK194" s="14"/>
      <c r="CL194" s="14"/>
      <c r="CM194" s="14"/>
      <c r="CN194" s="14"/>
      <c r="CO194" s="14"/>
      <c r="CP194" s="14"/>
      <c r="CQ194" s="14"/>
      <c r="CR194" s="14"/>
      <c r="CS194" s="14"/>
      <c r="CT194" s="14"/>
      <c r="CU194" s="14"/>
      <c r="CV194" s="14"/>
      <c r="CW194" s="14"/>
      <c r="CX194" s="14"/>
      <c r="CY194" s="14"/>
      <c r="CZ194" s="14"/>
      <c r="DA194" s="14"/>
      <c r="DB194" s="14"/>
      <c r="DC194" s="14"/>
      <c r="DD194" s="14"/>
      <c r="DE194" s="14"/>
      <c r="DF194" s="14"/>
      <c r="DG194" s="14"/>
      <c r="DH194" s="14"/>
      <c r="DI194" s="14"/>
      <c r="DJ194" s="14"/>
      <c r="DK194" s="14"/>
      <c r="DL194" s="14"/>
      <c r="DM194" s="14"/>
      <c r="DN194" s="14"/>
      <c r="DO194" s="14"/>
      <c r="DP194" s="14"/>
      <c r="DQ194" s="14"/>
      <c r="DR194" s="14"/>
      <c r="DS194" s="14"/>
      <c r="DT194" s="14"/>
      <c r="DU194" s="14"/>
      <c r="DV194" s="14"/>
      <c r="DW194" s="14"/>
      <c r="DX194" s="14"/>
      <c r="DY194" s="14"/>
      <c r="DZ194" s="14"/>
      <c r="EA194" s="14"/>
      <c r="EB194" s="14"/>
      <c r="EC194" s="14"/>
    </row>
    <row r="195" spans="1:133" s="13" customFormat="1" ht="62.4" x14ac:dyDescent="0.25">
      <c r="A195" s="59" t="s">
        <v>66</v>
      </c>
      <c r="B195" s="60" t="s">
        <v>14</v>
      </c>
      <c r="C195" s="53" t="s">
        <v>67</v>
      </c>
      <c r="D195" s="53" t="s">
        <v>68</v>
      </c>
      <c r="E195" s="75">
        <v>0</v>
      </c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4"/>
      <c r="AI195" s="14"/>
      <c r="AJ195" s="14"/>
      <c r="AK195" s="14"/>
      <c r="AL195" s="14"/>
      <c r="AM195" s="14"/>
      <c r="AN195" s="14"/>
      <c r="AO195" s="14"/>
      <c r="AP195" s="14"/>
      <c r="AQ195" s="14"/>
      <c r="AR195" s="14"/>
      <c r="AS195" s="14"/>
      <c r="AT195" s="14"/>
      <c r="AU195" s="14"/>
      <c r="AV195" s="14"/>
      <c r="AW195" s="14"/>
      <c r="AX195" s="14"/>
      <c r="AY195" s="14"/>
      <c r="AZ195" s="14"/>
      <c r="BA195" s="14"/>
      <c r="BB195" s="14"/>
      <c r="BC195" s="14"/>
      <c r="BD195" s="14"/>
      <c r="BE195" s="14"/>
      <c r="BF195" s="14"/>
      <c r="BG195" s="14"/>
      <c r="BH195" s="14"/>
      <c r="BI195" s="14"/>
      <c r="BJ195" s="14"/>
      <c r="BK195" s="14"/>
      <c r="BL195" s="14"/>
      <c r="BM195" s="14"/>
      <c r="BN195" s="14"/>
      <c r="BO195" s="14"/>
      <c r="BP195" s="14"/>
      <c r="BQ195" s="14"/>
      <c r="BR195" s="14"/>
      <c r="BS195" s="14"/>
      <c r="BT195" s="14"/>
      <c r="BU195" s="14"/>
      <c r="BV195" s="14"/>
      <c r="BW195" s="14"/>
      <c r="BX195" s="14"/>
      <c r="BY195" s="14"/>
      <c r="BZ195" s="14"/>
      <c r="CA195" s="14"/>
      <c r="CB195" s="14"/>
      <c r="CC195" s="14"/>
      <c r="CD195" s="14"/>
      <c r="CE195" s="14"/>
      <c r="CF195" s="14"/>
      <c r="CG195" s="14"/>
      <c r="CH195" s="14"/>
      <c r="CI195" s="14"/>
      <c r="CJ195" s="14"/>
      <c r="CK195" s="14"/>
      <c r="CL195" s="14"/>
      <c r="CM195" s="14"/>
      <c r="CN195" s="14"/>
      <c r="CO195" s="14"/>
      <c r="CP195" s="14"/>
      <c r="CQ195" s="14"/>
      <c r="CR195" s="14"/>
      <c r="CS195" s="14"/>
      <c r="CT195" s="14"/>
      <c r="CU195" s="14"/>
      <c r="CV195" s="14"/>
      <c r="CW195" s="14"/>
      <c r="CX195" s="14"/>
      <c r="CY195" s="14"/>
      <c r="CZ195" s="14"/>
      <c r="DA195" s="14"/>
      <c r="DB195" s="14"/>
      <c r="DC195" s="14"/>
      <c r="DD195" s="14"/>
      <c r="DE195" s="14"/>
      <c r="DF195" s="14"/>
      <c r="DG195" s="14"/>
      <c r="DH195" s="14"/>
      <c r="DI195" s="14"/>
      <c r="DJ195" s="14"/>
      <c r="DK195" s="14"/>
      <c r="DL195" s="14"/>
      <c r="DM195" s="14"/>
      <c r="DN195" s="14"/>
      <c r="DO195" s="14"/>
      <c r="DP195" s="14"/>
      <c r="DQ195" s="14"/>
      <c r="DR195" s="14"/>
      <c r="DS195" s="14"/>
      <c r="DT195" s="14"/>
      <c r="DU195" s="14"/>
      <c r="DV195" s="14"/>
      <c r="DW195" s="14"/>
      <c r="DX195" s="14"/>
      <c r="DY195" s="14"/>
      <c r="DZ195" s="14"/>
      <c r="EA195" s="14"/>
      <c r="EB195" s="14"/>
      <c r="EC195" s="14"/>
    </row>
    <row r="196" spans="1:133" s="13" customFormat="1" ht="46.8" x14ac:dyDescent="0.25">
      <c r="A196" s="63" t="s">
        <v>69</v>
      </c>
      <c r="B196" s="25" t="s">
        <v>70</v>
      </c>
      <c r="C196" s="35" t="s">
        <v>71</v>
      </c>
      <c r="D196" s="53" t="str">
        <f>D202</f>
        <v>Historical data on site in the FSR (It was calculated with conservative value)</v>
      </c>
      <c r="E196" s="74">
        <f>E202</f>
        <v>168.62217265621047</v>
      </c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  <c r="AI196" s="14"/>
      <c r="AJ196" s="14"/>
      <c r="AK196" s="14"/>
      <c r="AL196" s="14"/>
      <c r="AM196" s="14"/>
      <c r="AN196" s="14"/>
      <c r="AO196" s="14"/>
      <c r="AP196" s="14"/>
      <c r="AQ196" s="14"/>
      <c r="AR196" s="14"/>
      <c r="AS196" s="14"/>
      <c r="AT196" s="14"/>
      <c r="AU196" s="14"/>
      <c r="AV196" s="14"/>
      <c r="AW196" s="14"/>
      <c r="AX196" s="14"/>
      <c r="AY196" s="14"/>
      <c r="AZ196" s="14"/>
      <c r="BA196" s="14"/>
      <c r="BB196" s="14"/>
      <c r="BC196" s="14"/>
      <c r="BD196" s="14"/>
      <c r="BE196" s="14"/>
      <c r="BF196" s="14"/>
      <c r="BG196" s="14"/>
      <c r="BH196" s="14"/>
      <c r="BI196" s="14"/>
      <c r="BJ196" s="14"/>
      <c r="BK196" s="14"/>
      <c r="BL196" s="14"/>
      <c r="BM196" s="14"/>
      <c r="BN196" s="14"/>
      <c r="BO196" s="14"/>
      <c r="BP196" s="14"/>
      <c r="BQ196" s="14"/>
      <c r="BR196" s="14"/>
      <c r="BS196" s="14"/>
      <c r="BT196" s="14"/>
      <c r="BU196" s="14"/>
      <c r="BV196" s="14"/>
      <c r="BW196" s="14"/>
      <c r="BX196" s="14"/>
      <c r="BY196" s="14"/>
      <c r="BZ196" s="14"/>
      <c r="CA196" s="14"/>
      <c r="CB196" s="14"/>
      <c r="CC196" s="14"/>
      <c r="CD196" s="14"/>
      <c r="CE196" s="14"/>
      <c r="CF196" s="14"/>
      <c r="CG196" s="14"/>
      <c r="CH196" s="14"/>
      <c r="CI196" s="14"/>
      <c r="CJ196" s="14"/>
      <c r="CK196" s="14"/>
      <c r="CL196" s="14"/>
      <c r="CM196" s="14"/>
      <c r="CN196" s="14"/>
      <c r="CO196" s="14"/>
      <c r="CP196" s="14"/>
      <c r="CQ196" s="14"/>
      <c r="CR196" s="14"/>
      <c r="CS196" s="14"/>
      <c r="CT196" s="14"/>
      <c r="CU196" s="14"/>
      <c r="CV196" s="14"/>
      <c r="CW196" s="14"/>
      <c r="CX196" s="14"/>
      <c r="CY196" s="14"/>
      <c r="CZ196" s="14"/>
      <c r="DA196" s="14"/>
      <c r="DB196" s="14"/>
      <c r="DC196" s="14"/>
      <c r="DD196" s="14"/>
      <c r="DE196" s="14"/>
      <c r="DF196" s="14"/>
      <c r="DG196" s="14"/>
      <c r="DH196" s="14"/>
      <c r="DI196" s="14"/>
      <c r="DJ196" s="14"/>
      <c r="DK196" s="14"/>
      <c r="DL196" s="14"/>
      <c r="DM196" s="14"/>
      <c r="DN196" s="14"/>
      <c r="DO196" s="14"/>
      <c r="DP196" s="14"/>
      <c r="DQ196" s="14"/>
      <c r="DR196" s="14"/>
      <c r="DS196" s="14"/>
      <c r="DT196" s="14"/>
      <c r="DU196" s="14"/>
      <c r="DV196" s="14"/>
      <c r="DW196" s="14"/>
      <c r="DX196" s="14"/>
      <c r="DY196" s="14"/>
      <c r="DZ196" s="14"/>
      <c r="EA196" s="14"/>
      <c r="EB196" s="14"/>
      <c r="EC196" s="14"/>
    </row>
    <row r="197" spans="1:133" s="13" customFormat="1" x14ac:dyDescent="0.25">
      <c r="A197" s="14"/>
      <c r="C197" s="12"/>
      <c r="D197" s="12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  <c r="AI197" s="14"/>
      <c r="AJ197" s="14"/>
      <c r="AK197" s="14"/>
      <c r="AL197" s="14"/>
      <c r="AM197" s="14"/>
      <c r="AN197" s="14"/>
      <c r="AO197" s="14"/>
      <c r="AP197" s="14"/>
      <c r="AQ197" s="14"/>
      <c r="AR197" s="14"/>
      <c r="AS197" s="14"/>
      <c r="AT197" s="14"/>
      <c r="AU197" s="14"/>
      <c r="AV197" s="14"/>
      <c r="AW197" s="14"/>
      <c r="AX197" s="14"/>
      <c r="AY197" s="14"/>
      <c r="AZ197" s="14"/>
      <c r="BA197" s="14"/>
      <c r="BB197" s="14"/>
      <c r="BC197" s="14"/>
      <c r="BD197" s="14"/>
      <c r="BE197" s="14"/>
      <c r="BF197" s="14"/>
      <c r="BG197" s="14"/>
      <c r="BH197" s="14"/>
      <c r="BI197" s="14"/>
      <c r="BJ197" s="14"/>
      <c r="BK197" s="14"/>
      <c r="BL197" s="14"/>
      <c r="BM197" s="14"/>
      <c r="BN197" s="14"/>
      <c r="BO197" s="14"/>
      <c r="BP197" s="14"/>
      <c r="BQ197" s="14"/>
      <c r="BR197" s="14"/>
      <c r="BS197" s="14"/>
      <c r="BT197" s="14"/>
      <c r="BU197" s="14"/>
      <c r="BV197" s="14"/>
      <c r="BW197" s="14"/>
      <c r="BX197" s="14"/>
      <c r="BY197" s="14"/>
      <c r="BZ197" s="14"/>
      <c r="CA197" s="14"/>
      <c r="CB197" s="14"/>
      <c r="CC197" s="14"/>
      <c r="CD197" s="14"/>
      <c r="CE197" s="14"/>
      <c r="CF197" s="14"/>
      <c r="CG197" s="14"/>
      <c r="CH197" s="14"/>
      <c r="CI197" s="14"/>
      <c r="CJ197" s="14"/>
      <c r="CK197" s="14"/>
      <c r="CL197" s="14"/>
      <c r="CM197" s="14"/>
      <c r="CN197" s="14"/>
      <c r="CO197" s="14"/>
      <c r="CP197" s="14"/>
      <c r="CQ197" s="14"/>
      <c r="CR197" s="14"/>
      <c r="CS197" s="14"/>
      <c r="CT197" s="14"/>
      <c r="CU197" s="14"/>
      <c r="CV197" s="14"/>
      <c r="CW197" s="14"/>
      <c r="CX197" s="14"/>
      <c r="CY197" s="14"/>
      <c r="CZ197" s="14"/>
      <c r="DA197" s="14"/>
      <c r="DB197" s="14"/>
      <c r="DC197" s="14"/>
      <c r="DD197" s="14"/>
      <c r="DE197" s="14"/>
      <c r="DF197" s="14"/>
      <c r="DG197" s="14"/>
      <c r="DH197" s="14"/>
      <c r="DI197" s="14"/>
      <c r="DJ197" s="14"/>
      <c r="DK197" s="14"/>
      <c r="DL197" s="14"/>
      <c r="DM197" s="14"/>
      <c r="DN197" s="14"/>
      <c r="DO197" s="14"/>
      <c r="DP197" s="14"/>
      <c r="DQ197" s="14"/>
      <c r="DR197" s="14"/>
      <c r="DS197" s="14"/>
      <c r="DT197" s="14"/>
      <c r="DU197" s="14"/>
      <c r="DV197" s="14"/>
      <c r="DW197" s="14"/>
      <c r="DX197" s="14"/>
      <c r="DY197" s="14"/>
      <c r="DZ197" s="14"/>
      <c r="EA197" s="14"/>
      <c r="EB197" s="14"/>
      <c r="EC197" s="14"/>
    </row>
    <row r="198" spans="1:133" s="13" customFormat="1" x14ac:dyDescent="0.25">
      <c r="A198" s="174" t="s">
        <v>72</v>
      </c>
      <c r="B198" s="174"/>
      <c r="C198" s="175"/>
      <c r="D198" s="175"/>
      <c r="E198" s="17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  <c r="AI198" s="14"/>
      <c r="AJ198" s="14"/>
      <c r="AK198" s="14"/>
      <c r="AL198" s="14"/>
      <c r="AM198" s="14"/>
      <c r="AN198" s="14"/>
      <c r="AO198" s="14"/>
      <c r="AP198" s="14"/>
      <c r="AQ198" s="14"/>
      <c r="AR198" s="14"/>
      <c r="AS198" s="14"/>
      <c r="AT198" s="14"/>
      <c r="AU198" s="14"/>
      <c r="AV198" s="14"/>
      <c r="AW198" s="14"/>
      <c r="AX198" s="14"/>
      <c r="AY198" s="14"/>
      <c r="AZ198" s="14"/>
      <c r="BA198" s="14"/>
      <c r="BB198" s="14"/>
      <c r="BC198" s="14"/>
      <c r="BD198" s="14"/>
      <c r="BE198" s="14"/>
      <c r="BF198" s="14"/>
      <c r="BG198" s="14"/>
      <c r="BH198" s="14"/>
      <c r="BI198" s="14"/>
      <c r="BJ198" s="14"/>
      <c r="BK198" s="14"/>
      <c r="BL198" s="14"/>
      <c r="BM198" s="14"/>
      <c r="BN198" s="14"/>
      <c r="BO198" s="14"/>
      <c r="BP198" s="14"/>
      <c r="BQ198" s="14"/>
      <c r="BR198" s="14"/>
      <c r="BS198" s="14"/>
      <c r="BT198" s="14"/>
      <c r="BU198" s="14"/>
      <c r="BV198" s="14"/>
      <c r="BW198" s="14"/>
      <c r="BX198" s="14"/>
      <c r="BY198" s="14"/>
      <c r="BZ198" s="14"/>
      <c r="CA198" s="14"/>
      <c r="CB198" s="14"/>
      <c r="CC198" s="14"/>
      <c r="CD198" s="14"/>
      <c r="CE198" s="14"/>
      <c r="CF198" s="14"/>
      <c r="CG198" s="14"/>
      <c r="CH198" s="14"/>
      <c r="CI198" s="14"/>
      <c r="CJ198" s="14"/>
      <c r="CK198" s="14"/>
      <c r="CL198" s="14"/>
      <c r="CM198" s="14"/>
      <c r="CN198" s="14"/>
      <c r="CO198" s="14"/>
      <c r="CP198" s="14"/>
      <c r="CQ198" s="14"/>
      <c r="CR198" s="14"/>
      <c r="CS198" s="14"/>
      <c r="CT198" s="14"/>
      <c r="CU198" s="14"/>
      <c r="CV198" s="14"/>
      <c r="CW198" s="14"/>
      <c r="CX198" s="14"/>
      <c r="CY198" s="14"/>
      <c r="CZ198" s="14"/>
      <c r="DA198" s="14"/>
      <c r="DB198" s="14"/>
      <c r="DC198" s="14"/>
      <c r="DD198" s="14"/>
      <c r="DE198" s="14"/>
      <c r="DF198" s="14"/>
      <c r="DG198" s="14"/>
      <c r="DH198" s="14"/>
      <c r="DI198" s="14"/>
      <c r="DJ198" s="14"/>
      <c r="DK198" s="14"/>
      <c r="DL198" s="14"/>
      <c r="DM198" s="14"/>
      <c r="DN198" s="14"/>
      <c r="DO198" s="14"/>
      <c r="DP198" s="14"/>
      <c r="DQ198" s="14"/>
      <c r="DR198" s="14"/>
      <c r="DS198" s="14"/>
      <c r="DT198" s="14"/>
      <c r="DU198" s="14"/>
      <c r="DV198" s="14"/>
      <c r="DW198" s="14"/>
      <c r="DX198" s="14"/>
      <c r="DY198" s="14"/>
      <c r="DZ198" s="14"/>
      <c r="EA198" s="14"/>
      <c r="EB198" s="14"/>
      <c r="EC198" s="14"/>
    </row>
    <row r="199" spans="1:133" s="13" customFormat="1" x14ac:dyDescent="0.25">
      <c r="A199" s="59" t="s">
        <v>8</v>
      </c>
      <c r="B199" s="16" t="s">
        <v>9</v>
      </c>
      <c r="C199" s="38" t="s">
        <v>10</v>
      </c>
      <c r="D199" s="38" t="s">
        <v>340</v>
      </c>
      <c r="E199" s="16" t="s">
        <v>65</v>
      </c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  <c r="AI199" s="14"/>
      <c r="AJ199" s="14"/>
      <c r="AK199" s="14"/>
      <c r="AL199" s="14"/>
      <c r="AM199" s="14"/>
      <c r="AN199" s="14"/>
      <c r="AO199" s="14"/>
      <c r="AP199" s="14"/>
      <c r="AQ199" s="14"/>
      <c r="AR199" s="14"/>
      <c r="AS199" s="14"/>
      <c r="AT199" s="14"/>
      <c r="AU199" s="14"/>
      <c r="AV199" s="14"/>
      <c r="AW199" s="14"/>
      <c r="AX199" s="14"/>
      <c r="AY199" s="14"/>
      <c r="AZ199" s="14"/>
      <c r="BA199" s="14"/>
      <c r="BB199" s="14"/>
      <c r="BC199" s="14"/>
      <c r="BD199" s="14"/>
      <c r="BE199" s="14"/>
      <c r="BF199" s="14"/>
      <c r="BG199" s="14"/>
      <c r="BH199" s="14"/>
      <c r="BI199" s="14"/>
      <c r="BJ199" s="14"/>
      <c r="BK199" s="14"/>
      <c r="BL199" s="14"/>
      <c r="BM199" s="14"/>
      <c r="BN199" s="14"/>
      <c r="BO199" s="14"/>
      <c r="BP199" s="14"/>
      <c r="BQ199" s="14"/>
      <c r="BR199" s="14"/>
      <c r="BS199" s="14"/>
      <c r="BT199" s="14"/>
      <c r="BU199" s="14"/>
      <c r="BV199" s="14"/>
      <c r="BW199" s="14"/>
      <c r="BX199" s="14"/>
      <c r="BY199" s="14"/>
      <c r="BZ199" s="14"/>
      <c r="CA199" s="14"/>
      <c r="CB199" s="14"/>
      <c r="CC199" s="14"/>
      <c r="CD199" s="14"/>
      <c r="CE199" s="14"/>
      <c r="CF199" s="14"/>
      <c r="CG199" s="14"/>
      <c r="CH199" s="14"/>
      <c r="CI199" s="14"/>
      <c r="CJ199" s="14"/>
      <c r="CK199" s="14"/>
      <c r="CL199" s="14"/>
      <c r="CM199" s="14"/>
      <c r="CN199" s="14"/>
      <c r="CO199" s="14"/>
      <c r="CP199" s="14"/>
      <c r="CQ199" s="14"/>
      <c r="CR199" s="14"/>
      <c r="CS199" s="14"/>
      <c r="CT199" s="14"/>
      <c r="CU199" s="14"/>
      <c r="CV199" s="14"/>
      <c r="CW199" s="14"/>
      <c r="CX199" s="14"/>
      <c r="CY199" s="14"/>
      <c r="CZ199" s="14"/>
      <c r="DA199" s="14"/>
      <c r="DB199" s="14"/>
      <c r="DC199" s="14"/>
      <c r="DD199" s="14"/>
      <c r="DE199" s="14"/>
      <c r="DF199" s="14"/>
      <c r="DG199" s="14"/>
      <c r="DH199" s="14"/>
      <c r="DI199" s="14"/>
      <c r="DJ199" s="14"/>
      <c r="DK199" s="14"/>
      <c r="DL199" s="14"/>
      <c r="DM199" s="14"/>
      <c r="DN199" s="14"/>
      <c r="DO199" s="14"/>
      <c r="DP199" s="14"/>
      <c r="DQ199" s="14"/>
      <c r="DR199" s="14"/>
      <c r="DS199" s="14"/>
      <c r="DT199" s="14"/>
      <c r="DU199" s="14"/>
      <c r="DV199" s="14"/>
      <c r="DW199" s="14"/>
      <c r="DX199" s="14"/>
      <c r="DY199" s="14"/>
      <c r="DZ199" s="14"/>
      <c r="EA199" s="14"/>
      <c r="EB199" s="14"/>
      <c r="EC199" s="14"/>
    </row>
    <row r="200" spans="1:133" s="13" customFormat="1" ht="33.6" x14ac:dyDescent="0.4">
      <c r="A200" s="76" t="s">
        <v>73</v>
      </c>
      <c r="B200" s="25" t="s">
        <v>74</v>
      </c>
      <c r="C200" s="35" t="s">
        <v>75</v>
      </c>
      <c r="D200" s="35" t="s">
        <v>378</v>
      </c>
      <c r="E200" s="50">
        <f>E201*E204*E205*E206*E207*E208</f>
        <v>0.68489790176976273</v>
      </c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  <c r="AI200" s="14"/>
      <c r="AJ200" s="14"/>
      <c r="AK200" s="14"/>
      <c r="AL200" s="14"/>
      <c r="AM200" s="14"/>
      <c r="AN200" s="14"/>
      <c r="AO200" s="14"/>
      <c r="AP200" s="14"/>
      <c r="AQ200" s="14"/>
      <c r="AR200" s="14"/>
      <c r="AS200" s="14"/>
      <c r="AT200" s="14"/>
      <c r="AU200" s="14"/>
      <c r="AV200" s="14"/>
      <c r="AW200" s="14"/>
      <c r="AX200" s="14"/>
      <c r="AY200" s="14"/>
      <c r="AZ200" s="14"/>
      <c r="BA200" s="14"/>
      <c r="BB200" s="14"/>
      <c r="BC200" s="14"/>
      <c r="BD200" s="14"/>
      <c r="BE200" s="14"/>
      <c r="BF200" s="14"/>
      <c r="BG200" s="14"/>
      <c r="BH200" s="14"/>
      <c r="BI200" s="14"/>
      <c r="BJ200" s="14"/>
      <c r="BK200" s="14"/>
      <c r="BL200" s="14"/>
      <c r="BM200" s="14"/>
      <c r="BN200" s="14"/>
      <c r="BO200" s="14"/>
      <c r="BP200" s="14"/>
      <c r="BQ200" s="14"/>
      <c r="BR200" s="14"/>
      <c r="BS200" s="14"/>
      <c r="BT200" s="14"/>
      <c r="BU200" s="14"/>
      <c r="BV200" s="14"/>
      <c r="BW200" s="14"/>
      <c r="BX200" s="14"/>
      <c r="BY200" s="14"/>
      <c r="BZ200" s="14"/>
      <c r="CA200" s="14"/>
      <c r="CB200" s="14"/>
      <c r="CC200" s="14"/>
      <c r="CD200" s="14"/>
      <c r="CE200" s="14"/>
      <c r="CF200" s="14"/>
      <c r="CG200" s="14"/>
      <c r="CH200" s="14"/>
      <c r="CI200" s="14"/>
      <c r="CJ200" s="14"/>
      <c r="CK200" s="14"/>
      <c r="CL200" s="14"/>
      <c r="CM200" s="14"/>
      <c r="CN200" s="14"/>
      <c r="CO200" s="14"/>
      <c r="CP200" s="14"/>
      <c r="CQ200" s="14"/>
      <c r="CR200" s="14"/>
      <c r="CS200" s="14"/>
      <c r="CT200" s="14"/>
      <c r="CU200" s="14"/>
      <c r="CV200" s="14"/>
      <c r="CW200" s="14"/>
      <c r="CX200" s="14"/>
      <c r="CY200" s="14"/>
      <c r="CZ200" s="14"/>
      <c r="DA200" s="14"/>
      <c r="DB200" s="14"/>
      <c r="DC200" s="14"/>
      <c r="DD200" s="14"/>
      <c r="DE200" s="14"/>
      <c r="DF200" s="14"/>
      <c r="DG200" s="14"/>
      <c r="DH200" s="14"/>
      <c r="DI200" s="14"/>
      <c r="DJ200" s="14"/>
      <c r="DK200" s="14"/>
      <c r="DL200" s="14"/>
      <c r="DM200" s="14"/>
      <c r="DN200" s="14"/>
      <c r="DO200" s="14"/>
      <c r="DP200" s="14"/>
      <c r="DQ200" s="14"/>
      <c r="DR200" s="14"/>
      <c r="DS200" s="14"/>
      <c r="DT200" s="14"/>
      <c r="DU200" s="14"/>
      <c r="DV200" s="14"/>
      <c r="DW200" s="14"/>
      <c r="DX200" s="14"/>
      <c r="DY200" s="14"/>
      <c r="DZ200" s="14"/>
      <c r="EA200" s="14"/>
      <c r="EB200" s="14"/>
      <c r="EC200" s="14"/>
    </row>
    <row r="201" spans="1:133" s="13" customFormat="1" ht="46.8" x14ac:dyDescent="0.4">
      <c r="A201" s="77" t="s">
        <v>207</v>
      </c>
      <c r="B201" s="25" t="s">
        <v>76</v>
      </c>
      <c r="C201" s="35" t="s">
        <v>77</v>
      </c>
      <c r="D201" s="35" t="s">
        <v>379</v>
      </c>
      <c r="E201" s="52">
        <f>E202/E203</f>
        <v>33.724434531242096</v>
      </c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  <c r="AM201" s="14"/>
      <c r="AN201" s="14"/>
      <c r="AO201" s="14"/>
      <c r="AP201" s="14"/>
      <c r="AQ201" s="14"/>
      <c r="AR201" s="14"/>
      <c r="AS201" s="14"/>
      <c r="AT201" s="14"/>
      <c r="AU201" s="14"/>
      <c r="AV201" s="14"/>
      <c r="AW201" s="14"/>
      <c r="AX201" s="14"/>
      <c r="AY201" s="14"/>
      <c r="AZ201" s="14"/>
      <c r="BA201" s="14"/>
      <c r="BB201" s="14"/>
      <c r="BC201" s="14"/>
      <c r="BD201" s="14"/>
      <c r="BE201" s="14"/>
      <c r="BF201" s="14"/>
      <c r="BG201" s="14"/>
      <c r="BH201" s="14"/>
      <c r="BI201" s="14"/>
      <c r="BJ201" s="14"/>
      <c r="BK201" s="14"/>
      <c r="BL201" s="14"/>
      <c r="BM201" s="14"/>
      <c r="BN201" s="14"/>
      <c r="BO201" s="14"/>
      <c r="BP201" s="14"/>
      <c r="BQ201" s="14"/>
      <c r="BR201" s="14"/>
      <c r="BS201" s="14"/>
      <c r="BT201" s="14"/>
      <c r="BU201" s="14"/>
      <c r="BV201" s="14"/>
      <c r="BW201" s="14"/>
      <c r="BX201" s="14"/>
      <c r="BY201" s="14"/>
      <c r="BZ201" s="14"/>
      <c r="CA201" s="14"/>
      <c r="CB201" s="14"/>
      <c r="CC201" s="14"/>
      <c r="CD201" s="14"/>
      <c r="CE201" s="14"/>
      <c r="CF201" s="14"/>
      <c r="CG201" s="14"/>
      <c r="CH201" s="14"/>
      <c r="CI201" s="14"/>
      <c r="CJ201" s="14"/>
      <c r="CK201" s="14"/>
      <c r="CL201" s="14"/>
      <c r="CM201" s="14"/>
      <c r="CN201" s="14"/>
      <c r="CO201" s="14"/>
      <c r="CP201" s="14"/>
      <c r="CQ201" s="14"/>
      <c r="CR201" s="14"/>
      <c r="CS201" s="14"/>
      <c r="CT201" s="14"/>
      <c r="CU201" s="14"/>
      <c r="CV201" s="14"/>
      <c r="CW201" s="14"/>
      <c r="CX201" s="14"/>
      <c r="CY201" s="14"/>
      <c r="CZ201" s="14"/>
      <c r="DA201" s="14"/>
      <c r="DB201" s="14"/>
      <c r="DC201" s="14"/>
      <c r="DD201" s="14"/>
      <c r="DE201" s="14"/>
      <c r="DF201" s="14"/>
      <c r="DG201" s="14"/>
      <c r="DH201" s="14"/>
      <c r="DI201" s="14"/>
      <c r="DJ201" s="14"/>
      <c r="DK201" s="14"/>
      <c r="DL201" s="14"/>
      <c r="DM201" s="14"/>
      <c r="DN201" s="14"/>
      <c r="DO201" s="14"/>
      <c r="DP201" s="14"/>
      <c r="DQ201" s="14"/>
      <c r="DR201" s="14"/>
      <c r="DS201" s="14"/>
      <c r="DT201" s="14"/>
      <c r="DU201" s="14"/>
      <c r="DV201" s="14"/>
      <c r="DW201" s="14"/>
      <c r="DX201" s="14"/>
      <c r="DY201" s="14"/>
      <c r="DZ201" s="14"/>
      <c r="EA201" s="14"/>
      <c r="EB201" s="14"/>
      <c r="EC201" s="14"/>
    </row>
    <row r="202" spans="1:133" s="13" customFormat="1" ht="46.8" x14ac:dyDescent="0.25">
      <c r="A202" s="63" t="s">
        <v>208</v>
      </c>
      <c r="B202" s="25" t="s">
        <v>78</v>
      </c>
      <c r="C202" s="35" t="s">
        <v>79</v>
      </c>
      <c r="D202" s="53" t="s">
        <v>352</v>
      </c>
      <c r="E202" s="52">
        <f>0.000185863421606413*E175</f>
        <v>168.62217265621047</v>
      </c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  <c r="AI202" s="14"/>
      <c r="AJ202" s="14"/>
      <c r="AK202" s="14"/>
      <c r="AL202" s="14"/>
      <c r="AM202" s="14"/>
      <c r="AN202" s="14"/>
      <c r="AO202" s="14"/>
      <c r="AP202" s="14"/>
      <c r="AQ202" s="14"/>
      <c r="AR202" s="14"/>
      <c r="AS202" s="14"/>
      <c r="AT202" s="14"/>
      <c r="AU202" s="14"/>
      <c r="AV202" s="14"/>
      <c r="AW202" s="14"/>
      <c r="AX202" s="14"/>
      <c r="AY202" s="14"/>
      <c r="AZ202" s="14"/>
      <c r="BA202" s="14"/>
      <c r="BB202" s="14"/>
      <c r="BC202" s="14"/>
      <c r="BD202" s="14"/>
      <c r="BE202" s="14"/>
      <c r="BF202" s="14"/>
      <c r="BG202" s="14"/>
      <c r="BH202" s="14"/>
      <c r="BI202" s="14"/>
      <c r="BJ202" s="14"/>
      <c r="BK202" s="14"/>
      <c r="BL202" s="14"/>
      <c r="BM202" s="14"/>
      <c r="BN202" s="14"/>
      <c r="BO202" s="14"/>
      <c r="BP202" s="14"/>
      <c r="BQ202" s="14"/>
      <c r="BR202" s="14"/>
      <c r="BS202" s="14"/>
      <c r="BT202" s="14"/>
      <c r="BU202" s="14"/>
      <c r="BV202" s="14"/>
      <c r="BW202" s="14"/>
      <c r="BX202" s="14"/>
      <c r="BY202" s="14"/>
      <c r="BZ202" s="14"/>
      <c r="CA202" s="14"/>
      <c r="CB202" s="14"/>
      <c r="CC202" s="14"/>
      <c r="CD202" s="14"/>
      <c r="CE202" s="14"/>
      <c r="CF202" s="14"/>
      <c r="CG202" s="14"/>
      <c r="CH202" s="14"/>
      <c r="CI202" s="14"/>
      <c r="CJ202" s="14"/>
      <c r="CK202" s="14"/>
      <c r="CL202" s="14"/>
      <c r="CM202" s="14"/>
      <c r="CN202" s="14"/>
      <c r="CO202" s="14"/>
      <c r="CP202" s="14"/>
      <c r="CQ202" s="14"/>
      <c r="CR202" s="14"/>
      <c r="CS202" s="14"/>
      <c r="CT202" s="14"/>
      <c r="CU202" s="14"/>
      <c r="CV202" s="14"/>
      <c r="CW202" s="14"/>
      <c r="CX202" s="14"/>
      <c r="CY202" s="14"/>
      <c r="CZ202" s="14"/>
      <c r="DA202" s="14"/>
      <c r="DB202" s="14"/>
      <c r="DC202" s="14"/>
      <c r="DD202" s="14"/>
      <c r="DE202" s="14"/>
      <c r="DF202" s="14"/>
      <c r="DG202" s="14"/>
      <c r="DH202" s="14"/>
      <c r="DI202" s="14"/>
      <c r="DJ202" s="14"/>
      <c r="DK202" s="14"/>
      <c r="DL202" s="14"/>
      <c r="DM202" s="14"/>
      <c r="DN202" s="14"/>
      <c r="DO202" s="14"/>
      <c r="DP202" s="14"/>
      <c r="DQ202" s="14"/>
      <c r="DR202" s="14"/>
      <c r="DS202" s="14"/>
      <c r="DT202" s="14"/>
      <c r="DU202" s="14"/>
      <c r="DV202" s="14"/>
      <c r="DW202" s="14"/>
      <c r="DX202" s="14"/>
      <c r="DY202" s="14"/>
      <c r="DZ202" s="14"/>
      <c r="EA202" s="14"/>
      <c r="EB202" s="14"/>
      <c r="EC202" s="14"/>
    </row>
    <row r="203" spans="1:133" s="13" customFormat="1" ht="31.2" x14ac:dyDescent="0.25">
      <c r="A203" s="63" t="s">
        <v>209</v>
      </c>
      <c r="B203" s="25" t="s">
        <v>80</v>
      </c>
      <c r="C203" s="35" t="s">
        <v>81</v>
      </c>
      <c r="D203" s="35" t="s">
        <v>353</v>
      </c>
      <c r="E203" s="25">
        <f>5</f>
        <v>5</v>
      </c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  <c r="AI203" s="14"/>
      <c r="AJ203" s="14"/>
      <c r="AK203" s="14"/>
      <c r="AL203" s="14"/>
      <c r="AM203" s="14"/>
      <c r="AN203" s="14"/>
      <c r="AO203" s="14"/>
      <c r="AP203" s="14"/>
      <c r="AQ203" s="14"/>
      <c r="AR203" s="14"/>
      <c r="AS203" s="14"/>
      <c r="AT203" s="14"/>
      <c r="AU203" s="14"/>
      <c r="AV203" s="14"/>
      <c r="AW203" s="14"/>
      <c r="AX203" s="14"/>
      <c r="AY203" s="14"/>
      <c r="AZ203" s="14"/>
      <c r="BA203" s="14"/>
      <c r="BB203" s="14"/>
      <c r="BC203" s="14"/>
      <c r="BD203" s="14"/>
      <c r="BE203" s="14"/>
      <c r="BF203" s="14"/>
      <c r="BG203" s="14"/>
      <c r="BH203" s="14"/>
      <c r="BI203" s="14"/>
      <c r="BJ203" s="14"/>
      <c r="BK203" s="14"/>
      <c r="BL203" s="14"/>
      <c r="BM203" s="14"/>
      <c r="BN203" s="14"/>
      <c r="BO203" s="14"/>
      <c r="BP203" s="14"/>
      <c r="BQ203" s="14"/>
      <c r="BR203" s="14"/>
      <c r="BS203" s="14"/>
      <c r="BT203" s="14"/>
      <c r="BU203" s="14"/>
      <c r="BV203" s="14"/>
      <c r="BW203" s="14"/>
      <c r="BX203" s="14"/>
      <c r="BY203" s="14"/>
      <c r="BZ203" s="14"/>
      <c r="CA203" s="14"/>
      <c r="CB203" s="14"/>
      <c r="CC203" s="14"/>
      <c r="CD203" s="14"/>
      <c r="CE203" s="14"/>
      <c r="CF203" s="14"/>
      <c r="CG203" s="14"/>
      <c r="CH203" s="14"/>
      <c r="CI203" s="14"/>
      <c r="CJ203" s="14"/>
      <c r="CK203" s="14"/>
      <c r="CL203" s="14"/>
      <c r="CM203" s="14"/>
      <c r="CN203" s="14"/>
      <c r="CO203" s="14"/>
      <c r="CP203" s="14"/>
      <c r="CQ203" s="14"/>
      <c r="CR203" s="14"/>
      <c r="CS203" s="14"/>
      <c r="CT203" s="14"/>
      <c r="CU203" s="14"/>
      <c r="CV203" s="14"/>
      <c r="CW203" s="14"/>
      <c r="CX203" s="14"/>
      <c r="CY203" s="14"/>
      <c r="CZ203" s="14"/>
      <c r="DA203" s="14"/>
      <c r="DB203" s="14"/>
      <c r="DC203" s="14"/>
      <c r="DD203" s="14"/>
      <c r="DE203" s="14"/>
      <c r="DF203" s="14"/>
      <c r="DG203" s="14"/>
      <c r="DH203" s="14"/>
      <c r="DI203" s="14"/>
      <c r="DJ203" s="14"/>
      <c r="DK203" s="14"/>
      <c r="DL203" s="14"/>
      <c r="DM203" s="14"/>
      <c r="DN203" s="14"/>
      <c r="DO203" s="14"/>
      <c r="DP203" s="14"/>
      <c r="DQ203" s="14"/>
      <c r="DR203" s="14"/>
      <c r="DS203" s="14"/>
      <c r="DT203" s="14"/>
      <c r="DU203" s="14"/>
      <c r="DV203" s="14"/>
      <c r="DW203" s="14"/>
      <c r="DX203" s="14"/>
      <c r="DY203" s="14"/>
      <c r="DZ203" s="14"/>
      <c r="EA203" s="14"/>
      <c r="EB203" s="14"/>
      <c r="EC203" s="14"/>
    </row>
    <row r="204" spans="1:133" s="13" customFormat="1" ht="62.4" x14ac:dyDescent="0.25">
      <c r="A204" s="63" t="s">
        <v>210</v>
      </c>
      <c r="B204" s="25" t="s">
        <v>82</v>
      </c>
      <c r="C204" s="35" t="s">
        <v>83</v>
      </c>
      <c r="D204" s="53" t="s">
        <v>354</v>
      </c>
      <c r="E204" s="25">
        <f>15*2</f>
        <v>30</v>
      </c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  <c r="AI204" s="14"/>
      <c r="AJ204" s="14"/>
      <c r="AK204" s="14"/>
      <c r="AL204" s="14"/>
      <c r="AM204" s="14"/>
      <c r="AN204" s="14"/>
      <c r="AO204" s="14"/>
      <c r="AP204" s="14"/>
      <c r="AQ204" s="14"/>
      <c r="AR204" s="14"/>
      <c r="AS204" s="14"/>
      <c r="AT204" s="14"/>
      <c r="AU204" s="14"/>
      <c r="AV204" s="14"/>
      <c r="AW204" s="14"/>
      <c r="AX204" s="14"/>
      <c r="AY204" s="14"/>
      <c r="AZ204" s="14"/>
      <c r="BA204" s="14"/>
      <c r="BB204" s="14"/>
      <c r="BC204" s="14"/>
      <c r="BD204" s="14"/>
      <c r="BE204" s="14"/>
      <c r="BF204" s="14"/>
      <c r="BG204" s="14"/>
      <c r="BH204" s="14"/>
      <c r="BI204" s="14"/>
      <c r="BJ204" s="14"/>
      <c r="BK204" s="14"/>
      <c r="BL204" s="14"/>
      <c r="BM204" s="14"/>
      <c r="BN204" s="14"/>
      <c r="BO204" s="14"/>
      <c r="BP204" s="14"/>
      <c r="BQ204" s="14"/>
      <c r="BR204" s="14"/>
      <c r="BS204" s="14"/>
      <c r="BT204" s="14"/>
      <c r="BU204" s="14"/>
      <c r="BV204" s="14"/>
      <c r="BW204" s="14"/>
      <c r="BX204" s="14"/>
      <c r="BY204" s="14"/>
      <c r="BZ204" s="14"/>
      <c r="CA204" s="14"/>
      <c r="CB204" s="14"/>
      <c r="CC204" s="14"/>
      <c r="CD204" s="14"/>
      <c r="CE204" s="14"/>
      <c r="CF204" s="14"/>
      <c r="CG204" s="14"/>
      <c r="CH204" s="14"/>
      <c r="CI204" s="14"/>
      <c r="CJ204" s="14"/>
      <c r="CK204" s="14"/>
      <c r="CL204" s="14"/>
      <c r="CM204" s="14"/>
      <c r="CN204" s="14"/>
      <c r="CO204" s="14"/>
      <c r="CP204" s="14"/>
      <c r="CQ204" s="14"/>
      <c r="CR204" s="14"/>
      <c r="CS204" s="14"/>
      <c r="CT204" s="14"/>
      <c r="CU204" s="14"/>
      <c r="CV204" s="14"/>
      <c r="CW204" s="14"/>
      <c r="CX204" s="14"/>
      <c r="CY204" s="14"/>
      <c r="CZ204" s="14"/>
      <c r="DA204" s="14"/>
      <c r="DB204" s="14"/>
      <c r="DC204" s="14"/>
      <c r="DD204" s="14"/>
      <c r="DE204" s="14"/>
      <c r="DF204" s="14"/>
      <c r="DG204" s="14"/>
      <c r="DH204" s="14"/>
      <c r="DI204" s="14"/>
      <c r="DJ204" s="14"/>
      <c r="DK204" s="14"/>
      <c r="DL204" s="14"/>
      <c r="DM204" s="14"/>
      <c r="DN204" s="14"/>
      <c r="DO204" s="14"/>
      <c r="DP204" s="14"/>
      <c r="DQ204" s="14"/>
      <c r="DR204" s="14"/>
      <c r="DS204" s="14"/>
      <c r="DT204" s="14"/>
      <c r="DU204" s="14"/>
      <c r="DV204" s="14"/>
      <c r="DW204" s="14"/>
      <c r="DX204" s="14"/>
      <c r="DY204" s="14"/>
      <c r="DZ204" s="14"/>
      <c r="EA204" s="14"/>
      <c r="EB204" s="14"/>
      <c r="EC204" s="14"/>
    </row>
    <row r="205" spans="1:133" s="13" customFormat="1" ht="172.2" x14ac:dyDescent="0.25">
      <c r="A205" s="63" t="s">
        <v>211</v>
      </c>
      <c r="B205" s="25" t="s">
        <v>84</v>
      </c>
      <c r="C205" s="35" t="s">
        <v>85</v>
      </c>
      <c r="D205" s="35" t="s">
        <v>355</v>
      </c>
      <c r="E205" s="25">
        <f>25.1/100</f>
        <v>0.251</v>
      </c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  <c r="AI205" s="14"/>
      <c r="AJ205" s="14"/>
      <c r="AK205" s="14"/>
      <c r="AL205" s="14"/>
      <c r="AM205" s="14"/>
      <c r="AN205" s="14"/>
      <c r="AO205" s="14"/>
      <c r="AP205" s="14"/>
      <c r="AQ205" s="14"/>
      <c r="AR205" s="14"/>
      <c r="AS205" s="14"/>
      <c r="AT205" s="14"/>
      <c r="AU205" s="14"/>
      <c r="AV205" s="14"/>
      <c r="AW205" s="14"/>
      <c r="AX205" s="14"/>
      <c r="AY205" s="14"/>
      <c r="AZ205" s="14"/>
      <c r="BA205" s="14"/>
      <c r="BB205" s="14"/>
      <c r="BC205" s="14"/>
      <c r="BD205" s="14"/>
      <c r="BE205" s="14"/>
      <c r="BF205" s="14"/>
      <c r="BG205" s="14"/>
      <c r="BH205" s="14"/>
      <c r="BI205" s="14"/>
      <c r="BJ205" s="14"/>
      <c r="BK205" s="14"/>
      <c r="BL205" s="14"/>
      <c r="BM205" s="14"/>
      <c r="BN205" s="14"/>
      <c r="BO205" s="14"/>
      <c r="BP205" s="14"/>
      <c r="BQ205" s="14"/>
      <c r="BR205" s="14"/>
      <c r="BS205" s="14"/>
      <c r="BT205" s="14"/>
      <c r="BU205" s="14"/>
      <c r="BV205" s="14"/>
      <c r="BW205" s="14"/>
      <c r="BX205" s="14"/>
      <c r="BY205" s="14"/>
      <c r="BZ205" s="14"/>
      <c r="CA205" s="14"/>
      <c r="CB205" s="14"/>
      <c r="CC205" s="14"/>
      <c r="CD205" s="14"/>
      <c r="CE205" s="14"/>
      <c r="CF205" s="14"/>
      <c r="CG205" s="14"/>
      <c r="CH205" s="14"/>
      <c r="CI205" s="14"/>
      <c r="CJ205" s="14"/>
      <c r="CK205" s="14"/>
      <c r="CL205" s="14"/>
      <c r="CM205" s="14"/>
      <c r="CN205" s="14"/>
      <c r="CO205" s="14"/>
      <c r="CP205" s="14"/>
      <c r="CQ205" s="14"/>
      <c r="CR205" s="14"/>
      <c r="CS205" s="14"/>
      <c r="CT205" s="14"/>
      <c r="CU205" s="14"/>
      <c r="CV205" s="14"/>
      <c r="CW205" s="14"/>
      <c r="CX205" s="14"/>
      <c r="CY205" s="14"/>
      <c r="CZ205" s="14"/>
      <c r="DA205" s="14"/>
      <c r="DB205" s="14"/>
      <c r="DC205" s="14"/>
      <c r="DD205" s="14"/>
      <c r="DE205" s="14"/>
      <c r="DF205" s="14"/>
      <c r="DG205" s="14"/>
      <c r="DH205" s="14"/>
      <c r="DI205" s="14"/>
      <c r="DJ205" s="14"/>
      <c r="DK205" s="14"/>
      <c r="DL205" s="14"/>
      <c r="DM205" s="14"/>
      <c r="DN205" s="14"/>
      <c r="DO205" s="14"/>
      <c r="DP205" s="14"/>
      <c r="DQ205" s="14"/>
      <c r="DR205" s="14"/>
      <c r="DS205" s="14"/>
      <c r="DT205" s="14"/>
      <c r="DU205" s="14"/>
      <c r="DV205" s="14"/>
      <c r="DW205" s="14"/>
      <c r="DX205" s="14"/>
      <c r="DY205" s="14"/>
      <c r="DZ205" s="14"/>
      <c r="EA205" s="14"/>
      <c r="EB205" s="14"/>
      <c r="EC205" s="14"/>
    </row>
    <row r="206" spans="1:133" s="13" customFormat="1" ht="156" x14ac:dyDescent="0.25">
      <c r="A206" s="63" t="s">
        <v>212</v>
      </c>
      <c r="B206" s="25" t="s">
        <v>87</v>
      </c>
      <c r="C206" s="35" t="s">
        <v>86</v>
      </c>
      <c r="D206" s="35" t="s">
        <v>356</v>
      </c>
      <c r="E206" s="25">
        <f>0.84/1000</f>
        <v>8.3999999999999993E-4</v>
      </c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  <c r="AI206" s="14"/>
      <c r="AJ206" s="14"/>
      <c r="AK206" s="14"/>
      <c r="AL206" s="14"/>
      <c r="AM206" s="14"/>
      <c r="AN206" s="14"/>
      <c r="AO206" s="14"/>
      <c r="AP206" s="14"/>
      <c r="AQ206" s="14"/>
      <c r="AR206" s="14"/>
      <c r="AS206" s="14"/>
      <c r="AT206" s="14"/>
      <c r="AU206" s="14"/>
      <c r="AV206" s="14"/>
      <c r="AW206" s="14"/>
      <c r="AX206" s="14"/>
      <c r="AY206" s="14"/>
      <c r="AZ206" s="14"/>
      <c r="BA206" s="14"/>
      <c r="BB206" s="14"/>
      <c r="BC206" s="14"/>
      <c r="BD206" s="14"/>
      <c r="BE206" s="14"/>
      <c r="BF206" s="14"/>
      <c r="BG206" s="14"/>
      <c r="BH206" s="14"/>
      <c r="BI206" s="14"/>
      <c r="BJ206" s="14"/>
      <c r="BK206" s="14"/>
      <c r="BL206" s="14"/>
      <c r="BM206" s="14"/>
      <c r="BN206" s="14"/>
      <c r="BO206" s="14"/>
      <c r="BP206" s="14"/>
      <c r="BQ206" s="14"/>
      <c r="BR206" s="14"/>
      <c r="BS206" s="14"/>
      <c r="BT206" s="14"/>
      <c r="BU206" s="14"/>
      <c r="BV206" s="14"/>
      <c r="BW206" s="14"/>
      <c r="BX206" s="14"/>
      <c r="BY206" s="14"/>
      <c r="BZ206" s="14"/>
      <c r="CA206" s="14"/>
      <c r="CB206" s="14"/>
      <c r="CC206" s="14"/>
      <c r="CD206" s="14"/>
      <c r="CE206" s="14"/>
      <c r="CF206" s="14"/>
      <c r="CG206" s="14"/>
      <c r="CH206" s="14"/>
      <c r="CI206" s="14"/>
      <c r="CJ206" s="14"/>
      <c r="CK206" s="14"/>
      <c r="CL206" s="14"/>
      <c r="CM206" s="14"/>
      <c r="CN206" s="14"/>
      <c r="CO206" s="14"/>
      <c r="CP206" s="14"/>
      <c r="CQ206" s="14"/>
      <c r="CR206" s="14"/>
      <c r="CS206" s="14"/>
      <c r="CT206" s="14"/>
      <c r="CU206" s="14"/>
      <c r="CV206" s="14"/>
      <c r="CW206" s="14"/>
      <c r="CX206" s="14"/>
      <c r="CY206" s="14"/>
      <c r="CZ206" s="14"/>
      <c r="DA206" s="14"/>
      <c r="DB206" s="14"/>
      <c r="DC206" s="14"/>
      <c r="DD206" s="14"/>
      <c r="DE206" s="14"/>
      <c r="DF206" s="14"/>
      <c r="DG206" s="14"/>
      <c r="DH206" s="14"/>
      <c r="DI206" s="14"/>
      <c r="DJ206" s="14"/>
      <c r="DK206" s="14"/>
      <c r="DL206" s="14"/>
      <c r="DM206" s="14"/>
      <c r="DN206" s="14"/>
      <c r="DO206" s="14"/>
      <c r="DP206" s="14"/>
      <c r="DQ206" s="14"/>
      <c r="DR206" s="14"/>
      <c r="DS206" s="14"/>
      <c r="DT206" s="14"/>
      <c r="DU206" s="14"/>
      <c r="DV206" s="14"/>
      <c r="DW206" s="14"/>
      <c r="DX206" s="14"/>
      <c r="DY206" s="14"/>
      <c r="DZ206" s="14"/>
      <c r="EA206" s="14"/>
      <c r="EB206" s="14"/>
      <c r="EC206" s="14"/>
    </row>
    <row r="207" spans="1:133" s="13" customFormat="1" ht="171.6" x14ac:dyDescent="0.25">
      <c r="A207" s="63" t="s">
        <v>213</v>
      </c>
      <c r="B207" s="25" t="s">
        <v>88</v>
      </c>
      <c r="C207" s="35" t="s">
        <v>89</v>
      </c>
      <c r="D207" s="35" t="s">
        <v>357</v>
      </c>
      <c r="E207" s="25">
        <f>43.33/1000</f>
        <v>4.333E-2</v>
      </c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  <c r="AI207" s="14"/>
      <c r="AJ207" s="14"/>
      <c r="AK207" s="14"/>
      <c r="AL207" s="14"/>
      <c r="AM207" s="14"/>
      <c r="AN207" s="14"/>
      <c r="AO207" s="14"/>
      <c r="AP207" s="14"/>
      <c r="AQ207" s="14"/>
      <c r="AR207" s="14"/>
      <c r="AS207" s="14"/>
      <c r="AT207" s="14"/>
      <c r="AU207" s="14"/>
      <c r="AV207" s="14"/>
      <c r="AW207" s="14"/>
      <c r="AX207" s="14"/>
      <c r="AY207" s="14"/>
      <c r="AZ207" s="14"/>
      <c r="BA207" s="14"/>
      <c r="BB207" s="14"/>
      <c r="BC207" s="14"/>
      <c r="BD207" s="14"/>
      <c r="BE207" s="14"/>
      <c r="BF207" s="14"/>
      <c r="BG207" s="14"/>
      <c r="BH207" s="14"/>
      <c r="BI207" s="14"/>
      <c r="BJ207" s="14"/>
      <c r="BK207" s="14"/>
      <c r="BL207" s="14"/>
      <c r="BM207" s="14"/>
      <c r="BN207" s="14"/>
      <c r="BO207" s="14"/>
      <c r="BP207" s="14"/>
      <c r="BQ207" s="14"/>
      <c r="BR207" s="14"/>
      <c r="BS207" s="14"/>
      <c r="BT207" s="14"/>
      <c r="BU207" s="14"/>
      <c r="BV207" s="14"/>
      <c r="BW207" s="14"/>
      <c r="BX207" s="14"/>
      <c r="BY207" s="14"/>
      <c r="BZ207" s="14"/>
      <c r="CA207" s="14"/>
      <c r="CB207" s="14"/>
      <c r="CC207" s="14"/>
      <c r="CD207" s="14"/>
      <c r="CE207" s="14"/>
      <c r="CF207" s="14"/>
      <c r="CG207" s="14"/>
      <c r="CH207" s="14"/>
      <c r="CI207" s="14"/>
      <c r="CJ207" s="14"/>
      <c r="CK207" s="14"/>
      <c r="CL207" s="14"/>
      <c r="CM207" s="14"/>
      <c r="CN207" s="14"/>
      <c r="CO207" s="14"/>
      <c r="CP207" s="14"/>
      <c r="CQ207" s="14"/>
      <c r="CR207" s="14"/>
      <c r="CS207" s="14"/>
      <c r="CT207" s="14"/>
      <c r="CU207" s="14"/>
      <c r="CV207" s="14"/>
      <c r="CW207" s="14"/>
      <c r="CX207" s="14"/>
      <c r="CY207" s="14"/>
      <c r="CZ207" s="14"/>
      <c r="DA207" s="14"/>
      <c r="DB207" s="14"/>
      <c r="DC207" s="14"/>
      <c r="DD207" s="14"/>
      <c r="DE207" s="14"/>
      <c r="DF207" s="14"/>
      <c r="DG207" s="14"/>
      <c r="DH207" s="14"/>
      <c r="DI207" s="14"/>
      <c r="DJ207" s="14"/>
      <c r="DK207" s="14"/>
      <c r="DL207" s="14"/>
      <c r="DM207" s="14"/>
      <c r="DN207" s="14"/>
      <c r="DO207" s="14"/>
      <c r="DP207" s="14"/>
      <c r="DQ207" s="14"/>
      <c r="DR207" s="14"/>
      <c r="DS207" s="14"/>
      <c r="DT207" s="14"/>
      <c r="DU207" s="14"/>
      <c r="DV207" s="14"/>
      <c r="DW207" s="14"/>
      <c r="DX207" s="14"/>
      <c r="DY207" s="14"/>
      <c r="DZ207" s="14"/>
      <c r="EA207" s="14"/>
      <c r="EB207" s="14"/>
      <c r="EC207" s="14"/>
    </row>
    <row r="208" spans="1:133" ht="62.4" x14ac:dyDescent="0.25">
      <c r="A208" s="63" t="s">
        <v>214</v>
      </c>
      <c r="B208" s="25" t="s">
        <v>90</v>
      </c>
      <c r="C208" s="35" t="s">
        <v>91</v>
      </c>
      <c r="D208" s="35" t="s">
        <v>358</v>
      </c>
      <c r="E208" s="25">
        <v>74.099999999999994</v>
      </c>
    </row>
    <row r="210" spans="1:133" x14ac:dyDescent="0.25">
      <c r="A210" s="158" t="s">
        <v>93</v>
      </c>
      <c r="B210" s="158"/>
      <c r="C210" s="158"/>
      <c r="D210" s="158"/>
      <c r="E210" s="158"/>
    </row>
    <row r="211" spans="1:133" x14ac:dyDescent="0.25">
      <c r="A211" s="57" t="s">
        <v>8</v>
      </c>
      <c r="B211" s="58" t="s">
        <v>9</v>
      </c>
      <c r="C211" s="34" t="s">
        <v>10</v>
      </c>
      <c r="D211" s="34" t="s">
        <v>340</v>
      </c>
      <c r="E211" s="16" t="s">
        <v>65</v>
      </c>
    </row>
    <row r="212" spans="1:133" ht="64.8" x14ac:dyDescent="0.25">
      <c r="A212" s="15" t="s">
        <v>94</v>
      </c>
      <c r="B212" s="25" t="s">
        <v>95</v>
      </c>
      <c r="C212" s="35" t="s">
        <v>96</v>
      </c>
      <c r="D212" s="35" t="s">
        <v>97</v>
      </c>
      <c r="E212" s="16">
        <v>0</v>
      </c>
    </row>
    <row r="214" spans="1:133" x14ac:dyDescent="0.25">
      <c r="A214" s="158" t="s">
        <v>98</v>
      </c>
      <c r="B214" s="158"/>
      <c r="C214" s="158"/>
      <c r="D214" s="158"/>
      <c r="E214" s="158"/>
    </row>
    <row r="215" spans="1:133" x14ac:dyDescent="0.25">
      <c r="A215" s="57" t="s">
        <v>8</v>
      </c>
      <c r="B215" s="58" t="s">
        <v>9</v>
      </c>
      <c r="C215" s="34" t="s">
        <v>10</v>
      </c>
      <c r="D215" s="34" t="s">
        <v>340</v>
      </c>
      <c r="E215" s="16" t="s">
        <v>65</v>
      </c>
    </row>
    <row r="216" spans="1:133" ht="49.2" x14ac:dyDescent="0.25">
      <c r="A216" s="15" t="s">
        <v>99</v>
      </c>
      <c r="B216" s="25" t="s">
        <v>95</v>
      </c>
      <c r="C216" s="35" t="s">
        <v>100</v>
      </c>
      <c r="D216" s="35" t="s">
        <v>101</v>
      </c>
      <c r="E216" s="16">
        <v>0</v>
      </c>
    </row>
    <row r="218" spans="1:133" x14ac:dyDescent="0.25">
      <c r="A218" s="57" t="s">
        <v>8</v>
      </c>
      <c r="B218" s="58" t="s">
        <v>9</v>
      </c>
      <c r="C218" s="34" t="s">
        <v>10</v>
      </c>
      <c r="D218" s="34" t="s">
        <v>340</v>
      </c>
      <c r="E218" s="16" t="s">
        <v>65</v>
      </c>
    </row>
    <row r="219" spans="1:133" ht="18" x14ac:dyDescent="0.25">
      <c r="A219" s="59" t="s">
        <v>102</v>
      </c>
      <c r="B219" s="25" t="s">
        <v>103</v>
      </c>
      <c r="C219" s="35" t="s">
        <v>104</v>
      </c>
      <c r="D219" s="53" t="s">
        <v>380</v>
      </c>
      <c r="E219" s="18">
        <f>ROUNDDOWN(E169+E200+E195+E212+E216,0)</f>
        <v>1365</v>
      </c>
    </row>
    <row r="220" spans="1:133" s="166" customFormat="1" ht="38.4" customHeight="1" x14ac:dyDescent="0.25">
      <c r="A220" s="165" t="s">
        <v>224</v>
      </c>
    </row>
    <row r="221" spans="1:133" s="180" customFormat="1" ht="38.4" customHeight="1" x14ac:dyDescent="0.25">
      <c r="A221" s="180" t="s">
        <v>242</v>
      </c>
    </row>
    <row r="222" spans="1:133" s="56" customFormat="1" ht="31.2" x14ac:dyDescent="0.25">
      <c r="A222" s="92" t="s">
        <v>8</v>
      </c>
      <c r="B222" s="93" t="s">
        <v>9</v>
      </c>
      <c r="C222" s="94" t="s">
        <v>10</v>
      </c>
      <c r="D222" s="93" t="s">
        <v>341</v>
      </c>
      <c r="E222" s="93" t="s">
        <v>11</v>
      </c>
      <c r="F222" s="16" t="s">
        <v>322</v>
      </c>
      <c r="G222" s="16" t="s">
        <v>323</v>
      </c>
      <c r="H222" s="16" t="s">
        <v>324</v>
      </c>
      <c r="I222" s="16" t="s">
        <v>325</v>
      </c>
      <c r="J222" s="16" t="s">
        <v>326</v>
      </c>
      <c r="K222" s="16" t="s">
        <v>329</v>
      </c>
      <c r="L222" s="16" t="s">
        <v>292</v>
      </c>
      <c r="M222" s="16" t="s">
        <v>292</v>
      </c>
      <c r="N222" s="16" t="s">
        <v>292</v>
      </c>
      <c r="O222" s="16" t="s">
        <v>292</v>
      </c>
      <c r="P222" s="16" t="s">
        <v>292</v>
      </c>
      <c r="Q222" s="16" t="s">
        <v>292</v>
      </c>
      <c r="R222" s="54"/>
      <c r="S222" s="54"/>
      <c r="T222" s="54"/>
      <c r="U222" s="54"/>
      <c r="V222" s="54"/>
      <c r="W222" s="54"/>
      <c r="X222" s="54"/>
      <c r="Y222" s="54"/>
      <c r="Z222" s="54"/>
      <c r="AA222" s="54"/>
      <c r="AB222" s="54"/>
      <c r="AC222" s="54"/>
      <c r="AD222" s="54"/>
      <c r="AE222" s="54"/>
      <c r="AF222" s="54"/>
      <c r="AG222" s="54"/>
      <c r="AH222" s="54"/>
      <c r="AI222" s="54"/>
      <c r="AJ222" s="54"/>
      <c r="AK222" s="54"/>
      <c r="AL222" s="54"/>
      <c r="AM222" s="54"/>
      <c r="AN222" s="54"/>
      <c r="AO222" s="54"/>
      <c r="AP222" s="54"/>
      <c r="AQ222" s="54"/>
      <c r="AR222" s="54"/>
      <c r="AS222" s="54"/>
      <c r="AT222" s="54"/>
      <c r="AU222" s="54"/>
      <c r="AV222" s="54"/>
      <c r="AW222" s="54"/>
      <c r="AX222" s="54"/>
      <c r="AY222" s="54"/>
      <c r="AZ222" s="54"/>
      <c r="BA222" s="54"/>
      <c r="BB222" s="54"/>
      <c r="BC222" s="54"/>
      <c r="BD222" s="54"/>
      <c r="BE222" s="54"/>
      <c r="BF222" s="54"/>
      <c r="BG222" s="54"/>
      <c r="BH222" s="54"/>
      <c r="BI222" s="54"/>
      <c r="BJ222" s="54"/>
      <c r="BK222" s="54"/>
      <c r="BL222" s="54"/>
      <c r="BM222" s="54"/>
      <c r="BN222" s="54"/>
      <c r="BO222" s="54"/>
      <c r="BP222" s="54"/>
      <c r="BQ222" s="54"/>
      <c r="BR222" s="54"/>
      <c r="BS222" s="54"/>
      <c r="BT222" s="54"/>
      <c r="BU222" s="54"/>
      <c r="BV222" s="54"/>
      <c r="BW222" s="54"/>
      <c r="BX222" s="54"/>
      <c r="BY222" s="54"/>
      <c r="BZ222" s="54"/>
      <c r="CA222" s="54"/>
      <c r="CB222" s="54"/>
      <c r="CC222" s="54"/>
      <c r="CD222" s="54"/>
      <c r="CE222" s="54"/>
      <c r="CF222" s="54"/>
      <c r="CG222" s="54"/>
      <c r="CH222" s="54"/>
      <c r="CI222" s="54"/>
      <c r="CJ222" s="54"/>
      <c r="CK222" s="54"/>
      <c r="CL222" s="54"/>
      <c r="CM222" s="54"/>
      <c r="CN222" s="54"/>
      <c r="CO222" s="54"/>
      <c r="CP222" s="54"/>
      <c r="CQ222" s="54"/>
      <c r="CR222" s="54"/>
      <c r="CS222" s="54"/>
      <c r="CT222" s="54"/>
      <c r="CU222" s="54"/>
      <c r="CV222" s="54"/>
      <c r="CW222" s="54"/>
      <c r="CX222" s="54"/>
      <c r="CY222" s="54"/>
      <c r="CZ222" s="54"/>
      <c r="DA222" s="54"/>
      <c r="DB222" s="54"/>
      <c r="DC222" s="54"/>
      <c r="DD222" s="54"/>
      <c r="DE222" s="54"/>
      <c r="DF222" s="54"/>
      <c r="DG222" s="54"/>
      <c r="DH222" s="54"/>
      <c r="DI222" s="54"/>
      <c r="DJ222" s="54"/>
      <c r="DK222" s="54"/>
      <c r="DL222" s="54"/>
      <c r="DM222" s="54"/>
      <c r="DN222" s="54"/>
      <c r="DO222" s="54"/>
      <c r="DP222" s="54"/>
      <c r="DQ222" s="54"/>
      <c r="DR222" s="54"/>
      <c r="DS222" s="54"/>
      <c r="DT222" s="54"/>
      <c r="DU222" s="54"/>
      <c r="DV222" s="54"/>
      <c r="DW222" s="54"/>
      <c r="DX222" s="54"/>
      <c r="DY222" s="54"/>
      <c r="DZ222" s="54"/>
      <c r="EA222" s="54"/>
      <c r="EB222" s="54"/>
      <c r="EC222" s="54"/>
    </row>
    <row r="223" spans="1:133" s="56" customFormat="1" x14ac:dyDescent="0.25">
      <c r="A223" s="178" t="s">
        <v>12</v>
      </c>
      <c r="B223" s="178"/>
      <c r="C223" s="179"/>
      <c r="D223" s="179"/>
      <c r="E223" s="178"/>
      <c r="F223" s="16">
        <v>31</v>
      </c>
      <c r="G223" s="16">
        <v>28</v>
      </c>
      <c r="H223" s="16">
        <v>31</v>
      </c>
      <c r="I223" s="16">
        <v>30</v>
      </c>
      <c r="J223" s="16">
        <v>31</v>
      </c>
      <c r="K223" s="16">
        <v>30</v>
      </c>
      <c r="L223" s="16" t="s">
        <v>297</v>
      </c>
      <c r="M223" s="16" t="s">
        <v>297</v>
      </c>
      <c r="N223" s="16" t="s">
        <v>297</v>
      </c>
      <c r="O223" s="16" t="s">
        <v>297</v>
      </c>
      <c r="P223" s="16" t="s">
        <v>297</v>
      </c>
      <c r="Q223" s="16" t="s">
        <v>297</v>
      </c>
      <c r="R223" s="54"/>
      <c r="S223" s="54"/>
      <c r="T223" s="54"/>
      <c r="U223" s="54"/>
      <c r="V223" s="54"/>
      <c r="W223" s="54"/>
      <c r="X223" s="54"/>
      <c r="Y223" s="54"/>
      <c r="Z223" s="54"/>
      <c r="AA223" s="54"/>
      <c r="AB223" s="54"/>
      <c r="AC223" s="54"/>
      <c r="AD223" s="54"/>
      <c r="AE223" s="54"/>
      <c r="AF223" s="54"/>
      <c r="AG223" s="54"/>
      <c r="AH223" s="54"/>
      <c r="AI223" s="54"/>
      <c r="AJ223" s="54"/>
      <c r="AK223" s="54"/>
      <c r="AL223" s="54"/>
      <c r="AM223" s="54"/>
      <c r="AN223" s="54"/>
      <c r="AO223" s="54"/>
      <c r="AP223" s="54"/>
      <c r="AQ223" s="54"/>
      <c r="AR223" s="54"/>
      <c r="AS223" s="54"/>
      <c r="AT223" s="54"/>
      <c r="AU223" s="54"/>
      <c r="AV223" s="54"/>
      <c r="AW223" s="54"/>
      <c r="AX223" s="54"/>
      <c r="AY223" s="54"/>
      <c r="AZ223" s="54"/>
      <c r="BA223" s="54"/>
      <c r="BB223" s="54"/>
      <c r="BC223" s="54"/>
      <c r="BD223" s="54"/>
      <c r="BE223" s="54"/>
      <c r="BF223" s="54"/>
      <c r="BG223" s="54"/>
      <c r="BH223" s="54"/>
      <c r="BI223" s="54"/>
      <c r="BJ223" s="54"/>
      <c r="BK223" s="54"/>
      <c r="BL223" s="54"/>
      <c r="BM223" s="54"/>
      <c r="BN223" s="54"/>
      <c r="BO223" s="54"/>
      <c r="BP223" s="54"/>
      <c r="BQ223" s="54"/>
      <c r="BR223" s="54"/>
      <c r="BS223" s="54"/>
      <c r="BT223" s="54"/>
      <c r="BU223" s="54"/>
      <c r="BV223" s="54"/>
      <c r="BW223" s="54"/>
      <c r="BX223" s="54"/>
      <c r="BY223" s="54"/>
      <c r="BZ223" s="54"/>
      <c r="CA223" s="54"/>
      <c r="CB223" s="54"/>
      <c r="CC223" s="54"/>
      <c r="CD223" s="54"/>
      <c r="CE223" s="54"/>
      <c r="CF223" s="54"/>
      <c r="CG223" s="54"/>
      <c r="CH223" s="54"/>
      <c r="CI223" s="54"/>
      <c r="CJ223" s="54"/>
      <c r="CK223" s="54"/>
      <c r="CL223" s="54"/>
      <c r="CM223" s="54"/>
      <c r="CN223" s="54"/>
      <c r="CO223" s="54"/>
      <c r="CP223" s="54"/>
      <c r="CQ223" s="54"/>
      <c r="CR223" s="54"/>
      <c r="CS223" s="54"/>
      <c r="CT223" s="54"/>
      <c r="CU223" s="54"/>
      <c r="CV223" s="54"/>
      <c r="CW223" s="54"/>
      <c r="CX223" s="54"/>
      <c r="CY223" s="54"/>
      <c r="CZ223" s="54"/>
      <c r="DA223" s="54"/>
      <c r="DB223" s="54"/>
      <c r="DC223" s="54"/>
      <c r="DD223" s="54"/>
      <c r="DE223" s="54"/>
      <c r="DF223" s="54"/>
      <c r="DG223" s="54"/>
      <c r="DH223" s="54"/>
      <c r="DI223" s="54"/>
      <c r="DJ223" s="54"/>
      <c r="DK223" s="54"/>
      <c r="DL223" s="54"/>
      <c r="DM223" s="54"/>
      <c r="DN223" s="54"/>
      <c r="DO223" s="54"/>
      <c r="DP223" s="54"/>
      <c r="DQ223" s="54"/>
      <c r="DR223" s="54"/>
      <c r="DS223" s="54"/>
      <c r="DT223" s="54"/>
      <c r="DU223" s="54"/>
      <c r="DV223" s="54"/>
      <c r="DW223" s="54"/>
      <c r="DX223" s="54"/>
      <c r="DY223" s="54"/>
      <c r="DZ223" s="54"/>
      <c r="EA223" s="54"/>
      <c r="EB223" s="54"/>
      <c r="EC223" s="54"/>
    </row>
    <row r="224" spans="1:133" ht="46.8" x14ac:dyDescent="0.25">
      <c r="A224" s="59" t="s">
        <v>13</v>
      </c>
      <c r="B224" s="60" t="s">
        <v>14</v>
      </c>
      <c r="C224" s="53" t="s">
        <v>15</v>
      </c>
      <c r="D224" s="53" t="s">
        <v>369</v>
      </c>
      <c r="E224" s="61">
        <f>SUM(F224:K224)</f>
        <v>2502.5536155675368</v>
      </c>
      <c r="F224" s="62">
        <f>$E$225*$E$226*F227*$E$238</f>
        <v>428.31468632874783</v>
      </c>
      <c r="G224" s="62">
        <f t="shared" ref="G224:K224" si="28">$E$225*$E$226*G227*$E$238</f>
        <v>386.79879681883801</v>
      </c>
      <c r="H224" s="62">
        <f t="shared" si="28"/>
        <v>428.41564257484282</v>
      </c>
      <c r="I224" s="62">
        <f t="shared" si="28"/>
        <v>414.67313540577805</v>
      </c>
      <c r="J224" s="62">
        <f t="shared" si="28"/>
        <v>452.74328932983775</v>
      </c>
      <c r="K224" s="62">
        <f t="shared" si="28"/>
        <v>391.60806510949232</v>
      </c>
      <c r="L224" s="62" t="s">
        <v>297</v>
      </c>
      <c r="M224" s="62" t="s">
        <v>297</v>
      </c>
      <c r="N224" s="62" t="s">
        <v>297</v>
      </c>
      <c r="O224" s="62" t="s">
        <v>297</v>
      </c>
      <c r="P224" s="62" t="s">
        <v>297</v>
      </c>
      <c r="Q224" s="62" t="s">
        <v>297</v>
      </c>
    </row>
    <row r="225" spans="1:17" ht="31.2" x14ac:dyDescent="0.25">
      <c r="A225" s="63" t="s">
        <v>16</v>
      </c>
      <c r="B225" s="60" t="s">
        <v>193</v>
      </c>
      <c r="C225" s="35" t="s">
        <v>17</v>
      </c>
      <c r="D225" s="35" t="s">
        <v>205</v>
      </c>
      <c r="E225" s="176">
        <v>28</v>
      </c>
      <c r="F225" s="176"/>
      <c r="G225" s="176"/>
      <c r="H225" s="176"/>
      <c r="I225" s="176"/>
      <c r="J225" s="176"/>
      <c r="K225" s="176"/>
      <c r="L225" s="176"/>
      <c r="M225" s="176"/>
      <c r="N225" s="176"/>
      <c r="O225" s="176"/>
      <c r="P225" s="176"/>
      <c r="Q225" s="176"/>
    </row>
    <row r="226" spans="1:17" ht="64.8" x14ac:dyDescent="0.25">
      <c r="A226" s="63" t="s">
        <v>18</v>
      </c>
      <c r="B226" s="25" t="s">
        <v>194</v>
      </c>
      <c r="C226" s="35" t="s">
        <v>20</v>
      </c>
      <c r="D226" s="35" t="s">
        <v>394</v>
      </c>
      <c r="E226" s="176">
        <v>0.21</v>
      </c>
      <c r="F226" s="176"/>
      <c r="G226" s="176"/>
      <c r="H226" s="176"/>
      <c r="I226" s="176"/>
      <c r="J226" s="176"/>
      <c r="K226" s="176"/>
      <c r="L226" s="176"/>
      <c r="M226" s="176"/>
      <c r="N226" s="176"/>
      <c r="O226" s="176"/>
      <c r="P226" s="176"/>
      <c r="Q226" s="176"/>
    </row>
    <row r="227" spans="1:17" ht="46.8" x14ac:dyDescent="0.25">
      <c r="A227" s="35" t="s">
        <v>21</v>
      </c>
      <c r="B227" s="25" t="s">
        <v>195</v>
      </c>
      <c r="C227" s="53" t="s">
        <v>22</v>
      </c>
      <c r="D227" s="53" t="s">
        <v>370</v>
      </c>
      <c r="E227" s="64">
        <f t="shared" ref="E227:K227" si="29">E235*E228</f>
        <v>673.68269047074807</v>
      </c>
      <c r="F227" s="64">
        <f t="shared" si="29"/>
        <v>115.30150181763339</v>
      </c>
      <c r="G227" s="64">
        <f t="shared" si="29"/>
        <v>104.12550304248646</v>
      </c>
      <c r="H227" s="64">
        <f t="shared" si="29"/>
        <v>115.32867904774987</v>
      </c>
      <c r="I227" s="64">
        <f t="shared" si="29"/>
        <v>111.62922216263954</v>
      </c>
      <c r="J227" s="64">
        <f t="shared" si="29"/>
        <v>121.87763544843429</v>
      </c>
      <c r="K227" s="64">
        <f t="shared" si="29"/>
        <v>105.42014895180452</v>
      </c>
      <c r="L227" s="64" t="s">
        <v>297</v>
      </c>
      <c r="M227" s="64" t="s">
        <v>297</v>
      </c>
      <c r="N227" s="64" t="s">
        <v>297</v>
      </c>
      <c r="O227" s="64" t="s">
        <v>297</v>
      </c>
      <c r="P227" s="64" t="s">
        <v>297</v>
      </c>
      <c r="Q227" s="64" t="s">
        <v>297</v>
      </c>
    </row>
    <row r="228" spans="1:17" ht="46.8" x14ac:dyDescent="0.25">
      <c r="A228" s="35" t="s">
        <v>23</v>
      </c>
      <c r="B228" s="25" t="s">
        <v>197</v>
      </c>
      <c r="C228" s="35" t="s">
        <v>191</v>
      </c>
      <c r="D228" s="35" t="s">
        <v>371</v>
      </c>
      <c r="E228" s="20">
        <f>SUM(F228:K228)</f>
        <v>709.29209547567893</v>
      </c>
      <c r="F228" s="20">
        <f>F230*F233</f>
        <v>121.39608897858875</v>
      </c>
      <c r="G228" s="20">
        <f t="shared" ref="G228:K228" si="30">G230*G233</f>
        <v>109.62935116212738</v>
      </c>
      <c r="H228" s="20">
        <f t="shared" si="30"/>
        <v>121.42470273810967</v>
      </c>
      <c r="I228" s="20">
        <f t="shared" si="30"/>
        <v>117.52970059054333</v>
      </c>
      <c r="J228" s="20">
        <f t="shared" si="30"/>
        <v>128.31982276171374</v>
      </c>
      <c r="K228" s="20">
        <f t="shared" si="30"/>
        <v>110.99242924459608</v>
      </c>
      <c r="L228" s="20" t="s">
        <v>297</v>
      </c>
      <c r="M228" s="20" t="s">
        <v>297</v>
      </c>
      <c r="N228" s="20" t="s">
        <v>297</v>
      </c>
      <c r="O228" s="20" t="s">
        <v>297</v>
      </c>
      <c r="P228" s="20" t="s">
        <v>297</v>
      </c>
      <c r="Q228" s="20" t="s">
        <v>297</v>
      </c>
    </row>
    <row r="229" spans="1:17" ht="62.4" x14ac:dyDescent="0.25">
      <c r="A229" s="17" t="s">
        <v>335</v>
      </c>
      <c r="B229" s="60" t="s">
        <v>192</v>
      </c>
      <c r="C229" s="35" t="s">
        <v>25</v>
      </c>
      <c r="D229" s="35" t="s">
        <v>333</v>
      </c>
      <c r="E229" s="121">
        <f>AVERAGE(F229:K229)</f>
        <v>8524.2054959549405</v>
      </c>
      <c r="F229" s="121">
        <v>8362.9640322580653</v>
      </c>
      <c r="G229" s="121">
        <v>8364.5130714285697</v>
      </c>
      <c r="H229" s="121">
        <v>8365.0889032258056</v>
      </c>
      <c r="I229" s="121">
        <v>8364.3193999999985</v>
      </c>
      <c r="J229" s="121">
        <v>8842.7669354838727</v>
      </c>
      <c r="K229" s="121">
        <v>8845.5806333333312</v>
      </c>
      <c r="L229" s="20" t="s">
        <v>297</v>
      </c>
      <c r="M229" s="20" t="s">
        <v>297</v>
      </c>
      <c r="N229" s="20" t="s">
        <v>297</v>
      </c>
      <c r="O229" s="20" t="s">
        <v>297</v>
      </c>
      <c r="P229" s="20" t="s">
        <v>297</v>
      </c>
      <c r="Q229" s="20" t="s">
        <v>297</v>
      </c>
    </row>
    <row r="230" spans="1:17" ht="46.8" x14ac:dyDescent="0.25">
      <c r="A230" s="35" t="s">
        <v>26</v>
      </c>
      <c r="B230" s="60" t="s">
        <v>198</v>
      </c>
      <c r="C230" s="35" t="s">
        <v>27</v>
      </c>
      <c r="D230" s="35" t="s">
        <v>206</v>
      </c>
      <c r="E230" s="65">
        <f>SUM(F230:K230)</f>
        <v>1543198.7830000001</v>
      </c>
      <c r="F230" s="65">
        <f>F229*F223</f>
        <v>259251.88500000004</v>
      </c>
      <c r="G230" s="65">
        <f t="shared" ref="G230:K230" si="31">G229*G223</f>
        <v>234206.36599999995</v>
      </c>
      <c r="H230" s="65">
        <f t="shared" si="31"/>
        <v>259317.75599999996</v>
      </c>
      <c r="I230" s="65">
        <f t="shared" si="31"/>
        <v>250929.58199999997</v>
      </c>
      <c r="J230" s="65">
        <f t="shared" si="31"/>
        <v>274125.77500000002</v>
      </c>
      <c r="K230" s="65">
        <f t="shared" si="31"/>
        <v>265367.41899999994</v>
      </c>
      <c r="L230" s="65" t="s">
        <v>297</v>
      </c>
      <c r="M230" s="65" t="s">
        <v>297</v>
      </c>
      <c r="N230" s="65" t="s">
        <v>297</v>
      </c>
      <c r="O230" s="65" t="s">
        <v>297</v>
      </c>
      <c r="P230" s="65" t="s">
        <v>297</v>
      </c>
      <c r="Q230" s="65" t="s">
        <v>297</v>
      </c>
    </row>
    <row r="231" spans="1:17" ht="62.4" x14ac:dyDescent="0.25">
      <c r="A231" s="35" t="s">
        <v>28</v>
      </c>
      <c r="B231" s="60" t="s">
        <v>199</v>
      </c>
      <c r="C231" s="35" t="s">
        <v>29</v>
      </c>
      <c r="D231" s="35" t="s">
        <v>332</v>
      </c>
      <c r="E231" s="125">
        <f>AVERAGE(F231:K231)</f>
        <v>459.8888588069637</v>
      </c>
      <c r="F231" s="125">
        <v>468.25537634408607</v>
      </c>
      <c r="G231" s="125">
        <v>468.08869047619055</v>
      </c>
      <c r="H231" s="125">
        <v>468.24677419354845</v>
      </c>
      <c r="I231" s="125">
        <v>468.37722222222226</v>
      </c>
      <c r="J231" s="125">
        <v>468.1056451612904</v>
      </c>
      <c r="K231" s="137">
        <v>418.25944444444445</v>
      </c>
      <c r="L231" s="66" t="s">
        <v>297</v>
      </c>
      <c r="M231" s="66" t="s">
        <v>297</v>
      </c>
      <c r="N231" s="66" t="s">
        <v>297</v>
      </c>
      <c r="O231" s="66" t="s">
        <v>297</v>
      </c>
      <c r="P231" s="66" t="s">
        <v>297</v>
      </c>
      <c r="Q231" s="66" t="s">
        <v>297</v>
      </c>
    </row>
    <row r="232" spans="1:17" ht="62.4" x14ac:dyDescent="0.25">
      <c r="A232" s="35" t="s">
        <v>30</v>
      </c>
      <c r="B232" s="60" t="s">
        <v>199</v>
      </c>
      <c r="C232" s="35" t="s">
        <v>31</v>
      </c>
      <c r="D232" s="35" t="s">
        <v>331</v>
      </c>
      <c r="E232" s="125">
        <f>AVERAGE(F232:K232)</f>
        <v>22.065453682369007</v>
      </c>
      <c r="F232" s="125">
        <v>22.951344086021503</v>
      </c>
      <c r="G232" s="125">
        <v>22.462202380952384</v>
      </c>
      <c r="H232" s="125">
        <v>22.479301075268818</v>
      </c>
      <c r="I232" s="125">
        <v>21.908888888888892</v>
      </c>
      <c r="J232" s="125">
        <v>22.803763440860209</v>
      </c>
      <c r="K232" s="137">
        <v>19.787222222222226</v>
      </c>
      <c r="L232" s="65" t="s">
        <v>297</v>
      </c>
      <c r="M232" s="65" t="s">
        <v>297</v>
      </c>
      <c r="N232" s="65" t="s">
        <v>297</v>
      </c>
      <c r="O232" s="65" t="s">
        <v>297</v>
      </c>
      <c r="P232" s="65" t="s">
        <v>297</v>
      </c>
      <c r="Q232" s="65" t="s">
        <v>297</v>
      </c>
    </row>
    <row r="233" spans="1:17" ht="62.4" x14ac:dyDescent="0.25">
      <c r="A233" s="35" t="s">
        <v>32</v>
      </c>
      <c r="B233" s="60" t="s">
        <v>200</v>
      </c>
      <c r="C233" s="35" t="s">
        <v>34</v>
      </c>
      <c r="D233" s="35" t="s">
        <v>338</v>
      </c>
      <c r="E233" s="122">
        <f>E231/1000000</f>
        <v>4.5988885880696368E-4</v>
      </c>
      <c r="F233" s="120">
        <f>F231/1000000</f>
        <v>4.682553763440861E-4</v>
      </c>
      <c r="G233" s="120">
        <f t="shared" ref="G233:K234" si="32">G231/1000000</f>
        <v>4.6808869047619057E-4</v>
      </c>
      <c r="H233" s="120">
        <f t="shared" si="32"/>
        <v>4.6824677419354842E-4</v>
      </c>
      <c r="I233" s="120">
        <f t="shared" si="32"/>
        <v>4.6837722222222225E-4</v>
      </c>
      <c r="J233" s="120">
        <f t="shared" si="32"/>
        <v>4.681056451612904E-4</v>
      </c>
      <c r="K233" s="120">
        <f t="shared" si="32"/>
        <v>4.1825944444444444E-4</v>
      </c>
      <c r="L233" s="22" t="s">
        <v>297</v>
      </c>
      <c r="M233" s="22" t="s">
        <v>297</v>
      </c>
      <c r="N233" s="22" t="s">
        <v>297</v>
      </c>
      <c r="O233" s="22" t="s">
        <v>297</v>
      </c>
      <c r="P233" s="22" t="s">
        <v>297</v>
      </c>
      <c r="Q233" s="22" t="s">
        <v>297</v>
      </c>
    </row>
    <row r="234" spans="1:17" ht="62.4" x14ac:dyDescent="0.25">
      <c r="A234" s="35" t="s">
        <v>30</v>
      </c>
      <c r="B234" s="60" t="s">
        <v>33</v>
      </c>
      <c r="C234" s="35" t="s">
        <v>35</v>
      </c>
      <c r="D234" s="35" t="s">
        <v>339</v>
      </c>
      <c r="E234" s="122">
        <f>E232/1000000</f>
        <v>2.2065453682369006E-5</v>
      </c>
      <c r="F234" s="120">
        <f>F232/1000000</f>
        <v>2.2951344086021504E-5</v>
      </c>
      <c r="G234" s="120">
        <f t="shared" si="32"/>
        <v>2.2462202380952382E-5</v>
      </c>
      <c r="H234" s="120">
        <f t="shared" si="32"/>
        <v>2.2479301075268818E-5</v>
      </c>
      <c r="I234" s="120">
        <f t="shared" si="32"/>
        <v>2.1908888888888894E-5</v>
      </c>
      <c r="J234" s="120">
        <f t="shared" si="32"/>
        <v>2.2803763440860207E-5</v>
      </c>
      <c r="K234" s="120">
        <f t="shared" si="32"/>
        <v>1.9787222222222227E-5</v>
      </c>
      <c r="L234" s="22" t="s">
        <v>297</v>
      </c>
      <c r="M234" s="22" t="s">
        <v>297</v>
      </c>
      <c r="N234" s="22" t="s">
        <v>297</v>
      </c>
      <c r="O234" s="22" t="s">
        <v>297</v>
      </c>
      <c r="P234" s="22" t="s">
        <v>297</v>
      </c>
      <c r="Q234" s="22" t="s">
        <v>297</v>
      </c>
    </row>
    <row r="235" spans="1:17" ht="46.8" x14ac:dyDescent="0.25">
      <c r="A235" s="63" t="s">
        <v>36</v>
      </c>
      <c r="B235" s="25" t="s">
        <v>201</v>
      </c>
      <c r="C235" s="35" t="s">
        <v>38</v>
      </c>
      <c r="D235" s="35" t="s">
        <v>368</v>
      </c>
      <c r="E235" s="68">
        <f>(1-(E236/E237))</f>
        <v>0.94979585246745235</v>
      </c>
      <c r="F235" s="68">
        <f>E235</f>
        <v>0.94979585246745235</v>
      </c>
      <c r="G235" s="68">
        <f>E235</f>
        <v>0.94979585246745235</v>
      </c>
      <c r="H235" s="68">
        <f>E235</f>
        <v>0.94979585246745235</v>
      </c>
      <c r="I235" s="68">
        <f>E235</f>
        <v>0.94979585246745235</v>
      </c>
      <c r="J235" s="68">
        <f>E235</f>
        <v>0.94979585246745235</v>
      </c>
      <c r="K235" s="68">
        <f>F235</f>
        <v>0.94979585246745235</v>
      </c>
      <c r="L235" s="68" t="s">
        <v>297</v>
      </c>
      <c r="M235" s="68" t="s">
        <v>297</v>
      </c>
      <c r="N235" s="68" t="s">
        <v>297</v>
      </c>
      <c r="O235" s="68" t="s">
        <v>297</v>
      </c>
      <c r="P235" s="68" t="s">
        <v>297</v>
      </c>
      <c r="Q235" s="68" t="s">
        <v>297</v>
      </c>
    </row>
    <row r="236" spans="1:17" ht="31.2" x14ac:dyDescent="0.25">
      <c r="A236" s="35" t="s">
        <v>39</v>
      </c>
      <c r="B236" s="25" t="s">
        <v>196</v>
      </c>
      <c r="C236" s="35" t="s">
        <v>40</v>
      </c>
      <c r="D236" s="35" t="s">
        <v>351</v>
      </c>
      <c r="E236" s="52">
        <f>SUM(F236:K236)</f>
        <v>35.262327273699995</v>
      </c>
      <c r="F236" s="52">
        <v>6.0394041186999994</v>
      </c>
      <c r="G236" s="52">
        <v>5.4549456556000004</v>
      </c>
      <c r="H236" s="52">
        <v>6.0394041186999994</v>
      </c>
      <c r="I236" s="52">
        <v>5.844584631</v>
      </c>
      <c r="J236" s="52">
        <v>6.0394041186999994</v>
      </c>
      <c r="K236" s="52">
        <v>5.844584631</v>
      </c>
      <c r="L236" s="69" t="s">
        <v>297</v>
      </c>
      <c r="M236" s="69" t="s">
        <v>297</v>
      </c>
      <c r="N236" s="69" t="s">
        <v>297</v>
      </c>
      <c r="O236" s="69" t="s">
        <v>297</v>
      </c>
      <c r="P236" s="69" t="s">
        <v>297</v>
      </c>
      <c r="Q236" s="69" t="s">
        <v>297</v>
      </c>
    </row>
    <row r="237" spans="1:17" ht="31.2" x14ac:dyDescent="0.25">
      <c r="A237" s="63" t="s">
        <v>41</v>
      </c>
      <c r="B237" s="25" t="s">
        <v>24</v>
      </c>
      <c r="C237" s="35" t="s">
        <v>42</v>
      </c>
      <c r="D237" s="35" t="s">
        <v>351</v>
      </c>
      <c r="E237" s="52">
        <f>SUM(F237:K237)</f>
        <v>702.3787676275</v>
      </c>
      <c r="F237" s="52">
        <v>120.29691600250001</v>
      </c>
      <c r="G237" s="52">
        <v>108.65527897000001</v>
      </c>
      <c r="H237" s="52">
        <v>120.29691600250001</v>
      </c>
      <c r="I237" s="52">
        <v>116.416370325</v>
      </c>
      <c r="J237" s="52">
        <v>120.29691600250001</v>
      </c>
      <c r="K237" s="52">
        <v>116.416370325</v>
      </c>
      <c r="L237" s="69" t="s">
        <v>297</v>
      </c>
      <c r="M237" s="69" t="s">
        <v>297</v>
      </c>
      <c r="N237" s="69" t="s">
        <v>297</v>
      </c>
      <c r="O237" s="69" t="s">
        <v>297</v>
      </c>
      <c r="P237" s="69" t="s">
        <v>297</v>
      </c>
      <c r="Q237" s="69" t="s">
        <v>297</v>
      </c>
    </row>
    <row r="238" spans="1:17" ht="31.2" x14ac:dyDescent="0.25">
      <c r="A238" s="53" t="s">
        <v>43</v>
      </c>
      <c r="B238" s="25" t="s">
        <v>201</v>
      </c>
      <c r="C238" s="53" t="s">
        <v>44</v>
      </c>
      <c r="D238" s="35" t="s">
        <v>372</v>
      </c>
      <c r="E238" s="177">
        <f>E239*E240*0.89</f>
        <v>0.63175789197082988</v>
      </c>
      <c r="F238" s="177"/>
      <c r="G238" s="177"/>
      <c r="H238" s="177"/>
      <c r="I238" s="177"/>
      <c r="J238" s="177"/>
      <c r="K238" s="177"/>
      <c r="L238" s="177"/>
      <c r="M238" s="177"/>
      <c r="N238" s="177"/>
      <c r="O238" s="177"/>
      <c r="P238" s="177"/>
      <c r="Q238" s="177"/>
    </row>
    <row r="239" spans="1:17" ht="31.2" x14ac:dyDescent="0.25">
      <c r="A239" s="70" t="s">
        <v>45</v>
      </c>
      <c r="B239" s="25" t="s">
        <v>201</v>
      </c>
      <c r="C239" s="53" t="s">
        <v>46</v>
      </c>
      <c r="D239" s="35" t="s">
        <v>373</v>
      </c>
      <c r="E239" s="162">
        <v>0.7</v>
      </c>
      <c r="F239" s="163"/>
      <c r="G239" s="163"/>
      <c r="H239" s="163"/>
      <c r="I239" s="163"/>
      <c r="J239" s="163"/>
      <c r="K239" s="163"/>
      <c r="L239" s="163"/>
      <c r="M239" s="163"/>
      <c r="N239" s="163"/>
      <c r="O239" s="163"/>
      <c r="P239" s="163"/>
      <c r="Q239" s="164"/>
    </row>
    <row r="240" spans="1:17" ht="36" customHeight="1" x14ac:dyDescent="0.25">
      <c r="A240" s="70" t="s">
        <v>47</v>
      </c>
      <c r="B240" s="25" t="s">
        <v>37</v>
      </c>
      <c r="C240" s="53" t="s">
        <v>48</v>
      </c>
      <c r="D240" s="35" t="s">
        <v>374</v>
      </c>
      <c r="E240" s="159">
        <f>(F241*F246+G241*G246+H241*H246+I241*I246+J241*J246+K241*K246)/(F235*F230*F233+G235*G233*G230+H235*H230*H233+I235*I233*I230+J235*J233*J230+K235*K233*K230)</f>
        <v>1.0140576115101603</v>
      </c>
      <c r="F240" s="160"/>
      <c r="G240" s="160"/>
      <c r="H240" s="160"/>
      <c r="I240" s="160"/>
      <c r="J240" s="160"/>
      <c r="K240" s="160"/>
      <c r="L240" s="160"/>
      <c r="M240" s="160"/>
      <c r="N240" s="160"/>
      <c r="O240" s="160"/>
      <c r="P240" s="160"/>
      <c r="Q240" s="161"/>
    </row>
    <row r="241" spans="1:133" s="9" customFormat="1" ht="46.8" x14ac:dyDescent="0.4">
      <c r="A241" s="71" t="s">
        <v>49</v>
      </c>
      <c r="B241" s="25" t="s">
        <v>37</v>
      </c>
      <c r="C241" s="53" t="s">
        <v>50</v>
      </c>
      <c r="D241" s="53" t="s">
        <v>375</v>
      </c>
      <c r="E241" s="72">
        <f>AVERAGE(F241:K241)</f>
        <v>0.47566758520675173</v>
      </c>
      <c r="F241" s="72">
        <f>IF(F245&lt;283,0,IF(F245&gt;303,1,EXP(($E$242*(F245-$E$243))/($E$244*$E$243*F245))))</f>
        <v>0.29505266129807517</v>
      </c>
      <c r="G241" s="72">
        <f t="shared" ref="G241:K241" si="33">IF(G245&lt;283,0,IF(G245&gt;303,1,EXP(($E$242*(G245-$E$243))/($E$244*$E$243*G245))))</f>
        <v>0.24547412919519337</v>
      </c>
      <c r="H241" s="72">
        <f t="shared" si="33"/>
        <v>0.42307437878932203</v>
      </c>
      <c r="I241" s="72">
        <f t="shared" si="33"/>
        <v>0.50475941545474445</v>
      </c>
      <c r="J241" s="72">
        <f t="shared" si="33"/>
        <v>0.57531644493802248</v>
      </c>
      <c r="K241" s="72">
        <f t="shared" si="33"/>
        <v>0.81032848156515291</v>
      </c>
      <c r="L241" s="72" t="s">
        <v>297</v>
      </c>
      <c r="M241" s="72" t="s">
        <v>297</v>
      </c>
      <c r="N241" s="72" t="s">
        <v>297</v>
      </c>
      <c r="O241" s="72" t="s">
        <v>297</v>
      </c>
      <c r="P241" s="72" t="s">
        <v>297</v>
      </c>
      <c r="Q241" s="72" t="s">
        <v>297</v>
      </c>
      <c r="R241" s="78"/>
      <c r="S241" s="78"/>
      <c r="T241" s="78"/>
      <c r="U241" s="78"/>
      <c r="V241" s="78"/>
      <c r="W241" s="78"/>
      <c r="X241" s="78"/>
      <c r="Y241" s="78"/>
      <c r="Z241" s="78"/>
      <c r="AA241" s="78"/>
      <c r="AB241" s="78"/>
      <c r="AC241" s="78"/>
      <c r="AD241" s="78"/>
      <c r="AE241" s="78"/>
      <c r="AF241" s="78"/>
      <c r="AG241" s="78"/>
      <c r="AH241" s="78"/>
      <c r="AI241" s="78"/>
      <c r="AJ241" s="78"/>
      <c r="AK241" s="78"/>
      <c r="AL241" s="78"/>
      <c r="AM241" s="78"/>
      <c r="AN241" s="78"/>
      <c r="AO241" s="78"/>
      <c r="AP241" s="78"/>
      <c r="AQ241" s="78"/>
      <c r="AR241" s="78"/>
      <c r="AS241" s="78"/>
      <c r="AT241" s="78"/>
      <c r="AU241" s="78"/>
      <c r="AV241" s="78"/>
      <c r="AW241" s="78"/>
      <c r="AX241" s="78"/>
      <c r="AY241" s="78"/>
      <c r="AZ241" s="78"/>
      <c r="BA241" s="78"/>
      <c r="BB241" s="78"/>
      <c r="BC241" s="78"/>
      <c r="BD241" s="78"/>
      <c r="BE241" s="78"/>
      <c r="BF241" s="78"/>
      <c r="BG241" s="78"/>
      <c r="BH241" s="78"/>
      <c r="BI241" s="78"/>
      <c r="BJ241" s="78"/>
      <c r="BK241" s="78"/>
      <c r="BL241" s="78"/>
      <c r="BM241" s="78"/>
      <c r="BN241" s="78"/>
      <c r="BO241" s="78"/>
      <c r="BP241" s="78"/>
      <c r="BQ241" s="78"/>
      <c r="BR241" s="78"/>
      <c r="BS241" s="78"/>
      <c r="BT241" s="78"/>
      <c r="BU241" s="78"/>
      <c r="BV241" s="78"/>
      <c r="BW241" s="78"/>
      <c r="BX241" s="78"/>
      <c r="BY241" s="78"/>
      <c r="BZ241" s="78"/>
      <c r="CA241" s="78"/>
      <c r="CB241" s="78"/>
      <c r="CC241" s="78"/>
      <c r="CD241" s="78"/>
      <c r="CE241" s="78"/>
      <c r="CF241" s="78"/>
      <c r="CG241" s="78"/>
      <c r="CH241" s="78"/>
      <c r="CI241" s="78"/>
      <c r="CJ241" s="78"/>
      <c r="CK241" s="78"/>
      <c r="CL241" s="78"/>
      <c r="CM241" s="78"/>
      <c r="CN241" s="78"/>
      <c r="CO241" s="78"/>
      <c r="CP241" s="78"/>
      <c r="CQ241" s="78"/>
      <c r="CR241" s="78"/>
      <c r="CS241" s="78"/>
      <c r="CT241" s="78"/>
      <c r="CU241" s="78"/>
      <c r="CV241" s="78"/>
      <c r="CW241" s="78"/>
      <c r="CX241" s="78"/>
      <c r="CY241" s="78"/>
      <c r="CZ241" s="78"/>
      <c r="DA241" s="78"/>
      <c r="DB241" s="78"/>
      <c r="DC241" s="78"/>
      <c r="DD241" s="78"/>
      <c r="DE241" s="78"/>
      <c r="DF241" s="78"/>
      <c r="DG241" s="78"/>
      <c r="DH241" s="78"/>
      <c r="DI241" s="78"/>
      <c r="DJ241" s="78"/>
      <c r="DK241" s="78"/>
      <c r="DL241" s="78"/>
      <c r="DM241" s="78"/>
      <c r="DN241" s="78"/>
      <c r="DO241" s="78"/>
      <c r="DP241" s="78"/>
      <c r="DQ241" s="78"/>
      <c r="DR241" s="78"/>
      <c r="DS241" s="78"/>
      <c r="DT241" s="78"/>
      <c r="DU241" s="78"/>
      <c r="DV241" s="78"/>
      <c r="DW241" s="78"/>
      <c r="DX241" s="78"/>
      <c r="DY241" s="78"/>
      <c r="DZ241" s="78"/>
      <c r="EA241" s="78"/>
      <c r="EB241" s="78"/>
      <c r="EC241" s="78"/>
    </row>
    <row r="242" spans="1:133" s="9" customFormat="1" x14ac:dyDescent="0.25">
      <c r="A242" s="73" t="s">
        <v>51</v>
      </c>
      <c r="B242" s="60" t="s">
        <v>202</v>
      </c>
      <c r="C242" s="53" t="s">
        <v>53</v>
      </c>
      <c r="D242" s="53" t="s">
        <v>376</v>
      </c>
      <c r="E242" s="162">
        <v>15175</v>
      </c>
      <c r="F242" s="163"/>
      <c r="G242" s="163"/>
      <c r="H242" s="163"/>
      <c r="I242" s="163"/>
      <c r="J242" s="163"/>
      <c r="K242" s="163"/>
      <c r="L242" s="163"/>
      <c r="M242" s="163"/>
      <c r="N242" s="163"/>
      <c r="O242" s="163"/>
      <c r="P242" s="163"/>
      <c r="Q242" s="164"/>
      <c r="R242" s="78"/>
      <c r="S242" s="78"/>
      <c r="T242" s="78"/>
      <c r="U242" s="78"/>
      <c r="V242" s="78"/>
      <c r="W242" s="78"/>
      <c r="X242" s="78"/>
      <c r="Y242" s="78"/>
      <c r="Z242" s="78"/>
      <c r="AA242" s="78"/>
      <c r="AB242" s="78"/>
      <c r="AC242" s="78"/>
      <c r="AD242" s="78"/>
      <c r="AE242" s="78"/>
      <c r="AF242" s="78"/>
      <c r="AG242" s="78"/>
      <c r="AH242" s="78"/>
      <c r="AI242" s="78"/>
      <c r="AJ242" s="78"/>
      <c r="AK242" s="78"/>
      <c r="AL242" s="78"/>
      <c r="AM242" s="78"/>
      <c r="AN242" s="78"/>
      <c r="AO242" s="78"/>
      <c r="AP242" s="78"/>
      <c r="AQ242" s="78"/>
      <c r="AR242" s="78"/>
      <c r="AS242" s="78"/>
      <c r="AT242" s="78"/>
      <c r="AU242" s="78"/>
      <c r="AV242" s="78"/>
      <c r="AW242" s="78"/>
      <c r="AX242" s="78"/>
      <c r="AY242" s="78"/>
      <c r="AZ242" s="78"/>
      <c r="BA242" s="78"/>
      <c r="BB242" s="78"/>
      <c r="BC242" s="78"/>
      <c r="BD242" s="78"/>
      <c r="BE242" s="78"/>
      <c r="BF242" s="78"/>
      <c r="BG242" s="78"/>
      <c r="BH242" s="78"/>
      <c r="BI242" s="78"/>
      <c r="BJ242" s="78"/>
      <c r="BK242" s="78"/>
      <c r="BL242" s="78"/>
      <c r="BM242" s="78"/>
      <c r="BN242" s="78"/>
      <c r="BO242" s="78"/>
      <c r="BP242" s="78"/>
      <c r="BQ242" s="78"/>
      <c r="BR242" s="78"/>
      <c r="BS242" s="78"/>
      <c r="BT242" s="78"/>
      <c r="BU242" s="78"/>
      <c r="BV242" s="78"/>
      <c r="BW242" s="78"/>
      <c r="BX242" s="78"/>
      <c r="BY242" s="78"/>
      <c r="BZ242" s="78"/>
      <c r="CA242" s="78"/>
      <c r="CB242" s="78"/>
      <c r="CC242" s="78"/>
      <c r="CD242" s="78"/>
      <c r="CE242" s="78"/>
      <c r="CF242" s="78"/>
      <c r="CG242" s="78"/>
      <c r="CH242" s="78"/>
      <c r="CI242" s="78"/>
      <c r="CJ242" s="78"/>
      <c r="CK242" s="78"/>
      <c r="CL242" s="78"/>
      <c r="CM242" s="78"/>
      <c r="CN242" s="78"/>
      <c r="CO242" s="78"/>
      <c r="CP242" s="78"/>
      <c r="CQ242" s="78"/>
      <c r="CR242" s="78"/>
      <c r="CS242" s="78"/>
      <c r="CT242" s="78"/>
      <c r="CU242" s="78"/>
      <c r="CV242" s="78"/>
      <c r="CW242" s="78"/>
      <c r="CX242" s="78"/>
      <c r="CY242" s="78"/>
      <c r="CZ242" s="78"/>
      <c r="DA242" s="78"/>
      <c r="DB242" s="78"/>
      <c r="DC242" s="78"/>
      <c r="DD242" s="78"/>
      <c r="DE242" s="78"/>
      <c r="DF242" s="78"/>
      <c r="DG242" s="78"/>
      <c r="DH242" s="78"/>
      <c r="DI242" s="78"/>
      <c r="DJ242" s="78"/>
      <c r="DK242" s="78"/>
      <c r="DL242" s="78"/>
      <c r="DM242" s="78"/>
      <c r="DN242" s="78"/>
      <c r="DO242" s="78"/>
      <c r="DP242" s="78"/>
      <c r="DQ242" s="78"/>
      <c r="DR242" s="78"/>
      <c r="DS242" s="78"/>
      <c r="DT242" s="78"/>
      <c r="DU242" s="78"/>
      <c r="DV242" s="78"/>
      <c r="DW242" s="78"/>
      <c r="DX242" s="78"/>
      <c r="DY242" s="78"/>
      <c r="DZ242" s="78"/>
      <c r="EA242" s="78"/>
      <c r="EB242" s="78"/>
      <c r="EC242" s="78"/>
    </row>
    <row r="243" spans="1:133" s="9" customFormat="1" ht="18" x14ac:dyDescent="0.25">
      <c r="A243" s="73" t="s">
        <v>54</v>
      </c>
      <c r="B243" s="60" t="s">
        <v>203</v>
      </c>
      <c r="C243" s="53" t="s">
        <v>56</v>
      </c>
      <c r="D243" s="53" t="s">
        <v>376</v>
      </c>
      <c r="E243" s="162">
        <v>303.16000000000003</v>
      </c>
      <c r="F243" s="163"/>
      <c r="G243" s="163"/>
      <c r="H243" s="163"/>
      <c r="I243" s="163"/>
      <c r="J243" s="163"/>
      <c r="K243" s="163"/>
      <c r="L243" s="163"/>
      <c r="M243" s="163"/>
      <c r="N243" s="163"/>
      <c r="O243" s="163"/>
      <c r="P243" s="163"/>
      <c r="Q243" s="164"/>
      <c r="R243" s="78"/>
      <c r="S243" s="78"/>
      <c r="T243" s="78"/>
      <c r="U243" s="78"/>
      <c r="V243" s="78"/>
      <c r="W243" s="78"/>
      <c r="X243" s="78"/>
      <c r="Y243" s="78"/>
      <c r="Z243" s="78"/>
      <c r="AA243" s="78"/>
      <c r="AB243" s="78"/>
      <c r="AC243" s="78"/>
      <c r="AD243" s="78"/>
      <c r="AE243" s="78"/>
      <c r="AF243" s="78"/>
      <c r="AG243" s="78"/>
      <c r="AH243" s="78"/>
      <c r="AI243" s="78"/>
      <c r="AJ243" s="78"/>
      <c r="AK243" s="78"/>
      <c r="AL243" s="78"/>
      <c r="AM243" s="78"/>
      <c r="AN243" s="78"/>
      <c r="AO243" s="78"/>
      <c r="AP243" s="78"/>
      <c r="AQ243" s="78"/>
      <c r="AR243" s="78"/>
      <c r="AS243" s="78"/>
      <c r="AT243" s="78"/>
      <c r="AU243" s="78"/>
      <c r="AV243" s="78"/>
      <c r="AW243" s="78"/>
      <c r="AX243" s="78"/>
      <c r="AY243" s="78"/>
      <c r="AZ243" s="78"/>
      <c r="BA243" s="78"/>
      <c r="BB243" s="78"/>
      <c r="BC243" s="78"/>
      <c r="BD243" s="78"/>
      <c r="BE243" s="78"/>
      <c r="BF243" s="78"/>
      <c r="BG243" s="78"/>
      <c r="BH243" s="78"/>
      <c r="BI243" s="78"/>
      <c r="BJ243" s="78"/>
      <c r="BK243" s="78"/>
      <c r="BL243" s="78"/>
      <c r="BM243" s="78"/>
      <c r="BN243" s="78"/>
      <c r="BO243" s="78"/>
      <c r="BP243" s="78"/>
      <c r="BQ243" s="78"/>
      <c r="BR243" s="78"/>
      <c r="BS243" s="78"/>
      <c r="BT243" s="78"/>
      <c r="BU243" s="78"/>
      <c r="BV243" s="78"/>
      <c r="BW243" s="78"/>
      <c r="BX243" s="78"/>
      <c r="BY243" s="78"/>
      <c r="BZ243" s="78"/>
      <c r="CA243" s="78"/>
      <c r="CB243" s="78"/>
      <c r="CC243" s="78"/>
      <c r="CD243" s="78"/>
      <c r="CE243" s="78"/>
      <c r="CF243" s="78"/>
      <c r="CG243" s="78"/>
      <c r="CH243" s="78"/>
      <c r="CI243" s="78"/>
      <c r="CJ243" s="78"/>
      <c r="CK243" s="78"/>
      <c r="CL243" s="78"/>
      <c r="CM243" s="78"/>
      <c r="CN243" s="78"/>
      <c r="CO243" s="78"/>
      <c r="CP243" s="78"/>
      <c r="CQ243" s="78"/>
      <c r="CR243" s="78"/>
      <c r="CS243" s="78"/>
      <c r="CT243" s="78"/>
      <c r="CU243" s="78"/>
      <c r="CV243" s="78"/>
      <c r="CW243" s="78"/>
      <c r="CX243" s="78"/>
      <c r="CY243" s="78"/>
      <c r="CZ243" s="78"/>
      <c r="DA243" s="78"/>
      <c r="DB243" s="78"/>
      <c r="DC243" s="78"/>
      <c r="DD243" s="78"/>
      <c r="DE243" s="78"/>
      <c r="DF243" s="78"/>
      <c r="DG243" s="78"/>
      <c r="DH243" s="78"/>
      <c r="DI243" s="78"/>
      <c r="DJ243" s="78"/>
      <c r="DK243" s="78"/>
      <c r="DL243" s="78"/>
      <c r="DM243" s="78"/>
      <c r="DN243" s="78"/>
      <c r="DO243" s="78"/>
      <c r="DP243" s="78"/>
      <c r="DQ243" s="78"/>
      <c r="DR243" s="78"/>
      <c r="DS243" s="78"/>
      <c r="DT243" s="78"/>
      <c r="DU243" s="78"/>
      <c r="DV243" s="78"/>
      <c r="DW243" s="78"/>
      <c r="DX243" s="78"/>
      <c r="DY243" s="78"/>
      <c r="DZ243" s="78"/>
      <c r="EA243" s="78"/>
      <c r="EB243" s="78"/>
      <c r="EC243" s="78"/>
    </row>
    <row r="244" spans="1:133" s="9" customFormat="1" x14ac:dyDescent="0.25">
      <c r="A244" s="73" t="s">
        <v>57</v>
      </c>
      <c r="B244" s="60" t="s">
        <v>204</v>
      </c>
      <c r="C244" s="53" t="s">
        <v>59</v>
      </c>
      <c r="D244" s="53" t="s">
        <v>376</v>
      </c>
      <c r="E244" s="162">
        <v>1.9870000000000001</v>
      </c>
      <c r="F244" s="163"/>
      <c r="G244" s="163"/>
      <c r="H244" s="163"/>
      <c r="I244" s="163"/>
      <c r="J244" s="163"/>
      <c r="K244" s="163"/>
      <c r="L244" s="163"/>
      <c r="M244" s="163"/>
      <c r="N244" s="163"/>
      <c r="O244" s="163"/>
      <c r="P244" s="163"/>
      <c r="Q244" s="164"/>
      <c r="R244" s="78"/>
      <c r="S244" s="78"/>
      <c r="T244" s="78"/>
      <c r="U244" s="78"/>
      <c r="V244" s="78"/>
      <c r="W244" s="78"/>
      <c r="X244" s="78"/>
      <c r="Y244" s="78"/>
      <c r="Z244" s="78"/>
      <c r="AA244" s="78"/>
      <c r="AB244" s="78"/>
      <c r="AC244" s="78"/>
      <c r="AD244" s="78"/>
      <c r="AE244" s="78"/>
      <c r="AF244" s="78"/>
      <c r="AG244" s="78"/>
      <c r="AH244" s="78"/>
      <c r="AI244" s="78"/>
      <c r="AJ244" s="78"/>
      <c r="AK244" s="78"/>
      <c r="AL244" s="78"/>
      <c r="AM244" s="78"/>
      <c r="AN244" s="78"/>
      <c r="AO244" s="78"/>
      <c r="AP244" s="78"/>
      <c r="AQ244" s="78"/>
      <c r="AR244" s="78"/>
      <c r="AS244" s="78"/>
      <c r="AT244" s="78"/>
      <c r="AU244" s="78"/>
      <c r="AV244" s="78"/>
      <c r="AW244" s="78"/>
      <c r="AX244" s="78"/>
      <c r="AY244" s="78"/>
      <c r="AZ244" s="78"/>
      <c r="BA244" s="78"/>
      <c r="BB244" s="78"/>
      <c r="BC244" s="78"/>
      <c r="BD244" s="78"/>
      <c r="BE244" s="78"/>
      <c r="BF244" s="78"/>
      <c r="BG244" s="78"/>
      <c r="BH244" s="78"/>
      <c r="BI244" s="78"/>
      <c r="BJ244" s="78"/>
      <c r="BK244" s="78"/>
      <c r="BL244" s="78"/>
      <c r="BM244" s="78"/>
      <c r="BN244" s="78"/>
      <c r="BO244" s="78"/>
      <c r="BP244" s="78"/>
      <c r="BQ244" s="78"/>
      <c r="BR244" s="78"/>
      <c r="BS244" s="78"/>
      <c r="BT244" s="78"/>
      <c r="BU244" s="78"/>
      <c r="BV244" s="78"/>
      <c r="BW244" s="78"/>
      <c r="BX244" s="78"/>
      <c r="BY244" s="78"/>
      <c r="BZ244" s="78"/>
      <c r="CA244" s="78"/>
      <c r="CB244" s="78"/>
      <c r="CC244" s="78"/>
      <c r="CD244" s="78"/>
      <c r="CE244" s="78"/>
      <c r="CF244" s="78"/>
      <c r="CG244" s="78"/>
      <c r="CH244" s="78"/>
      <c r="CI244" s="78"/>
      <c r="CJ244" s="78"/>
      <c r="CK244" s="78"/>
      <c r="CL244" s="78"/>
      <c r="CM244" s="78"/>
      <c r="CN244" s="78"/>
      <c r="CO244" s="78"/>
      <c r="CP244" s="78"/>
      <c r="CQ244" s="78"/>
      <c r="CR244" s="78"/>
      <c r="CS244" s="78"/>
      <c r="CT244" s="78"/>
      <c r="CU244" s="78"/>
      <c r="CV244" s="78"/>
      <c r="CW244" s="78"/>
      <c r="CX244" s="78"/>
      <c r="CY244" s="78"/>
      <c r="CZ244" s="78"/>
      <c r="DA244" s="78"/>
      <c r="DB244" s="78"/>
      <c r="DC244" s="78"/>
      <c r="DD244" s="78"/>
      <c r="DE244" s="78"/>
      <c r="DF244" s="78"/>
      <c r="DG244" s="78"/>
      <c r="DH244" s="78"/>
      <c r="DI244" s="78"/>
      <c r="DJ244" s="78"/>
      <c r="DK244" s="78"/>
      <c r="DL244" s="78"/>
      <c r="DM244" s="78"/>
      <c r="DN244" s="78"/>
      <c r="DO244" s="78"/>
      <c r="DP244" s="78"/>
      <c r="DQ244" s="78"/>
      <c r="DR244" s="78"/>
      <c r="DS244" s="78"/>
      <c r="DT244" s="78"/>
      <c r="DU244" s="78"/>
      <c r="DV244" s="78"/>
      <c r="DW244" s="78"/>
      <c r="DX244" s="78"/>
      <c r="DY244" s="78"/>
      <c r="DZ244" s="78"/>
      <c r="EA244" s="78"/>
      <c r="EB244" s="78"/>
      <c r="EC244" s="78"/>
    </row>
    <row r="245" spans="1:133" s="9" customFormat="1" ht="31.2" x14ac:dyDescent="0.25">
      <c r="A245" s="73" t="s">
        <v>60</v>
      </c>
      <c r="B245" s="60" t="s">
        <v>203</v>
      </c>
      <c r="C245" s="53" t="s">
        <v>61</v>
      </c>
      <c r="D245" s="143" t="s">
        <v>363</v>
      </c>
      <c r="E245" s="98">
        <f>AVERAGE(F245:K245)</f>
        <v>293.65000000000003</v>
      </c>
      <c r="F245" s="60">
        <v>289.14999999999998</v>
      </c>
      <c r="G245" s="60">
        <v>287.14999999999998</v>
      </c>
      <c r="H245" s="60">
        <v>293.14999999999998</v>
      </c>
      <c r="I245" s="60">
        <v>295.14999999999998</v>
      </c>
      <c r="J245" s="60">
        <v>296.64999999999998</v>
      </c>
      <c r="K245" s="60">
        <v>300.64999999999998</v>
      </c>
      <c r="L245" s="60" t="s">
        <v>297</v>
      </c>
      <c r="M245" s="60" t="s">
        <v>297</v>
      </c>
      <c r="N245" s="60" t="s">
        <v>297</v>
      </c>
      <c r="O245" s="60" t="s">
        <v>297</v>
      </c>
      <c r="P245" s="60" t="s">
        <v>297</v>
      </c>
      <c r="Q245" s="60" t="s">
        <v>297</v>
      </c>
      <c r="R245" s="78"/>
      <c r="S245" s="78"/>
      <c r="T245" s="78"/>
      <c r="U245" s="78"/>
      <c r="V245" s="78"/>
      <c r="W245" s="78"/>
      <c r="X245" s="78"/>
      <c r="Y245" s="78"/>
      <c r="Z245" s="78"/>
      <c r="AA245" s="78"/>
      <c r="AB245" s="78"/>
      <c r="AC245" s="78"/>
      <c r="AD245" s="78"/>
      <c r="AE245" s="78"/>
      <c r="AF245" s="78"/>
      <c r="AG245" s="78"/>
      <c r="AH245" s="78"/>
      <c r="AI245" s="78"/>
      <c r="AJ245" s="78"/>
      <c r="AK245" s="78"/>
      <c r="AL245" s="78"/>
      <c r="AM245" s="78"/>
      <c r="AN245" s="78"/>
      <c r="AO245" s="78"/>
      <c r="AP245" s="78"/>
      <c r="AQ245" s="78"/>
      <c r="AR245" s="78"/>
      <c r="AS245" s="78"/>
      <c r="AT245" s="78"/>
      <c r="AU245" s="78"/>
      <c r="AV245" s="78"/>
      <c r="AW245" s="78"/>
      <c r="AX245" s="78"/>
      <c r="AY245" s="78"/>
      <c r="AZ245" s="78"/>
      <c r="BA245" s="78"/>
      <c r="BB245" s="78"/>
      <c r="BC245" s="78"/>
      <c r="BD245" s="78"/>
      <c r="BE245" s="78"/>
      <c r="BF245" s="78"/>
      <c r="BG245" s="78"/>
      <c r="BH245" s="78"/>
      <c r="BI245" s="78"/>
      <c r="BJ245" s="78"/>
      <c r="BK245" s="78"/>
      <c r="BL245" s="78"/>
      <c r="BM245" s="78"/>
      <c r="BN245" s="78"/>
      <c r="BO245" s="78"/>
      <c r="BP245" s="78"/>
      <c r="BQ245" s="78"/>
      <c r="BR245" s="78"/>
      <c r="BS245" s="78"/>
      <c r="BT245" s="78"/>
      <c r="BU245" s="78"/>
      <c r="BV245" s="78"/>
      <c r="BW245" s="78"/>
      <c r="BX245" s="78"/>
      <c r="BY245" s="78"/>
      <c r="BZ245" s="78"/>
      <c r="CA245" s="78"/>
      <c r="CB245" s="78"/>
      <c r="CC245" s="78"/>
      <c r="CD245" s="78"/>
      <c r="CE245" s="78"/>
      <c r="CF245" s="78"/>
      <c r="CG245" s="78"/>
      <c r="CH245" s="78"/>
      <c r="CI245" s="78"/>
      <c r="CJ245" s="78"/>
      <c r="CK245" s="78"/>
      <c r="CL245" s="78"/>
      <c r="CM245" s="78"/>
      <c r="CN245" s="78"/>
      <c r="CO245" s="78"/>
      <c r="CP245" s="78"/>
      <c r="CQ245" s="78"/>
      <c r="CR245" s="78"/>
      <c r="CS245" s="78"/>
      <c r="CT245" s="78"/>
      <c r="CU245" s="78"/>
      <c r="CV245" s="78"/>
      <c r="CW245" s="78"/>
      <c r="CX245" s="78"/>
      <c r="CY245" s="78"/>
      <c r="CZ245" s="78"/>
      <c r="DA245" s="78"/>
      <c r="DB245" s="78"/>
      <c r="DC245" s="78"/>
      <c r="DD245" s="78"/>
      <c r="DE245" s="78"/>
      <c r="DF245" s="78"/>
      <c r="DG245" s="78"/>
      <c r="DH245" s="78"/>
      <c r="DI245" s="78"/>
      <c r="DJ245" s="78"/>
      <c r="DK245" s="78"/>
      <c r="DL245" s="78"/>
      <c r="DM245" s="78"/>
      <c r="DN245" s="78"/>
      <c r="DO245" s="78"/>
      <c r="DP245" s="78"/>
      <c r="DQ245" s="78"/>
      <c r="DR245" s="78"/>
      <c r="DS245" s="78"/>
      <c r="DT245" s="78"/>
      <c r="DU245" s="78"/>
      <c r="DV245" s="78"/>
      <c r="DW245" s="78"/>
      <c r="DX245" s="78"/>
      <c r="DY245" s="78"/>
      <c r="DZ245" s="78"/>
      <c r="EA245" s="78"/>
      <c r="EB245" s="78"/>
      <c r="EC245" s="78"/>
    </row>
    <row r="246" spans="1:133" s="9" customFormat="1" ht="31.2" x14ac:dyDescent="0.4">
      <c r="A246" s="71" t="s">
        <v>62</v>
      </c>
      <c r="B246" s="60" t="s">
        <v>196</v>
      </c>
      <c r="C246" s="53" t="s">
        <v>63</v>
      </c>
      <c r="D246" s="53" t="s">
        <v>377</v>
      </c>
      <c r="E246" s="74">
        <f>SUM(F246:K246)</f>
        <v>1569.44693277291</v>
      </c>
      <c r="F246" s="74">
        <f>F235*F230*F233+(1-F241)*'Baseline Emissions 2021'!Q246</f>
        <v>294.60086885457457</v>
      </c>
      <c r="G246" s="74">
        <f t="shared" ref="G246:K246" si="34">G235*G230*G233+(1-G241)*F246</f>
        <v>326.40948015483696</v>
      </c>
      <c r="H246" s="74">
        <f t="shared" si="34"/>
        <v>303.64267115513366</v>
      </c>
      <c r="I246" s="74">
        <f t="shared" si="34"/>
        <v>262.00539611839076</v>
      </c>
      <c r="J246" s="74">
        <f t="shared" si="34"/>
        <v>233.14701851741415</v>
      </c>
      <c r="K246" s="74">
        <f t="shared" si="34"/>
        <v>149.64149797255988</v>
      </c>
      <c r="L246" s="74" t="s">
        <v>297</v>
      </c>
      <c r="M246" s="74" t="s">
        <v>297</v>
      </c>
      <c r="N246" s="74" t="s">
        <v>297</v>
      </c>
      <c r="O246" s="74" t="s">
        <v>297</v>
      </c>
      <c r="P246" s="74" t="s">
        <v>297</v>
      </c>
      <c r="Q246" s="74" t="s">
        <v>297</v>
      </c>
      <c r="R246" s="78"/>
      <c r="S246" s="78"/>
      <c r="T246" s="78"/>
      <c r="U246" s="78"/>
      <c r="V246" s="78"/>
      <c r="W246" s="78"/>
      <c r="X246" s="78"/>
      <c r="Y246" s="78"/>
      <c r="Z246" s="78"/>
      <c r="AA246" s="78"/>
      <c r="AB246" s="78"/>
      <c r="AC246" s="78"/>
      <c r="AD246" s="78"/>
      <c r="AE246" s="78"/>
      <c r="AF246" s="78"/>
      <c r="AG246" s="78"/>
      <c r="AH246" s="78"/>
      <c r="AI246" s="78"/>
      <c r="AJ246" s="78"/>
      <c r="AK246" s="78"/>
      <c r="AL246" s="78"/>
      <c r="AM246" s="78"/>
      <c r="AN246" s="78"/>
      <c r="AO246" s="78"/>
      <c r="AP246" s="78"/>
      <c r="AQ246" s="78"/>
      <c r="AR246" s="78"/>
      <c r="AS246" s="78"/>
      <c r="AT246" s="78"/>
      <c r="AU246" s="78"/>
      <c r="AV246" s="78"/>
      <c r="AW246" s="78"/>
      <c r="AX246" s="78"/>
      <c r="AY246" s="78"/>
      <c r="AZ246" s="78"/>
      <c r="BA246" s="78"/>
      <c r="BB246" s="78"/>
      <c r="BC246" s="78"/>
      <c r="BD246" s="78"/>
      <c r="BE246" s="78"/>
      <c r="BF246" s="78"/>
      <c r="BG246" s="78"/>
      <c r="BH246" s="78"/>
      <c r="BI246" s="78"/>
      <c r="BJ246" s="78"/>
      <c r="BK246" s="78"/>
      <c r="BL246" s="78"/>
      <c r="BM246" s="78"/>
      <c r="BN246" s="78"/>
      <c r="BO246" s="78"/>
      <c r="BP246" s="78"/>
      <c r="BQ246" s="78"/>
      <c r="BR246" s="78"/>
      <c r="BS246" s="78"/>
      <c r="BT246" s="78"/>
      <c r="BU246" s="78"/>
      <c r="BV246" s="78"/>
      <c r="BW246" s="78"/>
      <c r="BX246" s="78"/>
      <c r="BY246" s="78"/>
      <c r="BZ246" s="78"/>
      <c r="CA246" s="78"/>
      <c r="CB246" s="78"/>
      <c r="CC246" s="78"/>
      <c r="CD246" s="78"/>
      <c r="CE246" s="78"/>
      <c r="CF246" s="78"/>
      <c r="CG246" s="78"/>
      <c r="CH246" s="78"/>
      <c r="CI246" s="78"/>
      <c r="CJ246" s="78"/>
      <c r="CK246" s="78"/>
      <c r="CL246" s="78"/>
      <c r="CM246" s="78"/>
      <c r="CN246" s="78"/>
      <c r="CO246" s="78"/>
      <c r="CP246" s="78"/>
      <c r="CQ246" s="78"/>
      <c r="CR246" s="78"/>
      <c r="CS246" s="78"/>
      <c r="CT246" s="78"/>
      <c r="CU246" s="78"/>
      <c r="CV246" s="78"/>
      <c r="CW246" s="78"/>
      <c r="CX246" s="78"/>
      <c r="CY246" s="78"/>
      <c r="CZ246" s="78"/>
      <c r="DA246" s="78"/>
      <c r="DB246" s="78"/>
      <c r="DC246" s="78"/>
      <c r="DD246" s="78"/>
      <c r="DE246" s="78"/>
      <c r="DF246" s="78"/>
      <c r="DG246" s="78"/>
      <c r="DH246" s="78"/>
      <c r="DI246" s="78"/>
      <c r="DJ246" s="78"/>
      <c r="DK246" s="78"/>
      <c r="DL246" s="78"/>
      <c r="DM246" s="78"/>
      <c r="DN246" s="78"/>
      <c r="DO246" s="78"/>
      <c r="DP246" s="78"/>
      <c r="DQ246" s="78"/>
      <c r="DR246" s="78"/>
      <c r="DS246" s="78"/>
      <c r="DT246" s="78"/>
      <c r="DU246" s="78"/>
      <c r="DV246" s="78"/>
      <c r="DW246" s="78"/>
      <c r="DX246" s="78"/>
      <c r="DY246" s="78"/>
      <c r="DZ246" s="78"/>
      <c r="EA246" s="78"/>
      <c r="EB246" s="78"/>
      <c r="EC246" s="78"/>
    </row>
    <row r="248" spans="1:133" x14ac:dyDescent="0.25">
      <c r="A248" s="158" t="s">
        <v>64</v>
      </c>
      <c r="B248" s="158"/>
      <c r="C248" s="158"/>
      <c r="D248" s="158"/>
      <c r="E248" s="158"/>
    </row>
    <row r="249" spans="1:133" x14ac:dyDescent="0.25">
      <c r="A249" s="57" t="s">
        <v>8</v>
      </c>
      <c r="B249" s="58" t="s">
        <v>9</v>
      </c>
      <c r="C249" s="34" t="s">
        <v>10</v>
      </c>
      <c r="D249" s="34" t="s">
        <v>340</v>
      </c>
      <c r="E249" s="16" t="s">
        <v>65</v>
      </c>
    </row>
    <row r="250" spans="1:133" ht="62.4" x14ac:dyDescent="0.25">
      <c r="A250" s="59" t="s">
        <v>66</v>
      </c>
      <c r="B250" s="60" t="s">
        <v>14</v>
      </c>
      <c r="C250" s="53" t="s">
        <v>67</v>
      </c>
      <c r="D250" s="53" t="s">
        <v>68</v>
      </c>
      <c r="E250" s="75">
        <v>0</v>
      </c>
    </row>
    <row r="251" spans="1:133" ht="46.8" x14ac:dyDescent="0.25">
      <c r="A251" s="63" t="s">
        <v>69</v>
      </c>
      <c r="B251" s="25" t="s">
        <v>70</v>
      </c>
      <c r="C251" s="35" t="s">
        <v>71</v>
      </c>
      <c r="D251" s="53" t="str">
        <f>D257</f>
        <v>Historical data on site in the FSR (It was calculated with conservative value)</v>
      </c>
      <c r="E251" s="74">
        <f>E257</f>
        <v>286.85895240515754</v>
      </c>
    </row>
    <row r="253" spans="1:133" x14ac:dyDescent="0.25">
      <c r="A253" s="174" t="s">
        <v>72</v>
      </c>
      <c r="B253" s="174"/>
      <c r="C253" s="175"/>
      <c r="D253" s="175"/>
      <c r="E253" s="174"/>
    </row>
    <row r="254" spans="1:133" x14ac:dyDescent="0.25">
      <c r="A254" s="59" t="s">
        <v>8</v>
      </c>
      <c r="B254" s="16" t="s">
        <v>9</v>
      </c>
      <c r="C254" s="38" t="s">
        <v>10</v>
      </c>
      <c r="D254" s="38" t="s">
        <v>340</v>
      </c>
      <c r="E254" s="16" t="s">
        <v>65</v>
      </c>
    </row>
    <row r="255" spans="1:133" ht="33.6" x14ac:dyDescent="0.4">
      <c r="A255" s="76" t="s">
        <v>73</v>
      </c>
      <c r="B255" s="25" t="s">
        <v>74</v>
      </c>
      <c r="C255" s="35" t="s">
        <v>75</v>
      </c>
      <c r="D255" s="35" t="s">
        <v>378</v>
      </c>
      <c r="E255" s="50">
        <f>E256*E259*E260*E261*E262*E263</f>
        <v>1.1651438924745021</v>
      </c>
    </row>
    <row r="256" spans="1:133" s="13" customFormat="1" ht="46.8" x14ac:dyDescent="0.4">
      <c r="A256" s="77" t="s">
        <v>207</v>
      </c>
      <c r="B256" s="25" t="s">
        <v>76</v>
      </c>
      <c r="C256" s="35" t="s">
        <v>77</v>
      </c>
      <c r="D256" s="35" t="s">
        <v>379</v>
      </c>
      <c r="E256" s="52">
        <f>E257/E258</f>
        <v>57.37179048103151</v>
      </c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  <c r="AG256" s="14"/>
      <c r="AH256" s="14"/>
      <c r="AI256" s="14"/>
      <c r="AJ256" s="14"/>
      <c r="AK256" s="14"/>
      <c r="AL256" s="14"/>
      <c r="AM256" s="14"/>
      <c r="AN256" s="14"/>
      <c r="AO256" s="14"/>
      <c r="AP256" s="14"/>
      <c r="AQ256" s="14"/>
      <c r="AR256" s="14"/>
      <c r="AS256" s="14"/>
      <c r="AT256" s="14"/>
      <c r="AU256" s="14"/>
      <c r="AV256" s="14"/>
      <c r="AW256" s="14"/>
      <c r="AX256" s="14"/>
      <c r="AY256" s="14"/>
      <c r="AZ256" s="14"/>
      <c r="BA256" s="14"/>
      <c r="BB256" s="14"/>
      <c r="BC256" s="14"/>
      <c r="BD256" s="14"/>
      <c r="BE256" s="14"/>
      <c r="BF256" s="14"/>
      <c r="BG256" s="14"/>
      <c r="BH256" s="14"/>
      <c r="BI256" s="14"/>
      <c r="BJ256" s="14"/>
      <c r="BK256" s="14"/>
      <c r="BL256" s="14"/>
      <c r="BM256" s="14"/>
      <c r="BN256" s="14"/>
      <c r="BO256" s="14"/>
      <c r="BP256" s="14"/>
      <c r="BQ256" s="14"/>
      <c r="BR256" s="14"/>
      <c r="BS256" s="14"/>
      <c r="BT256" s="14"/>
      <c r="BU256" s="14"/>
      <c r="BV256" s="14"/>
      <c r="BW256" s="14"/>
      <c r="BX256" s="14"/>
      <c r="BY256" s="14"/>
      <c r="BZ256" s="14"/>
      <c r="CA256" s="14"/>
      <c r="CB256" s="14"/>
      <c r="CC256" s="14"/>
      <c r="CD256" s="14"/>
      <c r="CE256" s="14"/>
      <c r="CF256" s="14"/>
      <c r="CG256" s="14"/>
      <c r="CH256" s="14"/>
      <c r="CI256" s="14"/>
      <c r="CJ256" s="14"/>
      <c r="CK256" s="14"/>
      <c r="CL256" s="14"/>
      <c r="CM256" s="14"/>
      <c r="CN256" s="14"/>
      <c r="CO256" s="14"/>
      <c r="CP256" s="14"/>
      <c r="CQ256" s="14"/>
      <c r="CR256" s="14"/>
      <c r="CS256" s="14"/>
      <c r="CT256" s="14"/>
      <c r="CU256" s="14"/>
      <c r="CV256" s="14"/>
      <c r="CW256" s="14"/>
      <c r="CX256" s="14"/>
      <c r="CY256" s="14"/>
      <c r="CZ256" s="14"/>
      <c r="DA256" s="14"/>
      <c r="DB256" s="14"/>
      <c r="DC256" s="14"/>
      <c r="DD256" s="14"/>
      <c r="DE256" s="14"/>
      <c r="DF256" s="14"/>
      <c r="DG256" s="14"/>
      <c r="DH256" s="14"/>
      <c r="DI256" s="14"/>
      <c r="DJ256" s="14"/>
      <c r="DK256" s="14"/>
      <c r="DL256" s="14"/>
      <c r="DM256" s="14"/>
      <c r="DN256" s="14"/>
      <c r="DO256" s="14"/>
      <c r="DP256" s="14"/>
      <c r="DQ256" s="14"/>
      <c r="DR256" s="14"/>
      <c r="DS256" s="14"/>
      <c r="DT256" s="14"/>
      <c r="DU256" s="14"/>
      <c r="DV256" s="14"/>
      <c r="DW256" s="14"/>
      <c r="DX256" s="14"/>
      <c r="DY256" s="14"/>
      <c r="DZ256" s="14"/>
      <c r="EA256" s="14"/>
      <c r="EB256" s="14"/>
      <c r="EC256" s="14"/>
    </row>
    <row r="257" spans="1:133" s="13" customFormat="1" ht="46.8" x14ac:dyDescent="0.25">
      <c r="A257" s="63" t="s">
        <v>208</v>
      </c>
      <c r="B257" s="25" t="s">
        <v>78</v>
      </c>
      <c r="C257" s="35" t="s">
        <v>79</v>
      </c>
      <c r="D257" s="53" t="s">
        <v>352</v>
      </c>
      <c r="E257" s="52">
        <f>0.000185885937421166*E230</f>
        <v>286.85895240515754</v>
      </c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  <c r="AG257" s="14"/>
      <c r="AH257" s="14"/>
      <c r="AI257" s="14"/>
      <c r="AJ257" s="14"/>
      <c r="AK257" s="14"/>
      <c r="AL257" s="14"/>
      <c r="AM257" s="14"/>
      <c r="AN257" s="14"/>
      <c r="AO257" s="14"/>
      <c r="AP257" s="14"/>
      <c r="AQ257" s="14"/>
      <c r="AR257" s="14"/>
      <c r="AS257" s="14"/>
      <c r="AT257" s="14"/>
      <c r="AU257" s="14"/>
      <c r="AV257" s="14"/>
      <c r="AW257" s="14"/>
      <c r="AX257" s="14"/>
      <c r="AY257" s="14"/>
      <c r="AZ257" s="14"/>
      <c r="BA257" s="14"/>
      <c r="BB257" s="14"/>
      <c r="BC257" s="14"/>
      <c r="BD257" s="14"/>
      <c r="BE257" s="14"/>
      <c r="BF257" s="14"/>
      <c r="BG257" s="14"/>
      <c r="BH257" s="14"/>
      <c r="BI257" s="14"/>
      <c r="BJ257" s="14"/>
      <c r="BK257" s="14"/>
      <c r="BL257" s="14"/>
      <c r="BM257" s="14"/>
      <c r="BN257" s="14"/>
      <c r="BO257" s="14"/>
      <c r="BP257" s="14"/>
      <c r="BQ257" s="14"/>
      <c r="BR257" s="14"/>
      <c r="BS257" s="14"/>
      <c r="BT257" s="14"/>
      <c r="BU257" s="14"/>
      <c r="BV257" s="14"/>
      <c r="BW257" s="14"/>
      <c r="BX257" s="14"/>
      <c r="BY257" s="14"/>
      <c r="BZ257" s="14"/>
      <c r="CA257" s="14"/>
      <c r="CB257" s="14"/>
      <c r="CC257" s="14"/>
      <c r="CD257" s="14"/>
      <c r="CE257" s="14"/>
      <c r="CF257" s="14"/>
      <c r="CG257" s="14"/>
      <c r="CH257" s="14"/>
      <c r="CI257" s="14"/>
      <c r="CJ257" s="14"/>
      <c r="CK257" s="14"/>
      <c r="CL257" s="14"/>
      <c r="CM257" s="14"/>
      <c r="CN257" s="14"/>
      <c r="CO257" s="14"/>
      <c r="CP257" s="14"/>
      <c r="CQ257" s="14"/>
      <c r="CR257" s="14"/>
      <c r="CS257" s="14"/>
      <c r="CT257" s="14"/>
      <c r="CU257" s="14"/>
      <c r="CV257" s="14"/>
      <c r="CW257" s="14"/>
      <c r="CX257" s="14"/>
      <c r="CY257" s="14"/>
      <c r="CZ257" s="14"/>
      <c r="DA257" s="14"/>
      <c r="DB257" s="14"/>
      <c r="DC257" s="14"/>
      <c r="DD257" s="14"/>
      <c r="DE257" s="14"/>
      <c r="DF257" s="14"/>
      <c r="DG257" s="14"/>
      <c r="DH257" s="14"/>
      <c r="DI257" s="14"/>
      <c r="DJ257" s="14"/>
      <c r="DK257" s="14"/>
      <c r="DL257" s="14"/>
      <c r="DM257" s="14"/>
      <c r="DN257" s="14"/>
      <c r="DO257" s="14"/>
      <c r="DP257" s="14"/>
      <c r="DQ257" s="14"/>
      <c r="DR257" s="14"/>
      <c r="DS257" s="14"/>
      <c r="DT257" s="14"/>
      <c r="DU257" s="14"/>
      <c r="DV257" s="14"/>
      <c r="DW257" s="14"/>
      <c r="DX257" s="14"/>
      <c r="DY257" s="14"/>
      <c r="DZ257" s="14"/>
      <c r="EA257" s="14"/>
      <c r="EB257" s="14"/>
      <c r="EC257" s="14"/>
    </row>
    <row r="258" spans="1:133" s="13" customFormat="1" ht="31.2" x14ac:dyDescent="0.25">
      <c r="A258" s="63" t="s">
        <v>209</v>
      </c>
      <c r="B258" s="25" t="s">
        <v>80</v>
      </c>
      <c r="C258" s="35" t="s">
        <v>81</v>
      </c>
      <c r="D258" s="35" t="s">
        <v>353</v>
      </c>
      <c r="E258" s="25">
        <f>5</f>
        <v>5</v>
      </c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  <c r="AG258" s="14"/>
      <c r="AH258" s="14"/>
      <c r="AI258" s="14"/>
      <c r="AJ258" s="14"/>
      <c r="AK258" s="14"/>
      <c r="AL258" s="14"/>
      <c r="AM258" s="14"/>
      <c r="AN258" s="14"/>
      <c r="AO258" s="14"/>
      <c r="AP258" s="14"/>
      <c r="AQ258" s="14"/>
      <c r="AR258" s="14"/>
      <c r="AS258" s="14"/>
      <c r="AT258" s="14"/>
      <c r="AU258" s="14"/>
      <c r="AV258" s="14"/>
      <c r="AW258" s="14"/>
      <c r="AX258" s="14"/>
      <c r="AY258" s="14"/>
      <c r="AZ258" s="14"/>
      <c r="BA258" s="14"/>
      <c r="BB258" s="14"/>
      <c r="BC258" s="14"/>
      <c r="BD258" s="14"/>
      <c r="BE258" s="14"/>
      <c r="BF258" s="14"/>
      <c r="BG258" s="14"/>
      <c r="BH258" s="14"/>
      <c r="BI258" s="14"/>
      <c r="BJ258" s="14"/>
      <c r="BK258" s="14"/>
      <c r="BL258" s="14"/>
      <c r="BM258" s="14"/>
      <c r="BN258" s="14"/>
      <c r="BO258" s="14"/>
      <c r="BP258" s="14"/>
      <c r="BQ258" s="14"/>
      <c r="BR258" s="14"/>
      <c r="BS258" s="14"/>
      <c r="BT258" s="14"/>
      <c r="BU258" s="14"/>
      <c r="BV258" s="14"/>
      <c r="BW258" s="14"/>
      <c r="BX258" s="14"/>
      <c r="BY258" s="14"/>
      <c r="BZ258" s="14"/>
      <c r="CA258" s="14"/>
      <c r="CB258" s="14"/>
      <c r="CC258" s="14"/>
      <c r="CD258" s="14"/>
      <c r="CE258" s="14"/>
      <c r="CF258" s="14"/>
      <c r="CG258" s="14"/>
      <c r="CH258" s="14"/>
      <c r="CI258" s="14"/>
      <c r="CJ258" s="14"/>
      <c r="CK258" s="14"/>
      <c r="CL258" s="14"/>
      <c r="CM258" s="14"/>
      <c r="CN258" s="14"/>
      <c r="CO258" s="14"/>
      <c r="CP258" s="14"/>
      <c r="CQ258" s="14"/>
      <c r="CR258" s="14"/>
      <c r="CS258" s="14"/>
      <c r="CT258" s="14"/>
      <c r="CU258" s="14"/>
      <c r="CV258" s="14"/>
      <c r="CW258" s="14"/>
      <c r="CX258" s="14"/>
      <c r="CY258" s="14"/>
      <c r="CZ258" s="14"/>
      <c r="DA258" s="14"/>
      <c r="DB258" s="14"/>
      <c r="DC258" s="14"/>
      <c r="DD258" s="14"/>
      <c r="DE258" s="14"/>
      <c r="DF258" s="14"/>
      <c r="DG258" s="14"/>
      <c r="DH258" s="14"/>
      <c r="DI258" s="14"/>
      <c r="DJ258" s="14"/>
      <c r="DK258" s="14"/>
      <c r="DL258" s="14"/>
      <c r="DM258" s="14"/>
      <c r="DN258" s="14"/>
      <c r="DO258" s="14"/>
      <c r="DP258" s="14"/>
      <c r="DQ258" s="14"/>
      <c r="DR258" s="14"/>
      <c r="DS258" s="14"/>
      <c r="DT258" s="14"/>
      <c r="DU258" s="14"/>
      <c r="DV258" s="14"/>
      <c r="DW258" s="14"/>
      <c r="DX258" s="14"/>
      <c r="DY258" s="14"/>
      <c r="DZ258" s="14"/>
      <c r="EA258" s="14"/>
      <c r="EB258" s="14"/>
      <c r="EC258" s="14"/>
    </row>
    <row r="259" spans="1:133" s="13" customFormat="1" ht="62.4" x14ac:dyDescent="0.25">
      <c r="A259" s="63" t="s">
        <v>210</v>
      </c>
      <c r="B259" s="25" t="s">
        <v>82</v>
      </c>
      <c r="C259" s="35" t="s">
        <v>83</v>
      </c>
      <c r="D259" s="53" t="s">
        <v>354</v>
      </c>
      <c r="E259" s="25">
        <f>15*2</f>
        <v>30</v>
      </c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F259" s="14"/>
      <c r="AG259" s="14"/>
      <c r="AH259" s="14"/>
      <c r="AI259" s="14"/>
      <c r="AJ259" s="14"/>
      <c r="AK259" s="14"/>
      <c r="AL259" s="14"/>
      <c r="AM259" s="14"/>
      <c r="AN259" s="14"/>
      <c r="AO259" s="14"/>
      <c r="AP259" s="14"/>
      <c r="AQ259" s="14"/>
      <c r="AR259" s="14"/>
      <c r="AS259" s="14"/>
      <c r="AT259" s="14"/>
      <c r="AU259" s="14"/>
      <c r="AV259" s="14"/>
      <c r="AW259" s="14"/>
      <c r="AX259" s="14"/>
      <c r="AY259" s="14"/>
      <c r="AZ259" s="14"/>
      <c r="BA259" s="14"/>
      <c r="BB259" s="14"/>
      <c r="BC259" s="14"/>
      <c r="BD259" s="14"/>
      <c r="BE259" s="14"/>
      <c r="BF259" s="14"/>
      <c r="BG259" s="14"/>
      <c r="BH259" s="14"/>
      <c r="BI259" s="14"/>
      <c r="BJ259" s="14"/>
      <c r="BK259" s="14"/>
      <c r="BL259" s="14"/>
      <c r="BM259" s="14"/>
      <c r="BN259" s="14"/>
      <c r="BO259" s="14"/>
      <c r="BP259" s="14"/>
      <c r="BQ259" s="14"/>
      <c r="BR259" s="14"/>
      <c r="BS259" s="14"/>
      <c r="BT259" s="14"/>
      <c r="BU259" s="14"/>
      <c r="BV259" s="14"/>
      <c r="BW259" s="14"/>
      <c r="BX259" s="14"/>
      <c r="BY259" s="14"/>
      <c r="BZ259" s="14"/>
      <c r="CA259" s="14"/>
      <c r="CB259" s="14"/>
      <c r="CC259" s="14"/>
      <c r="CD259" s="14"/>
      <c r="CE259" s="14"/>
      <c r="CF259" s="14"/>
      <c r="CG259" s="14"/>
      <c r="CH259" s="14"/>
      <c r="CI259" s="14"/>
      <c r="CJ259" s="14"/>
      <c r="CK259" s="14"/>
      <c r="CL259" s="14"/>
      <c r="CM259" s="14"/>
      <c r="CN259" s="14"/>
      <c r="CO259" s="14"/>
      <c r="CP259" s="14"/>
      <c r="CQ259" s="14"/>
      <c r="CR259" s="14"/>
      <c r="CS259" s="14"/>
      <c r="CT259" s="14"/>
      <c r="CU259" s="14"/>
      <c r="CV259" s="14"/>
      <c r="CW259" s="14"/>
      <c r="CX259" s="14"/>
      <c r="CY259" s="14"/>
      <c r="CZ259" s="14"/>
      <c r="DA259" s="14"/>
      <c r="DB259" s="14"/>
      <c r="DC259" s="14"/>
      <c r="DD259" s="14"/>
      <c r="DE259" s="14"/>
      <c r="DF259" s="14"/>
      <c r="DG259" s="14"/>
      <c r="DH259" s="14"/>
      <c r="DI259" s="14"/>
      <c r="DJ259" s="14"/>
      <c r="DK259" s="14"/>
      <c r="DL259" s="14"/>
      <c r="DM259" s="14"/>
      <c r="DN259" s="14"/>
      <c r="DO259" s="14"/>
      <c r="DP259" s="14"/>
      <c r="DQ259" s="14"/>
      <c r="DR259" s="14"/>
      <c r="DS259" s="14"/>
      <c r="DT259" s="14"/>
      <c r="DU259" s="14"/>
      <c r="DV259" s="14"/>
      <c r="DW259" s="14"/>
      <c r="DX259" s="14"/>
      <c r="DY259" s="14"/>
      <c r="DZ259" s="14"/>
      <c r="EA259" s="14"/>
      <c r="EB259" s="14"/>
      <c r="EC259" s="14"/>
    </row>
    <row r="260" spans="1:133" s="13" customFormat="1" ht="172.2" x14ac:dyDescent="0.25">
      <c r="A260" s="63" t="s">
        <v>211</v>
      </c>
      <c r="B260" s="25" t="s">
        <v>84</v>
      </c>
      <c r="C260" s="35" t="s">
        <v>85</v>
      </c>
      <c r="D260" s="35" t="s">
        <v>355</v>
      </c>
      <c r="E260" s="25">
        <f>25.1/100</f>
        <v>0.251</v>
      </c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  <c r="AG260" s="14"/>
      <c r="AH260" s="14"/>
      <c r="AI260" s="14"/>
      <c r="AJ260" s="14"/>
      <c r="AK260" s="14"/>
      <c r="AL260" s="14"/>
      <c r="AM260" s="14"/>
      <c r="AN260" s="14"/>
      <c r="AO260" s="14"/>
      <c r="AP260" s="14"/>
      <c r="AQ260" s="14"/>
      <c r="AR260" s="14"/>
      <c r="AS260" s="14"/>
      <c r="AT260" s="14"/>
      <c r="AU260" s="14"/>
      <c r="AV260" s="14"/>
      <c r="AW260" s="14"/>
      <c r="AX260" s="14"/>
      <c r="AY260" s="14"/>
      <c r="AZ260" s="14"/>
      <c r="BA260" s="14"/>
      <c r="BB260" s="14"/>
      <c r="BC260" s="14"/>
      <c r="BD260" s="14"/>
      <c r="BE260" s="14"/>
      <c r="BF260" s="14"/>
      <c r="BG260" s="14"/>
      <c r="BH260" s="14"/>
      <c r="BI260" s="14"/>
      <c r="BJ260" s="14"/>
      <c r="BK260" s="14"/>
      <c r="BL260" s="14"/>
      <c r="BM260" s="14"/>
      <c r="BN260" s="14"/>
      <c r="BO260" s="14"/>
      <c r="BP260" s="14"/>
      <c r="BQ260" s="14"/>
      <c r="BR260" s="14"/>
      <c r="BS260" s="14"/>
      <c r="BT260" s="14"/>
      <c r="BU260" s="14"/>
      <c r="BV260" s="14"/>
      <c r="BW260" s="14"/>
      <c r="BX260" s="14"/>
      <c r="BY260" s="14"/>
      <c r="BZ260" s="14"/>
      <c r="CA260" s="14"/>
      <c r="CB260" s="14"/>
      <c r="CC260" s="14"/>
      <c r="CD260" s="14"/>
      <c r="CE260" s="14"/>
      <c r="CF260" s="14"/>
      <c r="CG260" s="14"/>
      <c r="CH260" s="14"/>
      <c r="CI260" s="14"/>
      <c r="CJ260" s="14"/>
      <c r="CK260" s="14"/>
      <c r="CL260" s="14"/>
      <c r="CM260" s="14"/>
      <c r="CN260" s="14"/>
      <c r="CO260" s="14"/>
      <c r="CP260" s="14"/>
      <c r="CQ260" s="14"/>
      <c r="CR260" s="14"/>
      <c r="CS260" s="14"/>
      <c r="CT260" s="14"/>
      <c r="CU260" s="14"/>
      <c r="CV260" s="14"/>
      <c r="CW260" s="14"/>
      <c r="CX260" s="14"/>
      <c r="CY260" s="14"/>
      <c r="CZ260" s="14"/>
      <c r="DA260" s="14"/>
      <c r="DB260" s="14"/>
      <c r="DC260" s="14"/>
      <c r="DD260" s="14"/>
      <c r="DE260" s="14"/>
      <c r="DF260" s="14"/>
      <c r="DG260" s="14"/>
      <c r="DH260" s="14"/>
      <c r="DI260" s="14"/>
      <c r="DJ260" s="14"/>
      <c r="DK260" s="14"/>
      <c r="DL260" s="14"/>
      <c r="DM260" s="14"/>
      <c r="DN260" s="14"/>
      <c r="DO260" s="14"/>
      <c r="DP260" s="14"/>
      <c r="DQ260" s="14"/>
      <c r="DR260" s="14"/>
      <c r="DS260" s="14"/>
      <c r="DT260" s="14"/>
      <c r="DU260" s="14"/>
      <c r="DV260" s="14"/>
      <c r="DW260" s="14"/>
      <c r="DX260" s="14"/>
      <c r="DY260" s="14"/>
      <c r="DZ260" s="14"/>
      <c r="EA260" s="14"/>
      <c r="EB260" s="14"/>
      <c r="EC260" s="14"/>
    </row>
    <row r="261" spans="1:133" s="13" customFormat="1" ht="156" x14ac:dyDescent="0.25">
      <c r="A261" s="63" t="s">
        <v>212</v>
      </c>
      <c r="B261" s="25" t="s">
        <v>87</v>
      </c>
      <c r="C261" s="35" t="s">
        <v>86</v>
      </c>
      <c r="D261" s="35" t="s">
        <v>356</v>
      </c>
      <c r="E261" s="25">
        <f>0.84/1000</f>
        <v>8.3999999999999993E-4</v>
      </c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  <c r="AG261" s="14"/>
      <c r="AH261" s="14"/>
      <c r="AI261" s="14"/>
      <c r="AJ261" s="14"/>
      <c r="AK261" s="14"/>
      <c r="AL261" s="14"/>
      <c r="AM261" s="14"/>
      <c r="AN261" s="14"/>
      <c r="AO261" s="14"/>
      <c r="AP261" s="14"/>
      <c r="AQ261" s="14"/>
      <c r="AR261" s="14"/>
      <c r="AS261" s="14"/>
      <c r="AT261" s="14"/>
      <c r="AU261" s="14"/>
      <c r="AV261" s="14"/>
      <c r="AW261" s="14"/>
      <c r="AX261" s="14"/>
      <c r="AY261" s="14"/>
      <c r="AZ261" s="14"/>
      <c r="BA261" s="14"/>
      <c r="BB261" s="14"/>
      <c r="BC261" s="14"/>
      <c r="BD261" s="14"/>
      <c r="BE261" s="14"/>
      <c r="BF261" s="14"/>
      <c r="BG261" s="14"/>
      <c r="BH261" s="14"/>
      <c r="BI261" s="14"/>
      <c r="BJ261" s="14"/>
      <c r="BK261" s="14"/>
      <c r="BL261" s="14"/>
      <c r="BM261" s="14"/>
      <c r="BN261" s="14"/>
      <c r="BO261" s="14"/>
      <c r="BP261" s="14"/>
      <c r="BQ261" s="14"/>
      <c r="BR261" s="14"/>
      <c r="BS261" s="14"/>
      <c r="BT261" s="14"/>
      <c r="BU261" s="14"/>
      <c r="BV261" s="14"/>
      <c r="BW261" s="14"/>
      <c r="BX261" s="14"/>
      <c r="BY261" s="14"/>
      <c r="BZ261" s="14"/>
      <c r="CA261" s="14"/>
      <c r="CB261" s="14"/>
      <c r="CC261" s="14"/>
      <c r="CD261" s="14"/>
      <c r="CE261" s="14"/>
      <c r="CF261" s="14"/>
      <c r="CG261" s="14"/>
      <c r="CH261" s="14"/>
      <c r="CI261" s="14"/>
      <c r="CJ261" s="14"/>
      <c r="CK261" s="14"/>
      <c r="CL261" s="14"/>
      <c r="CM261" s="14"/>
      <c r="CN261" s="14"/>
      <c r="CO261" s="14"/>
      <c r="CP261" s="14"/>
      <c r="CQ261" s="14"/>
      <c r="CR261" s="14"/>
      <c r="CS261" s="14"/>
      <c r="CT261" s="14"/>
      <c r="CU261" s="14"/>
      <c r="CV261" s="14"/>
      <c r="CW261" s="14"/>
      <c r="CX261" s="14"/>
      <c r="CY261" s="14"/>
      <c r="CZ261" s="14"/>
      <c r="DA261" s="14"/>
      <c r="DB261" s="14"/>
      <c r="DC261" s="14"/>
      <c r="DD261" s="14"/>
      <c r="DE261" s="14"/>
      <c r="DF261" s="14"/>
      <c r="DG261" s="14"/>
      <c r="DH261" s="14"/>
      <c r="DI261" s="14"/>
      <c r="DJ261" s="14"/>
      <c r="DK261" s="14"/>
      <c r="DL261" s="14"/>
      <c r="DM261" s="14"/>
      <c r="DN261" s="14"/>
      <c r="DO261" s="14"/>
      <c r="DP261" s="14"/>
      <c r="DQ261" s="14"/>
      <c r="DR261" s="14"/>
      <c r="DS261" s="14"/>
      <c r="DT261" s="14"/>
      <c r="DU261" s="14"/>
      <c r="DV261" s="14"/>
      <c r="DW261" s="14"/>
      <c r="DX261" s="14"/>
      <c r="DY261" s="14"/>
      <c r="DZ261" s="14"/>
      <c r="EA261" s="14"/>
      <c r="EB261" s="14"/>
      <c r="EC261" s="14"/>
    </row>
    <row r="262" spans="1:133" s="13" customFormat="1" ht="171.6" x14ac:dyDescent="0.25">
      <c r="A262" s="63" t="s">
        <v>213</v>
      </c>
      <c r="B262" s="25" t="s">
        <v>88</v>
      </c>
      <c r="C262" s="35" t="s">
        <v>89</v>
      </c>
      <c r="D262" s="35" t="s">
        <v>357</v>
      </c>
      <c r="E262" s="25">
        <f>43.33/1000</f>
        <v>4.333E-2</v>
      </c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F262" s="14"/>
      <c r="AG262" s="14"/>
      <c r="AH262" s="14"/>
      <c r="AI262" s="14"/>
      <c r="AJ262" s="14"/>
      <c r="AK262" s="14"/>
      <c r="AL262" s="14"/>
      <c r="AM262" s="14"/>
      <c r="AN262" s="14"/>
      <c r="AO262" s="14"/>
      <c r="AP262" s="14"/>
      <c r="AQ262" s="14"/>
      <c r="AR262" s="14"/>
      <c r="AS262" s="14"/>
      <c r="AT262" s="14"/>
      <c r="AU262" s="14"/>
      <c r="AV262" s="14"/>
      <c r="AW262" s="14"/>
      <c r="AX262" s="14"/>
      <c r="AY262" s="14"/>
      <c r="AZ262" s="14"/>
      <c r="BA262" s="14"/>
      <c r="BB262" s="14"/>
      <c r="BC262" s="14"/>
      <c r="BD262" s="14"/>
      <c r="BE262" s="14"/>
      <c r="BF262" s="14"/>
      <c r="BG262" s="14"/>
      <c r="BH262" s="14"/>
      <c r="BI262" s="14"/>
      <c r="BJ262" s="14"/>
      <c r="BK262" s="14"/>
      <c r="BL262" s="14"/>
      <c r="BM262" s="14"/>
      <c r="BN262" s="14"/>
      <c r="BO262" s="14"/>
      <c r="BP262" s="14"/>
      <c r="BQ262" s="14"/>
      <c r="BR262" s="14"/>
      <c r="BS262" s="14"/>
      <c r="BT262" s="14"/>
      <c r="BU262" s="14"/>
      <c r="BV262" s="14"/>
      <c r="BW262" s="14"/>
      <c r="BX262" s="14"/>
      <c r="BY262" s="14"/>
      <c r="BZ262" s="14"/>
      <c r="CA262" s="14"/>
      <c r="CB262" s="14"/>
      <c r="CC262" s="14"/>
      <c r="CD262" s="14"/>
      <c r="CE262" s="14"/>
      <c r="CF262" s="14"/>
      <c r="CG262" s="14"/>
      <c r="CH262" s="14"/>
      <c r="CI262" s="14"/>
      <c r="CJ262" s="14"/>
      <c r="CK262" s="14"/>
      <c r="CL262" s="14"/>
      <c r="CM262" s="14"/>
      <c r="CN262" s="14"/>
      <c r="CO262" s="14"/>
      <c r="CP262" s="14"/>
      <c r="CQ262" s="14"/>
      <c r="CR262" s="14"/>
      <c r="CS262" s="14"/>
      <c r="CT262" s="14"/>
      <c r="CU262" s="14"/>
      <c r="CV262" s="14"/>
      <c r="CW262" s="14"/>
      <c r="CX262" s="14"/>
      <c r="CY262" s="14"/>
      <c r="CZ262" s="14"/>
      <c r="DA262" s="14"/>
      <c r="DB262" s="14"/>
      <c r="DC262" s="14"/>
      <c r="DD262" s="14"/>
      <c r="DE262" s="14"/>
      <c r="DF262" s="14"/>
      <c r="DG262" s="14"/>
      <c r="DH262" s="14"/>
      <c r="DI262" s="14"/>
      <c r="DJ262" s="14"/>
      <c r="DK262" s="14"/>
      <c r="DL262" s="14"/>
      <c r="DM262" s="14"/>
      <c r="DN262" s="14"/>
      <c r="DO262" s="14"/>
      <c r="DP262" s="14"/>
      <c r="DQ262" s="14"/>
      <c r="DR262" s="14"/>
      <c r="DS262" s="14"/>
      <c r="DT262" s="14"/>
      <c r="DU262" s="14"/>
      <c r="DV262" s="14"/>
      <c r="DW262" s="14"/>
      <c r="DX262" s="14"/>
      <c r="DY262" s="14"/>
      <c r="DZ262" s="14"/>
      <c r="EA262" s="14"/>
      <c r="EB262" s="14"/>
      <c r="EC262" s="14"/>
    </row>
    <row r="263" spans="1:133" s="13" customFormat="1" ht="62.4" x14ac:dyDescent="0.25">
      <c r="A263" s="63" t="s">
        <v>214</v>
      </c>
      <c r="B263" s="25" t="s">
        <v>90</v>
      </c>
      <c r="C263" s="35" t="s">
        <v>91</v>
      </c>
      <c r="D263" s="35" t="s">
        <v>358</v>
      </c>
      <c r="E263" s="25">
        <v>74.099999999999994</v>
      </c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F263" s="14"/>
      <c r="AG263" s="14"/>
      <c r="AH263" s="14"/>
      <c r="AI263" s="14"/>
      <c r="AJ263" s="14"/>
      <c r="AK263" s="14"/>
      <c r="AL263" s="14"/>
      <c r="AM263" s="14"/>
      <c r="AN263" s="14"/>
      <c r="AO263" s="14"/>
      <c r="AP263" s="14"/>
      <c r="AQ263" s="14"/>
      <c r="AR263" s="14"/>
      <c r="AS263" s="14"/>
      <c r="AT263" s="14"/>
      <c r="AU263" s="14"/>
      <c r="AV263" s="14"/>
      <c r="AW263" s="14"/>
      <c r="AX263" s="14"/>
      <c r="AY263" s="14"/>
      <c r="AZ263" s="14"/>
      <c r="BA263" s="14"/>
      <c r="BB263" s="14"/>
      <c r="BC263" s="14"/>
      <c r="BD263" s="14"/>
      <c r="BE263" s="14"/>
      <c r="BF263" s="14"/>
      <c r="BG263" s="14"/>
      <c r="BH263" s="14"/>
      <c r="BI263" s="14"/>
      <c r="BJ263" s="14"/>
      <c r="BK263" s="14"/>
      <c r="BL263" s="14"/>
      <c r="BM263" s="14"/>
      <c r="BN263" s="14"/>
      <c r="BO263" s="14"/>
      <c r="BP263" s="14"/>
      <c r="BQ263" s="14"/>
      <c r="BR263" s="14"/>
      <c r="BS263" s="14"/>
      <c r="BT263" s="14"/>
      <c r="BU263" s="14"/>
      <c r="BV263" s="14"/>
      <c r="BW263" s="14"/>
      <c r="BX263" s="14"/>
      <c r="BY263" s="14"/>
      <c r="BZ263" s="14"/>
      <c r="CA263" s="14"/>
      <c r="CB263" s="14"/>
      <c r="CC263" s="14"/>
      <c r="CD263" s="14"/>
      <c r="CE263" s="14"/>
      <c r="CF263" s="14"/>
      <c r="CG263" s="14"/>
      <c r="CH263" s="14"/>
      <c r="CI263" s="14"/>
      <c r="CJ263" s="14"/>
      <c r="CK263" s="14"/>
      <c r="CL263" s="14"/>
      <c r="CM263" s="14"/>
      <c r="CN263" s="14"/>
      <c r="CO263" s="14"/>
      <c r="CP263" s="14"/>
      <c r="CQ263" s="14"/>
      <c r="CR263" s="14"/>
      <c r="CS263" s="14"/>
      <c r="CT263" s="14"/>
      <c r="CU263" s="14"/>
      <c r="CV263" s="14"/>
      <c r="CW263" s="14"/>
      <c r="CX263" s="14"/>
      <c r="CY263" s="14"/>
      <c r="CZ263" s="14"/>
      <c r="DA263" s="14"/>
      <c r="DB263" s="14"/>
      <c r="DC263" s="14"/>
      <c r="DD263" s="14"/>
      <c r="DE263" s="14"/>
      <c r="DF263" s="14"/>
      <c r="DG263" s="14"/>
      <c r="DH263" s="14"/>
      <c r="DI263" s="14"/>
      <c r="DJ263" s="14"/>
      <c r="DK263" s="14"/>
      <c r="DL263" s="14"/>
      <c r="DM263" s="14"/>
      <c r="DN263" s="14"/>
      <c r="DO263" s="14"/>
      <c r="DP263" s="14"/>
      <c r="DQ263" s="14"/>
      <c r="DR263" s="14"/>
      <c r="DS263" s="14"/>
      <c r="DT263" s="14"/>
      <c r="DU263" s="14"/>
      <c r="DV263" s="14"/>
      <c r="DW263" s="14"/>
      <c r="DX263" s="14"/>
      <c r="DY263" s="14"/>
      <c r="DZ263" s="14"/>
      <c r="EA263" s="14"/>
      <c r="EB263" s="14"/>
      <c r="EC263" s="14"/>
    </row>
    <row r="265" spans="1:133" s="13" customFormat="1" x14ac:dyDescent="0.25">
      <c r="A265" s="158" t="s">
        <v>93</v>
      </c>
      <c r="B265" s="158"/>
      <c r="C265" s="158"/>
      <c r="D265" s="158"/>
      <c r="E265" s="158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  <c r="AH265" s="14"/>
      <c r="AI265" s="14"/>
      <c r="AJ265" s="14"/>
      <c r="AK265" s="14"/>
      <c r="AL265" s="14"/>
      <c r="AM265" s="14"/>
      <c r="AN265" s="14"/>
      <c r="AO265" s="14"/>
      <c r="AP265" s="14"/>
      <c r="AQ265" s="14"/>
      <c r="AR265" s="14"/>
      <c r="AS265" s="14"/>
      <c r="AT265" s="14"/>
      <c r="AU265" s="14"/>
      <c r="AV265" s="14"/>
      <c r="AW265" s="14"/>
      <c r="AX265" s="14"/>
      <c r="AY265" s="14"/>
      <c r="AZ265" s="14"/>
      <c r="BA265" s="14"/>
      <c r="BB265" s="14"/>
      <c r="BC265" s="14"/>
      <c r="BD265" s="14"/>
      <c r="BE265" s="14"/>
      <c r="BF265" s="14"/>
      <c r="BG265" s="14"/>
      <c r="BH265" s="14"/>
      <c r="BI265" s="14"/>
      <c r="BJ265" s="14"/>
      <c r="BK265" s="14"/>
      <c r="BL265" s="14"/>
      <c r="BM265" s="14"/>
      <c r="BN265" s="14"/>
      <c r="BO265" s="14"/>
      <c r="BP265" s="14"/>
      <c r="BQ265" s="14"/>
      <c r="BR265" s="14"/>
      <c r="BS265" s="14"/>
      <c r="BT265" s="14"/>
      <c r="BU265" s="14"/>
      <c r="BV265" s="14"/>
      <c r="BW265" s="14"/>
      <c r="BX265" s="14"/>
      <c r="BY265" s="14"/>
      <c r="BZ265" s="14"/>
      <c r="CA265" s="14"/>
      <c r="CB265" s="14"/>
      <c r="CC265" s="14"/>
      <c r="CD265" s="14"/>
      <c r="CE265" s="14"/>
      <c r="CF265" s="14"/>
      <c r="CG265" s="14"/>
      <c r="CH265" s="14"/>
      <c r="CI265" s="14"/>
      <c r="CJ265" s="14"/>
      <c r="CK265" s="14"/>
      <c r="CL265" s="14"/>
      <c r="CM265" s="14"/>
      <c r="CN265" s="14"/>
      <c r="CO265" s="14"/>
      <c r="CP265" s="14"/>
      <c r="CQ265" s="14"/>
      <c r="CR265" s="14"/>
      <c r="CS265" s="14"/>
      <c r="CT265" s="14"/>
      <c r="CU265" s="14"/>
      <c r="CV265" s="14"/>
      <c r="CW265" s="14"/>
      <c r="CX265" s="14"/>
      <c r="CY265" s="14"/>
      <c r="CZ265" s="14"/>
      <c r="DA265" s="14"/>
      <c r="DB265" s="14"/>
      <c r="DC265" s="14"/>
      <c r="DD265" s="14"/>
      <c r="DE265" s="14"/>
      <c r="DF265" s="14"/>
      <c r="DG265" s="14"/>
      <c r="DH265" s="14"/>
      <c r="DI265" s="14"/>
      <c r="DJ265" s="14"/>
      <c r="DK265" s="14"/>
      <c r="DL265" s="14"/>
      <c r="DM265" s="14"/>
      <c r="DN265" s="14"/>
      <c r="DO265" s="14"/>
      <c r="DP265" s="14"/>
      <c r="DQ265" s="14"/>
      <c r="DR265" s="14"/>
      <c r="DS265" s="14"/>
      <c r="DT265" s="14"/>
      <c r="DU265" s="14"/>
      <c r="DV265" s="14"/>
      <c r="DW265" s="14"/>
      <c r="DX265" s="14"/>
      <c r="DY265" s="14"/>
      <c r="DZ265" s="14"/>
      <c r="EA265" s="14"/>
      <c r="EB265" s="14"/>
      <c r="EC265" s="14"/>
    </row>
    <row r="266" spans="1:133" s="13" customFormat="1" x14ac:dyDescent="0.25">
      <c r="A266" s="57" t="s">
        <v>8</v>
      </c>
      <c r="B266" s="58" t="s">
        <v>9</v>
      </c>
      <c r="C266" s="34" t="s">
        <v>10</v>
      </c>
      <c r="D266" s="34" t="s">
        <v>340</v>
      </c>
      <c r="E266" s="16" t="s">
        <v>65</v>
      </c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  <c r="AH266" s="14"/>
      <c r="AI266" s="14"/>
      <c r="AJ266" s="14"/>
      <c r="AK266" s="14"/>
      <c r="AL266" s="14"/>
      <c r="AM266" s="14"/>
      <c r="AN266" s="14"/>
      <c r="AO266" s="14"/>
      <c r="AP266" s="14"/>
      <c r="AQ266" s="14"/>
      <c r="AR266" s="14"/>
      <c r="AS266" s="14"/>
      <c r="AT266" s="14"/>
      <c r="AU266" s="14"/>
      <c r="AV266" s="14"/>
      <c r="AW266" s="14"/>
      <c r="AX266" s="14"/>
      <c r="AY266" s="14"/>
      <c r="AZ266" s="14"/>
      <c r="BA266" s="14"/>
      <c r="BB266" s="14"/>
      <c r="BC266" s="14"/>
      <c r="BD266" s="14"/>
      <c r="BE266" s="14"/>
      <c r="BF266" s="14"/>
      <c r="BG266" s="14"/>
      <c r="BH266" s="14"/>
      <c r="BI266" s="14"/>
      <c r="BJ266" s="14"/>
      <c r="BK266" s="14"/>
      <c r="BL266" s="14"/>
      <c r="BM266" s="14"/>
      <c r="BN266" s="14"/>
      <c r="BO266" s="14"/>
      <c r="BP266" s="14"/>
      <c r="BQ266" s="14"/>
      <c r="BR266" s="14"/>
      <c r="BS266" s="14"/>
      <c r="BT266" s="14"/>
      <c r="BU266" s="14"/>
      <c r="BV266" s="14"/>
      <c r="BW266" s="14"/>
      <c r="BX266" s="14"/>
      <c r="BY266" s="14"/>
      <c r="BZ266" s="14"/>
      <c r="CA266" s="14"/>
      <c r="CB266" s="14"/>
      <c r="CC266" s="14"/>
      <c r="CD266" s="14"/>
      <c r="CE266" s="14"/>
      <c r="CF266" s="14"/>
      <c r="CG266" s="14"/>
      <c r="CH266" s="14"/>
      <c r="CI266" s="14"/>
      <c r="CJ266" s="14"/>
      <c r="CK266" s="14"/>
      <c r="CL266" s="14"/>
      <c r="CM266" s="14"/>
      <c r="CN266" s="14"/>
      <c r="CO266" s="14"/>
      <c r="CP266" s="14"/>
      <c r="CQ266" s="14"/>
      <c r="CR266" s="14"/>
      <c r="CS266" s="14"/>
      <c r="CT266" s="14"/>
      <c r="CU266" s="14"/>
      <c r="CV266" s="14"/>
      <c r="CW266" s="14"/>
      <c r="CX266" s="14"/>
      <c r="CY266" s="14"/>
      <c r="CZ266" s="14"/>
      <c r="DA266" s="14"/>
      <c r="DB266" s="14"/>
      <c r="DC266" s="14"/>
      <c r="DD266" s="14"/>
      <c r="DE266" s="14"/>
      <c r="DF266" s="14"/>
      <c r="DG266" s="14"/>
      <c r="DH266" s="14"/>
      <c r="DI266" s="14"/>
      <c r="DJ266" s="14"/>
      <c r="DK266" s="14"/>
      <c r="DL266" s="14"/>
      <c r="DM266" s="14"/>
      <c r="DN266" s="14"/>
      <c r="DO266" s="14"/>
      <c r="DP266" s="14"/>
      <c r="DQ266" s="14"/>
      <c r="DR266" s="14"/>
      <c r="DS266" s="14"/>
      <c r="DT266" s="14"/>
      <c r="DU266" s="14"/>
      <c r="DV266" s="14"/>
      <c r="DW266" s="14"/>
      <c r="DX266" s="14"/>
      <c r="DY266" s="14"/>
      <c r="DZ266" s="14"/>
      <c r="EA266" s="14"/>
      <c r="EB266" s="14"/>
      <c r="EC266" s="14"/>
    </row>
    <row r="267" spans="1:133" s="13" customFormat="1" ht="64.8" x14ac:dyDescent="0.25">
      <c r="A267" s="15" t="s">
        <v>94</v>
      </c>
      <c r="B267" s="25" t="s">
        <v>95</v>
      </c>
      <c r="C267" s="35" t="s">
        <v>96</v>
      </c>
      <c r="D267" s="35" t="s">
        <v>97</v>
      </c>
      <c r="E267" s="16">
        <v>0</v>
      </c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  <c r="AH267" s="14"/>
      <c r="AI267" s="14"/>
      <c r="AJ267" s="14"/>
      <c r="AK267" s="14"/>
      <c r="AL267" s="14"/>
      <c r="AM267" s="14"/>
      <c r="AN267" s="14"/>
      <c r="AO267" s="14"/>
      <c r="AP267" s="14"/>
      <c r="AQ267" s="14"/>
      <c r="AR267" s="14"/>
      <c r="AS267" s="14"/>
      <c r="AT267" s="14"/>
      <c r="AU267" s="14"/>
      <c r="AV267" s="14"/>
      <c r="AW267" s="14"/>
      <c r="AX267" s="14"/>
      <c r="AY267" s="14"/>
      <c r="AZ267" s="14"/>
      <c r="BA267" s="14"/>
      <c r="BB267" s="14"/>
      <c r="BC267" s="14"/>
      <c r="BD267" s="14"/>
      <c r="BE267" s="14"/>
      <c r="BF267" s="14"/>
      <c r="BG267" s="14"/>
      <c r="BH267" s="14"/>
      <c r="BI267" s="14"/>
      <c r="BJ267" s="14"/>
      <c r="BK267" s="14"/>
      <c r="BL267" s="14"/>
      <c r="BM267" s="14"/>
      <c r="BN267" s="14"/>
      <c r="BO267" s="14"/>
      <c r="BP267" s="14"/>
      <c r="BQ267" s="14"/>
      <c r="BR267" s="14"/>
      <c r="BS267" s="14"/>
      <c r="BT267" s="14"/>
      <c r="BU267" s="14"/>
      <c r="BV267" s="14"/>
      <c r="BW267" s="14"/>
      <c r="BX267" s="14"/>
      <c r="BY267" s="14"/>
      <c r="BZ267" s="14"/>
      <c r="CA267" s="14"/>
      <c r="CB267" s="14"/>
      <c r="CC267" s="14"/>
      <c r="CD267" s="14"/>
      <c r="CE267" s="14"/>
      <c r="CF267" s="14"/>
      <c r="CG267" s="14"/>
      <c r="CH267" s="14"/>
      <c r="CI267" s="14"/>
      <c r="CJ267" s="14"/>
      <c r="CK267" s="14"/>
      <c r="CL267" s="14"/>
      <c r="CM267" s="14"/>
      <c r="CN267" s="14"/>
      <c r="CO267" s="14"/>
      <c r="CP267" s="14"/>
      <c r="CQ267" s="14"/>
      <c r="CR267" s="14"/>
      <c r="CS267" s="14"/>
      <c r="CT267" s="14"/>
      <c r="CU267" s="14"/>
      <c r="CV267" s="14"/>
      <c r="CW267" s="14"/>
      <c r="CX267" s="14"/>
      <c r="CY267" s="14"/>
      <c r="CZ267" s="14"/>
      <c r="DA267" s="14"/>
      <c r="DB267" s="14"/>
      <c r="DC267" s="14"/>
      <c r="DD267" s="14"/>
      <c r="DE267" s="14"/>
      <c r="DF267" s="14"/>
      <c r="DG267" s="14"/>
      <c r="DH267" s="14"/>
      <c r="DI267" s="14"/>
      <c r="DJ267" s="14"/>
      <c r="DK267" s="14"/>
      <c r="DL267" s="14"/>
      <c r="DM267" s="14"/>
      <c r="DN267" s="14"/>
      <c r="DO267" s="14"/>
      <c r="DP267" s="14"/>
      <c r="DQ267" s="14"/>
      <c r="DR267" s="14"/>
      <c r="DS267" s="14"/>
      <c r="DT267" s="14"/>
      <c r="DU267" s="14"/>
      <c r="DV267" s="14"/>
      <c r="DW267" s="14"/>
      <c r="DX267" s="14"/>
      <c r="DY267" s="14"/>
      <c r="DZ267" s="14"/>
      <c r="EA267" s="14"/>
      <c r="EB267" s="14"/>
      <c r="EC267" s="14"/>
    </row>
    <row r="269" spans="1:133" s="13" customFormat="1" x14ac:dyDescent="0.25">
      <c r="A269" s="158" t="s">
        <v>98</v>
      </c>
      <c r="B269" s="158"/>
      <c r="C269" s="158"/>
      <c r="D269" s="158"/>
      <c r="E269" s="158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  <c r="AG269" s="14"/>
      <c r="AH269" s="14"/>
      <c r="AI269" s="14"/>
      <c r="AJ269" s="14"/>
      <c r="AK269" s="14"/>
      <c r="AL269" s="14"/>
      <c r="AM269" s="14"/>
      <c r="AN269" s="14"/>
      <c r="AO269" s="14"/>
      <c r="AP269" s="14"/>
      <c r="AQ269" s="14"/>
      <c r="AR269" s="14"/>
      <c r="AS269" s="14"/>
      <c r="AT269" s="14"/>
      <c r="AU269" s="14"/>
      <c r="AV269" s="14"/>
      <c r="AW269" s="14"/>
      <c r="AX269" s="14"/>
      <c r="AY269" s="14"/>
      <c r="AZ269" s="14"/>
      <c r="BA269" s="14"/>
      <c r="BB269" s="14"/>
      <c r="BC269" s="14"/>
      <c r="BD269" s="14"/>
      <c r="BE269" s="14"/>
      <c r="BF269" s="14"/>
      <c r="BG269" s="14"/>
      <c r="BH269" s="14"/>
      <c r="BI269" s="14"/>
      <c r="BJ269" s="14"/>
      <c r="BK269" s="14"/>
      <c r="BL269" s="14"/>
      <c r="BM269" s="14"/>
      <c r="BN269" s="14"/>
      <c r="BO269" s="14"/>
      <c r="BP269" s="14"/>
      <c r="BQ269" s="14"/>
      <c r="BR269" s="14"/>
      <c r="BS269" s="14"/>
      <c r="BT269" s="14"/>
      <c r="BU269" s="14"/>
      <c r="BV269" s="14"/>
      <c r="BW269" s="14"/>
      <c r="BX269" s="14"/>
      <c r="BY269" s="14"/>
      <c r="BZ269" s="14"/>
      <c r="CA269" s="14"/>
      <c r="CB269" s="14"/>
      <c r="CC269" s="14"/>
      <c r="CD269" s="14"/>
      <c r="CE269" s="14"/>
      <c r="CF269" s="14"/>
      <c r="CG269" s="14"/>
      <c r="CH269" s="14"/>
      <c r="CI269" s="14"/>
      <c r="CJ269" s="14"/>
      <c r="CK269" s="14"/>
      <c r="CL269" s="14"/>
      <c r="CM269" s="14"/>
      <c r="CN269" s="14"/>
      <c r="CO269" s="14"/>
      <c r="CP269" s="14"/>
      <c r="CQ269" s="14"/>
      <c r="CR269" s="14"/>
      <c r="CS269" s="14"/>
      <c r="CT269" s="14"/>
      <c r="CU269" s="14"/>
      <c r="CV269" s="14"/>
      <c r="CW269" s="14"/>
      <c r="CX269" s="14"/>
      <c r="CY269" s="14"/>
      <c r="CZ269" s="14"/>
      <c r="DA269" s="14"/>
      <c r="DB269" s="14"/>
      <c r="DC269" s="14"/>
      <c r="DD269" s="14"/>
      <c r="DE269" s="14"/>
      <c r="DF269" s="14"/>
      <c r="DG269" s="14"/>
      <c r="DH269" s="14"/>
      <c r="DI269" s="14"/>
      <c r="DJ269" s="14"/>
      <c r="DK269" s="14"/>
      <c r="DL269" s="14"/>
      <c r="DM269" s="14"/>
      <c r="DN269" s="14"/>
      <c r="DO269" s="14"/>
      <c r="DP269" s="14"/>
      <c r="DQ269" s="14"/>
      <c r="DR269" s="14"/>
      <c r="DS269" s="14"/>
      <c r="DT269" s="14"/>
      <c r="DU269" s="14"/>
      <c r="DV269" s="14"/>
      <c r="DW269" s="14"/>
      <c r="DX269" s="14"/>
      <c r="DY269" s="14"/>
      <c r="DZ269" s="14"/>
      <c r="EA269" s="14"/>
      <c r="EB269" s="14"/>
      <c r="EC269" s="14"/>
    </row>
    <row r="270" spans="1:133" s="13" customFormat="1" x14ac:dyDescent="0.25">
      <c r="A270" s="57" t="s">
        <v>8</v>
      </c>
      <c r="B270" s="58" t="s">
        <v>9</v>
      </c>
      <c r="C270" s="34" t="s">
        <v>10</v>
      </c>
      <c r="D270" s="34" t="s">
        <v>340</v>
      </c>
      <c r="E270" s="16" t="s">
        <v>65</v>
      </c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  <c r="AH270" s="14"/>
      <c r="AI270" s="14"/>
      <c r="AJ270" s="14"/>
      <c r="AK270" s="14"/>
      <c r="AL270" s="14"/>
      <c r="AM270" s="14"/>
      <c r="AN270" s="14"/>
      <c r="AO270" s="14"/>
      <c r="AP270" s="14"/>
      <c r="AQ270" s="14"/>
      <c r="AR270" s="14"/>
      <c r="AS270" s="14"/>
      <c r="AT270" s="14"/>
      <c r="AU270" s="14"/>
      <c r="AV270" s="14"/>
      <c r="AW270" s="14"/>
      <c r="AX270" s="14"/>
      <c r="AY270" s="14"/>
      <c r="AZ270" s="14"/>
      <c r="BA270" s="14"/>
      <c r="BB270" s="14"/>
      <c r="BC270" s="14"/>
      <c r="BD270" s="14"/>
      <c r="BE270" s="14"/>
      <c r="BF270" s="14"/>
      <c r="BG270" s="14"/>
      <c r="BH270" s="14"/>
      <c r="BI270" s="14"/>
      <c r="BJ270" s="14"/>
      <c r="BK270" s="14"/>
      <c r="BL270" s="14"/>
      <c r="BM270" s="14"/>
      <c r="BN270" s="14"/>
      <c r="BO270" s="14"/>
      <c r="BP270" s="14"/>
      <c r="BQ270" s="14"/>
      <c r="BR270" s="14"/>
      <c r="BS270" s="14"/>
      <c r="BT270" s="14"/>
      <c r="BU270" s="14"/>
      <c r="BV270" s="14"/>
      <c r="BW270" s="14"/>
      <c r="BX270" s="14"/>
      <c r="BY270" s="14"/>
      <c r="BZ270" s="14"/>
      <c r="CA270" s="14"/>
      <c r="CB270" s="14"/>
      <c r="CC270" s="14"/>
      <c r="CD270" s="14"/>
      <c r="CE270" s="14"/>
      <c r="CF270" s="14"/>
      <c r="CG270" s="14"/>
      <c r="CH270" s="14"/>
      <c r="CI270" s="14"/>
      <c r="CJ270" s="14"/>
      <c r="CK270" s="14"/>
      <c r="CL270" s="14"/>
      <c r="CM270" s="14"/>
      <c r="CN270" s="14"/>
      <c r="CO270" s="14"/>
      <c r="CP270" s="14"/>
      <c r="CQ270" s="14"/>
      <c r="CR270" s="14"/>
      <c r="CS270" s="14"/>
      <c r="CT270" s="14"/>
      <c r="CU270" s="14"/>
      <c r="CV270" s="14"/>
      <c r="CW270" s="14"/>
      <c r="CX270" s="14"/>
      <c r="CY270" s="14"/>
      <c r="CZ270" s="14"/>
      <c r="DA270" s="14"/>
      <c r="DB270" s="14"/>
      <c r="DC270" s="14"/>
      <c r="DD270" s="14"/>
      <c r="DE270" s="14"/>
      <c r="DF270" s="14"/>
      <c r="DG270" s="14"/>
      <c r="DH270" s="14"/>
      <c r="DI270" s="14"/>
      <c r="DJ270" s="14"/>
      <c r="DK270" s="14"/>
      <c r="DL270" s="14"/>
      <c r="DM270" s="14"/>
      <c r="DN270" s="14"/>
      <c r="DO270" s="14"/>
      <c r="DP270" s="14"/>
      <c r="DQ270" s="14"/>
      <c r="DR270" s="14"/>
      <c r="DS270" s="14"/>
      <c r="DT270" s="14"/>
      <c r="DU270" s="14"/>
      <c r="DV270" s="14"/>
      <c r="DW270" s="14"/>
      <c r="DX270" s="14"/>
      <c r="DY270" s="14"/>
      <c r="DZ270" s="14"/>
      <c r="EA270" s="14"/>
      <c r="EB270" s="14"/>
      <c r="EC270" s="14"/>
    </row>
    <row r="271" spans="1:133" s="13" customFormat="1" ht="49.2" x14ac:dyDescent="0.25">
      <c r="A271" s="15" t="s">
        <v>99</v>
      </c>
      <c r="B271" s="25" t="s">
        <v>95</v>
      </c>
      <c r="C271" s="35" t="s">
        <v>100</v>
      </c>
      <c r="D271" s="35" t="s">
        <v>101</v>
      </c>
      <c r="E271" s="16">
        <v>0</v>
      </c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  <c r="AH271" s="14"/>
      <c r="AI271" s="14"/>
      <c r="AJ271" s="14"/>
      <c r="AK271" s="14"/>
      <c r="AL271" s="14"/>
      <c r="AM271" s="14"/>
      <c r="AN271" s="14"/>
      <c r="AO271" s="14"/>
      <c r="AP271" s="14"/>
      <c r="AQ271" s="14"/>
      <c r="AR271" s="14"/>
      <c r="AS271" s="14"/>
      <c r="AT271" s="14"/>
      <c r="AU271" s="14"/>
      <c r="AV271" s="14"/>
      <c r="AW271" s="14"/>
      <c r="AX271" s="14"/>
      <c r="AY271" s="14"/>
      <c r="AZ271" s="14"/>
      <c r="BA271" s="14"/>
      <c r="BB271" s="14"/>
      <c r="BC271" s="14"/>
      <c r="BD271" s="14"/>
      <c r="BE271" s="14"/>
      <c r="BF271" s="14"/>
      <c r="BG271" s="14"/>
      <c r="BH271" s="14"/>
      <c r="BI271" s="14"/>
      <c r="BJ271" s="14"/>
      <c r="BK271" s="14"/>
      <c r="BL271" s="14"/>
      <c r="BM271" s="14"/>
      <c r="BN271" s="14"/>
      <c r="BO271" s="14"/>
      <c r="BP271" s="14"/>
      <c r="BQ271" s="14"/>
      <c r="BR271" s="14"/>
      <c r="BS271" s="14"/>
      <c r="BT271" s="14"/>
      <c r="BU271" s="14"/>
      <c r="BV271" s="14"/>
      <c r="BW271" s="14"/>
      <c r="BX271" s="14"/>
      <c r="BY271" s="14"/>
      <c r="BZ271" s="14"/>
      <c r="CA271" s="14"/>
      <c r="CB271" s="14"/>
      <c r="CC271" s="14"/>
      <c r="CD271" s="14"/>
      <c r="CE271" s="14"/>
      <c r="CF271" s="14"/>
      <c r="CG271" s="14"/>
      <c r="CH271" s="14"/>
      <c r="CI271" s="14"/>
      <c r="CJ271" s="14"/>
      <c r="CK271" s="14"/>
      <c r="CL271" s="14"/>
      <c r="CM271" s="14"/>
      <c r="CN271" s="14"/>
      <c r="CO271" s="14"/>
      <c r="CP271" s="14"/>
      <c r="CQ271" s="14"/>
      <c r="CR271" s="14"/>
      <c r="CS271" s="14"/>
      <c r="CT271" s="14"/>
      <c r="CU271" s="14"/>
      <c r="CV271" s="14"/>
      <c r="CW271" s="14"/>
      <c r="CX271" s="14"/>
      <c r="CY271" s="14"/>
      <c r="CZ271" s="14"/>
      <c r="DA271" s="14"/>
      <c r="DB271" s="14"/>
      <c r="DC271" s="14"/>
      <c r="DD271" s="14"/>
      <c r="DE271" s="14"/>
      <c r="DF271" s="14"/>
      <c r="DG271" s="14"/>
      <c r="DH271" s="14"/>
      <c r="DI271" s="14"/>
      <c r="DJ271" s="14"/>
      <c r="DK271" s="14"/>
      <c r="DL271" s="14"/>
      <c r="DM271" s="14"/>
      <c r="DN271" s="14"/>
      <c r="DO271" s="14"/>
      <c r="DP271" s="14"/>
      <c r="DQ271" s="14"/>
      <c r="DR271" s="14"/>
      <c r="DS271" s="14"/>
      <c r="DT271" s="14"/>
      <c r="DU271" s="14"/>
      <c r="DV271" s="14"/>
      <c r="DW271" s="14"/>
      <c r="DX271" s="14"/>
      <c r="DY271" s="14"/>
      <c r="DZ271" s="14"/>
      <c r="EA271" s="14"/>
      <c r="EB271" s="14"/>
      <c r="EC271" s="14"/>
    </row>
    <row r="273" spans="1:133" x14ac:dyDescent="0.25">
      <c r="A273" s="57" t="s">
        <v>8</v>
      </c>
      <c r="B273" s="58" t="s">
        <v>9</v>
      </c>
      <c r="C273" s="34" t="s">
        <v>10</v>
      </c>
      <c r="D273" s="34" t="s">
        <v>340</v>
      </c>
      <c r="E273" s="16" t="s">
        <v>65</v>
      </c>
    </row>
    <row r="274" spans="1:133" ht="18" x14ac:dyDescent="0.25">
      <c r="A274" s="59" t="s">
        <v>102</v>
      </c>
      <c r="B274" s="25" t="s">
        <v>103</v>
      </c>
      <c r="C274" s="35" t="s">
        <v>104</v>
      </c>
      <c r="D274" s="53" t="s">
        <v>380</v>
      </c>
      <c r="E274" s="18">
        <f>ROUNDDOWN(E224+E255+E250+E267+E271,0)</f>
        <v>2503</v>
      </c>
    </row>
    <row r="275" spans="1:133" s="167" customFormat="1" ht="43.2" customHeight="1" x14ac:dyDescent="0.25">
      <c r="A275" s="167" t="s">
        <v>247</v>
      </c>
    </row>
    <row r="276" spans="1:133" s="56" customFormat="1" ht="31.2" x14ac:dyDescent="0.25">
      <c r="A276" s="92" t="s">
        <v>8</v>
      </c>
      <c r="B276" s="93" t="s">
        <v>9</v>
      </c>
      <c r="C276" s="94" t="s">
        <v>10</v>
      </c>
      <c r="D276" s="93" t="s">
        <v>341</v>
      </c>
      <c r="E276" s="93" t="s">
        <v>11</v>
      </c>
      <c r="F276" s="16" t="s">
        <v>322</v>
      </c>
      <c r="G276" s="16" t="s">
        <v>323</v>
      </c>
      <c r="H276" s="16" t="s">
        <v>324</v>
      </c>
      <c r="I276" s="16" t="s">
        <v>325</v>
      </c>
      <c r="J276" s="16" t="s">
        <v>326</v>
      </c>
      <c r="K276" s="16" t="s">
        <v>329</v>
      </c>
      <c r="L276" s="16" t="s">
        <v>292</v>
      </c>
      <c r="M276" s="16" t="s">
        <v>292</v>
      </c>
      <c r="N276" s="16" t="s">
        <v>292</v>
      </c>
      <c r="O276" s="16" t="s">
        <v>292</v>
      </c>
      <c r="P276" s="16" t="s">
        <v>292</v>
      </c>
      <c r="Q276" s="16" t="s">
        <v>292</v>
      </c>
      <c r="R276" s="54"/>
      <c r="S276" s="54"/>
      <c r="T276" s="54"/>
      <c r="U276" s="54"/>
      <c r="V276" s="54"/>
      <c r="W276" s="54"/>
      <c r="X276" s="54"/>
      <c r="Y276" s="54"/>
      <c r="Z276" s="54"/>
      <c r="AA276" s="54"/>
      <c r="AB276" s="54"/>
      <c r="AC276" s="54"/>
      <c r="AD276" s="54"/>
      <c r="AE276" s="54"/>
      <c r="AF276" s="54"/>
      <c r="AG276" s="54"/>
      <c r="AH276" s="54"/>
      <c r="AI276" s="54"/>
      <c r="AJ276" s="54"/>
      <c r="AK276" s="54"/>
      <c r="AL276" s="54"/>
      <c r="AM276" s="54"/>
      <c r="AN276" s="54"/>
      <c r="AO276" s="54"/>
      <c r="AP276" s="54"/>
      <c r="AQ276" s="54"/>
      <c r="AR276" s="54"/>
      <c r="AS276" s="54"/>
      <c r="AT276" s="54"/>
      <c r="AU276" s="54"/>
      <c r="AV276" s="54"/>
      <c r="AW276" s="54"/>
      <c r="AX276" s="54"/>
      <c r="AY276" s="54"/>
      <c r="AZ276" s="54"/>
      <c r="BA276" s="54"/>
      <c r="BB276" s="54"/>
      <c r="BC276" s="54"/>
      <c r="BD276" s="54"/>
      <c r="BE276" s="54"/>
      <c r="BF276" s="54"/>
      <c r="BG276" s="54"/>
      <c r="BH276" s="54"/>
      <c r="BI276" s="54"/>
      <c r="BJ276" s="54"/>
      <c r="BK276" s="54"/>
      <c r="BL276" s="54"/>
      <c r="BM276" s="54"/>
      <c r="BN276" s="54"/>
      <c r="BO276" s="54"/>
      <c r="BP276" s="54"/>
      <c r="BQ276" s="54"/>
      <c r="BR276" s="54"/>
      <c r="BS276" s="54"/>
      <c r="BT276" s="54"/>
      <c r="BU276" s="54"/>
      <c r="BV276" s="54"/>
      <c r="BW276" s="54"/>
      <c r="BX276" s="54"/>
      <c r="BY276" s="54"/>
      <c r="BZ276" s="54"/>
      <c r="CA276" s="54"/>
      <c r="CB276" s="54"/>
      <c r="CC276" s="54"/>
      <c r="CD276" s="54"/>
      <c r="CE276" s="54"/>
      <c r="CF276" s="54"/>
      <c r="CG276" s="54"/>
      <c r="CH276" s="54"/>
      <c r="CI276" s="54"/>
      <c r="CJ276" s="54"/>
      <c r="CK276" s="54"/>
      <c r="CL276" s="54"/>
      <c r="CM276" s="54"/>
      <c r="CN276" s="54"/>
      <c r="CO276" s="54"/>
      <c r="CP276" s="54"/>
      <c r="CQ276" s="54"/>
      <c r="CR276" s="54"/>
      <c r="CS276" s="54"/>
      <c r="CT276" s="54"/>
      <c r="CU276" s="54"/>
      <c r="CV276" s="54"/>
      <c r="CW276" s="54"/>
      <c r="CX276" s="54"/>
      <c r="CY276" s="54"/>
      <c r="CZ276" s="54"/>
      <c r="DA276" s="54"/>
      <c r="DB276" s="54"/>
      <c r="DC276" s="54"/>
      <c r="DD276" s="54"/>
      <c r="DE276" s="54"/>
      <c r="DF276" s="54"/>
      <c r="DG276" s="54"/>
      <c r="DH276" s="54"/>
      <c r="DI276" s="54"/>
      <c r="DJ276" s="54"/>
      <c r="DK276" s="54"/>
      <c r="DL276" s="54"/>
      <c r="DM276" s="54"/>
      <c r="DN276" s="54"/>
      <c r="DO276" s="54"/>
      <c r="DP276" s="54"/>
      <c r="DQ276" s="54"/>
      <c r="DR276" s="54"/>
      <c r="DS276" s="54"/>
      <c r="DT276" s="54"/>
      <c r="DU276" s="54"/>
      <c r="DV276" s="54"/>
      <c r="DW276" s="54"/>
      <c r="DX276" s="54"/>
      <c r="DY276" s="54"/>
      <c r="DZ276" s="54"/>
      <c r="EA276" s="54"/>
      <c r="EB276" s="54"/>
      <c r="EC276" s="54"/>
    </row>
    <row r="277" spans="1:133" s="56" customFormat="1" x14ac:dyDescent="0.25">
      <c r="A277" s="178" t="s">
        <v>12</v>
      </c>
      <c r="B277" s="178"/>
      <c r="C277" s="179"/>
      <c r="D277" s="179"/>
      <c r="E277" s="178"/>
      <c r="F277" s="16">
        <v>31</v>
      </c>
      <c r="G277" s="16">
        <v>28</v>
      </c>
      <c r="H277" s="16">
        <v>31</v>
      </c>
      <c r="I277" s="16">
        <v>30</v>
      </c>
      <c r="J277" s="16">
        <v>31</v>
      </c>
      <c r="K277" s="16">
        <v>30</v>
      </c>
      <c r="L277" s="16" t="s">
        <v>297</v>
      </c>
      <c r="M277" s="16" t="s">
        <v>297</v>
      </c>
      <c r="N277" s="16" t="s">
        <v>297</v>
      </c>
      <c r="O277" s="16" t="s">
        <v>297</v>
      </c>
      <c r="P277" s="16" t="s">
        <v>297</v>
      </c>
      <c r="Q277" s="16" t="s">
        <v>297</v>
      </c>
      <c r="R277" s="54"/>
      <c r="S277" s="54"/>
      <c r="T277" s="54"/>
      <c r="U277" s="54"/>
      <c r="V277" s="54"/>
      <c r="W277" s="54"/>
      <c r="X277" s="54"/>
      <c r="Y277" s="54"/>
      <c r="Z277" s="54"/>
      <c r="AA277" s="54"/>
      <c r="AB277" s="54"/>
      <c r="AC277" s="54"/>
      <c r="AD277" s="54"/>
      <c r="AE277" s="54"/>
      <c r="AF277" s="54"/>
      <c r="AG277" s="54"/>
      <c r="AH277" s="54"/>
      <c r="AI277" s="54"/>
      <c r="AJ277" s="54"/>
      <c r="AK277" s="54"/>
      <c r="AL277" s="54"/>
      <c r="AM277" s="54"/>
      <c r="AN277" s="54"/>
      <c r="AO277" s="54"/>
      <c r="AP277" s="54"/>
      <c r="AQ277" s="54"/>
      <c r="AR277" s="54"/>
      <c r="AS277" s="54"/>
      <c r="AT277" s="54"/>
      <c r="AU277" s="54"/>
      <c r="AV277" s="54"/>
      <c r="AW277" s="54"/>
      <c r="AX277" s="54"/>
      <c r="AY277" s="54"/>
      <c r="AZ277" s="54"/>
      <c r="BA277" s="54"/>
      <c r="BB277" s="54"/>
      <c r="BC277" s="54"/>
      <c r="BD277" s="54"/>
      <c r="BE277" s="54"/>
      <c r="BF277" s="54"/>
      <c r="BG277" s="54"/>
      <c r="BH277" s="54"/>
      <c r="BI277" s="54"/>
      <c r="BJ277" s="54"/>
      <c r="BK277" s="54"/>
      <c r="BL277" s="54"/>
      <c r="BM277" s="54"/>
      <c r="BN277" s="54"/>
      <c r="BO277" s="54"/>
      <c r="BP277" s="54"/>
      <c r="BQ277" s="54"/>
      <c r="BR277" s="54"/>
      <c r="BS277" s="54"/>
      <c r="BT277" s="54"/>
      <c r="BU277" s="54"/>
      <c r="BV277" s="54"/>
      <c r="BW277" s="54"/>
      <c r="BX277" s="54"/>
      <c r="BY277" s="54"/>
      <c r="BZ277" s="54"/>
      <c r="CA277" s="54"/>
      <c r="CB277" s="54"/>
      <c r="CC277" s="54"/>
      <c r="CD277" s="54"/>
      <c r="CE277" s="54"/>
      <c r="CF277" s="54"/>
      <c r="CG277" s="54"/>
      <c r="CH277" s="54"/>
      <c r="CI277" s="54"/>
      <c r="CJ277" s="54"/>
      <c r="CK277" s="54"/>
      <c r="CL277" s="54"/>
      <c r="CM277" s="54"/>
      <c r="CN277" s="54"/>
      <c r="CO277" s="54"/>
      <c r="CP277" s="54"/>
      <c r="CQ277" s="54"/>
      <c r="CR277" s="54"/>
      <c r="CS277" s="54"/>
      <c r="CT277" s="54"/>
      <c r="CU277" s="54"/>
      <c r="CV277" s="54"/>
      <c r="CW277" s="54"/>
      <c r="CX277" s="54"/>
      <c r="CY277" s="54"/>
      <c r="CZ277" s="54"/>
      <c r="DA277" s="54"/>
      <c r="DB277" s="54"/>
      <c r="DC277" s="54"/>
      <c r="DD277" s="54"/>
      <c r="DE277" s="54"/>
      <c r="DF277" s="54"/>
      <c r="DG277" s="54"/>
      <c r="DH277" s="54"/>
      <c r="DI277" s="54"/>
      <c r="DJ277" s="54"/>
      <c r="DK277" s="54"/>
      <c r="DL277" s="54"/>
      <c r="DM277" s="54"/>
      <c r="DN277" s="54"/>
      <c r="DO277" s="54"/>
      <c r="DP277" s="54"/>
      <c r="DQ277" s="54"/>
      <c r="DR277" s="54"/>
      <c r="DS277" s="54"/>
      <c r="DT277" s="54"/>
      <c r="DU277" s="54"/>
      <c r="DV277" s="54"/>
      <c r="DW277" s="54"/>
      <c r="DX277" s="54"/>
      <c r="DY277" s="54"/>
      <c r="DZ277" s="54"/>
      <c r="EA277" s="54"/>
      <c r="EB277" s="54"/>
      <c r="EC277" s="54"/>
    </row>
    <row r="278" spans="1:133" ht="46.8" x14ac:dyDescent="0.25">
      <c r="A278" s="59" t="s">
        <v>13</v>
      </c>
      <c r="B278" s="60" t="s">
        <v>14</v>
      </c>
      <c r="C278" s="53" t="s">
        <v>15</v>
      </c>
      <c r="D278" s="53" t="s">
        <v>369</v>
      </c>
      <c r="E278" s="61">
        <f>SUM(F278:J278)</f>
        <v>1910.1209153582477</v>
      </c>
      <c r="F278" s="62">
        <f>$E$279*$E$280*F281*$E$292</f>
        <v>388.71372241766818</v>
      </c>
      <c r="G278" s="62">
        <f t="shared" ref="G278:K278" si="35">$E$279*$E$280*G281*$E$292</f>
        <v>350.91775355044228</v>
      </c>
      <c r="H278" s="62">
        <f t="shared" si="35"/>
        <v>388.95478772859246</v>
      </c>
      <c r="I278" s="62">
        <f t="shared" si="35"/>
        <v>376.18122404344001</v>
      </c>
      <c r="J278" s="62">
        <f t="shared" si="35"/>
        <v>405.35342761810489</v>
      </c>
      <c r="K278" s="62">
        <f t="shared" si="35"/>
        <v>375.12227106953355</v>
      </c>
      <c r="L278" s="62" t="s">
        <v>297</v>
      </c>
      <c r="M278" s="62" t="s">
        <v>297</v>
      </c>
      <c r="N278" s="62" t="s">
        <v>297</v>
      </c>
      <c r="O278" s="62" t="s">
        <v>297</v>
      </c>
      <c r="P278" s="62" t="s">
        <v>297</v>
      </c>
      <c r="Q278" s="62" t="s">
        <v>297</v>
      </c>
    </row>
    <row r="279" spans="1:133" ht="31.2" x14ac:dyDescent="0.25">
      <c r="A279" s="63" t="s">
        <v>16</v>
      </c>
      <c r="B279" s="60" t="s">
        <v>193</v>
      </c>
      <c r="C279" s="35" t="s">
        <v>17</v>
      </c>
      <c r="D279" s="35" t="s">
        <v>205</v>
      </c>
      <c r="E279" s="176">
        <v>28</v>
      </c>
      <c r="F279" s="176"/>
      <c r="G279" s="176"/>
      <c r="H279" s="176"/>
      <c r="I279" s="176"/>
      <c r="J279" s="176"/>
      <c r="K279" s="176"/>
      <c r="L279" s="176"/>
      <c r="M279" s="176"/>
      <c r="N279" s="176"/>
      <c r="O279" s="176"/>
      <c r="P279" s="176"/>
      <c r="Q279" s="176"/>
    </row>
    <row r="280" spans="1:133" ht="64.8" x14ac:dyDescent="0.25">
      <c r="A280" s="63" t="s">
        <v>18</v>
      </c>
      <c r="B280" s="25" t="s">
        <v>194</v>
      </c>
      <c r="C280" s="35" t="s">
        <v>20</v>
      </c>
      <c r="D280" s="35" t="s">
        <v>394</v>
      </c>
      <c r="E280" s="176">
        <v>0.21</v>
      </c>
      <c r="F280" s="176"/>
      <c r="G280" s="176"/>
      <c r="H280" s="176"/>
      <c r="I280" s="176"/>
      <c r="J280" s="176"/>
      <c r="K280" s="176"/>
      <c r="L280" s="176"/>
      <c r="M280" s="176"/>
      <c r="N280" s="176"/>
      <c r="O280" s="176"/>
      <c r="P280" s="176"/>
      <c r="Q280" s="176"/>
    </row>
    <row r="281" spans="1:133" ht="46.8" x14ac:dyDescent="0.25">
      <c r="A281" s="35" t="s">
        <v>21</v>
      </c>
      <c r="B281" s="25" t="s">
        <v>195</v>
      </c>
      <c r="C281" s="53" t="s">
        <v>22</v>
      </c>
      <c r="D281" s="53" t="s">
        <v>370</v>
      </c>
      <c r="E281" s="64">
        <f t="shared" ref="E281:K281" si="36">E289*E282</f>
        <v>616.30728108266851</v>
      </c>
      <c r="F281" s="64">
        <f t="shared" si="36"/>
        <v>104.83221164625363</v>
      </c>
      <c r="G281" s="64">
        <f t="shared" si="36"/>
        <v>94.639016039418649</v>
      </c>
      <c r="H281" s="64">
        <f t="shared" si="36"/>
        <v>104.89722455482347</v>
      </c>
      <c r="I281" s="64">
        <f t="shared" si="36"/>
        <v>101.45232190669935</v>
      </c>
      <c r="J281" s="64">
        <f t="shared" si="36"/>
        <v>109.31977407768518</v>
      </c>
      <c r="K281" s="64">
        <f t="shared" si="36"/>
        <v>101.16673285778816</v>
      </c>
      <c r="L281" s="64" t="s">
        <v>297</v>
      </c>
      <c r="M281" s="64" t="s">
        <v>297</v>
      </c>
      <c r="N281" s="64" t="s">
        <v>297</v>
      </c>
      <c r="O281" s="64" t="s">
        <v>297</v>
      </c>
      <c r="P281" s="64" t="s">
        <v>297</v>
      </c>
      <c r="Q281" s="64" t="s">
        <v>297</v>
      </c>
    </row>
    <row r="282" spans="1:133" ht="46.8" x14ac:dyDescent="0.25">
      <c r="A282" s="35" t="s">
        <v>23</v>
      </c>
      <c r="B282" s="25" t="s">
        <v>197</v>
      </c>
      <c r="C282" s="35" t="s">
        <v>191</v>
      </c>
      <c r="D282" s="35" t="s">
        <v>371</v>
      </c>
      <c r="E282" s="20">
        <f>SUM(F282:K282)</f>
        <v>649.18025706246272</v>
      </c>
      <c r="F282" s="20">
        <f>F284*F287</f>
        <v>110.42381648548601</v>
      </c>
      <c r="G282" s="20">
        <f t="shared" ref="G282:K282" si="37">G284*G287</f>
        <v>99.686929955914906</v>
      </c>
      <c r="H282" s="20">
        <f t="shared" si="37"/>
        <v>110.49229709247091</v>
      </c>
      <c r="I282" s="20">
        <f t="shared" si="37"/>
        <v>106.86364811280001</v>
      </c>
      <c r="J282" s="20">
        <f t="shared" si="37"/>
        <v>115.15073927585594</v>
      </c>
      <c r="K282" s="20">
        <f t="shared" si="37"/>
        <v>106.56282613993494</v>
      </c>
      <c r="L282" s="20" t="s">
        <v>297</v>
      </c>
      <c r="M282" s="20" t="s">
        <v>297</v>
      </c>
      <c r="N282" s="20" t="s">
        <v>297</v>
      </c>
      <c r="O282" s="20" t="s">
        <v>297</v>
      </c>
      <c r="P282" s="20" t="s">
        <v>297</v>
      </c>
      <c r="Q282" s="20" t="s">
        <v>297</v>
      </c>
    </row>
    <row r="283" spans="1:133" ht="62.4" x14ac:dyDescent="0.25">
      <c r="A283" s="17" t="s">
        <v>335</v>
      </c>
      <c r="B283" s="60" t="s">
        <v>192</v>
      </c>
      <c r="C283" s="35" t="s">
        <v>25</v>
      </c>
      <c r="D283" s="35" t="s">
        <v>333</v>
      </c>
      <c r="E283" s="121">
        <f>AVERAGE(F283:K283)</f>
        <v>8479.3586711597545</v>
      </c>
      <c r="F283" s="121">
        <v>8361.9353870967752</v>
      </c>
      <c r="G283" s="121">
        <v>8358.6381785714293</v>
      </c>
      <c r="H283" s="121">
        <v>8357.8912258064483</v>
      </c>
      <c r="I283" s="121">
        <v>8359.9344000000019</v>
      </c>
      <c r="J283" s="121">
        <v>8719.6379354838718</v>
      </c>
      <c r="K283" s="121">
        <v>8718.1148999999987</v>
      </c>
      <c r="L283" s="20" t="s">
        <v>297</v>
      </c>
      <c r="M283" s="20" t="s">
        <v>297</v>
      </c>
      <c r="N283" s="20" t="s">
        <v>297</v>
      </c>
      <c r="O283" s="20" t="s">
        <v>297</v>
      </c>
      <c r="P283" s="20" t="s">
        <v>297</v>
      </c>
      <c r="Q283" s="20" t="s">
        <v>297</v>
      </c>
    </row>
    <row r="284" spans="1:133" ht="46.8" x14ac:dyDescent="0.25">
      <c r="A284" s="35" t="s">
        <v>26</v>
      </c>
      <c r="B284" s="60" t="s">
        <v>198</v>
      </c>
      <c r="C284" s="35" t="s">
        <v>27</v>
      </c>
      <c r="D284" s="35" t="s">
        <v>206</v>
      </c>
      <c r="E284" s="65">
        <f>SUM(F284:K284)</f>
        <v>1535006.7490000001</v>
      </c>
      <c r="F284" s="65">
        <f>F283*F277</f>
        <v>259219.99700000003</v>
      </c>
      <c r="G284" s="65">
        <f t="shared" ref="G284:K284" si="38">G283*G277</f>
        <v>234041.86900000001</v>
      </c>
      <c r="H284" s="65">
        <f t="shared" si="38"/>
        <v>259094.62799999991</v>
      </c>
      <c r="I284" s="65">
        <f t="shared" si="38"/>
        <v>250798.03200000006</v>
      </c>
      <c r="J284" s="65">
        <f t="shared" si="38"/>
        <v>270308.77600000001</v>
      </c>
      <c r="K284" s="65">
        <f t="shared" si="38"/>
        <v>261543.44699999996</v>
      </c>
      <c r="L284" s="65" t="s">
        <v>297</v>
      </c>
      <c r="M284" s="65" t="s">
        <v>297</v>
      </c>
      <c r="N284" s="65" t="s">
        <v>297</v>
      </c>
      <c r="O284" s="65" t="s">
        <v>297</v>
      </c>
      <c r="P284" s="65" t="s">
        <v>297</v>
      </c>
      <c r="Q284" s="65" t="s">
        <v>297</v>
      </c>
    </row>
    <row r="285" spans="1:133" ht="62.4" x14ac:dyDescent="0.25">
      <c r="A285" s="35" t="s">
        <v>28</v>
      </c>
      <c r="B285" s="60" t="s">
        <v>199</v>
      </c>
      <c r="C285" s="35" t="s">
        <v>29</v>
      </c>
      <c r="D285" s="35" t="s">
        <v>332</v>
      </c>
      <c r="E285" s="125">
        <f>AVERAGE(F285:K285)</f>
        <v>422.98440881549749</v>
      </c>
      <c r="F285" s="125">
        <v>425.9849462365591</v>
      </c>
      <c r="G285" s="125">
        <v>425.9363095238096</v>
      </c>
      <c r="H285" s="125">
        <v>426.45537634408595</v>
      </c>
      <c r="I285" s="125">
        <v>426.09444444444438</v>
      </c>
      <c r="J285" s="125">
        <v>425.9970430107528</v>
      </c>
      <c r="K285" s="137">
        <v>407.43833333333322</v>
      </c>
      <c r="L285" s="66" t="s">
        <v>297</v>
      </c>
      <c r="M285" s="66" t="s">
        <v>297</v>
      </c>
      <c r="N285" s="66" t="s">
        <v>297</v>
      </c>
      <c r="O285" s="66" t="s">
        <v>297</v>
      </c>
      <c r="P285" s="66" t="s">
        <v>297</v>
      </c>
      <c r="Q285" s="66" t="s">
        <v>297</v>
      </c>
    </row>
    <row r="286" spans="1:133" ht="62.4" x14ac:dyDescent="0.25">
      <c r="A286" s="35" t="s">
        <v>30</v>
      </c>
      <c r="B286" s="60" t="s">
        <v>199</v>
      </c>
      <c r="C286" s="35" t="s">
        <v>31</v>
      </c>
      <c r="D286" s="35" t="s">
        <v>331</v>
      </c>
      <c r="E286" s="125">
        <f>AVERAGE(F286:K286)</f>
        <v>19.769317823007338</v>
      </c>
      <c r="F286" s="125">
        <v>19.896774193548389</v>
      </c>
      <c r="G286" s="125">
        <v>19.60446428571429</v>
      </c>
      <c r="H286" s="125">
        <v>19.695430107526882</v>
      </c>
      <c r="I286" s="125">
        <v>19.344166666666663</v>
      </c>
      <c r="J286" s="125">
        <v>20.364516129032257</v>
      </c>
      <c r="K286" s="137">
        <v>19.710555555555551</v>
      </c>
      <c r="L286" s="65" t="s">
        <v>297</v>
      </c>
      <c r="M286" s="65" t="s">
        <v>297</v>
      </c>
      <c r="N286" s="65" t="s">
        <v>297</v>
      </c>
      <c r="O286" s="65" t="s">
        <v>297</v>
      </c>
      <c r="P286" s="65" t="s">
        <v>297</v>
      </c>
      <c r="Q286" s="65" t="s">
        <v>297</v>
      </c>
    </row>
    <row r="287" spans="1:133" ht="62.4" x14ac:dyDescent="0.25">
      <c r="A287" s="35" t="s">
        <v>32</v>
      </c>
      <c r="B287" s="60" t="s">
        <v>200</v>
      </c>
      <c r="C287" s="35" t="s">
        <v>34</v>
      </c>
      <c r="D287" s="35" t="s">
        <v>338</v>
      </c>
      <c r="E287" s="122">
        <f>E285/1000000</f>
        <v>4.2298440881549751E-4</v>
      </c>
      <c r="F287" s="120">
        <f>F285/1000000</f>
        <v>4.2598494623655907E-4</v>
      </c>
      <c r="G287" s="120">
        <f t="shared" ref="G287:K288" si="39">G285/1000000</f>
        <v>4.259363095238096E-4</v>
      </c>
      <c r="H287" s="120">
        <f t="shared" si="39"/>
        <v>4.2645537634408595E-4</v>
      </c>
      <c r="I287" s="120">
        <f t="shared" si="39"/>
        <v>4.2609444444444437E-4</v>
      </c>
      <c r="J287" s="120">
        <f t="shared" si="39"/>
        <v>4.2599704301075279E-4</v>
      </c>
      <c r="K287" s="120">
        <f t="shared" si="39"/>
        <v>4.074383333333332E-4</v>
      </c>
      <c r="L287" s="22" t="s">
        <v>297</v>
      </c>
      <c r="M287" s="22" t="s">
        <v>297</v>
      </c>
      <c r="N287" s="22" t="s">
        <v>297</v>
      </c>
      <c r="O287" s="22" t="s">
        <v>297</v>
      </c>
      <c r="P287" s="22" t="s">
        <v>297</v>
      </c>
      <c r="Q287" s="22" t="s">
        <v>297</v>
      </c>
    </row>
    <row r="288" spans="1:133" ht="62.4" x14ac:dyDescent="0.25">
      <c r="A288" s="35" t="s">
        <v>30</v>
      </c>
      <c r="B288" s="60" t="s">
        <v>33</v>
      </c>
      <c r="C288" s="35" t="s">
        <v>35</v>
      </c>
      <c r="D288" s="35" t="s">
        <v>339</v>
      </c>
      <c r="E288" s="122">
        <f>E286/1000000</f>
        <v>1.9769317823007339E-5</v>
      </c>
      <c r="F288" s="120">
        <f>F286/1000000</f>
        <v>1.9896774193548388E-5</v>
      </c>
      <c r="G288" s="120">
        <f t="shared" si="39"/>
        <v>1.9604464285714289E-5</v>
      </c>
      <c r="H288" s="120">
        <f t="shared" si="39"/>
        <v>1.9695430107526882E-5</v>
      </c>
      <c r="I288" s="120">
        <f t="shared" si="39"/>
        <v>1.9344166666666663E-5</v>
      </c>
      <c r="J288" s="120">
        <f t="shared" si="39"/>
        <v>2.0364516129032258E-5</v>
      </c>
      <c r="K288" s="120">
        <f t="shared" si="39"/>
        <v>1.9710555555555552E-5</v>
      </c>
      <c r="L288" s="22" t="s">
        <v>297</v>
      </c>
      <c r="M288" s="22" t="s">
        <v>297</v>
      </c>
      <c r="N288" s="22" t="s">
        <v>297</v>
      </c>
      <c r="O288" s="22" t="s">
        <v>297</v>
      </c>
      <c r="P288" s="22" t="s">
        <v>297</v>
      </c>
      <c r="Q288" s="22" t="s">
        <v>297</v>
      </c>
    </row>
    <row r="289" spans="1:133" ht="46.8" x14ac:dyDescent="0.25">
      <c r="A289" s="63" t="s">
        <v>36</v>
      </c>
      <c r="B289" s="25" t="s">
        <v>201</v>
      </c>
      <c r="C289" s="35" t="s">
        <v>38</v>
      </c>
      <c r="D289" s="35" t="s">
        <v>368</v>
      </c>
      <c r="E289" s="68">
        <f>(1-(E290/E291))</f>
        <v>0.94936232945754651</v>
      </c>
      <c r="F289" s="68">
        <f>E289</f>
        <v>0.94936232945754651</v>
      </c>
      <c r="G289" s="68">
        <f>E289</f>
        <v>0.94936232945754651</v>
      </c>
      <c r="H289" s="68">
        <f>E289</f>
        <v>0.94936232945754651</v>
      </c>
      <c r="I289" s="68">
        <f>E289</f>
        <v>0.94936232945754651</v>
      </c>
      <c r="J289" s="68">
        <f>E289</f>
        <v>0.94936232945754651</v>
      </c>
      <c r="K289" s="68">
        <f>F289</f>
        <v>0.94936232945754651</v>
      </c>
      <c r="L289" s="68" t="s">
        <v>297</v>
      </c>
      <c r="M289" s="68" t="s">
        <v>297</v>
      </c>
      <c r="N289" s="68" t="s">
        <v>297</v>
      </c>
      <c r="O289" s="68" t="s">
        <v>297</v>
      </c>
      <c r="P289" s="68" t="s">
        <v>297</v>
      </c>
      <c r="Q289" s="68" t="s">
        <v>297</v>
      </c>
    </row>
    <row r="290" spans="1:133" ht="31.2" x14ac:dyDescent="0.25">
      <c r="A290" s="35" t="s">
        <v>39</v>
      </c>
      <c r="B290" s="25" t="s">
        <v>196</v>
      </c>
      <c r="C290" s="35" t="s">
        <v>40</v>
      </c>
      <c r="D290" s="35" t="s">
        <v>351</v>
      </c>
      <c r="E290" s="52">
        <f>SUM(F290:K290)</f>
        <v>32.284221383999999</v>
      </c>
      <c r="F290" s="52">
        <v>5.5293417839999996</v>
      </c>
      <c r="G290" s="52">
        <v>4.994244192</v>
      </c>
      <c r="H290" s="52">
        <v>5.5293417839999996</v>
      </c>
      <c r="I290" s="52">
        <v>5.3509759199999998</v>
      </c>
      <c r="J290" s="52">
        <v>5.5293417839999996</v>
      </c>
      <c r="K290" s="52">
        <v>5.3509759199999998</v>
      </c>
      <c r="L290" s="69" t="s">
        <v>297</v>
      </c>
      <c r="M290" s="69" t="s">
        <v>297</v>
      </c>
      <c r="N290" s="69" t="s">
        <v>297</v>
      </c>
      <c r="O290" s="69" t="s">
        <v>297</v>
      </c>
      <c r="P290" s="69" t="s">
        <v>297</v>
      </c>
      <c r="Q290" s="69" t="s">
        <v>297</v>
      </c>
    </row>
    <row r="291" spans="1:133" ht="31.2" x14ac:dyDescent="0.25">
      <c r="A291" s="63" t="s">
        <v>41</v>
      </c>
      <c r="B291" s="25" t="s">
        <v>24</v>
      </c>
      <c r="C291" s="35" t="s">
        <v>42</v>
      </c>
      <c r="D291" s="35" t="s">
        <v>351</v>
      </c>
      <c r="E291" s="52">
        <f>SUM(F291:K291)</f>
        <v>637.5534466368</v>
      </c>
      <c r="F291" s="52">
        <v>109.19423671679999</v>
      </c>
      <c r="G291" s="52">
        <v>98.627052518399992</v>
      </c>
      <c r="H291" s="52">
        <v>109.19423671679999</v>
      </c>
      <c r="I291" s="52">
        <v>105.671841984</v>
      </c>
      <c r="J291" s="52">
        <v>109.19423671679999</v>
      </c>
      <c r="K291" s="52">
        <v>105.671841984</v>
      </c>
      <c r="L291" s="69" t="s">
        <v>297</v>
      </c>
      <c r="M291" s="69" t="s">
        <v>297</v>
      </c>
      <c r="N291" s="69" t="s">
        <v>297</v>
      </c>
      <c r="O291" s="69" t="s">
        <v>297</v>
      </c>
      <c r="P291" s="69" t="s">
        <v>297</v>
      </c>
      <c r="Q291" s="69" t="s">
        <v>297</v>
      </c>
    </row>
    <row r="292" spans="1:133" ht="31.2" x14ac:dyDescent="0.25">
      <c r="A292" s="53" t="s">
        <v>43</v>
      </c>
      <c r="B292" s="25" t="s">
        <v>201</v>
      </c>
      <c r="C292" s="53" t="s">
        <v>44</v>
      </c>
      <c r="D292" s="35" t="s">
        <v>372</v>
      </c>
      <c r="E292" s="177">
        <f>E293*E294*0.89</f>
        <v>0.630605563721641</v>
      </c>
      <c r="F292" s="177"/>
      <c r="G292" s="177"/>
      <c r="H292" s="177"/>
      <c r="I292" s="177"/>
      <c r="J292" s="177"/>
      <c r="K292" s="177"/>
      <c r="L292" s="177"/>
      <c r="M292" s="177"/>
      <c r="N292" s="177"/>
      <c r="O292" s="177"/>
      <c r="P292" s="177"/>
      <c r="Q292" s="177"/>
    </row>
    <row r="293" spans="1:133" ht="31.2" x14ac:dyDescent="0.25">
      <c r="A293" s="70" t="s">
        <v>45</v>
      </c>
      <c r="B293" s="25" t="s">
        <v>201</v>
      </c>
      <c r="C293" s="53" t="s">
        <v>46</v>
      </c>
      <c r="D293" s="35" t="s">
        <v>373</v>
      </c>
      <c r="E293" s="162">
        <v>0.7</v>
      </c>
      <c r="F293" s="163"/>
      <c r="G293" s="163"/>
      <c r="H293" s="163"/>
      <c r="I293" s="163"/>
      <c r="J293" s="163"/>
      <c r="K293" s="163"/>
      <c r="L293" s="163"/>
      <c r="M293" s="163"/>
      <c r="N293" s="163"/>
      <c r="O293" s="163"/>
      <c r="P293" s="163"/>
      <c r="Q293" s="164"/>
    </row>
    <row r="294" spans="1:133" ht="36" customHeight="1" x14ac:dyDescent="0.25">
      <c r="A294" s="70" t="s">
        <v>47</v>
      </c>
      <c r="B294" s="25" t="s">
        <v>37</v>
      </c>
      <c r="C294" s="53" t="s">
        <v>48</v>
      </c>
      <c r="D294" s="35" t="s">
        <v>374</v>
      </c>
      <c r="E294" s="159">
        <f>(F295*F300+G295*G300+H295*H300+I295*I300+J295*J300+K295*K300)/(F289*F284*F287+G289*G287*G284+H289*H284*H287+I289*I287*I284+J289*J287*J284+K289*K287*K284)</f>
        <v>1.0122079674504671</v>
      </c>
      <c r="F294" s="160"/>
      <c r="G294" s="160"/>
      <c r="H294" s="160"/>
      <c r="I294" s="160"/>
      <c r="J294" s="160"/>
      <c r="K294" s="160"/>
      <c r="L294" s="160"/>
      <c r="M294" s="160"/>
      <c r="N294" s="160"/>
      <c r="O294" s="160"/>
      <c r="P294" s="160"/>
      <c r="Q294" s="161"/>
    </row>
    <row r="295" spans="1:133" s="9" customFormat="1" ht="46.8" x14ac:dyDescent="0.4">
      <c r="A295" s="71" t="s">
        <v>49</v>
      </c>
      <c r="B295" s="25" t="s">
        <v>37</v>
      </c>
      <c r="C295" s="53" t="s">
        <v>50</v>
      </c>
      <c r="D295" s="53" t="s">
        <v>375</v>
      </c>
      <c r="E295" s="72">
        <f>AVERAGE(F295:K295)</f>
        <v>0.47566758520675173</v>
      </c>
      <c r="F295" s="72">
        <f>IF(F299&lt;283,0,IF(F299&gt;303,1,EXP(($E$296*(F299-$E$297))/($E$298*$E$297*F299))))</f>
        <v>0.29505266129807517</v>
      </c>
      <c r="G295" s="72">
        <f t="shared" ref="G295:K295" si="40">IF(G299&lt;283,0,IF(G299&gt;303,1,EXP(($E$296*(G299-$E$297))/($E$298*$E$297*G299))))</f>
        <v>0.24547412919519337</v>
      </c>
      <c r="H295" s="72">
        <f t="shared" si="40"/>
        <v>0.42307437878932203</v>
      </c>
      <c r="I295" s="72">
        <f t="shared" si="40"/>
        <v>0.50475941545474445</v>
      </c>
      <c r="J295" s="72">
        <f t="shared" si="40"/>
        <v>0.57531644493802248</v>
      </c>
      <c r="K295" s="72">
        <f t="shared" si="40"/>
        <v>0.81032848156515291</v>
      </c>
      <c r="L295" s="72" t="s">
        <v>297</v>
      </c>
      <c r="M295" s="72" t="s">
        <v>297</v>
      </c>
      <c r="N295" s="72" t="s">
        <v>297</v>
      </c>
      <c r="O295" s="72" t="s">
        <v>297</v>
      </c>
      <c r="P295" s="72" t="s">
        <v>297</v>
      </c>
      <c r="Q295" s="72" t="s">
        <v>297</v>
      </c>
      <c r="R295" s="78"/>
      <c r="S295" s="78"/>
      <c r="T295" s="78"/>
      <c r="U295" s="78"/>
      <c r="V295" s="78"/>
      <c r="W295" s="78"/>
      <c r="X295" s="78"/>
      <c r="Y295" s="78"/>
      <c r="Z295" s="78"/>
      <c r="AA295" s="78"/>
      <c r="AB295" s="78"/>
      <c r="AC295" s="78"/>
      <c r="AD295" s="78"/>
      <c r="AE295" s="78"/>
      <c r="AF295" s="78"/>
      <c r="AG295" s="78"/>
      <c r="AH295" s="78"/>
      <c r="AI295" s="78"/>
      <c r="AJ295" s="78"/>
      <c r="AK295" s="78"/>
      <c r="AL295" s="78"/>
      <c r="AM295" s="78"/>
      <c r="AN295" s="78"/>
      <c r="AO295" s="78"/>
      <c r="AP295" s="78"/>
      <c r="AQ295" s="78"/>
      <c r="AR295" s="78"/>
      <c r="AS295" s="78"/>
      <c r="AT295" s="78"/>
      <c r="AU295" s="78"/>
      <c r="AV295" s="78"/>
      <c r="AW295" s="78"/>
      <c r="AX295" s="78"/>
      <c r="AY295" s="78"/>
      <c r="AZ295" s="78"/>
      <c r="BA295" s="78"/>
      <c r="BB295" s="78"/>
      <c r="BC295" s="78"/>
      <c r="BD295" s="78"/>
      <c r="BE295" s="78"/>
      <c r="BF295" s="78"/>
      <c r="BG295" s="78"/>
      <c r="BH295" s="78"/>
      <c r="BI295" s="78"/>
      <c r="BJ295" s="78"/>
      <c r="BK295" s="78"/>
      <c r="BL295" s="78"/>
      <c r="BM295" s="78"/>
      <c r="BN295" s="78"/>
      <c r="BO295" s="78"/>
      <c r="BP295" s="78"/>
      <c r="BQ295" s="78"/>
      <c r="BR295" s="78"/>
      <c r="BS295" s="78"/>
      <c r="BT295" s="78"/>
      <c r="BU295" s="78"/>
      <c r="BV295" s="78"/>
      <c r="BW295" s="78"/>
      <c r="BX295" s="78"/>
      <c r="BY295" s="78"/>
      <c r="BZ295" s="78"/>
      <c r="CA295" s="78"/>
      <c r="CB295" s="78"/>
      <c r="CC295" s="78"/>
      <c r="CD295" s="78"/>
      <c r="CE295" s="78"/>
      <c r="CF295" s="78"/>
      <c r="CG295" s="78"/>
      <c r="CH295" s="78"/>
      <c r="CI295" s="78"/>
      <c r="CJ295" s="78"/>
      <c r="CK295" s="78"/>
      <c r="CL295" s="78"/>
      <c r="CM295" s="78"/>
      <c r="CN295" s="78"/>
      <c r="CO295" s="78"/>
      <c r="CP295" s="78"/>
      <c r="CQ295" s="78"/>
      <c r="CR295" s="78"/>
      <c r="CS295" s="78"/>
      <c r="CT295" s="78"/>
      <c r="CU295" s="78"/>
      <c r="CV295" s="78"/>
      <c r="CW295" s="78"/>
      <c r="CX295" s="78"/>
      <c r="CY295" s="78"/>
      <c r="CZ295" s="78"/>
      <c r="DA295" s="78"/>
      <c r="DB295" s="78"/>
      <c r="DC295" s="78"/>
      <c r="DD295" s="78"/>
      <c r="DE295" s="78"/>
      <c r="DF295" s="78"/>
      <c r="DG295" s="78"/>
      <c r="DH295" s="78"/>
      <c r="DI295" s="78"/>
      <c r="DJ295" s="78"/>
      <c r="DK295" s="78"/>
      <c r="DL295" s="78"/>
      <c r="DM295" s="78"/>
      <c r="DN295" s="78"/>
      <c r="DO295" s="78"/>
      <c r="DP295" s="78"/>
      <c r="DQ295" s="78"/>
      <c r="DR295" s="78"/>
      <c r="DS295" s="78"/>
      <c r="DT295" s="78"/>
      <c r="DU295" s="78"/>
      <c r="DV295" s="78"/>
      <c r="DW295" s="78"/>
      <c r="DX295" s="78"/>
      <c r="DY295" s="78"/>
      <c r="DZ295" s="78"/>
      <c r="EA295" s="78"/>
      <c r="EB295" s="78"/>
      <c r="EC295" s="78"/>
    </row>
    <row r="296" spans="1:133" s="9" customFormat="1" x14ac:dyDescent="0.25">
      <c r="A296" s="73" t="s">
        <v>51</v>
      </c>
      <c r="B296" s="60" t="s">
        <v>202</v>
      </c>
      <c r="C296" s="53" t="s">
        <v>53</v>
      </c>
      <c r="D296" s="53" t="s">
        <v>376</v>
      </c>
      <c r="E296" s="162">
        <v>15175</v>
      </c>
      <c r="F296" s="163"/>
      <c r="G296" s="163"/>
      <c r="H296" s="163"/>
      <c r="I296" s="163"/>
      <c r="J296" s="163"/>
      <c r="K296" s="163"/>
      <c r="L296" s="163"/>
      <c r="M296" s="163"/>
      <c r="N296" s="163"/>
      <c r="O296" s="163"/>
      <c r="P296" s="163"/>
      <c r="Q296" s="164"/>
      <c r="R296" s="78"/>
      <c r="S296" s="78"/>
      <c r="T296" s="78"/>
      <c r="U296" s="78"/>
      <c r="V296" s="78"/>
      <c r="W296" s="78"/>
      <c r="X296" s="78"/>
      <c r="Y296" s="78"/>
      <c r="Z296" s="78"/>
      <c r="AA296" s="78"/>
      <c r="AB296" s="78"/>
      <c r="AC296" s="78"/>
      <c r="AD296" s="78"/>
      <c r="AE296" s="78"/>
      <c r="AF296" s="78"/>
      <c r="AG296" s="78"/>
      <c r="AH296" s="78"/>
      <c r="AI296" s="78"/>
      <c r="AJ296" s="78"/>
      <c r="AK296" s="78"/>
      <c r="AL296" s="78"/>
      <c r="AM296" s="78"/>
      <c r="AN296" s="78"/>
      <c r="AO296" s="78"/>
      <c r="AP296" s="78"/>
      <c r="AQ296" s="78"/>
      <c r="AR296" s="78"/>
      <c r="AS296" s="78"/>
      <c r="AT296" s="78"/>
      <c r="AU296" s="78"/>
      <c r="AV296" s="78"/>
      <c r="AW296" s="78"/>
      <c r="AX296" s="78"/>
      <c r="AY296" s="78"/>
      <c r="AZ296" s="78"/>
      <c r="BA296" s="78"/>
      <c r="BB296" s="78"/>
      <c r="BC296" s="78"/>
      <c r="BD296" s="78"/>
      <c r="BE296" s="78"/>
      <c r="BF296" s="78"/>
      <c r="BG296" s="78"/>
      <c r="BH296" s="78"/>
      <c r="BI296" s="78"/>
      <c r="BJ296" s="78"/>
      <c r="BK296" s="78"/>
      <c r="BL296" s="78"/>
      <c r="BM296" s="78"/>
      <c r="BN296" s="78"/>
      <c r="BO296" s="78"/>
      <c r="BP296" s="78"/>
      <c r="BQ296" s="78"/>
      <c r="BR296" s="78"/>
      <c r="BS296" s="78"/>
      <c r="BT296" s="78"/>
      <c r="BU296" s="78"/>
      <c r="BV296" s="78"/>
      <c r="BW296" s="78"/>
      <c r="BX296" s="78"/>
      <c r="BY296" s="78"/>
      <c r="BZ296" s="78"/>
      <c r="CA296" s="78"/>
      <c r="CB296" s="78"/>
      <c r="CC296" s="78"/>
      <c r="CD296" s="78"/>
      <c r="CE296" s="78"/>
      <c r="CF296" s="78"/>
      <c r="CG296" s="78"/>
      <c r="CH296" s="78"/>
      <c r="CI296" s="78"/>
      <c r="CJ296" s="78"/>
      <c r="CK296" s="78"/>
      <c r="CL296" s="78"/>
      <c r="CM296" s="78"/>
      <c r="CN296" s="78"/>
      <c r="CO296" s="78"/>
      <c r="CP296" s="78"/>
      <c r="CQ296" s="78"/>
      <c r="CR296" s="78"/>
      <c r="CS296" s="78"/>
      <c r="CT296" s="78"/>
      <c r="CU296" s="78"/>
      <c r="CV296" s="78"/>
      <c r="CW296" s="78"/>
      <c r="CX296" s="78"/>
      <c r="CY296" s="78"/>
      <c r="CZ296" s="78"/>
      <c r="DA296" s="78"/>
      <c r="DB296" s="78"/>
      <c r="DC296" s="78"/>
      <c r="DD296" s="78"/>
      <c r="DE296" s="78"/>
      <c r="DF296" s="78"/>
      <c r="DG296" s="78"/>
      <c r="DH296" s="78"/>
      <c r="DI296" s="78"/>
      <c r="DJ296" s="78"/>
      <c r="DK296" s="78"/>
      <c r="DL296" s="78"/>
      <c r="DM296" s="78"/>
      <c r="DN296" s="78"/>
      <c r="DO296" s="78"/>
      <c r="DP296" s="78"/>
      <c r="DQ296" s="78"/>
      <c r="DR296" s="78"/>
      <c r="DS296" s="78"/>
      <c r="DT296" s="78"/>
      <c r="DU296" s="78"/>
      <c r="DV296" s="78"/>
      <c r="DW296" s="78"/>
      <c r="DX296" s="78"/>
      <c r="DY296" s="78"/>
      <c r="DZ296" s="78"/>
      <c r="EA296" s="78"/>
      <c r="EB296" s="78"/>
      <c r="EC296" s="78"/>
    </row>
    <row r="297" spans="1:133" s="9" customFormat="1" ht="18" x14ac:dyDescent="0.25">
      <c r="A297" s="73" t="s">
        <v>54</v>
      </c>
      <c r="B297" s="60" t="s">
        <v>203</v>
      </c>
      <c r="C297" s="53" t="s">
        <v>56</v>
      </c>
      <c r="D297" s="53" t="s">
        <v>376</v>
      </c>
      <c r="E297" s="162">
        <v>303.16000000000003</v>
      </c>
      <c r="F297" s="163"/>
      <c r="G297" s="163"/>
      <c r="H297" s="163"/>
      <c r="I297" s="163"/>
      <c r="J297" s="163"/>
      <c r="K297" s="163"/>
      <c r="L297" s="163"/>
      <c r="M297" s="163"/>
      <c r="N297" s="163"/>
      <c r="O297" s="163"/>
      <c r="P297" s="163"/>
      <c r="Q297" s="164"/>
      <c r="R297" s="78"/>
      <c r="S297" s="78"/>
      <c r="T297" s="78"/>
      <c r="U297" s="78"/>
      <c r="V297" s="78"/>
      <c r="W297" s="78"/>
      <c r="X297" s="78"/>
      <c r="Y297" s="78"/>
      <c r="Z297" s="78"/>
      <c r="AA297" s="78"/>
      <c r="AB297" s="78"/>
      <c r="AC297" s="78"/>
      <c r="AD297" s="78"/>
      <c r="AE297" s="78"/>
      <c r="AF297" s="78"/>
      <c r="AG297" s="78"/>
      <c r="AH297" s="78"/>
      <c r="AI297" s="78"/>
      <c r="AJ297" s="78"/>
      <c r="AK297" s="78"/>
      <c r="AL297" s="78"/>
      <c r="AM297" s="78"/>
      <c r="AN297" s="78"/>
      <c r="AO297" s="78"/>
      <c r="AP297" s="78"/>
      <c r="AQ297" s="78"/>
      <c r="AR297" s="78"/>
      <c r="AS297" s="78"/>
      <c r="AT297" s="78"/>
      <c r="AU297" s="78"/>
      <c r="AV297" s="78"/>
      <c r="AW297" s="78"/>
      <c r="AX297" s="78"/>
      <c r="AY297" s="78"/>
      <c r="AZ297" s="78"/>
      <c r="BA297" s="78"/>
      <c r="BB297" s="78"/>
      <c r="BC297" s="78"/>
      <c r="BD297" s="78"/>
      <c r="BE297" s="78"/>
      <c r="BF297" s="78"/>
      <c r="BG297" s="78"/>
      <c r="BH297" s="78"/>
      <c r="BI297" s="78"/>
      <c r="BJ297" s="78"/>
      <c r="BK297" s="78"/>
      <c r="BL297" s="78"/>
      <c r="BM297" s="78"/>
      <c r="BN297" s="78"/>
      <c r="BO297" s="78"/>
      <c r="BP297" s="78"/>
      <c r="BQ297" s="78"/>
      <c r="BR297" s="78"/>
      <c r="BS297" s="78"/>
      <c r="BT297" s="78"/>
      <c r="BU297" s="78"/>
      <c r="BV297" s="78"/>
      <c r="BW297" s="78"/>
      <c r="BX297" s="78"/>
      <c r="BY297" s="78"/>
      <c r="BZ297" s="78"/>
      <c r="CA297" s="78"/>
      <c r="CB297" s="78"/>
      <c r="CC297" s="78"/>
      <c r="CD297" s="78"/>
      <c r="CE297" s="78"/>
      <c r="CF297" s="78"/>
      <c r="CG297" s="78"/>
      <c r="CH297" s="78"/>
      <c r="CI297" s="78"/>
      <c r="CJ297" s="78"/>
      <c r="CK297" s="78"/>
      <c r="CL297" s="78"/>
      <c r="CM297" s="78"/>
      <c r="CN297" s="78"/>
      <c r="CO297" s="78"/>
      <c r="CP297" s="78"/>
      <c r="CQ297" s="78"/>
      <c r="CR297" s="78"/>
      <c r="CS297" s="78"/>
      <c r="CT297" s="78"/>
      <c r="CU297" s="78"/>
      <c r="CV297" s="78"/>
      <c r="CW297" s="78"/>
      <c r="CX297" s="78"/>
      <c r="CY297" s="78"/>
      <c r="CZ297" s="78"/>
      <c r="DA297" s="78"/>
      <c r="DB297" s="78"/>
      <c r="DC297" s="78"/>
      <c r="DD297" s="78"/>
      <c r="DE297" s="78"/>
      <c r="DF297" s="78"/>
      <c r="DG297" s="78"/>
      <c r="DH297" s="78"/>
      <c r="DI297" s="78"/>
      <c r="DJ297" s="78"/>
      <c r="DK297" s="78"/>
      <c r="DL297" s="78"/>
      <c r="DM297" s="78"/>
      <c r="DN297" s="78"/>
      <c r="DO297" s="78"/>
      <c r="DP297" s="78"/>
      <c r="DQ297" s="78"/>
      <c r="DR297" s="78"/>
      <c r="DS297" s="78"/>
      <c r="DT297" s="78"/>
      <c r="DU297" s="78"/>
      <c r="DV297" s="78"/>
      <c r="DW297" s="78"/>
      <c r="DX297" s="78"/>
      <c r="DY297" s="78"/>
      <c r="DZ297" s="78"/>
      <c r="EA297" s="78"/>
      <c r="EB297" s="78"/>
      <c r="EC297" s="78"/>
    </row>
    <row r="298" spans="1:133" s="9" customFormat="1" x14ac:dyDescent="0.25">
      <c r="A298" s="73" t="s">
        <v>57</v>
      </c>
      <c r="B298" s="60" t="s">
        <v>204</v>
      </c>
      <c r="C298" s="53" t="s">
        <v>59</v>
      </c>
      <c r="D298" s="53" t="s">
        <v>376</v>
      </c>
      <c r="E298" s="162">
        <v>1.9870000000000001</v>
      </c>
      <c r="F298" s="163"/>
      <c r="G298" s="163"/>
      <c r="H298" s="163"/>
      <c r="I298" s="163"/>
      <c r="J298" s="163"/>
      <c r="K298" s="163"/>
      <c r="L298" s="163"/>
      <c r="M298" s="163"/>
      <c r="N298" s="163"/>
      <c r="O298" s="163"/>
      <c r="P298" s="163"/>
      <c r="Q298" s="164"/>
      <c r="R298" s="78"/>
      <c r="S298" s="78"/>
      <c r="T298" s="78"/>
      <c r="U298" s="78"/>
      <c r="V298" s="78"/>
      <c r="W298" s="78"/>
      <c r="X298" s="78"/>
      <c r="Y298" s="78"/>
      <c r="Z298" s="78"/>
      <c r="AA298" s="78"/>
      <c r="AB298" s="78"/>
      <c r="AC298" s="78"/>
      <c r="AD298" s="78"/>
      <c r="AE298" s="78"/>
      <c r="AF298" s="78"/>
      <c r="AG298" s="78"/>
      <c r="AH298" s="78"/>
      <c r="AI298" s="78"/>
      <c r="AJ298" s="78"/>
      <c r="AK298" s="78"/>
      <c r="AL298" s="78"/>
      <c r="AM298" s="78"/>
      <c r="AN298" s="78"/>
      <c r="AO298" s="78"/>
      <c r="AP298" s="78"/>
      <c r="AQ298" s="78"/>
      <c r="AR298" s="78"/>
      <c r="AS298" s="78"/>
      <c r="AT298" s="78"/>
      <c r="AU298" s="78"/>
      <c r="AV298" s="78"/>
      <c r="AW298" s="78"/>
      <c r="AX298" s="78"/>
      <c r="AY298" s="78"/>
      <c r="AZ298" s="78"/>
      <c r="BA298" s="78"/>
      <c r="BB298" s="78"/>
      <c r="BC298" s="78"/>
      <c r="BD298" s="78"/>
      <c r="BE298" s="78"/>
      <c r="BF298" s="78"/>
      <c r="BG298" s="78"/>
      <c r="BH298" s="78"/>
      <c r="BI298" s="78"/>
      <c r="BJ298" s="78"/>
      <c r="BK298" s="78"/>
      <c r="BL298" s="78"/>
      <c r="BM298" s="78"/>
      <c r="BN298" s="78"/>
      <c r="BO298" s="78"/>
      <c r="BP298" s="78"/>
      <c r="BQ298" s="78"/>
      <c r="BR298" s="78"/>
      <c r="BS298" s="78"/>
      <c r="BT298" s="78"/>
      <c r="BU298" s="78"/>
      <c r="BV298" s="78"/>
      <c r="BW298" s="78"/>
      <c r="BX298" s="78"/>
      <c r="BY298" s="78"/>
      <c r="BZ298" s="78"/>
      <c r="CA298" s="78"/>
      <c r="CB298" s="78"/>
      <c r="CC298" s="78"/>
      <c r="CD298" s="78"/>
      <c r="CE298" s="78"/>
      <c r="CF298" s="78"/>
      <c r="CG298" s="78"/>
      <c r="CH298" s="78"/>
      <c r="CI298" s="78"/>
      <c r="CJ298" s="78"/>
      <c r="CK298" s="78"/>
      <c r="CL298" s="78"/>
      <c r="CM298" s="78"/>
      <c r="CN298" s="78"/>
      <c r="CO298" s="78"/>
      <c r="CP298" s="78"/>
      <c r="CQ298" s="78"/>
      <c r="CR298" s="78"/>
      <c r="CS298" s="78"/>
      <c r="CT298" s="78"/>
      <c r="CU298" s="78"/>
      <c r="CV298" s="78"/>
      <c r="CW298" s="78"/>
      <c r="CX298" s="78"/>
      <c r="CY298" s="78"/>
      <c r="CZ298" s="78"/>
      <c r="DA298" s="78"/>
      <c r="DB298" s="78"/>
      <c r="DC298" s="78"/>
      <c r="DD298" s="78"/>
      <c r="DE298" s="78"/>
      <c r="DF298" s="78"/>
      <c r="DG298" s="78"/>
      <c r="DH298" s="78"/>
      <c r="DI298" s="78"/>
      <c r="DJ298" s="78"/>
      <c r="DK298" s="78"/>
      <c r="DL298" s="78"/>
      <c r="DM298" s="78"/>
      <c r="DN298" s="78"/>
      <c r="DO298" s="78"/>
      <c r="DP298" s="78"/>
      <c r="DQ298" s="78"/>
      <c r="DR298" s="78"/>
      <c r="DS298" s="78"/>
      <c r="DT298" s="78"/>
      <c r="DU298" s="78"/>
      <c r="DV298" s="78"/>
      <c r="DW298" s="78"/>
      <c r="DX298" s="78"/>
      <c r="DY298" s="78"/>
      <c r="DZ298" s="78"/>
      <c r="EA298" s="78"/>
      <c r="EB298" s="78"/>
      <c r="EC298" s="78"/>
    </row>
    <row r="299" spans="1:133" s="9" customFormat="1" ht="31.2" x14ac:dyDescent="0.25">
      <c r="A299" s="73" t="s">
        <v>60</v>
      </c>
      <c r="B299" s="60" t="s">
        <v>203</v>
      </c>
      <c r="C299" s="53" t="s">
        <v>61</v>
      </c>
      <c r="D299" s="143" t="s">
        <v>363</v>
      </c>
      <c r="E299" s="98">
        <f>AVERAGE(F299:K299)</f>
        <v>293.65000000000003</v>
      </c>
      <c r="F299" s="60">
        <v>289.14999999999998</v>
      </c>
      <c r="G299" s="60">
        <v>287.14999999999998</v>
      </c>
      <c r="H299" s="60">
        <v>293.14999999999998</v>
      </c>
      <c r="I299" s="60">
        <v>295.14999999999998</v>
      </c>
      <c r="J299" s="60">
        <v>296.64999999999998</v>
      </c>
      <c r="K299" s="60">
        <v>300.64999999999998</v>
      </c>
      <c r="L299" s="60" t="s">
        <v>297</v>
      </c>
      <c r="M299" s="60" t="s">
        <v>297</v>
      </c>
      <c r="N299" s="60" t="s">
        <v>297</v>
      </c>
      <c r="O299" s="60" t="s">
        <v>297</v>
      </c>
      <c r="P299" s="60" t="s">
        <v>297</v>
      </c>
      <c r="Q299" s="60" t="s">
        <v>297</v>
      </c>
      <c r="R299" s="78"/>
      <c r="S299" s="78"/>
      <c r="T299" s="78"/>
      <c r="U299" s="78"/>
      <c r="V299" s="78"/>
      <c r="W299" s="78"/>
      <c r="X299" s="78"/>
      <c r="Y299" s="78"/>
      <c r="Z299" s="78"/>
      <c r="AA299" s="78"/>
      <c r="AB299" s="78"/>
      <c r="AC299" s="78"/>
      <c r="AD299" s="78"/>
      <c r="AE299" s="78"/>
      <c r="AF299" s="78"/>
      <c r="AG299" s="78"/>
      <c r="AH299" s="78"/>
      <c r="AI299" s="78"/>
      <c r="AJ299" s="78"/>
      <c r="AK299" s="78"/>
      <c r="AL299" s="78"/>
      <c r="AM299" s="78"/>
      <c r="AN299" s="78"/>
      <c r="AO299" s="78"/>
      <c r="AP299" s="78"/>
      <c r="AQ299" s="78"/>
      <c r="AR299" s="78"/>
      <c r="AS299" s="78"/>
      <c r="AT299" s="78"/>
      <c r="AU299" s="78"/>
      <c r="AV299" s="78"/>
      <c r="AW299" s="78"/>
      <c r="AX299" s="78"/>
      <c r="AY299" s="78"/>
      <c r="AZ299" s="78"/>
      <c r="BA299" s="78"/>
      <c r="BB299" s="78"/>
      <c r="BC299" s="78"/>
      <c r="BD299" s="78"/>
      <c r="BE299" s="78"/>
      <c r="BF299" s="78"/>
      <c r="BG299" s="78"/>
      <c r="BH299" s="78"/>
      <c r="BI299" s="78"/>
      <c r="BJ299" s="78"/>
      <c r="BK299" s="78"/>
      <c r="BL299" s="78"/>
      <c r="BM299" s="78"/>
      <c r="BN299" s="78"/>
      <c r="BO299" s="78"/>
      <c r="BP299" s="78"/>
      <c r="BQ299" s="78"/>
      <c r="BR299" s="78"/>
      <c r="BS299" s="78"/>
      <c r="BT299" s="78"/>
      <c r="BU299" s="78"/>
      <c r="BV299" s="78"/>
      <c r="BW299" s="78"/>
      <c r="BX299" s="78"/>
      <c r="BY299" s="78"/>
      <c r="BZ299" s="78"/>
      <c r="CA299" s="78"/>
      <c r="CB299" s="78"/>
      <c r="CC299" s="78"/>
      <c r="CD299" s="78"/>
      <c r="CE299" s="78"/>
      <c r="CF299" s="78"/>
      <c r="CG299" s="78"/>
      <c r="CH299" s="78"/>
      <c r="CI299" s="78"/>
      <c r="CJ299" s="78"/>
      <c r="CK299" s="78"/>
      <c r="CL299" s="78"/>
      <c r="CM299" s="78"/>
      <c r="CN299" s="78"/>
      <c r="CO299" s="78"/>
      <c r="CP299" s="78"/>
      <c r="CQ299" s="78"/>
      <c r="CR299" s="78"/>
      <c r="CS299" s="78"/>
      <c r="CT299" s="78"/>
      <c r="CU299" s="78"/>
      <c r="CV299" s="78"/>
      <c r="CW299" s="78"/>
      <c r="CX299" s="78"/>
      <c r="CY299" s="78"/>
      <c r="CZ299" s="78"/>
      <c r="DA299" s="78"/>
      <c r="DB299" s="78"/>
      <c r="DC299" s="78"/>
      <c r="DD299" s="78"/>
      <c r="DE299" s="78"/>
      <c r="DF299" s="78"/>
      <c r="DG299" s="78"/>
      <c r="DH299" s="78"/>
      <c r="DI299" s="78"/>
      <c r="DJ299" s="78"/>
      <c r="DK299" s="78"/>
      <c r="DL299" s="78"/>
      <c r="DM299" s="78"/>
      <c r="DN299" s="78"/>
      <c r="DO299" s="78"/>
      <c r="DP299" s="78"/>
      <c r="DQ299" s="78"/>
      <c r="DR299" s="78"/>
      <c r="DS299" s="78"/>
      <c r="DT299" s="78"/>
      <c r="DU299" s="78"/>
      <c r="DV299" s="78"/>
      <c r="DW299" s="78"/>
      <c r="DX299" s="78"/>
      <c r="DY299" s="78"/>
      <c r="DZ299" s="78"/>
      <c r="EA299" s="78"/>
      <c r="EB299" s="78"/>
      <c r="EC299" s="78"/>
    </row>
    <row r="300" spans="1:133" s="9" customFormat="1" ht="31.2" x14ac:dyDescent="0.4">
      <c r="A300" s="71" t="s">
        <v>62</v>
      </c>
      <c r="B300" s="60" t="s">
        <v>196</v>
      </c>
      <c r="C300" s="53" t="s">
        <v>63</v>
      </c>
      <c r="D300" s="53" t="s">
        <v>377</v>
      </c>
      <c r="E300" s="74">
        <f>SUM(F300:K300)</f>
        <v>1428.9598894946039</v>
      </c>
      <c r="F300" s="74">
        <f>F289*F284*F287+(1-F295)*'Baseline Emissions 2021'!Q300</f>
        <v>267.26623071834132</v>
      </c>
      <c r="G300" s="74">
        <f t="shared" ref="G300:K300" si="41">G289*G284*G287+(1-G295)*F300</f>
        <v>296.29830150889347</v>
      </c>
      <c r="H300" s="74">
        <f t="shared" si="41"/>
        <v>275.83930621651058</v>
      </c>
      <c r="I300" s="74">
        <f t="shared" si="41"/>
        <v>238.05914115792183</v>
      </c>
      <c r="J300" s="74">
        <f t="shared" si="41"/>
        <v>210.41957645963257</v>
      </c>
      <c r="K300" s="74">
        <f t="shared" si="41"/>
        <v>141.07733343330409</v>
      </c>
      <c r="L300" s="74" t="s">
        <v>297</v>
      </c>
      <c r="M300" s="74" t="s">
        <v>297</v>
      </c>
      <c r="N300" s="74" t="s">
        <v>297</v>
      </c>
      <c r="O300" s="74" t="s">
        <v>297</v>
      </c>
      <c r="P300" s="74" t="s">
        <v>297</v>
      </c>
      <c r="Q300" s="74" t="s">
        <v>297</v>
      </c>
      <c r="R300" s="78"/>
      <c r="S300" s="78"/>
      <c r="T300" s="78"/>
      <c r="U300" s="78"/>
      <c r="V300" s="78"/>
      <c r="W300" s="78"/>
      <c r="X300" s="78"/>
      <c r="Y300" s="78"/>
      <c r="Z300" s="78"/>
      <c r="AA300" s="78"/>
      <c r="AB300" s="78"/>
      <c r="AC300" s="78"/>
      <c r="AD300" s="78"/>
      <c r="AE300" s="78"/>
      <c r="AF300" s="78"/>
      <c r="AG300" s="78"/>
      <c r="AH300" s="78"/>
      <c r="AI300" s="78"/>
      <c r="AJ300" s="78"/>
      <c r="AK300" s="78"/>
      <c r="AL300" s="78"/>
      <c r="AM300" s="78"/>
      <c r="AN300" s="78"/>
      <c r="AO300" s="78"/>
      <c r="AP300" s="78"/>
      <c r="AQ300" s="78"/>
      <c r="AR300" s="78"/>
      <c r="AS300" s="78"/>
      <c r="AT300" s="78"/>
      <c r="AU300" s="78"/>
      <c r="AV300" s="78"/>
      <c r="AW300" s="78"/>
      <c r="AX300" s="78"/>
      <c r="AY300" s="78"/>
      <c r="AZ300" s="78"/>
      <c r="BA300" s="78"/>
      <c r="BB300" s="78"/>
      <c r="BC300" s="78"/>
      <c r="BD300" s="78"/>
      <c r="BE300" s="78"/>
      <c r="BF300" s="78"/>
      <c r="BG300" s="78"/>
      <c r="BH300" s="78"/>
      <c r="BI300" s="78"/>
      <c r="BJ300" s="78"/>
      <c r="BK300" s="78"/>
      <c r="BL300" s="78"/>
      <c r="BM300" s="78"/>
      <c r="BN300" s="78"/>
      <c r="BO300" s="78"/>
      <c r="BP300" s="78"/>
      <c r="BQ300" s="78"/>
      <c r="BR300" s="78"/>
      <c r="BS300" s="78"/>
      <c r="BT300" s="78"/>
      <c r="BU300" s="78"/>
      <c r="BV300" s="78"/>
      <c r="BW300" s="78"/>
      <c r="BX300" s="78"/>
      <c r="BY300" s="78"/>
      <c r="BZ300" s="78"/>
      <c r="CA300" s="78"/>
      <c r="CB300" s="78"/>
      <c r="CC300" s="78"/>
      <c r="CD300" s="78"/>
      <c r="CE300" s="78"/>
      <c r="CF300" s="78"/>
      <c r="CG300" s="78"/>
      <c r="CH300" s="78"/>
      <c r="CI300" s="78"/>
      <c r="CJ300" s="78"/>
      <c r="CK300" s="78"/>
      <c r="CL300" s="78"/>
      <c r="CM300" s="78"/>
      <c r="CN300" s="78"/>
      <c r="CO300" s="78"/>
      <c r="CP300" s="78"/>
      <c r="CQ300" s="78"/>
      <c r="CR300" s="78"/>
      <c r="CS300" s="78"/>
      <c r="CT300" s="78"/>
      <c r="CU300" s="78"/>
      <c r="CV300" s="78"/>
      <c r="CW300" s="78"/>
      <c r="CX300" s="78"/>
      <c r="CY300" s="78"/>
      <c r="CZ300" s="78"/>
      <c r="DA300" s="78"/>
      <c r="DB300" s="78"/>
      <c r="DC300" s="78"/>
      <c r="DD300" s="78"/>
      <c r="DE300" s="78"/>
      <c r="DF300" s="78"/>
      <c r="DG300" s="78"/>
      <c r="DH300" s="78"/>
      <c r="DI300" s="78"/>
      <c r="DJ300" s="78"/>
      <c r="DK300" s="78"/>
      <c r="DL300" s="78"/>
      <c r="DM300" s="78"/>
      <c r="DN300" s="78"/>
      <c r="DO300" s="78"/>
      <c r="DP300" s="78"/>
      <c r="DQ300" s="78"/>
      <c r="DR300" s="78"/>
      <c r="DS300" s="78"/>
      <c r="DT300" s="78"/>
      <c r="DU300" s="78"/>
      <c r="DV300" s="78"/>
      <c r="DW300" s="78"/>
      <c r="DX300" s="78"/>
      <c r="DY300" s="78"/>
      <c r="DZ300" s="78"/>
      <c r="EA300" s="78"/>
      <c r="EB300" s="78"/>
      <c r="EC300" s="78"/>
    </row>
    <row r="302" spans="1:133" x14ac:dyDescent="0.25">
      <c r="A302" s="158" t="s">
        <v>64</v>
      </c>
      <c r="B302" s="158"/>
      <c r="C302" s="158"/>
      <c r="D302" s="158"/>
      <c r="E302" s="158"/>
    </row>
    <row r="303" spans="1:133" x14ac:dyDescent="0.25">
      <c r="A303" s="57" t="s">
        <v>8</v>
      </c>
      <c r="B303" s="58" t="s">
        <v>9</v>
      </c>
      <c r="C303" s="34" t="s">
        <v>10</v>
      </c>
      <c r="D303" s="34" t="s">
        <v>340</v>
      </c>
      <c r="E303" s="16" t="s">
        <v>65</v>
      </c>
    </row>
    <row r="304" spans="1:133" s="13" customFormat="1" ht="62.4" x14ac:dyDescent="0.25">
      <c r="A304" s="59" t="s">
        <v>66</v>
      </c>
      <c r="B304" s="60" t="s">
        <v>14</v>
      </c>
      <c r="C304" s="53" t="s">
        <v>67</v>
      </c>
      <c r="D304" s="53" t="s">
        <v>68</v>
      </c>
      <c r="E304" s="75">
        <v>0</v>
      </c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F304" s="14"/>
      <c r="AG304" s="14"/>
      <c r="AH304" s="14"/>
      <c r="AI304" s="14"/>
      <c r="AJ304" s="14"/>
      <c r="AK304" s="14"/>
      <c r="AL304" s="14"/>
      <c r="AM304" s="14"/>
      <c r="AN304" s="14"/>
      <c r="AO304" s="14"/>
      <c r="AP304" s="14"/>
      <c r="AQ304" s="14"/>
      <c r="AR304" s="14"/>
      <c r="AS304" s="14"/>
      <c r="AT304" s="14"/>
      <c r="AU304" s="14"/>
      <c r="AV304" s="14"/>
      <c r="AW304" s="14"/>
      <c r="AX304" s="14"/>
      <c r="AY304" s="14"/>
      <c r="AZ304" s="14"/>
      <c r="BA304" s="14"/>
      <c r="BB304" s="14"/>
      <c r="BC304" s="14"/>
      <c r="BD304" s="14"/>
      <c r="BE304" s="14"/>
      <c r="BF304" s="14"/>
      <c r="BG304" s="14"/>
      <c r="BH304" s="14"/>
      <c r="BI304" s="14"/>
      <c r="BJ304" s="14"/>
      <c r="BK304" s="14"/>
      <c r="BL304" s="14"/>
      <c r="BM304" s="14"/>
      <c r="BN304" s="14"/>
      <c r="BO304" s="14"/>
      <c r="BP304" s="14"/>
      <c r="BQ304" s="14"/>
      <c r="BR304" s="14"/>
      <c r="BS304" s="14"/>
      <c r="BT304" s="14"/>
      <c r="BU304" s="14"/>
      <c r="BV304" s="14"/>
      <c r="BW304" s="14"/>
      <c r="BX304" s="14"/>
      <c r="BY304" s="14"/>
      <c r="BZ304" s="14"/>
      <c r="CA304" s="14"/>
      <c r="CB304" s="14"/>
      <c r="CC304" s="14"/>
      <c r="CD304" s="14"/>
      <c r="CE304" s="14"/>
      <c r="CF304" s="14"/>
      <c r="CG304" s="14"/>
      <c r="CH304" s="14"/>
      <c r="CI304" s="14"/>
      <c r="CJ304" s="14"/>
      <c r="CK304" s="14"/>
      <c r="CL304" s="14"/>
      <c r="CM304" s="14"/>
      <c r="CN304" s="14"/>
      <c r="CO304" s="14"/>
      <c r="CP304" s="14"/>
      <c r="CQ304" s="14"/>
      <c r="CR304" s="14"/>
      <c r="CS304" s="14"/>
      <c r="CT304" s="14"/>
      <c r="CU304" s="14"/>
      <c r="CV304" s="14"/>
      <c r="CW304" s="14"/>
      <c r="CX304" s="14"/>
      <c r="CY304" s="14"/>
      <c r="CZ304" s="14"/>
      <c r="DA304" s="14"/>
      <c r="DB304" s="14"/>
      <c r="DC304" s="14"/>
      <c r="DD304" s="14"/>
      <c r="DE304" s="14"/>
      <c r="DF304" s="14"/>
      <c r="DG304" s="14"/>
      <c r="DH304" s="14"/>
      <c r="DI304" s="14"/>
      <c r="DJ304" s="14"/>
      <c r="DK304" s="14"/>
      <c r="DL304" s="14"/>
      <c r="DM304" s="14"/>
      <c r="DN304" s="14"/>
      <c r="DO304" s="14"/>
      <c r="DP304" s="14"/>
      <c r="DQ304" s="14"/>
      <c r="DR304" s="14"/>
      <c r="DS304" s="14"/>
      <c r="DT304" s="14"/>
      <c r="DU304" s="14"/>
      <c r="DV304" s="14"/>
      <c r="DW304" s="14"/>
      <c r="DX304" s="14"/>
      <c r="DY304" s="14"/>
      <c r="DZ304" s="14"/>
      <c r="EA304" s="14"/>
      <c r="EB304" s="14"/>
      <c r="EC304" s="14"/>
    </row>
    <row r="305" spans="1:133" s="13" customFormat="1" ht="46.8" x14ac:dyDescent="0.25">
      <c r="A305" s="63" t="s">
        <v>69</v>
      </c>
      <c r="B305" s="25" t="s">
        <v>70</v>
      </c>
      <c r="C305" s="35" t="s">
        <v>71</v>
      </c>
      <c r="D305" s="53" t="str">
        <f>D311</f>
        <v>Historical data on site in the FSR (It was calculated with conservative value)</v>
      </c>
      <c r="E305" s="74">
        <f>E311</f>
        <v>285.09973329658345</v>
      </c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  <c r="AG305" s="14"/>
      <c r="AH305" s="14"/>
      <c r="AI305" s="14"/>
      <c r="AJ305" s="14"/>
      <c r="AK305" s="14"/>
      <c r="AL305" s="14"/>
      <c r="AM305" s="14"/>
      <c r="AN305" s="14"/>
      <c r="AO305" s="14"/>
      <c r="AP305" s="14"/>
      <c r="AQ305" s="14"/>
      <c r="AR305" s="14"/>
      <c r="AS305" s="14"/>
      <c r="AT305" s="14"/>
      <c r="AU305" s="14"/>
      <c r="AV305" s="14"/>
      <c r="AW305" s="14"/>
      <c r="AX305" s="14"/>
      <c r="AY305" s="14"/>
      <c r="AZ305" s="14"/>
      <c r="BA305" s="14"/>
      <c r="BB305" s="14"/>
      <c r="BC305" s="14"/>
      <c r="BD305" s="14"/>
      <c r="BE305" s="14"/>
      <c r="BF305" s="14"/>
      <c r="BG305" s="14"/>
      <c r="BH305" s="14"/>
      <c r="BI305" s="14"/>
      <c r="BJ305" s="14"/>
      <c r="BK305" s="14"/>
      <c r="BL305" s="14"/>
      <c r="BM305" s="14"/>
      <c r="BN305" s="14"/>
      <c r="BO305" s="14"/>
      <c r="BP305" s="14"/>
      <c r="BQ305" s="14"/>
      <c r="BR305" s="14"/>
      <c r="BS305" s="14"/>
      <c r="BT305" s="14"/>
      <c r="BU305" s="14"/>
      <c r="BV305" s="14"/>
      <c r="BW305" s="14"/>
      <c r="BX305" s="14"/>
      <c r="BY305" s="14"/>
      <c r="BZ305" s="14"/>
      <c r="CA305" s="14"/>
      <c r="CB305" s="14"/>
      <c r="CC305" s="14"/>
      <c r="CD305" s="14"/>
      <c r="CE305" s="14"/>
      <c r="CF305" s="14"/>
      <c r="CG305" s="14"/>
      <c r="CH305" s="14"/>
      <c r="CI305" s="14"/>
      <c r="CJ305" s="14"/>
      <c r="CK305" s="14"/>
      <c r="CL305" s="14"/>
      <c r="CM305" s="14"/>
      <c r="CN305" s="14"/>
      <c r="CO305" s="14"/>
      <c r="CP305" s="14"/>
      <c r="CQ305" s="14"/>
      <c r="CR305" s="14"/>
      <c r="CS305" s="14"/>
      <c r="CT305" s="14"/>
      <c r="CU305" s="14"/>
      <c r="CV305" s="14"/>
      <c r="CW305" s="14"/>
      <c r="CX305" s="14"/>
      <c r="CY305" s="14"/>
      <c r="CZ305" s="14"/>
      <c r="DA305" s="14"/>
      <c r="DB305" s="14"/>
      <c r="DC305" s="14"/>
      <c r="DD305" s="14"/>
      <c r="DE305" s="14"/>
      <c r="DF305" s="14"/>
      <c r="DG305" s="14"/>
      <c r="DH305" s="14"/>
      <c r="DI305" s="14"/>
      <c r="DJ305" s="14"/>
      <c r="DK305" s="14"/>
      <c r="DL305" s="14"/>
      <c r="DM305" s="14"/>
      <c r="DN305" s="14"/>
      <c r="DO305" s="14"/>
      <c r="DP305" s="14"/>
      <c r="DQ305" s="14"/>
      <c r="DR305" s="14"/>
      <c r="DS305" s="14"/>
      <c r="DT305" s="14"/>
      <c r="DU305" s="14"/>
      <c r="DV305" s="14"/>
      <c r="DW305" s="14"/>
      <c r="DX305" s="14"/>
      <c r="DY305" s="14"/>
      <c r="DZ305" s="14"/>
      <c r="EA305" s="14"/>
      <c r="EB305" s="14"/>
      <c r="EC305" s="14"/>
    </row>
    <row r="306" spans="1:133" s="13" customFormat="1" x14ac:dyDescent="0.25">
      <c r="A306" s="14"/>
      <c r="C306" s="12"/>
      <c r="D306" s="12"/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F306" s="14"/>
      <c r="AG306" s="14"/>
      <c r="AH306" s="14"/>
      <c r="AI306" s="14"/>
      <c r="AJ306" s="14"/>
      <c r="AK306" s="14"/>
      <c r="AL306" s="14"/>
      <c r="AM306" s="14"/>
      <c r="AN306" s="14"/>
      <c r="AO306" s="14"/>
      <c r="AP306" s="14"/>
      <c r="AQ306" s="14"/>
      <c r="AR306" s="14"/>
      <c r="AS306" s="14"/>
      <c r="AT306" s="14"/>
      <c r="AU306" s="14"/>
      <c r="AV306" s="14"/>
      <c r="AW306" s="14"/>
      <c r="AX306" s="14"/>
      <c r="AY306" s="14"/>
      <c r="AZ306" s="14"/>
      <c r="BA306" s="14"/>
      <c r="BB306" s="14"/>
      <c r="BC306" s="14"/>
      <c r="BD306" s="14"/>
      <c r="BE306" s="14"/>
      <c r="BF306" s="14"/>
      <c r="BG306" s="14"/>
      <c r="BH306" s="14"/>
      <c r="BI306" s="14"/>
      <c r="BJ306" s="14"/>
      <c r="BK306" s="14"/>
      <c r="BL306" s="14"/>
      <c r="BM306" s="14"/>
      <c r="BN306" s="14"/>
      <c r="BO306" s="14"/>
      <c r="BP306" s="14"/>
      <c r="BQ306" s="14"/>
      <c r="BR306" s="14"/>
      <c r="BS306" s="14"/>
      <c r="BT306" s="14"/>
      <c r="BU306" s="14"/>
      <c r="BV306" s="14"/>
      <c r="BW306" s="14"/>
      <c r="BX306" s="14"/>
      <c r="BY306" s="14"/>
      <c r="BZ306" s="14"/>
      <c r="CA306" s="14"/>
      <c r="CB306" s="14"/>
      <c r="CC306" s="14"/>
      <c r="CD306" s="14"/>
      <c r="CE306" s="14"/>
      <c r="CF306" s="14"/>
      <c r="CG306" s="14"/>
      <c r="CH306" s="14"/>
      <c r="CI306" s="14"/>
      <c r="CJ306" s="14"/>
      <c r="CK306" s="14"/>
      <c r="CL306" s="14"/>
      <c r="CM306" s="14"/>
      <c r="CN306" s="14"/>
      <c r="CO306" s="14"/>
      <c r="CP306" s="14"/>
      <c r="CQ306" s="14"/>
      <c r="CR306" s="14"/>
      <c r="CS306" s="14"/>
      <c r="CT306" s="14"/>
      <c r="CU306" s="14"/>
      <c r="CV306" s="14"/>
      <c r="CW306" s="14"/>
      <c r="CX306" s="14"/>
      <c r="CY306" s="14"/>
      <c r="CZ306" s="14"/>
      <c r="DA306" s="14"/>
      <c r="DB306" s="14"/>
      <c r="DC306" s="14"/>
      <c r="DD306" s="14"/>
      <c r="DE306" s="14"/>
      <c r="DF306" s="14"/>
      <c r="DG306" s="14"/>
      <c r="DH306" s="14"/>
      <c r="DI306" s="14"/>
      <c r="DJ306" s="14"/>
      <c r="DK306" s="14"/>
      <c r="DL306" s="14"/>
      <c r="DM306" s="14"/>
      <c r="DN306" s="14"/>
      <c r="DO306" s="14"/>
      <c r="DP306" s="14"/>
      <c r="DQ306" s="14"/>
      <c r="DR306" s="14"/>
      <c r="DS306" s="14"/>
      <c r="DT306" s="14"/>
      <c r="DU306" s="14"/>
      <c r="DV306" s="14"/>
      <c r="DW306" s="14"/>
      <c r="DX306" s="14"/>
      <c r="DY306" s="14"/>
      <c r="DZ306" s="14"/>
      <c r="EA306" s="14"/>
      <c r="EB306" s="14"/>
      <c r="EC306" s="14"/>
    </row>
    <row r="307" spans="1:133" s="13" customFormat="1" x14ac:dyDescent="0.25">
      <c r="A307" s="174" t="s">
        <v>72</v>
      </c>
      <c r="B307" s="174"/>
      <c r="C307" s="175"/>
      <c r="D307" s="175"/>
      <c r="E307" s="17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F307" s="14"/>
      <c r="AG307" s="14"/>
      <c r="AH307" s="14"/>
      <c r="AI307" s="14"/>
      <c r="AJ307" s="14"/>
      <c r="AK307" s="14"/>
      <c r="AL307" s="14"/>
      <c r="AM307" s="14"/>
      <c r="AN307" s="14"/>
      <c r="AO307" s="14"/>
      <c r="AP307" s="14"/>
      <c r="AQ307" s="14"/>
      <c r="AR307" s="14"/>
      <c r="AS307" s="14"/>
      <c r="AT307" s="14"/>
      <c r="AU307" s="14"/>
      <c r="AV307" s="14"/>
      <c r="AW307" s="14"/>
      <c r="AX307" s="14"/>
      <c r="AY307" s="14"/>
      <c r="AZ307" s="14"/>
      <c r="BA307" s="14"/>
      <c r="BB307" s="14"/>
      <c r="BC307" s="14"/>
      <c r="BD307" s="14"/>
      <c r="BE307" s="14"/>
      <c r="BF307" s="14"/>
      <c r="BG307" s="14"/>
      <c r="BH307" s="14"/>
      <c r="BI307" s="14"/>
      <c r="BJ307" s="14"/>
      <c r="BK307" s="14"/>
      <c r="BL307" s="14"/>
      <c r="BM307" s="14"/>
      <c r="BN307" s="14"/>
      <c r="BO307" s="14"/>
      <c r="BP307" s="14"/>
      <c r="BQ307" s="14"/>
      <c r="BR307" s="14"/>
      <c r="BS307" s="14"/>
      <c r="BT307" s="14"/>
      <c r="BU307" s="14"/>
      <c r="BV307" s="14"/>
      <c r="BW307" s="14"/>
      <c r="BX307" s="14"/>
      <c r="BY307" s="14"/>
      <c r="BZ307" s="14"/>
      <c r="CA307" s="14"/>
      <c r="CB307" s="14"/>
      <c r="CC307" s="14"/>
      <c r="CD307" s="14"/>
      <c r="CE307" s="14"/>
      <c r="CF307" s="14"/>
      <c r="CG307" s="14"/>
      <c r="CH307" s="14"/>
      <c r="CI307" s="14"/>
      <c r="CJ307" s="14"/>
      <c r="CK307" s="14"/>
      <c r="CL307" s="14"/>
      <c r="CM307" s="14"/>
      <c r="CN307" s="14"/>
      <c r="CO307" s="14"/>
      <c r="CP307" s="14"/>
      <c r="CQ307" s="14"/>
      <c r="CR307" s="14"/>
      <c r="CS307" s="14"/>
      <c r="CT307" s="14"/>
      <c r="CU307" s="14"/>
      <c r="CV307" s="14"/>
      <c r="CW307" s="14"/>
      <c r="CX307" s="14"/>
      <c r="CY307" s="14"/>
      <c r="CZ307" s="14"/>
      <c r="DA307" s="14"/>
      <c r="DB307" s="14"/>
      <c r="DC307" s="14"/>
      <c r="DD307" s="14"/>
      <c r="DE307" s="14"/>
      <c r="DF307" s="14"/>
      <c r="DG307" s="14"/>
      <c r="DH307" s="14"/>
      <c r="DI307" s="14"/>
      <c r="DJ307" s="14"/>
      <c r="DK307" s="14"/>
      <c r="DL307" s="14"/>
      <c r="DM307" s="14"/>
      <c r="DN307" s="14"/>
      <c r="DO307" s="14"/>
      <c r="DP307" s="14"/>
      <c r="DQ307" s="14"/>
      <c r="DR307" s="14"/>
      <c r="DS307" s="14"/>
      <c r="DT307" s="14"/>
      <c r="DU307" s="14"/>
      <c r="DV307" s="14"/>
      <c r="DW307" s="14"/>
      <c r="DX307" s="14"/>
      <c r="DY307" s="14"/>
      <c r="DZ307" s="14"/>
      <c r="EA307" s="14"/>
      <c r="EB307" s="14"/>
      <c r="EC307" s="14"/>
    </row>
    <row r="308" spans="1:133" s="13" customFormat="1" x14ac:dyDescent="0.25">
      <c r="A308" s="59" t="s">
        <v>8</v>
      </c>
      <c r="B308" s="16" t="s">
        <v>9</v>
      </c>
      <c r="C308" s="38" t="s">
        <v>10</v>
      </c>
      <c r="D308" s="38" t="s">
        <v>340</v>
      </c>
      <c r="E308" s="16" t="s">
        <v>65</v>
      </c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F308" s="14"/>
      <c r="AG308" s="14"/>
      <c r="AH308" s="14"/>
      <c r="AI308" s="14"/>
      <c r="AJ308" s="14"/>
      <c r="AK308" s="14"/>
      <c r="AL308" s="14"/>
      <c r="AM308" s="14"/>
      <c r="AN308" s="14"/>
      <c r="AO308" s="14"/>
      <c r="AP308" s="14"/>
      <c r="AQ308" s="14"/>
      <c r="AR308" s="14"/>
      <c r="AS308" s="14"/>
      <c r="AT308" s="14"/>
      <c r="AU308" s="14"/>
      <c r="AV308" s="14"/>
      <c r="AW308" s="14"/>
      <c r="AX308" s="14"/>
      <c r="AY308" s="14"/>
      <c r="AZ308" s="14"/>
      <c r="BA308" s="14"/>
      <c r="BB308" s="14"/>
      <c r="BC308" s="14"/>
      <c r="BD308" s="14"/>
      <c r="BE308" s="14"/>
      <c r="BF308" s="14"/>
      <c r="BG308" s="14"/>
      <c r="BH308" s="14"/>
      <c r="BI308" s="14"/>
      <c r="BJ308" s="14"/>
      <c r="BK308" s="14"/>
      <c r="BL308" s="14"/>
      <c r="BM308" s="14"/>
      <c r="BN308" s="14"/>
      <c r="BO308" s="14"/>
      <c r="BP308" s="14"/>
      <c r="BQ308" s="14"/>
      <c r="BR308" s="14"/>
      <c r="BS308" s="14"/>
      <c r="BT308" s="14"/>
      <c r="BU308" s="14"/>
      <c r="BV308" s="14"/>
      <c r="BW308" s="14"/>
      <c r="BX308" s="14"/>
      <c r="BY308" s="14"/>
      <c r="BZ308" s="14"/>
      <c r="CA308" s="14"/>
      <c r="CB308" s="14"/>
      <c r="CC308" s="14"/>
      <c r="CD308" s="14"/>
      <c r="CE308" s="14"/>
      <c r="CF308" s="14"/>
      <c r="CG308" s="14"/>
      <c r="CH308" s="14"/>
      <c r="CI308" s="14"/>
      <c r="CJ308" s="14"/>
      <c r="CK308" s="14"/>
      <c r="CL308" s="14"/>
      <c r="CM308" s="14"/>
      <c r="CN308" s="14"/>
      <c r="CO308" s="14"/>
      <c r="CP308" s="14"/>
      <c r="CQ308" s="14"/>
      <c r="CR308" s="14"/>
      <c r="CS308" s="14"/>
      <c r="CT308" s="14"/>
      <c r="CU308" s="14"/>
      <c r="CV308" s="14"/>
      <c r="CW308" s="14"/>
      <c r="CX308" s="14"/>
      <c r="CY308" s="14"/>
      <c r="CZ308" s="14"/>
      <c r="DA308" s="14"/>
      <c r="DB308" s="14"/>
      <c r="DC308" s="14"/>
      <c r="DD308" s="14"/>
      <c r="DE308" s="14"/>
      <c r="DF308" s="14"/>
      <c r="DG308" s="14"/>
      <c r="DH308" s="14"/>
      <c r="DI308" s="14"/>
      <c r="DJ308" s="14"/>
      <c r="DK308" s="14"/>
      <c r="DL308" s="14"/>
      <c r="DM308" s="14"/>
      <c r="DN308" s="14"/>
      <c r="DO308" s="14"/>
      <c r="DP308" s="14"/>
      <c r="DQ308" s="14"/>
      <c r="DR308" s="14"/>
      <c r="DS308" s="14"/>
      <c r="DT308" s="14"/>
      <c r="DU308" s="14"/>
      <c r="DV308" s="14"/>
      <c r="DW308" s="14"/>
      <c r="DX308" s="14"/>
      <c r="DY308" s="14"/>
      <c r="DZ308" s="14"/>
      <c r="EA308" s="14"/>
      <c r="EB308" s="14"/>
      <c r="EC308" s="14"/>
    </row>
    <row r="309" spans="1:133" s="13" customFormat="1" ht="33.6" x14ac:dyDescent="0.4">
      <c r="A309" s="76" t="s">
        <v>73</v>
      </c>
      <c r="B309" s="25" t="s">
        <v>74</v>
      </c>
      <c r="C309" s="35" t="s">
        <v>75</v>
      </c>
      <c r="D309" s="35" t="s">
        <v>378</v>
      </c>
      <c r="E309" s="50">
        <f>E310*E313*E314*E315*E316*E317</f>
        <v>1.1579984177291833</v>
      </c>
      <c r="R309" s="14"/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F309" s="14"/>
      <c r="AG309" s="14"/>
      <c r="AH309" s="14"/>
      <c r="AI309" s="14"/>
      <c r="AJ309" s="14"/>
      <c r="AK309" s="14"/>
      <c r="AL309" s="14"/>
      <c r="AM309" s="14"/>
      <c r="AN309" s="14"/>
      <c r="AO309" s="14"/>
      <c r="AP309" s="14"/>
      <c r="AQ309" s="14"/>
      <c r="AR309" s="14"/>
      <c r="AS309" s="14"/>
      <c r="AT309" s="14"/>
      <c r="AU309" s="14"/>
      <c r="AV309" s="14"/>
      <c r="AW309" s="14"/>
      <c r="AX309" s="14"/>
      <c r="AY309" s="14"/>
      <c r="AZ309" s="14"/>
      <c r="BA309" s="14"/>
      <c r="BB309" s="14"/>
      <c r="BC309" s="14"/>
      <c r="BD309" s="14"/>
      <c r="BE309" s="14"/>
      <c r="BF309" s="14"/>
      <c r="BG309" s="14"/>
      <c r="BH309" s="14"/>
      <c r="BI309" s="14"/>
      <c r="BJ309" s="14"/>
      <c r="BK309" s="14"/>
      <c r="BL309" s="14"/>
      <c r="BM309" s="14"/>
      <c r="BN309" s="14"/>
      <c r="BO309" s="14"/>
      <c r="BP309" s="14"/>
      <c r="BQ309" s="14"/>
      <c r="BR309" s="14"/>
      <c r="BS309" s="14"/>
      <c r="BT309" s="14"/>
      <c r="BU309" s="14"/>
      <c r="BV309" s="14"/>
      <c r="BW309" s="14"/>
      <c r="BX309" s="14"/>
      <c r="BY309" s="14"/>
      <c r="BZ309" s="14"/>
      <c r="CA309" s="14"/>
      <c r="CB309" s="14"/>
      <c r="CC309" s="14"/>
      <c r="CD309" s="14"/>
      <c r="CE309" s="14"/>
      <c r="CF309" s="14"/>
      <c r="CG309" s="14"/>
      <c r="CH309" s="14"/>
      <c r="CI309" s="14"/>
      <c r="CJ309" s="14"/>
      <c r="CK309" s="14"/>
      <c r="CL309" s="14"/>
      <c r="CM309" s="14"/>
      <c r="CN309" s="14"/>
      <c r="CO309" s="14"/>
      <c r="CP309" s="14"/>
      <c r="CQ309" s="14"/>
      <c r="CR309" s="14"/>
      <c r="CS309" s="14"/>
      <c r="CT309" s="14"/>
      <c r="CU309" s="14"/>
      <c r="CV309" s="14"/>
      <c r="CW309" s="14"/>
      <c r="CX309" s="14"/>
      <c r="CY309" s="14"/>
      <c r="CZ309" s="14"/>
      <c r="DA309" s="14"/>
      <c r="DB309" s="14"/>
      <c r="DC309" s="14"/>
      <c r="DD309" s="14"/>
      <c r="DE309" s="14"/>
      <c r="DF309" s="14"/>
      <c r="DG309" s="14"/>
      <c r="DH309" s="14"/>
      <c r="DI309" s="14"/>
      <c r="DJ309" s="14"/>
      <c r="DK309" s="14"/>
      <c r="DL309" s="14"/>
      <c r="DM309" s="14"/>
      <c r="DN309" s="14"/>
      <c r="DO309" s="14"/>
      <c r="DP309" s="14"/>
      <c r="DQ309" s="14"/>
      <c r="DR309" s="14"/>
      <c r="DS309" s="14"/>
      <c r="DT309" s="14"/>
      <c r="DU309" s="14"/>
      <c r="DV309" s="14"/>
      <c r="DW309" s="14"/>
      <c r="DX309" s="14"/>
      <c r="DY309" s="14"/>
      <c r="DZ309" s="14"/>
      <c r="EA309" s="14"/>
      <c r="EB309" s="14"/>
      <c r="EC309" s="14"/>
    </row>
    <row r="310" spans="1:133" s="13" customFormat="1" ht="46.8" x14ac:dyDescent="0.4">
      <c r="A310" s="77" t="s">
        <v>207</v>
      </c>
      <c r="B310" s="25" t="s">
        <v>76</v>
      </c>
      <c r="C310" s="35" t="s">
        <v>77</v>
      </c>
      <c r="D310" s="35" t="s">
        <v>379</v>
      </c>
      <c r="E310" s="52">
        <f>E311/E312</f>
        <v>57.019946659316687</v>
      </c>
      <c r="R310" s="14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F310" s="14"/>
      <c r="AG310" s="14"/>
      <c r="AH310" s="14"/>
      <c r="AI310" s="14"/>
      <c r="AJ310" s="14"/>
      <c r="AK310" s="14"/>
      <c r="AL310" s="14"/>
      <c r="AM310" s="14"/>
      <c r="AN310" s="14"/>
      <c r="AO310" s="14"/>
      <c r="AP310" s="14"/>
      <c r="AQ310" s="14"/>
      <c r="AR310" s="14"/>
      <c r="AS310" s="14"/>
      <c r="AT310" s="14"/>
      <c r="AU310" s="14"/>
      <c r="AV310" s="14"/>
      <c r="AW310" s="14"/>
      <c r="AX310" s="14"/>
      <c r="AY310" s="14"/>
      <c r="AZ310" s="14"/>
      <c r="BA310" s="14"/>
      <c r="BB310" s="14"/>
      <c r="BC310" s="14"/>
      <c r="BD310" s="14"/>
      <c r="BE310" s="14"/>
      <c r="BF310" s="14"/>
      <c r="BG310" s="14"/>
      <c r="BH310" s="14"/>
      <c r="BI310" s="14"/>
      <c r="BJ310" s="14"/>
      <c r="BK310" s="14"/>
      <c r="BL310" s="14"/>
      <c r="BM310" s="14"/>
      <c r="BN310" s="14"/>
      <c r="BO310" s="14"/>
      <c r="BP310" s="14"/>
      <c r="BQ310" s="14"/>
      <c r="BR310" s="14"/>
      <c r="BS310" s="14"/>
      <c r="BT310" s="14"/>
      <c r="BU310" s="14"/>
      <c r="BV310" s="14"/>
      <c r="BW310" s="14"/>
      <c r="BX310" s="14"/>
      <c r="BY310" s="14"/>
      <c r="BZ310" s="14"/>
      <c r="CA310" s="14"/>
      <c r="CB310" s="14"/>
      <c r="CC310" s="14"/>
      <c r="CD310" s="14"/>
      <c r="CE310" s="14"/>
      <c r="CF310" s="14"/>
      <c r="CG310" s="14"/>
      <c r="CH310" s="14"/>
      <c r="CI310" s="14"/>
      <c r="CJ310" s="14"/>
      <c r="CK310" s="14"/>
      <c r="CL310" s="14"/>
      <c r="CM310" s="14"/>
      <c r="CN310" s="14"/>
      <c r="CO310" s="14"/>
      <c r="CP310" s="14"/>
      <c r="CQ310" s="14"/>
      <c r="CR310" s="14"/>
      <c r="CS310" s="14"/>
      <c r="CT310" s="14"/>
      <c r="CU310" s="14"/>
      <c r="CV310" s="14"/>
      <c r="CW310" s="14"/>
      <c r="CX310" s="14"/>
      <c r="CY310" s="14"/>
      <c r="CZ310" s="14"/>
      <c r="DA310" s="14"/>
      <c r="DB310" s="14"/>
      <c r="DC310" s="14"/>
      <c r="DD310" s="14"/>
      <c r="DE310" s="14"/>
      <c r="DF310" s="14"/>
      <c r="DG310" s="14"/>
      <c r="DH310" s="14"/>
      <c r="DI310" s="14"/>
      <c r="DJ310" s="14"/>
      <c r="DK310" s="14"/>
      <c r="DL310" s="14"/>
      <c r="DM310" s="14"/>
      <c r="DN310" s="14"/>
      <c r="DO310" s="14"/>
      <c r="DP310" s="14"/>
      <c r="DQ310" s="14"/>
      <c r="DR310" s="14"/>
      <c r="DS310" s="14"/>
      <c r="DT310" s="14"/>
      <c r="DU310" s="14"/>
      <c r="DV310" s="14"/>
      <c r="DW310" s="14"/>
      <c r="DX310" s="14"/>
      <c r="DY310" s="14"/>
      <c r="DZ310" s="14"/>
      <c r="EA310" s="14"/>
      <c r="EB310" s="14"/>
      <c r="EC310" s="14"/>
    </row>
    <row r="311" spans="1:133" s="13" customFormat="1" ht="46.8" x14ac:dyDescent="0.25">
      <c r="A311" s="63" t="s">
        <v>208</v>
      </c>
      <c r="B311" s="25" t="s">
        <v>78</v>
      </c>
      <c r="C311" s="35" t="s">
        <v>79</v>
      </c>
      <c r="D311" s="53" t="s">
        <v>352</v>
      </c>
      <c r="E311" s="52">
        <f>0.000185731908659239*E284</f>
        <v>285.09973329658345</v>
      </c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F311" s="14"/>
      <c r="AG311" s="14"/>
      <c r="AH311" s="14"/>
      <c r="AI311" s="14"/>
      <c r="AJ311" s="14"/>
      <c r="AK311" s="14"/>
      <c r="AL311" s="14"/>
      <c r="AM311" s="14"/>
      <c r="AN311" s="14"/>
      <c r="AO311" s="14"/>
      <c r="AP311" s="14"/>
      <c r="AQ311" s="14"/>
      <c r="AR311" s="14"/>
      <c r="AS311" s="14"/>
      <c r="AT311" s="14"/>
      <c r="AU311" s="14"/>
      <c r="AV311" s="14"/>
      <c r="AW311" s="14"/>
      <c r="AX311" s="14"/>
      <c r="AY311" s="14"/>
      <c r="AZ311" s="14"/>
      <c r="BA311" s="14"/>
      <c r="BB311" s="14"/>
      <c r="BC311" s="14"/>
      <c r="BD311" s="14"/>
      <c r="BE311" s="14"/>
      <c r="BF311" s="14"/>
      <c r="BG311" s="14"/>
      <c r="BH311" s="14"/>
      <c r="BI311" s="14"/>
      <c r="BJ311" s="14"/>
      <c r="BK311" s="14"/>
      <c r="BL311" s="14"/>
      <c r="BM311" s="14"/>
      <c r="BN311" s="14"/>
      <c r="BO311" s="14"/>
      <c r="BP311" s="14"/>
      <c r="BQ311" s="14"/>
      <c r="BR311" s="14"/>
      <c r="BS311" s="14"/>
      <c r="BT311" s="14"/>
      <c r="BU311" s="14"/>
      <c r="BV311" s="14"/>
      <c r="BW311" s="14"/>
      <c r="BX311" s="14"/>
      <c r="BY311" s="14"/>
      <c r="BZ311" s="14"/>
      <c r="CA311" s="14"/>
      <c r="CB311" s="14"/>
      <c r="CC311" s="14"/>
      <c r="CD311" s="14"/>
      <c r="CE311" s="14"/>
      <c r="CF311" s="14"/>
      <c r="CG311" s="14"/>
      <c r="CH311" s="14"/>
      <c r="CI311" s="14"/>
      <c r="CJ311" s="14"/>
      <c r="CK311" s="14"/>
      <c r="CL311" s="14"/>
      <c r="CM311" s="14"/>
      <c r="CN311" s="14"/>
      <c r="CO311" s="14"/>
      <c r="CP311" s="14"/>
      <c r="CQ311" s="14"/>
      <c r="CR311" s="14"/>
      <c r="CS311" s="14"/>
      <c r="CT311" s="14"/>
      <c r="CU311" s="14"/>
      <c r="CV311" s="14"/>
      <c r="CW311" s="14"/>
      <c r="CX311" s="14"/>
      <c r="CY311" s="14"/>
      <c r="CZ311" s="14"/>
      <c r="DA311" s="14"/>
      <c r="DB311" s="14"/>
      <c r="DC311" s="14"/>
      <c r="DD311" s="14"/>
      <c r="DE311" s="14"/>
      <c r="DF311" s="14"/>
      <c r="DG311" s="14"/>
      <c r="DH311" s="14"/>
      <c r="DI311" s="14"/>
      <c r="DJ311" s="14"/>
      <c r="DK311" s="14"/>
      <c r="DL311" s="14"/>
      <c r="DM311" s="14"/>
      <c r="DN311" s="14"/>
      <c r="DO311" s="14"/>
      <c r="DP311" s="14"/>
      <c r="DQ311" s="14"/>
      <c r="DR311" s="14"/>
      <c r="DS311" s="14"/>
      <c r="DT311" s="14"/>
      <c r="DU311" s="14"/>
      <c r="DV311" s="14"/>
      <c r="DW311" s="14"/>
      <c r="DX311" s="14"/>
      <c r="DY311" s="14"/>
      <c r="DZ311" s="14"/>
      <c r="EA311" s="14"/>
      <c r="EB311" s="14"/>
      <c r="EC311" s="14"/>
    </row>
    <row r="312" spans="1:133" s="13" customFormat="1" ht="31.2" x14ac:dyDescent="0.25">
      <c r="A312" s="63" t="s">
        <v>209</v>
      </c>
      <c r="B312" s="25" t="s">
        <v>80</v>
      </c>
      <c r="C312" s="35" t="s">
        <v>81</v>
      </c>
      <c r="D312" s="35" t="s">
        <v>353</v>
      </c>
      <c r="E312" s="25">
        <f>5</f>
        <v>5</v>
      </c>
      <c r="R312" s="14"/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F312" s="14"/>
      <c r="AG312" s="14"/>
      <c r="AH312" s="14"/>
      <c r="AI312" s="14"/>
      <c r="AJ312" s="14"/>
      <c r="AK312" s="14"/>
      <c r="AL312" s="14"/>
      <c r="AM312" s="14"/>
      <c r="AN312" s="14"/>
      <c r="AO312" s="14"/>
      <c r="AP312" s="14"/>
      <c r="AQ312" s="14"/>
      <c r="AR312" s="14"/>
      <c r="AS312" s="14"/>
      <c r="AT312" s="14"/>
      <c r="AU312" s="14"/>
      <c r="AV312" s="14"/>
      <c r="AW312" s="14"/>
      <c r="AX312" s="14"/>
      <c r="AY312" s="14"/>
      <c r="AZ312" s="14"/>
      <c r="BA312" s="14"/>
      <c r="BB312" s="14"/>
      <c r="BC312" s="14"/>
      <c r="BD312" s="14"/>
      <c r="BE312" s="14"/>
      <c r="BF312" s="14"/>
      <c r="BG312" s="14"/>
      <c r="BH312" s="14"/>
      <c r="BI312" s="14"/>
      <c r="BJ312" s="14"/>
      <c r="BK312" s="14"/>
      <c r="BL312" s="14"/>
      <c r="BM312" s="14"/>
      <c r="BN312" s="14"/>
      <c r="BO312" s="14"/>
      <c r="BP312" s="14"/>
      <c r="BQ312" s="14"/>
      <c r="BR312" s="14"/>
      <c r="BS312" s="14"/>
      <c r="BT312" s="14"/>
      <c r="BU312" s="14"/>
      <c r="BV312" s="14"/>
      <c r="BW312" s="14"/>
      <c r="BX312" s="14"/>
      <c r="BY312" s="14"/>
      <c r="BZ312" s="14"/>
      <c r="CA312" s="14"/>
      <c r="CB312" s="14"/>
      <c r="CC312" s="14"/>
      <c r="CD312" s="14"/>
      <c r="CE312" s="14"/>
      <c r="CF312" s="14"/>
      <c r="CG312" s="14"/>
      <c r="CH312" s="14"/>
      <c r="CI312" s="14"/>
      <c r="CJ312" s="14"/>
      <c r="CK312" s="14"/>
      <c r="CL312" s="14"/>
      <c r="CM312" s="14"/>
      <c r="CN312" s="14"/>
      <c r="CO312" s="14"/>
      <c r="CP312" s="14"/>
      <c r="CQ312" s="14"/>
      <c r="CR312" s="14"/>
      <c r="CS312" s="14"/>
      <c r="CT312" s="14"/>
      <c r="CU312" s="14"/>
      <c r="CV312" s="14"/>
      <c r="CW312" s="14"/>
      <c r="CX312" s="14"/>
      <c r="CY312" s="14"/>
      <c r="CZ312" s="14"/>
      <c r="DA312" s="14"/>
      <c r="DB312" s="14"/>
      <c r="DC312" s="14"/>
      <c r="DD312" s="14"/>
      <c r="DE312" s="14"/>
      <c r="DF312" s="14"/>
      <c r="DG312" s="14"/>
      <c r="DH312" s="14"/>
      <c r="DI312" s="14"/>
      <c r="DJ312" s="14"/>
      <c r="DK312" s="14"/>
      <c r="DL312" s="14"/>
      <c r="DM312" s="14"/>
      <c r="DN312" s="14"/>
      <c r="DO312" s="14"/>
      <c r="DP312" s="14"/>
      <c r="DQ312" s="14"/>
      <c r="DR312" s="14"/>
      <c r="DS312" s="14"/>
      <c r="DT312" s="14"/>
      <c r="DU312" s="14"/>
      <c r="DV312" s="14"/>
      <c r="DW312" s="14"/>
      <c r="DX312" s="14"/>
      <c r="DY312" s="14"/>
      <c r="DZ312" s="14"/>
      <c r="EA312" s="14"/>
      <c r="EB312" s="14"/>
      <c r="EC312" s="14"/>
    </row>
    <row r="313" spans="1:133" s="13" customFormat="1" ht="62.4" x14ac:dyDescent="0.25">
      <c r="A313" s="63" t="s">
        <v>210</v>
      </c>
      <c r="B313" s="25" t="s">
        <v>82</v>
      </c>
      <c r="C313" s="35" t="s">
        <v>83</v>
      </c>
      <c r="D313" s="53" t="s">
        <v>354</v>
      </c>
      <c r="E313" s="25">
        <f>15*2</f>
        <v>30</v>
      </c>
      <c r="R313" s="14"/>
      <c r="S313" s="14"/>
      <c r="T313" s="1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F313" s="14"/>
      <c r="AG313" s="14"/>
      <c r="AH313" s="14"/>
      <c r="AI313" s="14"/>
      <c r="AJ313" s="14"/>
      <c r="AK313" s="14"/>
      <c r="AL313" s="14"/>
      <c r="AM313" s="14"/>
      <c r="AN313" s="14"/>
      <c r="AO313" s="14"/>
      <c r="AP313" s="14"/>
      <c r="AQ313" s="14"/>
      <c r="AR313" s="14"/>
      <c r="AS313" s="14"/>
      <c r="AT313" s="14"/>
      <c r="AU313" s="14"/>
      <c r="AV313" s="14"/>
      <c r="AW313" s="14"/>
      <c r="AX313" s="14"/>
      <c r="AY313" s="14"/>
      <c r="AZ313" s="14"/>
      <c r="BA313" s="14"/>
      <c r="BB313" s="14"/>
      <c r="BC313" s="14"/>
      <c r="BD313" s="14"/>
      <c r="BE313" s="14"/>
      <c r="BF313" s="14"/>
      <c r="BG313" s="14"/>
      <c r="BH313" s="14"/>
      <c r="BI313" s="14"/>
      <c r="BJ313" s="14"/>
      <c r="BK313" s="14"/>
      <c r="BL313" s="14"/>
      <c r="BM313" s="14"/>
      <c r="BN313" s="14"/>
      <c r="BO313" s="14"/>
      <c r="BP313" s="14"/>
      <c r="BQ313" s="14"/>
      <c r="BR313" s="14"/>
      <c r="BS313" s="14"/>
      <c r="BT313" s="14"/>
      <c r="BU313" s="14"/>
      <c r="BV313" s="14"/>
      <c r="BW313" s="14"/>
      <c r="BX313" s="14"/>
      <c r="BY313" s="14"/>
      <c r="BZ313" s="14"/>
      <c r="CA313" s="14"/>
      <c r="CB313" s="14"/>
      <c r="CC313" s="14"/>
      <c r="CD313" s="14"/>
      <c r="CE313" s="14"/>
      <c r="CF313" s="14"/>
      <c r="CG313" s="14"/>
      <c r="CH313" s="14"/>
      <c r="CI313" s="14"/>
      <c r="CJ313" s="14"/>
      <c r="CK313" s="14"/>
      <c r="CL313" s="14"/>
      <c r="CM313" s="14"/>
      <c r="CN313" s="14"/>
      <c r="CO313" s="14"/>
      <c r="CP313" s="14"/>
      <c r="CQ313" s="14"/>
      <c r="CR313" s="14"/>
      <c r="CS313" s="14"/>
      <c r="CT313" s="14"/>
      <c r="CU313" s="14"/>
      <c r="CV313" s="14"/>
      <c r="CW313" s="14"/>
      <c r="CX313" s="14"/>
      <c r="CY313" s="14"/>
      <c r="CZ313" s="14"/>
      <c r="DA313" s="14"/>
      <c r="DB313" s="14"/>
      <c r="DC313" s="14"/>
      <c r="DD313" s="14"/>
      <c r="DE313" s="14"/>
      <c r="DF313" s="14"/>
      <c r="DG313" s="14"/>
      <c r="DH313" s="14"/>
      <c r="DI313" s="14"/>
      <c r="DJ313" s="14"/>
      <c r="DK313" s="14"/>
      <c r="DL313" s="14"/>
      <c r="DM313" s="14"/>
      <c r="DN313" s="14"/>
      <c r="DO313" s="14"/>
      <c r="DP313" s="14"/>
      <c r="DQ313" s="14"/>
      <c r="DR313" s="14"/>
      <c r="DS313" s="14"/>
      <c r="DT313" s="14"/>
      <c r="DU313" s="14"/>
      <c r="DV313" s="14"/>
      <c r="DW313" s="14"/>
      <c r="DX313" s="14"/>
      <c r="DY313" s="14"/>
      <c r="DZ313" s="14"/>
      <c r="EA313" s="14"/>
      <c r="EB313" s="14"/>
      <c r="EC313" s="14"/>
    </row>
    <row r="314" spans="1:133" s="13" customFormat="1" ht="172.2" x14ac:dyDescent="0.25">
      <c r="A314" s="63" t="s">
        <v>211</v>
      </c>
      <c r="B314" s="25" t="s">
        <v>84</v>
      </c>
      <c r="C314" s="35" t="s">
        <v>85</v>
      </c>
      <c r="D314" s="35" t="s">
        <v>355</v>
      </c>
      <c r="E314" s="25">
        <f>25.1/100</f>
        <v>0.251</v>
      </c>
      <c r="R314" s="14"/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F314" s="14"/>
      <c r="AG314" s="14"/>
      <c r="AH314" s="14"/>
      <c r="AI314" s="14"/>
      <c r="AJ314" s="14"/>
      <c r="AK314" s="14"/>
      <c r="AL314" s="14"/>
      <c r="AM314" s="14"/>
      <c r="AN314" s="14"/>
      <c r="AO314" s="14"/>
      <c r="AP314" s="14"/>
      <c r="AQ314" s="14"/>
      <c r="AR314" s="14"/>
      <c r="AS314" s="14"/>
      <c r="AT314" s="14"/>
      <c r="AU314" s="14"/>
      <c r="AV314" s="14"/>
      <c r="AW314" s="14"/>
      <c r="AX314" s="14"/>
      <c r="AY314" s="14"/>
      <c r="AZ314" s="14"/>
      <c r="BA314" s="14"/>
      <c r="BB314" s="14"/>
      <c r="BC314" s="14"/>
      <c r="BD314" s="14"/>
      <c r="BE314" s="14"/>
      <c r="BF314" s="14"/>
      <c r="BG314" s="14"/>
      <c r="BH314" s="14"/>
      <c r="BI314" s="14"/>
      <c r="BJ314" s="14"/>
      <c r="BK314" s="14"/>
      <c r="BL314" s="14"/>
      <c r="BM314" s="14"/>
      <c r="BN314" s="14"/>
      <c r="BO314" s="14"/>
      <c r="BP314" s="14"/>
      <c r="BQ314" s="14"/>
      <c r="BR314" s="14"/>
      <c r="BS314" s="14"/>
      <c r="BT314" s="14"/>
      <c r="BU314" s="14"/>
      <c r="BV314" s="14"/>
      <c r="BW314" s="14"/>
      <c r="BX314" s="14"/>
      <c r="BY314" s="14"/>
      <c r="BZ314" s="14"/>
      <c r="CA314" s="14"/>
      <c r="CB314" s="14"/>
      <c r="CC314" s="14"/>
      <c r="CD314" s="14"/>
      <c r="CE314" s="14"/>
      <c r="CF314" s="14"/>
      <c r="CG314" s="14"/>
      <c r="CH314" s="14"/>
      <c r="CI314" s="14"/>
      <c r="CJ314" s="14"/>
      <c r="CK314" s="14"/>
      <c r="CL314" s="14"/>
      <c r="CM314" s="14"/>
      <c r="CN314" s="14"/>
      <c r="CO314" s="14"/>
      <c r="CP314" s="14"/>
      <c r="CQ314" s="14"/>
      <c r="CR314" s="14"/>
      <c r="CS314" s="14"/>
      <c r="CT314" s="14"/>
      <c r="CU314" s="14"/>
      <c r="CV314" s="14"/>
      <c r="CW314" s="14"/>
      <c r="CX314" s="14"/>
      <c r="CY314" s="14"/>
      <c r="CZ314" s="14"/>
      <c r="DA314" s="14"/>
      <c r="DB314" s="14"/>
      <c r="DC314" s="14"/>
      <c r="DD314" s="14"/>
      <c r="DE314" s="14"/>
      <c r="DF314" s="14"/>
      <c r="DG314" s="14"/>
      <c r="DH314" s="14"/>
      <c r="DI314" s="14"/>
      <c r="DJ314" s="14"/>
      <c r="DK314" s="14"/>
      <c r="DL314" s="14"/>
      <c r="DM314" s="14"/>
      <c r="DN314" s="14"/>
      <c r="DO314" s="14"/>
      <c r="DP314" s="14"/>
      <c r="DQ314" s="14"/>
      <c r="DR314" s="14"/>
      <c r="DS314" s="14"/>
      <c r="DT314" s="14"/>
      <c r="DU314" s="14"/>
      <c r="DV314" s="14"/>
      <c r="DW314" s="14"/>
      <c r="DX314" s="14"/>
      <c r="DY314" s="14"/>
      <c r="DZ314" s="14"/>
      <c r="EA314" s="14"/>
      <c r="EB314" s="14"/>
      <c r="EC314" s="14"/>
    </row>
    <row r="315" spans="1:133" s="13" customFormat="1" ht="156" x14ac:dyDescent="0.25">
      <c r="A315" s="63" t="s">
        <v>212</v>
      </c>
      <c r="B315" s="25" t="s">
        <v>87</v>
      </c>
      <c r="C315" s="35" t="s">
        <v>86</v>
      </c>
      <c r="D315" s="35" t="s">
        <v>356</v>
      </c>
      <c r="E315" s="25">
        <f>0.84/1000</f>
        <v>8.3999999999999993E-4</v>
      </c>
      <c r="R315" s="14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F315" s="14"/>
      <c r="AG315" s="14"/>
      <c r="AH315" s="14"/>
      <c r="AI315" s="14"/>
      <c r="AJ315" s="14"/>
      <c r="AK315" s="14"/>
      <c r="AL315" s="14"/>
      <c r="AM315" s="14"/>
      <c r="AN315" s="14"/>
      <c r="AO315" s="14"/>
      <c r="AP315" s="14"/>
      <c r="AQ315" s="14"/>
      <c r="AR315" s="14"/>
      <c r="AS315" s="14"/>
      <c r="AT315" s="14"/>
      <c r="AU315" s="14"/>
      <c r="AV315" s="14"/>
      <c r="AW315" s="14"/>
      <c r="AX315" s="14"/>
      <c r="AY315" s="14"/>
      <c r="AZ315" s="14"/>
      <c r="BA315" s="14"/>
      <c r="BB315" s="14"/>
      <c r="BC315" s="14"/>
      <c r="BD315" s="14"/>
      <c r="BE315" s="14"/>
      <c r="BF315" s="14"/>
      <c r="BG315" s="14"/>
      <c r="BH315" s="14"/>
      <c r="BI315" s="14"/>
      <c r="BJ315" s="14"/>
      <c r="BK315" s="14"/>
      <c r="BL315" s="14"/>
      <c r="BM315" s="14"/>
      <c r="BN315" s="14"/>
      <c r="BO315" s="14"/>
      <c r="BP315" s="14"/>
      <c r="BQ315" s="14"/>
      <c r="BR315" s="14"/>
      <c r="BS315" s="14"/>
      <c r="BT315" s="14"/>
      <c r="BU315" s="14"/>
      <c r="BV315" s="14"/>
      <c r="BW315" s="14"/>
      <c r="BX315" s="14"/>
      <c r="BY315" s="14"/>
      <c r="BZ315" s="14"/>
      <c r="CA315" s="14"/>
      <c r="CB315" s="14"/>
      <c r="CC315" s="14"/>
      <c r="CD315" s="14"/>
      <c r="CE315" s="14"/>
      <c r="CF315" s="14"/>
      <c r="CG315" s="14"/>
      <c r="CH315" s="14"/>
      <c r="CI315" s="14"/>
      <c r="CJ315" s="14"/>
      <c r="CK315" s="14"/>
      <c r="CL315" s="14"/>
      <c r="CM315" s="14"/>
      <c r="CN315" s="14"/>
      <c r="CO315" s="14"/>
      <c r="CP315" s="14"/>
      <c r="CQ315" s="14"/>
      <c r="CR315" s="14"/>
      <c r="CS315" s="14"/>
      <c r="CT315" s="14"/>
      <c r="CU315" s="14"/>
      <c r="CV315" s="14"/>
      <c r="CW315" s="14"/>
      <c r="CX315" s="14"/>
      <c r="CY315" s="14"/>
      <c r="CZ315" s="14"/>
      <c r="DA315" s="14"/>
      <c r="DB315" s="14"/>
      <c r="DC315" s="14"/>
      <c r="DD315" s="14"/>
      <c r="DE315" s="14"/>
      <c r="DF315" s="14"/>
      <c r="DG315" s="14"/>
      <c r="DH315" s="14"/>
      <c r="DI315" s="14"/>
      <c r="DJ315" s="14"/>
      <c r="DK315" s="14"/>
      <c r="DL315" s="14"/>
      <c r="DM315" s="14"/>
      <c r="DN315" s="14"/>
      <c r="DO315" s="14"/>
      <c r="DP315" s="14"/>
      <c r="DQ315" s="14"/>
      <c r="DR315" s="14"/>
      <c r="DS315" s="14"/>
      <c r="DT315" s="14"/>
      <c r="DU315" s="14"/>
      <c r="DV315" s="14"/>
      <c r="DW315" s="14"/>
      <c r="DX315" s="14"/>
      <c r="DY315" s="14"/>
      <c r="DZ315" s="14"/>
      <c r="EA315" s="14"/>
      <c r="EB315" s="14"/>
      <c r="EC315" s="14"/>
    </row>
    <row r="316" spans="1:133" s="13" customFormat="1" ht="171.6" x14ac:dyDescent="0.25">
      <c r="A316" s="63" t="s">
        <v>213</v>
      </c>
      <c r="B316" s="25" t="s">
        <v>88</v>
      </c>
      <c r="C316" s="35" t="s">
        <v>89</v>
      </c>
      <c r="D316" s="35" t="s">
        <v>357</v>
      </c>
      <c r="E316" s="25">
        <f>43.33/1000</f>
        <v>4.333E-2</v>
      </c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F316" s="14"/>
      <c r="AG316" s="14"/>
      <c r="AH316" s="14"/>
      <c r="AI316" s="14"/>
      <c r="AJ316" s="14"/>
      <c r="AK316" s="14"/>
      <c r="AL316" s="14"/>
      <c r="AM316" s="14"/>
      <c r="AN316" s="14"/>
      <c r="AO316" s="14"/>
      <c r="AP316" s="14"/>
      <c r="AQ316" s="14"/>
      <c r="AR316" s="14"/>
      <c r="AS316" s="14"/>
      <c r="AT316" s="14"/>
      <c r="AU316" s="14"/>
      <c r="AV316" s="14"/>
      <c r="AW316" s="14"/>
      <c r="AX316" s="14"/>
      <c r="AY316" s="14"/>
      <c r="AZ316" s="14"/>
      <c r="BA316" s="14"/>
      <c r="BB316" s="14"/>
      <c r="BC316" s="14"/>
      <c r="BD316" s="14"/>
      <c r="BE316" s="14"/>
      <c r="BF316" s="14"/>
      <c r="BG316" s="14"/>
      <c r="BH316" s="14"/>
      <c r="BI316" s="14"/>
      <c r="BJ316" s="14"/>
      <c r="BK316" s="14"/>
      <c r="BL316" s="14"/>
      <c r="BM316" s="14"/>
      <c r="BN316" s="14"/>
      <c r="BO316" s="14"/>
      <c r="BP316" s="14"/>
      <c r="BQ316" s="14"/>
      <c r="BR316" s="14"/>
      <c r="BS316" s="14"/>
      <c r="BT316" s="14"/>
      <c r="BU316" s="14"/>
      <c r="BV316" s="14"/>
      <c r="BW316" s="14"/>
      <c r="BX316" s="14"/>
      <c r="BY316" s="14"/>
      <c r="BZ316" s="14"/>
      <c r="CA316" s="14"/>
      <c r="CB316" s="14"/>
      <c r="CC316" s="14"/>
      <c r="CD316" s="14"/>
      <c r="CE316" s="14"/>
      <c r="CF316" s="14"/>
      <c r="CG316" s="14"/>
      <c r="CH316" s="14"/>
      <c r="CI316" s="14"/>
      <c r="CJ316" s="14"/>
      <c r="CK316" s="14"/>
      <c r="CL316" s="14"/>
      <c r="CM316" s="14"/>
      <c r="CN316" s="14"/>
      <c r="CO316" s="14"/>
      <c r="CP316" s="14"/>
      <c r="CQ316" s="14"/>
      <c r="CR316" s="14"/>
      <c r="CS316" s="14"/>
      <c r="CT316" s="14"/>
      <c r="CU316" s="14"/>
      <c r="CV316" s="14"/>
      <c r="CW316" s="14"/>
      <c r="CX316" s="14"/>
      <c r="CY316" s="14"/>
      <c r="CZ316" s="14"/>
      <c r="DA316" s="14"/>
      <c r="DB316" s="14"/>
      <c r="DC316" s="14"/>
      <c r="DD316" s="14"/>
      <c r="DE316" s="14"/>
      <c r="DF316" s="14"/>
      <c r="DG316" s="14"/>
      <c r="DH316" s="14"/>
      <c r="DI316" s="14"/>
      <c r="DJ316" s="14"/>
      <c r="DK316" s="14"/>
      <c r="DL316" s="14"/>
      <c r="DM316" s="14"/>
      <c r="DN316" s="14"/>
      <c r="DO316" s="14"/>
      <c r="DP316" s="14"/>
      <c r="DQ316" s="14"/>
      <c r="DR316" s="14"/>
      <c r="DS316" s="14"/>
      <c r="DT316" s="14"/>
      <c r="DU316" s="14"/>
      <c r="DV316" s="14"/>
      <c r="DW316" s="14"/>
      <c r="DX316" s="14"/>
      <c r="DY316" s="14"/>
      <c r="DZ316" s="14"/>
      <c r="EA316" s="14"/>
      <c r="EB316" s="14"/>
      <c r="EC316" s="14"/>
    </row>
    <row r="317" spans="1:133" s="13" customFormat="1" ht="62.4" x14ac:dyDescent="0.25">
      <c r="A317" s="63" t="s">
        <v>214</v>
      </c>
      <c r="B317" s="25" t="s">
        <v>90</v>
      </c>
      <c r="C317" s="35" t="s">
        <v>91</v>
      </c>
      <c r="D317" s="35" t="s">
        <v>358</v>
      </c>
      <c r="E317" s="25">
        <v>74.099999999999994</v>
      </c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F317" s="14"/>
      <c r="AG317" s="14"/>
      <c r="AH317" s="14"/>
      <c r="AI317" s="14"/>
      <c r="AJ317" s="14"/>
      <c r="AK317" s="14"/>
      <c r="AL317" s="14"/>
      <c r="AM317" s="14"/>
      <c r="AN317" s="14"/>
      <c r="AO317" s="14"/>
      <c r="AP317" s="14"/>
      <c r="AQ317" s="14"/>
      <c r="AR317" s="14"/>
      <c r="AS317" s="14"/>
      <c r="AT317" s="14"/>
      <c r="AU317" s="14"/>
      <c r="AV317" s="14"/>
      <c r="AW317" s="14"/>
      <c r="AX317" s="14"/>
      <c r="AY317" s="14"/>
      <c r="AZ317" s="14"/>
      <c r="BA317" s="14"/>
      <c r="BB317" s="14"/>
      <c r="BC317" s="14"/>
      <c r="BD317" s="14"/>
      <c r="BE317" s="14"/>
      <c r="BF317" s="14"/>
      <c r="BG317" s="14"/>
      <c r="BH317" s="14"/>
      <c r="BI317" s="14"/>
      <c r="BJ317" s="14"/>
      <c r="BK317" s="14"/>
      <c r="BL317" s="14"/>
      <c r="BM317" s="14"/>
      <c r="BN317" s="14"/>
      <c r="BO317" s="14"/>
      <c r="BP317" s="14"/>
      <c r="BQ317" s="14"/>
      <c r="BR317" s="14"/>
      <c r="BS317" s="14"/>
      <c r="BT317" s="14"/>
      <c r="BU317" s="14"/>
      <c r="BV317" s="14"/>
      <c r="BW317" s="14"/>
      <c r="BX317" s="14"/>
      <c r="BY317" s="14"/>
      <c r="BZ317" s="14"/>
      <c r="CA317" s="14"/>
      <c r="CB317" s="14"/>
      <c r="CC317" s="14"/>
      <c r="CD317" s="14"/>
      <c r="CE317" s="14"/>
      <c r="CF317" s="14"/>
      <c r="CG317" s="14"/>
      <c r="CH317" s="14"/>
      <c r="CI317" s="14"/>
      <c r="CJ317" s="14"/>
      <c r="CK317" s="14"/>
      <c r="CL317" s="14"/>
      <c r="CM317" s="14"/>
      <c r="CN317" s="14"/>
      <c r="CO317" s="14"/>
      <c r="CP317" s="14"/>
      <c r="CQ317" s="14"/>
      <c r="CR317" s="14"/>
      <c r="CS317" s="14"/>
      <c r="CT317" s="14"/>
      <c r="CU317" s="14"/>
      <c r="CV317" s="14"/>
      <c r="CW317" s="14"/>
      <c r="CX317" s="14"/>
      <c r="CY317" s="14"/>
      <c r="CZ317" s="14"/>
      <c r="DA317" s="14"/>
      <c r="DB317" s="14"/>
      <c r="DC317" s="14"/>
      <c r="DD317" s="14"/>
      <c r="DE317" s="14"/>
      <c r="DF317" s="14"/>
      <c r="DG317" s="14"/>
      <c r="DH317" s="14"/>
      <c r="DI317" s="14"/>
      <c r="DJ317" s="14"/>
      <c r="DK317" s="14"/>
      <c r="DL317" s="14"/>
      <c r="DM317" s="14"/>
      <c r="DN317" s="14"/>
      <c r="DO317" s="14"/>
      <c r="DP317" s="14"/>
      <c r="DQ317" s="14"/>
      <c r="DR317" s="14"/>
      <c r="DS317" s="14"/>
      <c r="DT317" s="14"/>
      <c r="DU317" s="14"/>
      <c r="DV317" s="14"/>
      <c r="DW317" s="14"/>
      <c r="DX317" s="14"/>
      <c r="DY317" s="14"/>
      <c r="DZ317" s="14"/>
      <c r="EA317" s="14"/>
      <c r="EB317" s="14"/>
      <c r="EC317" s="14"/>
    </row>
    <row r="319" spans="1:133" s="13" customFormat="1" x14ac:dyDescent="0.25">
      <c r="A319" s="158" t="s">
        <v>93</v>
      </c>
      <c r="B319" s="158"/>
      <c r="C319" s="158"/>
      <c r="D319" s="158"/>
      <c r="E319" s="158"/>
      <c r="R319" s="14"/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F319" s="14"/>
      <c r="AG319" s="14"/>
      <c r="AH319" s="14"/>
      <c r="AI319" s="14"/>
      <c r="AJ319" s="14"/>
      <c r="AK319" s="14"/>
      <c r="AL319" s="14"/>
      <c r="AM319" s="14"/>
      <c r="AN319" s="14"/>
      <c r="AO319" s="14"/>
      <c r="AP319" s="14"/>
      <c r="AQ319" s="14"/>
      <c r="AR319" s="14"/>
      <c r="AS319" s="14"/>
      <c r="AT319" s="14"/>
      <c r="AU319" s="14"/>
      <c r="AV319" s="14"/>
      <c r="AW319" s="14"/>
      <c r="AX319" s="14"/>
      <c r="AY319" s="14"/>
      <c r="AZ319" s="14"/>
      <c r="BA319" s="14"/>
      <c r="BB319" s="14"/>
      <c r="BC319" s="14"/>
      <c r="BD319" s="14"/>
      <c r="BE319" s="14"/>
      <c r="BF319" s="14"/>
      <c r="BG319" s="14"/>
      <c r="BH319" s="14"/>
      <c r="BI319" s="14"/>
      <c r="BJ319" s="14"/>
      <c r="BK319" s="14"/>
      <c r="BL319" s="14"/>
      <c r="BM319" s="14"/>
      <c r="BN319" s="14"/>
      <c r="BO319" s="14"/>
      <c r="BP319" s="14"/>
      <c r="BQ319" s="14"/>
      <c r="BR319" s="14"/>
      <c r="BS319" s="14"/>
      <c r="BT319" s="14"/>
      <c r="BU319" s="14"/>
      <c r="BV319" s="14"/>
      <c r="BW319" s="14"/>
      <c r="BX319" s="14"/>
      <c r="BY319" s="14"/>
      <c r="BZ319" s="14"/>
      <c r="CA319" s="14"/>
      <c r="CB319" s="14"/>
      <c r="CC319" s="14"/>
      <c r="CD319" s="14"/>
      <c r="CE319" s="14"/>
      <c r="CF319" s="14"/>
      <c r="CG319" s="14"/>
      <c r="CH319" s="14"/>
      <c r="CI319" s="14"/>
      <c r="CJ319" s="14"/>
      <c r="CK319" s="14"/>
      <c r="CL319" s="14"/>
      <c r="CM319" s="14"/>
      <c r="CN319" s="14"/>
      <c r="CO319" s="14"/>
      <c r="CP319" s="14"/>
      <c r="CQ319" s="14"/>
      <c r="CR319" s="14"/>
      <c r="CS319" s="14"/>
      <c r="CT319" s="14"/>
      <c r="CU319" s="14"/>
      <c r="CV319" s="14"/>
      <c r="CW319" s="14"/>
      <c r="CX319" s="14"/>
      <c r="CY319" s="14"/>
      <c r="CZ319" s="14"/>
      <c r="DA319" s="14"/>
      <c r="DB319" s="14"/>
      <c r="DC319" s="14"/>
      <c r="DD319" s="14"/>
      <c r="DE319" s="14"/>
      <c r="DF319" s="14"/>
      <c r="DG319" s="14"/>
      <c r="DH319" s="14"/>
      <c r="DI319" s="14"/>
      <c r="DJ319" s="14"/>
      <c r="DK319" s="14"/>
      <c r="DL319" s="14"/>
      <c r="DM319" s="14"/>
      <c r="DN319" s="14"/>
      <c r="DO319" s="14"/>
      <c r="DP319" s="14"/>
      <c r="DQ319" s="14"/>
      <c r="DR319" s="14"/>
      <c r="DS319" s="14"/>
      <c r="DT319" s="14"/>
      <c r="DU319" s="14"/>
      <c r="DV319" s="14"/>
      <c r="DW319" s="14"/>
      <c r="DX319" s="14"/>
      <c r="DY319" s="14"/>
      <c r="DZ319" s="14"/>
      <c r="EA319" s="14"/>
      <c r="EB319" s="14"/>
      <c r="EC319" s="14"/>
    </row>
    <row r="320" spans="1:133" x14ac:dyDescent="0.25">
      <c r="A320" s="57" t="s">
        <v>8</v>
      </c>
      <c r="B320" s="58" t="s">
        <v>9</v>
      </c>
      <c r="C320" s="34" t="s">
        <v>10</v>
      </c>
      <c r="D320" s="34" t="s">
        <v>340</v>
      </c>
      <c r="E320" s="16" t="s">
        <v>65</v>
      </c>
    </row>
    <row r="321" spans="1:133" ht="64.8" x14ac:dyDescent="0.25">
      <c r="A321" s="15" t="s">
        <v>94</v>
      </c>
      <c r="B321" s="25" t="s">
        <v>95</v>
      </c>
      <c r="C321" s="35" t="s">
        <v>96</v>
      </c>
      <c r="D321" s="35" t="s">
        <v>97</v>
      </c>
      <c r="E321" s="16">
        <v>0</v>
      </c>
    </row>
    <row r="323" spans="1:133" x14ac:dyDescent="0.25">
      <c r="A323" s="158" t="s">
        <v>98</v>
      </c>
      <c r="B323" s="158"/>
      <c r="C323" s="158"/>
      <c r="D323" s="158"/>
      <c r="E323" s="158"/>
    </row>
    <row r="324" spans="1:133" x14ac:dyDescent="0.25">
      <c r="A324" s="57" t="s">
        <v>8</v>
      </c>
      <c r="B324" s="58" t="s">
        <v>9</v>
      </c>
      <c r="C324" s="34" t="s">
        <v>10</v>
      </c>
      <c r="D324" s="34" t="s">
        <v>340</v>
      </c>
      <c r="E324" s="16" t="s">
        <v>65</v>
      </c>
    </row>
    <row r="325" spans="1:133" ht="49.2" x14ac:dyDescent="0.25">
      <c r="A325" s="15" t="s">
        <v>99</v>
      </c>
      <c r="B325" s="25" t="s">
        <v>95</v>
      </c>
      <c r="C325" s="35" t="s">
        <v>100</v>
      </c>
      <c r="D325" s="35" t="s">
        <v>101</v>
      </c>
      <c r="E325" s="16">
        <v>0</v>
      </c>
    </row>
    <row r="327" spans="1:133" x14ac:dyDescent="0.25">
      <c r="A327" s="57" t="s">
        <v>8</v>
      </c>
      <c r="B327" s="58" t="s">
        <v>9</v>
      </c>
      <c r="C327" s="34" t="s">
        <v>10</v>
      </c>
      <c r="D327" s="34" t="s">
        <v>340</v>
      </c>
      <c r="E327" s="16" t="s">
        <v>65</v>
      </c>
    </row>
    <row r="328" spans="1:133" ht="18" x14ac:dyDescent="0.25">
      <c r="A328" s="59" t="s">
        <v>102</v>
      </c>
      <c r="B328" s="25" t="s">
        <v>103</v>
      </c>
      <c r="C328" s="35" t="s">
        <v>104</v>
      </c>
      <c r="D328" s="53" t="s">
        <v>380</v>
      </c>
      <c r="E328" s="18">
        <f>ROUNDDOWN(E278+E309+E304+E321+E325,0)</f>
        <v>1911</v>
      </c>
    </row>
    <row r="329" spans="1:133" s="167" customFormat="1" ht="43.2" customHeight="1" x14ac:dyDescent="0.25">
      <c r="A329" s="167" t="s">
        <v>225</v>
      </c>
    </row>
    <row r="330" spans="1:133" s="56" customFormat="1" ht="31.2" x14ac:dyDescent="0.25">
      <c r="A330" s="92" t="s">
        <v>8</v>
      </c>
      <c r="B330" s="93" t="s">
        <v>9</v>
      </c>
      <c r="C330" s="94" t="s">
        <v>10</v>
      </c>
      <c r="D330" s="94" t="s">
        <v>340</v>
      </c>
      <c r="E330" s="93" t="s">
        <v>11</v>
      </c>
      <c r="F330" s="16" t="s">
        <v>322</v>
      </c>
      <c r="G330" s="16" t="s">
        <v>323</v>
      </c>
      <c r="H330" s="16" t="s">
        <v>324</v>
      </c>
      <c r="I330" s="16" t="s">
        <v>325</v>
      </c>
      <c r="J330" s="16" t="s">
        <v>326</v>
      </c>
      <c r="K330" s="16" t="s">
        <v>329</v>
      </c>
      <c r="L330" s="16" t="s">
        <v>292</v>
      </c>
      <c r="M330" s="16" t="s">
        <v>292</v>
      </c>
      <c r="N330" s="16" t="s">
        <v>292</v>
      </c>
      <c r="O330" s="16" t="s">
        <v>292</v>
      </c>
      <c r="P330" s="16" t="s">
        <v>292</v>
      </c>
      <c r="Q330" s="16" t="s">
        <v>292</v>
      </c>
      <c r="R330" s="54"/>
      <c r="S330" s="54"/>
      <c r="T330" s="54"/>
      <c r="U330" s="54"/>
      <c r="V330" s="54"/>
      <c r="W330" s="54"/>
      <c r="X330" s="54"/>
      <c r="Y330" s="54"/>
      <c r="Z330" s="54"/>
      <c r="AA330" s="54"/>
      <c r="AB330" s="54"/>
      <c r="AC330" s="54"/>
      <c r="AD330" s="54"/>
      <c r="AE330" s="54"/>
      <c r="AF330" s="54"/>
      <c r="AG330" s="54"/>
      <c r="AH330" s="54"/>
      <c r="AI330" s="54"/>
      <c r="AJ330" s="54"/>
      <c r="AK330" s="54"/>
      <c r="AL330" s="54"/>
      <c r="AM330" s="54"/>
      <c r="AN330" s="54"/>
      <c r="AO330" s="54"/>
      <c r="AP330" s="54"/>
      <c r="AQ330" s="54"/>
      <c r="AR330" s="54"/>
      <c r="AS330" s="54"/>
      <c r="AT330" s="54"/>
      <c r="AU330" s="54"/>
      <c r="AV330" s="54"/>
      <c r="AW330" s="54"/>
      <c r="AX330" s="54"/>
      <c r="AY330" s="54"/>
      <c r="AZ330" s="54"/>
      <c r="BA330" s="54"/>
      <c r="BB330" s="54"/>
      <c r="BC330" s="54"/>
      <c r="BD330" s="54"/>
      <c r="BE330" s="54"/>
      <c r="BF330" s="54"/>
      <c r="BG330" s="54"/>
      <c r="BH330" s="54"/>
      <c r="BI330" s="54"/>
      <c r="BJ330" s="54"/>
      <c r="BK330" s="54"/>
      <c r="BL330" s="54"/>
      <c r="BM330" s="54"/>
      <c r="BN330" s="54"/>
      <c r="BO330" s="54"/>
      <c r="BP330" s="54"/>
      <c r="BQ330" s="54"/>
      <c r="BR330" s="54"/>
      <c r="BS330" s="54"/>
      <c r="BT330" s="54"/>
      <c r="BU330" s="54"/>
      <c r="BV330" s="54"/>
      <c r="BW330" s="54"/>
      <c r="BX330" s="54"/>
      <c r="BY330" s="54"/>
      <c r="BZ330" s="54"/>
      <c r="CA330" s="54"/>
      <c r="CB330" s="54"/>
      <c r="CC330" s="54"/>
      <c r="CD330" s="54"/>
      <c r="CE330" s="54"/>
      <c r="CF330" s="54"/>
      <c r="CG330" s="54"/>
      <c r="CH330" s="54"/>
      <c r="CI330" s="54"/>
      <c r="CJ330" s="54"/>
      <c r="CK330" s="54"/>
      <c r="CL330" s="54"/>
      <c r="CM330" s="54"/>
      <c r="CN330" s="54"/>
      <c r="CO330" s="54"/>
      <c r="CP330" s="54"/>
      <c r="CQ330" s="54"/>
      <c r="CR330" s="54"/>
      <c r="CS330" s="54"/>
      <c r="CT330" s="54"/>
      <c r="CU330" s="54"/>
      <c r="CV330" s="54"/>
      <c r="CW330" s="54"/>
      <c r="CX330" s="54"/>
      <c r="CY330" s="54"/>
      <c r="CZ330" s="54"/>
      <c r="DA330" s="54"/>
      <c r="DB330" s="54"/>
      <c r="DC330" s="54"/>
      <c r="DD330" s="54"/>
      <c r="DE330" s="54"/>
      <c r="DF330" s="54"/>
      <c r="DG330" s="54"/>
      <c r="DH330" s="54"/>
      <c r="DI330" s="54"/>
      <c r="DJ330" s="54"/>
      <c r="DK330" s="54"/>
      <c r="DL330" s="54"/>
      <c r="DM330" s="54"/>
      <c r="DN330" s="54"/>
      <c r="DO330" s="54"/>
      <c r="DP330" s="54"/>
      <c r="DQ330" s="54"/>
      <c r="DR330" s="54"/>
      <c r="DS330" s="54"/>
      <c r="DT330" s="54"/>
      <c r="DU330" s="54"/>
      <c r="DV330" s="54"/>
      <c r="DW330" s="54"/>
      <c r="DX330" s="54"/>
      <c r="DY330" s="54"/>
      <c r="DZ330" s="54"/>
      <c r="EA330" s="54"/>
      <c r="EB330" s="54"/>
      <c r="EC330" s="54"/>
    </row>
    <row r="331" spans="1:133" s="56" customFormat="1" x14ac:dyDescent="0.25">
      <c r="A331" s="178" t="s">
        <v>12</v>
      </c>
      <c r="B331" s="178"/>
      <c r="C331" s="179"/>
      <c r="D331" s="179"/>
      <c r="E331" s="178"/>
      <c r="F331" s="16">
        <v>31</v>
      </c>
      <c r="G331" s="16">
        <v>28</v>
      </c>
      <c r="H331" s="16">
        <v>31</v>
      </c>
      <c r="I331" s="16">
        <v>30</v>
      </c>
      <c r="J331" s="16">
        <v>31</v>
      </c>
      <c r="K331" s="16">
        <v>30</v>
      </c>
      <c r="L331" s="16" t="s">
        <v>297</v>
      </c>
      <c r="M331" s="16" t="s">
        <v>297</v>
      </c>
      <c r="N331" s="16" t="s">
        <v>297</v>
      </c>
      <c r="O331" s="16" t="s">
        <v>297</v>
      </c>
      <c r="P331" s="16" t="s">
        <v>297</v>
      </c>
      <c r="Q331" s="16" t="s">
        <v>297</v>
      </c>
      <c r="R331" s="54"/>
      <c r="S331" s="54"/>
      <c r="T331" s="54"/>
      <c r="U331" s="54"/>
      <c r="V331" s="54"/>
      <c r="W331" s="54"/>
      <c r="X331" s="54"/>
      <c r="Y331" s="54"/>
      <c r="Z331" s="54"/>
      <c r="AA331" s="54"/>
      <c r="AB331" s="54"/>
      <c r="AC331" s="54"/>
      <c r="AD331" s="54"/>
      <c r="AE331" s="54"/>
      <c r="AF331" s="54"/>
      <c r="AG331" s="54"/>
      <c r="AH331" s="54"/>
      <c r="AI331" s="54"/>
      <c r="AJ331" s="54"/>
      <c r="AK331" s="54"/>
      <c r="AL331" s="54"/>
      <c r="AM331" s="54"/>
      <c r="AN331" s="54"/>
      <c r="AO331" s="54"/>
      <c r="AP331" s="54"/>
      <c r="AQ331" s="54"/>
      <c r="AR331" s="54"/>
      <c r="AS331" s="54"/>
      <c r="AT331" s="54"/>
      <c r="AU331" s="54"/>
      <c r="AV331" s="54"/>
      <c r="AW331" s="54"/>
      <c r="AX331" s="54"/>
      <c r="AY331" s="54"/>
      <c r="AZ331" s="54"/>
      <c r="BA331" s="54"/>
      <c r="BB331" s="54"/>
      <c r="BC331" s="54"/>
      <c r="BD331" s="54"/>
      <c r="BE331" s="54"/>
      <c r="BF331" s="54"/>
      <c r="BG331" s="54"/>
      <c r="BH331" s="54"/>
      <c r="BI331" s="54"/>
      <c r="BJ331" s="54"/>
      <c r="BK331" s="54"/>
      <c r="BL331" s="54"/>
      <c r="BM331" s="54"/>
      <c r="BN331" s="54"/>
      <c r="BO331" s="54"/>
      <c r="BP331" s="54"/>
      <c r="BQ331" s="54"/>
      <c r="BR331" s="54"/>
      <c r="BS331" s="54"/>
      <c r="BT331" s="54"/>
      <c r="BU331" s="54"/>
      <c r="BV331" s="54"/>
      <c r="BW331" s="54"/>
      <c r="BX331" s="54"/>
      <c r="BY331" s="54"/>
      <c r="BZ331" s="54"/>
      <c r="CA331" s="54"/>
      <c r="CB331" s="54"/>
      <c r="CC331" s="54"/>
      <c r="CD331" s="54"/>
      <c r="CE331" s="54"/>
      <c r="CF331" s="54"/>
      <c r="CG331" s="54"/>
      <c r="CH331" s="54"/>
      <c r="CI331" s="54"/>
      <c r="CJ331" s="54"/>
      <c r="CK331" s="54"/>
      <c r="CL331" s="54"/>
      <c r="CM331" s="54"/>
      <c r="CN331" s="54"/>
      <c r="CO331" s="54"/>
      <c r="CP331" s="54"/>
      <c r="CQ331" s="54"/>
      <c r="CR331" s="54"/>
      <c r="CS331" s="54"/>
      <c r="CT331" s="54"/>
      <c r="CU331" s="54"/>
      <c r="CV331" s="54"/>
      <c r="CW331" s="54"/>
      <c r="CX331" s="54"/>
      <c r="CY331" s="54"/>
      <c r="CZ331" s="54"/>
      <c r="DA331" s="54"/>
      <c r="DB331" s="54"/>
      <c r="DC331" s="54"/>
      <c r="DD331" s="54"/>
      <c r="DE331" s="54"/>
      <c r="DF331" s="54"/>
      <c r="DG331" s="54"/>
      <c r="DH331" s="54"/>
      <c r="DI331" s="54"/>
      <c r="DJ331" s="54"/>
      <c r="DK331" s="54"/>
      <c r="DL331" s="54"/>
      <c r="DM331" s="54"/>
      <c r="DN331" s="54"/>
      <c r="DO331" s="54"/>
      <c r="DP331" s="54"/>
      <c r="DQ331" s="54"/>
      <c r="DR331" s="54"/>
      <c r="DS331" s="54"/>
      <c r="DT331" s="54"/>
      <c r="DU331" s="54"/>
      <c r="DV331" s="54"/>
      <c r="DW331" s="54"/>
      <c r="DX331" s="54"/>
      <c r="DY331" s="54"/>
      <c r="DZ331" s="54"/>
      <c r="EA331" s="54"/>
      <c r="EB331" s="54"/>
      <c r="EC331" s="54"/>
    </row>
    <row r="332" spans="1:133" ht="46.8" x14ac:dyDescent="0.25">
      <c r="A332" s="59" t="s">
        <v>13</v>
      </c>
      <c r="B332" s="60" t="s">
        <v>14</v>
      </c>
      <c r="C332" s="53" t="s">
        <v>15</v>
      </c>
      <c r="D332" s="53" t="s">
        <v>369</v>
      </c>
      <c r="E332" s="61">
        <f>SUM(F332:K332)</f>
        <v>2561.647389109145</v>
      </c>
      <c r="F332" s="62">
        <f>$E$333*$E$334*F335*$E$346</f>
        <v>440.86041151182468</v>
      </c>
      <c r="G332" s="62">
        <f t="shared" ref="G332:K332" si="42">$E$333*$E$334*G335*$E$346</f>
        <v>397.58966923109898</v>
      </c>
      <c r="H332" s="62">
        <f t="shared" si="42"/>
        <v>440.85259299406545</v>
      </c>
      <c r="I332" s="62">
        <f t="shared" si="42"/>
        <v>426.34537471778123</v>
      </c>
      <c r="J332" s="62">
        <f t="shared" si="42"/>
        <v>460.46475707273623</v>
      </c>
      <c r="K332" s="62">
        <f t="shared" si="42"/>
        <v>395.53458358163846</v>
      </c>
      <c r="L332" s="62" t="s">
        <v>297</v>
      </c>
      <c r="M332" s="62" t="s">
        <v>297</v>
      </c>
      <c r="N332" s="62" t="s">
        <v>297</v>
      </c>
      <c r="O332" s="62" t="s">
        <v>297</v>
      </c>
      <c r="P332" s="62" t="s">
        <v>297</v>
      </c>
      <c r="Q332" s="62" t="s">
        <v>297</v>
      </c>
    </row>
    <row r="333" spans="1:133" ht="31.2" x14ac:dyDescent="0.25">
      <c r="A333" s="63" t="s">
        <v>16</v>
      </c>
      <c r="B333" s="60" t="s">
        <v>193</v>
      </c>
      <c r="C333" s="35" t="s">
        <v>17</v>
      </c>
      <c r="D333" s="35" t="s">
        <v>205</v>
      </c>
      <c r="E333" s="176">
        <v>28</v>
      </c>
      <c r="F333" s="176"/>
      <c r="G333" s="176"/>
      <c r="H333" s="176"/>
      <c r="I333" s="176"/>
      <c r="J333" s="176"/>
      <c r="K333" s="176"/>
      <c r="L333" s="176"/>
      <c r="M333" s="176"/>
      <c r="N333" s="176"/>
      <c r="O333" s="176"/>
      <c r="P333" s="176"/>
      <c r="Q333" s="176"/>
    </row>
    <row r="334" spans="1:133" ht="64.8" x14ac:dyDescent="0.25">
      <c r="A334" s="63" t="s">
        <v>18</v>
      </c>
      <c r="B334" s="25" t="s">
        <v>194</v>
      </c>
      <c r="C334" s="35" t="s">
        <v>20</v>
      </c>
      <c r="D334" s="35" t="s">
        <v>394</v>
      </c>
      <c r="E334" s="176">
        <v>0.21</v>
      </c>
      <c r="F334" s="176"/>
      <c r="G334" s="176"/>
      <c r="H334" s="176"/>
      <c r="I334" s="176"/>
      <c r="J334" s="176"/>
      <c r="K334" s="176"/>
      <c r="L334" s="176"/>
      <c r="M334" s="176"/>
      <c r="N334" s="176"/>
      <c r="O334" s="176"/>
      <c r="P334" s="176"/>
      <c r="Q334" s="176"/>
    </row>
    <row r="335" spans="1:133" ht="46.8" x14ac:dyDescent="0.25">
      <c r="A335" s="35" t="s">
        <v>21</v>
      </c>
      <c r="B335" s="25" t="s">
        <v>195</v>
      </c>
      <c r="C335" s="53" t="s">
        <v>22</v>
      </c>
      <c r="D335" s="53" t="s">
        <v>370</v>
      </c>
      <c r="E335" s="64">
        <f t="shared" ref="E335:K335" si="43">E343*E336</f>
        <v>689.286757592664</v>
      </c>
      <c r="F335" s="64">
        <f t="shared" si="43"/>
        <v>118.62649203551479</v>
      </c>
      <c r="G335" s="64">
        <f t="shared" si="43"/>
        <v>106.98322303131287</v>
      </c>
      <c r="H335" s="64">
        <f t="shared" si="43"/>
        <v>118.62438823279065</v>
      </c>
      <c r="I335" s="64">
        <f t="shared" si="43"/>
        <v>114.72079342506558</v>
      </c>
      <c r="J335" s="64">
        <f t="shared" si="43"/>
        <v>123.90161922275277</v>
      </c>
      <c r="K335" s="64">
        <f t="shared" si="43"/>
        <v>106.43024164522738</v>
      </c>
      <c r="L335" s="64" t="s">
        <v>297</v>
      </c>
      <c r="M335" s="64" t="s">
        <v>297</v>
      </c>
      <c r="N335" s="64" t="s">
        <v>297</v>
      </c>
      <c r="O335" s="64" t="s">
        <v>297</v>
      </c>
      <c r="P335" s="64" t="s">
        <v>297</v>
      </c>
      <c r="Q335" s="64" t="s">
        <v>297</v>
      </c>
    </row>
    <row r="336" spans="1:133" ht="46.8" x14ac:dyDescent="0.25">
      <c r="A336" s="35" t="s">
        <v>23</v>
      </c>
      <c r="B336" s="25" t="s">
        <v>197</v>
      </c>
      <c r="C336" s="35" t="s">
        <v>191</v>
      </c>
      <c r="D336" s="35" t="s">
        <v>371</v>
      </c>
      <c r="E336" s="20">
        <f>SUM(F336:K336)</f>
        <v>726.83357820560525</v>
      </c>
      <c r="F336" s="20">
        <f>F338*F341</f>
        <v>125.08831299368283</v>
      </c>
      <c r="G336" s="20">
        <f t="shared" ref="G336:K336" si="44">G338*G341</f>
        <v>112.81081196944938</v>
      </c>
      <c r="H336" s="20">
        <f t="shared" si="44"/>
        <v>125.08609459264004</v>
      </c>
      <c r="I336" s="20">
        <f t="shared" si="44"/>
        <v>120.96986321185335</v>
      </c>
      <c r="J336" s="20">
        <f t="shared" si="44"/>
        <v>130.65078685054408</v>
      </c>
      <c r="K336" s="20">
        <f t="shared" si="44"/>
        <v>112.22770858743557</v>
      </c>
      <c r="L336" s="20" t="s">
        <v>297</v>
      </c>
      <c r="M336" s="20" t="s">
        <v>297</v>
      </c>
      <c r="N336" s="20" t="s">
        <v>297</v>
      </c>
      <c r="O336" s="20" t="s">
        <v>297</v>
      </c>
      <c r="P336" s="20" t="s">
        <v>297</v>
      </c>
      <c r="Q336" s="20" t="s">
        <v>297</v>
      </c>
    </row>
    <row r="337" spans="1:133" ht="62.4" x14ac:dyDescent="0.25">
      <c r="A337" s="17" t="s">
        <v>335</v>
      </c>
      <c r="B337" s="60" t="s">
        <v>192</v>
      </c>
      <c r="C337" s="35" t="s">
        <v>25</v>
      </c>
      <c r="D337" s="35" t="s">
        <v>333</v>
      </c>
      <c r="E337" s="121">
        <f>AVERAGE(F337:K337)</f>
        <v>10913.393587032771</v>
      </c>
      <c r="F337" s="121">
        <v>10758.356967741938</v>
      </c>
      <c r="G337" s="121">
        <v>10751.139607142857</v>
      </c>
      <c r="H337" s="121">
        <v>10754.674419354838</v>
      </c>
      <c r="I337" s="121">
        <v>10753.641433333336</v>
      </c>
      <c r="J337" s="121">
        <v>11232.722161290325</v>
      </c>
      <c r="K337" s="121">
        <v>11229.826933333334</v>
      </c>
      <c r="L337" s="20" t="s">
        <v>297</v>
      </c>
      <c r="M337" s="20" t="s">
        <v>297</v>
      </c>
      <c r="N337" s="20" t="s">
        <v>297</v>
      </c>
      <c r="O337" s="20" t="s">
        <v>297</v>
      </c>
      <c r="P337" s="20" t="s">
        <v>297</v>
      </c>
      <c r="Q337" s="20" t="s">
        <v>297</v>
      </c>
    </row>
    <row r="338" spans="1:133" ht="46.8" x14ac:dyDescent="0.25">
      <c r="A338" s="35" t="s">
        <v>26</v>
      </c>
      <c r="B338" s="60" t="s">
        <v>198</v>
      </c>
      <c r="C338" s="35" t="s">
        <v>27</v>
      </c>
      <c r="D338" s="35" t="s">
        <v>206</v>
      </c>
      <c r="E338" s="65">
        <f>SUM(F338:K338)</f>
        <v>1975654.3200000003</v>
      </c>
      <c r="F338" s="65">
        <f>F337*F331</f>
        <v>333509.06600000011</v>
      </c>
      <c r="G338" s="65">
        <f t="shared" ref="G338:K338" si="45">G337*G331</f>
        <v>301031.90899999999</v>
      </c>
      <c r="H338" s="65">
        <f t="shared" si="45"/>
        <v>333394.90700000001</v>
      </c>
      <c r="I338" s="65">
        <f t="shared" si="45"/>
        <v>322609.24300000007</v>
      </c>
      <c r="J338" s="65">
        <f t="shared" si="45"/>
        <v>348214.38700000005</v>
      </c>
      <c r="K338" s="65">
        <f t="shared" si="45"/>
        <v>336894.80800000002</v>
      </c>
      <c r="L338" s="65" t="s">
        <v>297</v>
      </c>
      <c r="M338" s="65" t="s">
        <v>297</v>
      </c>
      <c r="N338" s="65" t="s">
        <v>297</v>
      </c>
      <c r="O338" s="65" t="s">
        <v>297</v>
      </c>
      <c r="P338" s="65" t="s">
        <v>297</v>
      </c>
      <c r="Q338" s="65" t="s">
        <v>297</v>
      </c>
    </row>
    <row r="339" spans="1:133" ht="62.4" x14ac:dyDescent="0.25">
      <c r="A339" s="35" t="s">
        <v>28</v>
      </c>
      <c r="B339" s="60" t="s">
        <v>199</v>
      </c>
      <c r="C339" s="35" t="s">
        <v>29</v>
      </c>
      <c r="D339" s="35" t="s">
        <v>332</v>
      </c>
      <c r="E339" s="125">
        <f>AVERAGE(F339:K339)</f>
        <v>368.05042989417984</v>
      </c>
      <c r="F339" s="125">
        <v>375.06720430107526</v>
      </c>
      <c r="G339" s="125">
        <v>374.74702380952374</v>
      </c>
      <c r="H339" s="125">
        <v>375.1889784946236</v>
      </c>
      <c r="I339" s="125">
        <v>374.9733333333333</v>
      </c>
      <c r="J339" s="125">
        <v>375.20215053763434</v>
      </c>
      <c r="K339" s="137">
        <v>333.12388888888893</v>
      </c>
      <c r="L339" s="66" t="s">
        <v>297</v>
      </c>
      <c r="M339" s="66" t="s">
        <v>297</v>
      </c>
      <c r="N339" s="66" t="s">
        <v>297</v>
      </c>
      <c r="O339" s="66" t="s">
        <v>297</v>
      </c>
      <c r="P339" s="66" t="s">
        <v>297</v>
      </c>
      <c r="Q339" s="66" t="s">
        <v>297</v>
      </c>
    </row>
    <row r="340" spans="1:133" ht="62.4" x14ac:dyDescent="0.25">
      <c r="A340" s="35" t="s">
        <v>30</v>
      </c>
      <c r="B340" s="60" t="s">
        <v>199</v>
      </c>
      <c r="C340" s="35" t="s">
        <v>31</v>
      </c>
      <c r="D340" s="35" t="s">
        <v>331</v>
      </c>
      <c r="E340" s="125">
        <f>AVERAGE(F340:K340)</f>
        <v>17.907867916880011</v>
      </c>
      <c r="F340" s="125">
        <v>18.06370967741935</v>
      </c>
      <c r="G340" s="125">
        <v>17.903273809523814</v>
      </c>
      <c r="H340" s="125">
        <v>17.745698924731183</v>
      </c>
      <c r="I340" s="125">
        <v>18.136111111111113</v>
      </c>
      <c r="J340" s="125">
        <v>17.672580645161283</v>
      </c>
      <c r="K340" s="137">
        <v>17.925833333333333</v>
      </c>
      <c r="L340" s="65" t="s">
        <v>297</v>
      </c>
      <c r="M340" s="65" t="s">
        <v>297</v>
      </c>
      <c r="N340" s="65" t="s">
        <v>297</v>
      </c>
      <c r="O340" s="65" t="s">
        <v>297</v>
      </c>
      <c r="P340" s="65" t="s">
        <v>297</v>
      </c>
      <c r="Q340" s="65" t="s">
        <v>297</v>
      </c>
    </row>
    <row r="341" spans="1:133" ht="62.4" x14ac:dyDescent="0.25">
      <c r="A341" s="35" t="s">
        <v>32</v>
      </c>
      <c r="B341" s="60" t="s">
        <v>200</v>
      </c>
      <c r="C341" s="35" t="s">
        <v>34</v>
      </c>
      <c r="D341" s="35" t="s">
        <v>338</v>
      </c>
      <c r="E341" s="122">
        <f>E339/1000000</f>
        <v>3.6805042989417985E-4</v>
      </c>
      <c r="F341" s="120">
        <f>F339/1000000</f>
        <v>3.7506720430107528E-4</v>
      </c>
      <c r="G341" s="120">
        <f t="shared" ref="G341:K342" si="46">G339/1000000</f>
        <v>3.7474702380952372E-4</v>
      </c>
      <c r="H341" s="120">
        <f t="shared" si="46"/>
        <v>3.7518897849462358E-4</v>
      </c>
      <c r="I341" s="120">
        <f t="shared" si="46"/>
        <v>3.7497333333333328E-4</v>
      </c>
      <c r="J341" s="120">
        <f t="shared" si="46"/>
        <v>3.7520215053763432E-4</v>
      </c>
      <c r="K341" s="120">
        <f t="shared" si="46"/>
        <v>3.3312388888888893E-4</v>
      </c>
      <c r="L341" s="22" t="s">
        <v>297</v>
      </c>
      <c r="M341" s="22" t="s">
        <v>297</v>
      </c>
      <c r="N341" s="22" t="s">
        <v>297</v>
      </c>
      <c r="O341" s="22" t="s">
        <v>297</v>
      </c>
      <c r="P341" s="22" t="s">
        <v>297</v>
      </c>
      <c r="Q341" s="22" t="s">
        <v>297</v>
      </c>
    </row>
    <row r="342" spans="1:133" ht="62.4" x14ac:dyDescent="0.25">
      <c r="A342" s="35" t="s">
        <v>30</v>
      </c>
      <c r="B342" s="60" t="s">
        <v>33</v>
      </c>
      <c r="C342" s="35" t="s">
        <v>35</v>
      </c>
      <c r="D342" s="35" t="s">
        <v>339</v>
      </c>
      <c r="E342" s="122">
        <f>E340/1000000</f>
        <v>1.7907867916880011E-5</v>
      </c>
      <c r="F342" s="120">
        <f>F340/1000000</f>
        <v>1.8063709677419349E-5</v>
      </c>
      <c r="G342" s="120">
        <f t="shared" si="46"/>
        <v>1.7903273809523812E-5</v>
      </c>
      <c r="H342" s="120">
        <f t="shared" si="46"/>
        <v>1.7745698924731184E-5</v>
      </c>
      <c r="I342" s="120">
        <f t="shared" si="46"/>
        <v>1.8136111111111113E-5</v>
      </c>
      <c r="J342" s="120">
        <f t="shared" si="46"/>
        <v>1.7672580645161282E-5</v>
      </c>
      <c r="K342" s="120">
        <f t="shared" si="46"/>
        <v>1.7925833333333334E-5</v>
      </c>
      <c r="L342" s="22" t="s">
        <v>297</v>
      </c>
      <c r="M342" s="22" t="s">
        <v>297</v>
      </c>
      <c r="N342" s="22" t="s">
        <v>297</v>
      </c>
      <c r="O342" s="22" t="s">
        <v>297</v>
      </c>
      <c r="P342" s="22" t="s">
        <v>297</v>
      </c>
      <c r="Q342" s="22" t="s">
        <v>297</v>
      </c>
    </row>
    <row r="343" spans="1:133" ht="46.8" x14ac:dyDescent="0.25">
      <c r="A343" s="63" t="s">
        <v>36</v>
      </c>
      <c r="B343" s="25" t="s">
        <v>201</v>
      </c>
      <c r="C343" s="35" t="s">
        <v>38</v>
      </c>
      <c r="D343" s="35" t="s">
        <v>368</v>
      </c>
      <c r="E343" s="68">
        <f>(1-(E344/E345))</f>
        <v>0.94834192896586289</v>
      </c>
      <c r="F343" s="68">
        <f>E343</f>
        <v>0.94834192896586289</v>
      </c>
      <c r="G343" s="68">
        <f>E343</f>
        <v>0.94834192896586289</v>
      </c>
      <c r="H343" s="68">
        <f>E343</f>
        <v>0.94834192896586289</v>
      </c>
      <c r="I343" s="68">
        <f>E343</f>
        <v>0.94834192896586289</v>
      </c>
      <c r="J343" s="68">
        <f>E343</f>
        <v>0.94834192896586289</v>
      </c>
      <c r="K343" s="68">
        <f>F343</f>
        <v>0.94834192896586289</v>
      </c>
      <c r="L343" s="68" t="s">
        <v>297</v>
      </c>
      <c r="M343" s="68" t="s">
        <v>297</v>
      </c>
      <c r="N343" s="68" t="s">
        <v>297</v>
      </c>
      <c r="O343" s="68" t="s">
        <v>297</v>
      </c>
      <c r="P343" s="68" t="s">
        <v>297</v>
      </c>
      <c r="Q343" s="68" t="s">
        <v>297</v>
      </c>
    </row>
    <row r="344" spans="1:133" ht="31.2" x14ac:dyDescent="0.25">
      <c r="A344" s="35" t="s">
        <v>39</v>
      </c>
      <c r="B344" s="25" t="s">
        <v>196</v>
      </c>
      <c r="C344" s="35" t="s">
        <v>40</v>
      </c>
      <c r="D344" s="35" t="s">
        <v>351</v>
      </c>
      <c r="E344" s="52">
        <f>SUM(F344:K344)</f>
        <v>37.300211396000002</v>
      </c>
      <c r="F344" s="52">
        <v>6.3884339959999989</v>
      </c>
      <c r="G344" s="52">
        <v>5.7701984480000004</v>
      </c>
      <c r="H344" s="52">
        <v>6.3884339959999989</v>
      </c>
      <c r="I344" s="52">
        <v>6.18235548</v>
      </c>
      <c r="J344" s="52">
        <v>6.3884339959999989</v>
      </c>
      <c r="K344" s="52">
        <v>6.18235548</v>
      </c>
      <c r="L344" s="69" t="s">
        <v>297</v>
      </c>
      <c r="M344" s="69" t="s">
        <v>297</v>
      </c>
      <c r="N344" s="69" t="s">
        <v>297</v>
      </c>
      <c r="O344" s="69" t="s">
        <v>297</v>
      </c>
      <c r="P344" s="69" t="s">
        <v>297</v>
      </c>
      <c r="Q344" s="69" t="s">
        <v>297</v>
      </c>
    </row>
    <row r="345" spans="1:133" ht="31.2" x14ac:dyDescent="0.25">
      <c r="A345" s="63" t="s">
        <v>41</v>
      </c>
      <c r="B345" s="25" t="s">
        <v>24</v>
      </c>
      <c r="C345" s="35" t="s">
        <v>42</v>
      </c>
      <c r="D345" s="35" t="s">
        <v>351</v>
      </c>
      <c r="E345" s="52">
        <f>SUM(F345:K345)</f>
        <v>722.05970237160011</v>
      </c>
      <c r="F345" s="52">
        <v>123.66768383160002</v>
      </c>
      <c r="G345" s="52">
        <v>111.69984346080001</v>
      </c>
      <c r="H345" s="52">
        <v>123.66768383160002</v>
      </c>
      <c r="I345" s="52">
        <v>119.67840370799999</v>
      </c>
      <c r="J345" s="52">
        <v>123.66768383160002</v>
      </c>
      <c r="K345" s="52">
        <v>119.67840370799999</v>
      </c>
      <c r="L345" s="69" t="s">
        <v>297</v>
      </c>
      <c r="M345" s="69" t="s">
        <v>297</v>
      </c>
      <c r="N345" s="69" t="s">
        <v>297</v>
      </c>
      <c r="O345" s="69" t="s">
        <v>297</v>
      </c>
      <c r="P345" s="69" t="s">
        <v>297</v>
      </c>
      <c r="Q345" s="69" t="s">
        <v>297</v>
      </c>
    </row>
    <row r="346" spans="1:133" ht="31.2" x14ac:dyDescent="0.25">
      <c r="A346" s="53" t="s">
        <v>43</v>
      </c>
      <c r="B346" s="25" t="s">
        <v>201</v>
      </c>
      <c r="C346" s="53" t="s">
        <v>44</v>
      </c>
      <c r="D346" s="35" t="s">
        <v>372</v>
      </c>
      <c r="E346" s="177">
        <f>E347*E348*0.89</f>
        <v>0.63203639570449444</v>
      </c>
      <c r="F346" s="177"/>
      <c r="G346" s="177"/>
      <c r="H346" s="177"/>
      <c r="I346" s="177"/>
      <c r="J346" s="177"/>
      <c r="K346" s="177"/>
      <c r="L346" s="177"/>
      <c r="M346" s="177"/>
      <c r="N346" s="177"/>
      <c r="O346" s="177"/>
      <c r="P346" s="177"/>
      <c r="Q346" s="177"/>
    </row>
    <row r="347" spans="1:133" ht="31.2" x14ac:dyDescent="0.25">
      <c r="A347" s="70" t="s">
        <v>45</v>
      </c>
      <c r="B347" s="25" t="s">
        <v>201</v>
      </c>
      <c r="C347" s="53" t="s">
        <v>46</v>
      </c>
      <c r="D347" s="35" t="s">
        <v>373</v>
      </c>
      <c r="E347" s="162">
        <v>0.7</v>
      </c>
      <c r="F347" s="163"/>
      <c r="G347" s="163"/>
      <c r="H347" s="163"/>
      <c r="I347" s="163"/>
      <c r="J347" s="163"/>
      <c r="K347" s="163"/>
      <c r="L347" s="163"/>
      <c r="M347" s="163"/>
      <c r="N347" s="163"/>
      <c r="O347" s="163"/>
      <c r="P347" s="163"/>
      <c r="Q347" s="164"/>
    </row>
    <row r="348" spans="1:133" ht="36" customHeight="1" x14ac:dyDescent="0.25">
      <c r="A348" s="70" t="s">
        <v>47</v>
      </c>
      <c r="B348" s="25" t="s">
        <v>37</v>
      </c>
      <c r="C348" s="53" t="s">
        <v>48</v>
      </c>
      <c r="D348" s="35" t="s">
        <v>374</v>
      </c>
      <c r="E348" s="159">
        <f>(F349*F354+G349*G354+H349*H354+I349*I354+J349*J354+K349*K354)/(F343*F338*F341+G343*G341*G338+H343*H338*H341+I343*I341*I338+J343*J341*J338+K343*K341*K338)</f>
        <v>1.0145046480007938</v>
      </c>
      <c r="F348" s="160"/>
      <c r="G348" s="160"/>
      <c r="H348" s="160"/>
      <c r="I348" s="160"/>
      <c r="J348" s="160"/>
      <c r="K348" s="160"/>
      <c r="L348" s="160"/>
      <c r="M348" s="160"/>
      <c r="N348" s="160"/>
      <c r="O348" s="160"/>
      <c r="P348" s="160"/>
      <c r="Q348" s="161"/>
    </row>
    <row r="349" spans="1:133" s="9" customFormat="1" ht="46.8" x14ac:dyDescent="0.4">
      <c r="A349" s="71" t="s">
        <v>49</v>
      </c>
      <c r="B349" s="25" t="s">
        <v>37</v>
      </c>
      <c r="C349" s="53" t="s">
        <v>50</v>
      </c>
      <c r="D349" s="53" t="s">
        <v>375</v>
      </c>
      <c r="E349" s="72">
        <f>AVERAGE(F349:K349)</f>
        <v>0.47566758520675173</v>
      </c>
      <c r="F349" s="72">
        <f>IF(F353&lt;283,0,IF(F353&gt;303,1,EXP(($E$350*(F353-$E$351))/($E$352*$E$351*F353))))</f>
        <v>0.29505266129807517</v>
      </c>
      <c r="G349" s="72">
        <f t="shared" ref="G349:K349" si="47">IF(G353&lt;283,0,IF(G353&gt;303,1,EXP(($E$350*(G353-$E$351))/($E$352*$E$351*G353))))</f>
        <v>0.24547412919519337</v>
      </c>
      <c r="H349" s="72">
        <f t="shared" si="47"/>
        <v>0.42307437878932203</v>
      </c>
      <c r="I349" s="72">
        <f t="shared" si="47"/>
        <v>0.50475941545474445</v>
      </c>
      <c r="J349" s="72">
        <f t="shared" si="47"/>
        <v>0.57531644493802248</v>
      </c>
      <c r="K349" s="72">
        <f t="shared" si="47"/>
        <v>0.81032848156515291</v>
      </c>
      <c r="L349" s="72" t="s">
        <v>297</v>
      </c>
      <c r="M349" s="72" t="s">
        <v>297</v>
      </c>
      <c r="N349" s="72" t="s">
        <v>297</v>
      </c>
      <c r="O349" s="72" t="s">
        <v>297</v>
      </c>
      <c r="P349" s="72" t="s">
        <v>297</v>
      </c>
      <c r="Q349" s="72" t="s">
        <v>297</v>
      </c>
      <c r="R349" s="78"/>
      <c r="S349" s="78"/>
      <c r="T349" s="78"/>
      <c r="U349" s="78"/>
      <c r="V349" s="78"/>
      <c r="W349" s="78"/>
      <c r="X349" s="78"/>
      <c r="Y349" s="78"/>
      <c r="Z349" s="78"/>
      <c r="AA349" s="78"/>
      <c r="AB349" s="78"/>
      <c r="AC349" s="78"/>
      <c r="AD349" s="78"/>
      <c r="AE349" s="78"/>
      <c r="AF349" s="78"/>
      <c r="AG349" s="78"/>
      <c r="AH349" s="78"/>
      <c r="AI349" s="78"/>
      <c r="AJ349" s="78"/>
      <c r="AK349" s="78"/>
      <c r="AL349" s="78"/>
      <c r="AM349" s="78"/>
      <c r="AN349" s="78"/>
      <c r="AO349" s="78"/>
      <c r="AP349" s="78"/>
      <c r="AQ349" s="78"/>
      <c r="AR349" s="78"/>
      <c r="AS349" s="78"/>
      <c r="AT349" s="78"/>
      <c r="AU349" s="78"/>
      <c r="AV349" s="78"/>
      <c r="AW349" s="78"/>
      <c r="AX349" s="78"/>
      <c r="AY349" s="78"/>
      <c r="AZ349" s="78"/>
      <c r="BA349" s="78"/>
      <c r="BB349" s="78"/>
      <c r="BC349" s="78"/>
      <c r="BD349" s="78"/>
      <c r="BE349" s="78"/>
      <c r="BF349" s="78"/>
      <c r="BG349" s="78"/>
      <c r="BH349" s="78"/>
      <c r="BI349" s="78"/>
      <c r="BJ349" s="78"/>
      <c r="BK349" s="78"/>
      <c r="BL349" s="78"/>
      <c r="BM349" s="78"/>
      <c r="BN349" s="78"/>
      <c r="BO349" s="78"/>
      <c r="BP349" s="78"/>
      <c r="BQ349" s="78"/>
      <c r="BR349" s="78"/>
      <c r="BS349" s="78"/>
      <c r="BT349" s="78"/>
      <c r="BU349" s="78"/>
      <c r="BV349" s="78"/>
      <c r="BW349" s="78"/>
      <c r="BX349" s="78"/>
      <c r="BY349" s="78"/>
      <c r="BZ349" s="78"/>
      <c r="CA349" s="78"/>
      <c r="CB349" s="78"/>
      <c r="CC349" s="78"/>
      <c r="CD349" s="78"/>
      <c r="CE349" s="78"/>
      <c r="CF349" s="78"/>
      <c r="CG349" s="78"/>
      <c r="CH349" s="78"/>
      <c r="CI349" s="78"/>
      <c r="CJ349" s="78"/>
      <c r="CK349" s="78"/>
      <c r="CL349" s="78"/>
      <c r="CM349" s="78"/>
      <c r="CN349" s="78"/>
      <c r="CO349" s="78"/>
      <c r="CP349" s="78"/>
      <c r="CQ349" s="78"/>
      <c r="CR349" s="78"/>
      <c r="CS349" s="78"/>
      <c r="CT349" s="78"/>
      <c r="CU349" s="78"/>
      <c r="CV349" s="78"/>
      <c r="CW349" s="78"/>
      <c r="CX349" s="78"/>
      <c r="CY349" s="78"/>
      <c r="CZ349" s="78"/>
      <c r="DA349" s="78"/>
      <c r="DB349" s="78"/>
      <c r="DC349" s="78"/>
      <c r="DD349" s="78"/>
      <c r="DE349" s="78"/>
      <c r="DF349" s="78"/>
      <c r="DG349" s="78"/>
      <c r="DH349" s="78"/>
      <c r="DI349" s="78"/>
      <c r="DJ349" s="78"/>
      <c r="DK349" s="78"/>
      <c r="DL349" s="78"/>
      <c r="DM349" s="78"/>
      <c r="DN349" s="78"/>
      <c r="DO349" s="78"/>
      <c r="DP349" s="78"/>
      <c r="DQ349" s="78"/>
      <c r="DR349" s="78"/>
      <c r="DS349" s="78"/>
      <c r="DT349" s="78"/>
      <c r="DU349" s="78"/>
      <c r="DV349" s="78"/>
      <c r="DW349" s="78"/>
      <c r="DX349" s="78"/>
      <c r="DY349" s="78"/>
      <c r="DZ349" s="78"/>
      <c r="EA349" s="78"/>
      <c r="EB349" s="78"/>
      <c r="EC349" s="78"/>
    </row>
    <row r="350" spans="1:133" s="9" customFormat="1" x14ac:dyDescent="0.25">
      <c r="A350" s="73" t="s">
        <v>51</v>
      </c>
      <c r="B350" s="60" t="s">
        <v>202</v>
      </c>
      <c r="C350" s="53" t="s">
        <v>53</v>
      </c>
      <c r="D350" s="53" t="s">
        <v>376</v>
      </c>
      <c r="E350" s="162">
        <v>15175</v>
      </c>
      <c r="F350" s="163"/>
      <c r="G350" s="163"/>
      <c r="H350" s="163"/>
      <c r="I350" s="163"/>
      <c r="J350" s="163"/>
      <c r="K350" s="163"/>
      <c r="L350" s="163"/>
      <c r="M350" s="163"/>
      <c r="N350" s="163"/>
      <c r="O350" s="163"/>
      <c r="P350" s="163"/>
      <c r="Q350" s="164"/>
      <c r="R350" s="78"/>
      <c r="S350" s="78"/>
      <c r="T350" s="78"/>
      <c r="U350" s="78"/>
      <c r="V350" s="78"/>
      <c r="W350" s="78"/>
      <c r="X350" s="78"/>
      <c r="Y350" s="78"/>
      <c r="Z350" s="78"/>
      <c r="AA350" s="78"/>
      <c r="AB350" s="78"/>
      <c r="AC350" s="78"/>
      <c r="AD350" s="78"/>
      <c r="AE350" s="78"/>
      <c r="AF350" s="78"/>
      <c r="AG350" s="78"/>
      <c r="AH350" s="78"/>
      <c r="AI350" s="78"/>
      <c r="AJ350" s="78"/>
      <c r="AK350" s="78"/>
      <c r="AL350" s="78"/>
      <c r="AM350" s="78"/>
      <c r="AN350" s="78"/>
      <c r="AO350" s="78"/>
      <c r="AP350" s="78"/>
      <c r="AQ350" s="78"/>
      <c r="AR350" s="78"/>
      <c r="AS350" s="78"/>
      <c r="AT350" s="78"/>
      <c r="AU350" s="78"/>
      <c r="AV350" s="78"/>
      <c r="AW350" s="78"/>
      <c r="AX350" s="78"/>
      <c r="AY350" s="78"/>
      <c r="AZ350" s="78"/>
      <c r="BA350" s="78"/>
      <c r="BB350" s="78"/>
      <c r="BC350" s="78"/>
      <c r="BD350" s="78"/>
      <c r="BE350" s="78"/>
      <c r="BF350" s="78"/>
      <c r="BG350" s="78"/>
      <c r="BH350" s="78"/>
      <c r="BI350" s="78"/>
      <c r="BJ350" s="78"/>
      <c r="BK350" s="78"/>
      <c r="BL350" s="78"/>
      <c r="BM350" s="78"/>
      <c r="BN350" s="78"/>
      <c r="BO350" s="78"/>
      <c r="BP350" s="78"/>
      <c r="BQ350" s="78"/>
      <c r="BR350" s="78"/>
      <c r="BS350" s="78"/>
      <c r="BT350" s="78"/>
      <c r="BU350" s="78"/>
      <c r="BV350" s="78"/>
      <c r="BW350" s="78"/>
      <c r="BX350" s="78"/>
      <c r="BY350" s="78"/>
      <c r="BZ350" s="78"/>
      <c r="CA350" s="78"/>
      <c r="CB350" s="78"/>
      <c r="CC350" s="78"/>
      <c r="CD350" s="78"/>
      <c r="CE350" s="78"/>
      <c r="CF350" s="78"/>
      <c r="CG350" s="78"/>
      <c r="CH350" s="78"/>
      <c r="CI350" s="78"/>
      <c r="CJ350" s="78"/>
      <c r="CK350" s="78"/>
      <c r="CL350" s="78"/>
      <c r="CM350" s="78"/>
      <c r="CN350" s="78"/>
      <c r="CO350" s="78"/>
      <c r="CP350" s="78"/>
      <c r="CQ350" s="78"/>
      <c r="CR350" s="78"/>
      <c r="CS350" s="78"/>
      <c r="CT350" s="78"/>
      <c r="CU350" s="78"/>
      <c r="CV350" s="78"/>
      <c r="CW350" s="78"/>
      <c r="CX350" s="78"/>
      <c r="CY350" s="78"/>
      <c r="CZ350" s="78"/>
      <c r="DA350" s="78"/>
      <c r="DB350" s="78"/>
      <c r="DC350" s="78"/>
      <c r="DD350" s="78"/>
      <c r="DE350" s="78"/>
      <c r="DF350" s="78"/>
      <c r="DG350" s="78"/>
      <c r="DH350" s="78"/>
      <c r="DI350" s="78"/>
      <c r="DJ350" s="78"/>
      <c r="DK350" s="78"/>
      <c r="DL350" s="78"/>
      <c r="DM350" s="78"/>
      <c r="DN350" s="78"/>
      <c r="DO350" s="78"/>
      <c r="DP350" s="78"/>
      <c r="DQ350" s="78"/>
      <c r="DR350" s="78"/>
      <c r="DS350" s="78"/>
      <c r="DT350" s="78"/>
      <c r="DU350" s="78"/>
      <c r="DV350" s="78"/>
      <c r="DW350" s="78"/>
      <c r="DX350" s="78"/>
      <c r="DY350" s="78"/>
      <c r="DZ350" s="78"/>
      <c r="EA350" s="78"/>
      <c r="EB350" s="78"/>
      <c r="EC350" s="78"/>
    </row>
    <row r="351" spans="1:133" s="9" customFormat="1" ht="18" x14ac:dyDescent="0.25">
      <c r="A351" s="73" t="s">
        <v>54</v>
      </c>
      <c r="B351" s="60" t="s">
        <v>203</v>
      </c>
      <c r="C351" s="53" t="s">
        <v>56</v>
      </c>
      <c r="D351" s="53" t="s">
        <v>376</v>
      </c>
      <c r="E351" s="162">
        <v>303.16000000000003</v>
      </c>
      <c r="F351" s="163"/>
      <c r="G351" s="163"/>
      <c r="H351" s="163"/>
      <c r="I351" s="163"/>
      <c r="J351" s="163"/>
      <c r="K351" s="163"/>
      <c r="L351" s="163"/>
      <c r="M351" s="163"/>
      <c r="N351" s="163"/>
      <c r="O351" s="163"/>
      <c r="P351" s="163"/>
      <c r="Q351" s="164"/>
      <c r="R351" s="78"/>
      <c r="S351" s="78"/>
      <c r="T351" s="78"/>
      <c r="U351" s="78"/>
      <c r="V351" s="78"/>
      <c r="W351" s="78"/>
      <c r="X351" s="78"/>
      <c r="Y351" s="78"/>
      <c r="Z351" s="78"/>
      <c r="AA351" s="78"/>
      <c r="AB351" s="78"/>
      <c r="AC351" s="78"/>
      <c r="AD351" s="78"/>
      <c r="AE351" s="78"/>
      <c r="AF351" s="78"/>
      <c r="AG351" s="78"/>
      <c r="AH351" s="78"/>
      <c r="AI351" s="78"/>
      <c r="AJ351" s="78"/>
      <c r="AK351" s="78"/>
      <c r="AL351" s="78"/>
      <c r="AM351" s="78"/>
      <c r="AN351" s="78"/>
      <c r="AO351" s="78"/>
      <c r="AP351" s="78"/>
      <c r="AQ351" s="78"/>
      <c r="AR351" s="78"/>
      <c r="AS351" s="78"/>
      <c r="AT351" s="78"/>
      <c r="AU351" s="78"/>
      <c r="AV351" s="78"/>
      <c r="AW351" s="78"/>
      <c r="AX351" s="78"/>
      <c r="AY351" s="78"/>
      <c r="AZ351" s="78"/>
      <c r="BA351" s="78"/>
      <c r="BB351" s="78"/>
      <c r="BC351" s="78"/>
      <c r="BD351" s="78"/>
      <c r="BE351" s="78"/>
      <c r="BF351" s="78"/>
      <c r="BG351" s="78"/>
      <c r="BH351" s="78"/>
      <c r="BI351" s="78"/>
      <c r="BJ351" s="78"/>
      <c r="BK351" s="78"/>
      <c r="BL351" s="78"/>
      <c r="BM351" s="78"/>
      <c r="BN351" s="78"/>
      <c r="BO351" s="78"/>
      <c r="BP351" s="78"/>
      <c r="BQ351" s="78"/>
      <c r="BR351" s="78"/>
      <c r="BS351" s="78"/>
      <c r="BT351" s="78"/>
      <c r="BU351" s="78"/>
      <c r="BV351" s="78"/>
      <c r="BW351" s="78"/>
      <c r="BX351" s="78"/>
      <c r="BY351" s="78"/>
      <c r="BZ351" s="78"/>
      <c r="CA351" s="78"/>
      <c r="CB351" s="78"/>
      <c r="CC351" s="78"/>
      <c r="CD351" s="78"/>
      <c r="CE351" s="78"/>
      <c r="CF351" s="78"/>
      <c r="CG351" s="78"/>
      <c r="CH351" s="78"/>
      <c r="CI351" s="78"/>
      <c r="CJ351" s="78"/>
      <c r="CK351" s="78"/>
      <c r="CL351" s="78"/>
      <c r="CM351" s="78"/>
      <c r="CN351" s="78"/>
      <c r="CO351" s="78"/>
      <c r="CP351" s="78"/>
      <c r="CQ351" s="78"/>
      <c r="CR351" s="78"/>
      <c r="CS351" s="78"/>
      <c r="CT351" s="78"/>
      <c r="CU351" s="78"/>
      <c r="CV351" s="78"/>
      <c r="CW351" s="78"/>
      <c r="CX351" s="78"/>
      <c r="CY351" s="78"/>
      <c r="CZ351" s="78"/>
      <c r="DA351" s="78"/>
      <c r="DB351" s="78"/>
      <c r="DC351" s="78"/>
      <c r="DD351" s="78"/>
      <c r="DE351" s="78"/>
      <c r="DF351" s="78"/>
      <c r="DG351" s="78"/>
      <c r="DH351" s="78"/>
      <c r="DI351" s="78"/>
      <c r="DJ351" s="78"/>
      <c r="DK351" s="78"/>
      <c r="DL351" s="78"/>
      <c r="DM351" s="78"/>
      <c r="DN351" s="78"/>
      <c r="DO351" s="78"/>
      <c r="DP351" s="78"/>
      <c r="DQ351" s="78"/>
      <c r="DR351" s="78"/>
      <c r="DS351" s="78"/>
      <c r="DT351" s="78"/>
      <c r="DU351" s="78"/>
      <c r="DV351" s="78"/>
      <c r="DW351" s="78"/>
      <c r="DX351" s="78"/>
      <c r="DY351" s="78"/>
      <c r="DZ351" s="78"/>
      <c r="EA351" s="78"/>
      <c r="EB351" s="78"/>
      <c r="EC351" s="78"/>
    </row>
    <row r="352" spans="1:133" s="9" customFormat="1" x14ac:dyDescent="0.25">
      <c r="A352" s="73" t="s">
        <v>57</v>
      </c>
      <c r="B352" s="60" t="s">
        <v>204</v>
      </c>
      <c r="C352" s="53" t="s">
        <v>59</v>
      </c>
      <c r="D352" s="53" t="s">
        <v>376</v>
      </c>
      <c r="E352" s="162">
        <v>1.9870000000000001</v>
      </c>
      <c r="F352" s="163"/>
      <c r="G352" s="163"/>
      <c r="H352" s="163"/>
      <c r="I352" s="163"/>
      <c r="J352" s="163"/>
      <c r="K352" s="163"/>
      <c r="L352" s="163"/>
      <c r="M352" s="163"/>
      <c r="N352" s="163"/>
      <c r="O352" s="163"/>
      <c r="P352" s="163"/>
      <c r="Q352" s="164"/>
      <c r="R352" s="78"/>
      <c r="S352" s="78"/>
      <c r="T352" s="78"/>
      <c r="U352" s="78"/>
      <c r="V352" s="78"/>
      <c r="W352" s="78"/>
      <c r="X352" s="78"/>
      <c r="Y352" s="78"/>
      <c r="Z352" s="78"/>
      <c r="AA352" s="78"/>
      <c r="AB352" s="78"/>
      <c r="AC352" s="78"/>
      <c r="AD352" s="78"/>
      <c r="AE352" s="78"/>
      <c r="AF352" s="78"/>
      <c r="AG352" s="78"/>
      <c r="AH352" s="78"/>
      <c r="AI352" s="78"/>
      <c r="AJ352" s="78"/>
      <c r="AK352" s="78"/>
      <c r="AL352" s="78"/>
      <c r="AM352" s="78"/>
      <c r="AN352" s="78"/>
      <c r="AO352" s="78"/>
      <c r="AP352" s="78"/>
      <c r="AQ352" s="78"/>
      <c r="AR352" s="78"/>
      <c r="AS352" s="78"/>
      <c r="AT352" s="78"/>
      <c r="AU352" s="78"/>
      <c r="AV352" s="78"/>
      <c r="AW352" s="78"/>
      <c r="AX352" s="78"/>
      <c r="AY352" s="78"/>
      <c r="AZ352" s="78"/>
      <c r="BA352" s="78"/>
      <c r="BB352" s="78"/>
      <c r="BC352" s="78"/>
      <c r="BD352" s="78"/>
      <c r="BE352" s="78"/>
      <c r="BF352" s="78"/>
      <c r="BG352" s="78"/>
      <c r="BH352" s="78"/>
      <c r="BI352" s="78"/>
      <c r="BJ352" s="78"/>
      <c r="BK352" s="78"/>
      <c r="BL352" s="78"/>
      <c r="BM352" s="78"/>
      <c r="BN352" s="78"/>
      <c r="BO352" s="78"/>
      <c r="BP352" s="78"/>
      <c r="BQ352" s="78"/>
      <c r="BR352" s="78"/>
      <c r="BS352" s="78"/>
      <c r="BT352" s="78"/>
      <c r="BU352" s="78"/>
      <c r="BV352" s="78"/>
      <c r="BW352" s="78"/>
      <c r="BX352" s="78"/>
      <c r="BY352" s="78"/>
      <c r="BZ352" s="78"/>
      <c r="CA352" s="78"/>
      <c r="CB352" s="78"/>
      <c r="CC352" s="78"/>
      <c r="CD352" s="78"/>
      <c r="CE352" s="78"/>
      <c r="CF352" s="78"/>
      <c r="CG352" s="78"/>
      <c r="CH352" s="78"/>
      <c r="CI352" s="78"/>
      <c r="CJ352" s="78"/>
      <c r="CK352" s="78"/>
      <c r="CL352" s="78"/>
      <c r="CM352" s="78"/>
      <c r="CN352" s="78"/>
      <c r="CO352" s="78"/>
      <c r="CP352" s="78"/>
      <c r="CQ352" s="78"/>
      <c r="CR352" s="78"/>
      <c r="CS352" s="78"/>
      <c r="CT352" s="78"/>
      <c r="CU352" s="78"/>
      <c r="CV352" s="78"/>
      <c r="CW352" s="78"/>
      <c r="CX352" s="78"/>
      <c r="CY352" s="78"/>
      <c r="CZ352" s="78"/>
      <c r="DA352" s="78"/>
      <c r="DB352" s="78"/>
      <c r="DC352" s="78"/>
      <c r="DD352" s="78"/>
      <c r="DE352" s="78"/>
      <c r="DF352" s="78"/>
      <c r="DG352" s="78"/>
      <c r="DH352" s="78"/>
      <c r="DI352" s="78"/>
      <c r="DJ352" s="78"/>
      <c r="DK352" s="78"/>
      <c r="DL352" s="78"/>
      <c r="DM352" s="78"/>
      <c r="DN352" s="78"/>
      <c r="DO352" s="78"/>
      <c r="DP352" s="78"/>
      <c r="DQ352" s="78"/>
      <c r="DR352" s="78"/>
      <c r="DS352" s="78"/>
      <c r="DT352" s="78"/>
      <c r="DU352" s="78"/>
      <c r="DV352" s="78"/>
      <c r="DW352" s="78"/>
      <c r="DX352" s="78"/>
      <c r="DY352" s="78"/>
      <c r="DZ352" s="78"/>
      <c r="EA352" s="78"/>
      <c r="EB352" s="78"/>
      <c r="EC352" s="78"/>
    </row>
    <row r="353" spans="1:133" s="9" customFormat="1" ht="31.2" x14ac:dyDescent="0.25">
      <c r="A353" s="73" t="s">
        <v>60</v>
      </c>
      <c r="B353" s="60" t="s">
        <v>203</v>
      </c>
      <c r="C353" s="53" t="s">
        <v>61</v>
      </c>
      <c r="D353" s="143" t="s">
        <v>363</v>
      </c>
      <c r="E353" s="98">
        <f>AVERAGE(F353:K353)</f>
        <v>293.65000000000003</v>
      </c>
      <c r="F353" s="60">
        <v>289.14999999999998</v>
      </c>
      <c r="G353" s="60">
        <v>287.14999999999998</v>
      </c>
      <c r="H353" s="60">
        <v>293.14999999999998</v>
      </c>
      <c r="I353" s="60">
        <v>295.14999999999998</v>
      </c>
      <c r="J353" s="60">
        <v>296.64999999999998</v>
      </c>
      <c r="K353" s="60">
        <v>300.64999999999998</v>
      </c>
      <c r="L353" s="60" t="s">
        <v>297</v>
      </c>
      <c r="M353" s="60" t="s">
        <v>297</v>
      </c>
      <c r="N353" s="60" t="s">
        <v>297</v>
      </c>
      <c r="O353" s="60" t="s">
        <v>297</v>
      </c>
      <c r="P353" s="60" t="s">
        <v>297</v>
      </c>
      <c r="Q353" s="60" t="s">
        <v>297</v>
      </c>
      <c r="R353" s="78"/>
      <c r="S353" s="78"/>
      <c r="T353" s="78"/>
      <c r="U353" s="78"/>
      <c r="V353" s="78"/>
      <c r="W353" s="78"/>
      <c r="X353" s="78"/>
      <c r="Y353" s="78"/>
      <c r="Z353" s="78"/>
      <c r="AA353" s="78"/>
      <c r="AB353" s="78"/>
      <c r="AC353" s="78"/>
      <c r="AD353" s="78"/>
      <c r="AE353" s="78"/>
      <c r="AF353" s="78"/>
      <c r="AG353" s="78"/>
      <c r="AH353" s="78"/>
      <c r="AI353" s="78"/>
      <c r="AJ353" s="78"/>
      <c r="AK353" s="78"/>
      <c r="AL353" s="78"/>
      <c r="AM353" s="78"/>
      <c r="AN353" s="78"/>
      <c r="AO353" s="78"/>
      <c r="AP353" s="78"/>
      <c r="AQ353" s="78"/>
      <c r="AR353" s="78"/>
      <c r="AS353" s="78"/>
      <c r="AT353" s="78"/>
      <c r="AU353" s="78"/>
      <c r="AV353" s="78"/>
      <c r="AW353" s="78"/>
      <c r="AX353" s="78"/>
      <c r="AY353" s="78"/>
      <c r="AZ353" s="78"/>
      <c r="BA353" s="78"/>
      <c r="BB353" s="78"/>
      <c r="BC353" s="78"/>
      <c r="BD353" s="78"/>
      <c r="BE353" s="78"/>
      <c r="BF353" s="78"/>
      <c r="BG353" s="78"/>
      <c r="BH353" s="78"/>
      <c r="BI353" s="78"/>
      <c r="BJ353" s="78"/>
      <c r="BK353" s="78"/>
      <c r="BL353" s="78"/>
      <c r="BM353" s="78"/>
      <c r="BN353" s="78"/>
      <c r="BO353" s="78"/>
      <c r="BP353" s="78"/>
      <c r="BQ353" s="78"/>
      <c r="BR353" s="78"/>
      <c r="BS353" s="78"/>
      <c r="BT353" s="78"/>
      <c r="BU353" s="78"/>
      <c r="BV353" s="78"/>
      <c r="BW353" s="78"/>
      <c r="BX353" s="78"/>
      <c r="BY353" s="78"/>
      <c r="BZ353" s="78"/>
      <c r="CA353" s="78"/>
      <c r="CB353" s="78"/>
      <c r="CC353" s="78"/>
      <c r="CD353" s="78"/>
      <c r="CE353" s="78"/>
      <c r="CF353" s="78"/>
      <c r="CG353" s="78"/>
      <c r="CH353" s="78"/>
      <c r="CI353" s="78"/>
      <c r="CJ353" s="78"/>
      <c r="CK353" s="78"/>
      <c r="CL353" s="78"/>
      <c r="CM353" s="78"/>
      <c r="CN353" s="78"/>
      <c r="CO353" s="78"/>
      <c r="CP353" s="78"/>
      <c r="CQ353" s="78"/>
      <c r="CR353" s="78"/>
      <c r="CS353" s="78"/>
      <c r="CT353" s="78"/>
      <c r="CU353" s="78"/>
      <c r="CV353" s="78"/>
      <c r="CW353" s="78"/>
      <c r="CX353" s="78"/>
      <c r="CY353" s="78"/>
      <c r="CZ353" s="78"/>
      <c r="DA353" s="78"/>
      <c r="DB353" s="78"/>
      <c r="DC353" s="78"/>
      <c r="DD353" s="78"/>
      <c r="DE353" s="78"/>
      <c r="DF353" s="78"/>
      <c r="DG353" s="78"/>
      <c r="DH353" s="78"/>
      <c r="DI353" s="78"/>
      <c r="DJ353" s="78"/>
      <c r="DK353" s="78"/>
      <c r="DL353" s="78"/>
      <c r="DM353" s="78"/>
      <c r="DN353" s="78"/>
      <c r="DO353" s="78"/>
      <c r="DP353" s="78"/>
      <c r="DQ353" s="78"/>
      <c r="DR353" s="78"/>
      <c r="DS353" s="78"/>
      <c r="DT353" s="78"/>
      <c r="DU353" s="78"/>
      <c r="DV353" s="78"/>
      <c r="DW353" s="78"/>
      <c r="DX353" s="78"/>
      <c r="DY353" s="78"/>
      <c r="DZ353" s="78"/>
      <c r="EA353" s="78"/>
      <c r="EB353" s="78"/>
      <c r="EC353" s="78"/>
    </row>
    <row r="354" spans="1:133" s="9" customFormat="1" ht="31.2" x14ac:dyDescent="0.4">
      <c r="A354" s="71" t="s">
        <v>62</v>
      </c>
      <c r="B354" s="60" t="s">
        <v>196</v>
      </c>
      <c r="C354" s="53" t="s">
        <v>63</v>
      </c>
      <c r="D354" s="53" t="s">
        <v>377</v>
      </c>
      <c r="E354" s="74">
        <f>SUM(F354:K354)</f>
        <v>1608.5597415046752</v>
      </c>
      <c r="F354" s="74">
        <f>F343*F338*F341+(1-F349)*'Baseline Emissions 2021'!Q354</f>
        <v>302.37763512177554</v>
      </c>
      <c r="G354" s="74">
        <f t="shared" ref="G354:K354" si="48">G343*G338*G341+(1-G349)*F354</f>
        <v>335.13497148346863</v>
      </c>
      <c r="H354" s="74">
        <f t="shared" si="48"/>
        <v>311.97233984531363</v>
      </c>
      <c r="I354" s="74">
        <f t="shared" si="48"/>
        <v>269.22215737200986</v>
      </c>
      <c r="J354" s="74">
        <f t="shared" si="48"/>
        <v>238.23584211695311</v>
      </c>
      <c r="K354" s="74">
        <f t="shared" si="48"/>
        <v>151.61679556515438</v>
      </c>
      <c r="L354" s="74" t="s">
        <v>297</v>
      </c>
      <c r="M354" s="74" t="s">
        <v>297</v>
      </c>
      <c r="N354" s="74" t="s">
        <v>297</v>
      </c>
      <c r="O354" s="74" t="s">
        <v>297</v>
      </c>
      <c r="P354" s="74" t="s">
        <v>297</v>
      </c>
      <c r="Q354" s="74" t="s">
        <v>297</v>
      </c>
      <c r="R354" s="78"/>
      <c r="S354" s="78"/>
      <c r="T354" s="78"/>
      <c r="U354" s="78"/>
      <c r="V354" s="78"/>
      <c r="W354" s="78"/>
      <c r="X354" s="78"/>
      <c r="Y354" s="78"/>
      <c r="Z354" s="78"/>
      <c r="AA354" s="78"/>
      <c r="AB354" s="78"/>
      <c r="AC354" s="78"/>
      <c r="AD354" s="78"/>
      <c r="AE354" s="78"/>
      <c r="AF354" s="78"/>
      <c r="AG354" s="78"/>
      <c r="AH354" s="78"/>
      <c r="AI354" s="78"/>
      <c r="AJ354" s="78"/>
      <c r="AK354" s="78"/>
      <c r="AL354" s="78"/>
      <c r="AM354" s="78"/>
      <c r="AN354" s="78"/>
      <c r="AO354" s="78"/>
      <c r="AP354" s="78"/>
      <c r="AQ354" s="78"/>
      <c r="AR354" s="78"/>
      <c r="AS354" s="78"/>
      <c r="AT354" s="78"/>
      <c r="AU354" s="78"/>
      <c r="AV354" s="78"/>
      <c r="AW354" s="78"/>
      <c r="AX354" s="78"/>
      <c r="AY354" s="78"/>
      <c r="AZ354" s="78"/>
      <c r="BA354" s="78"/>
      <c r="BB354" s="78"/>
      <c r="BC354" s="78"/>
      <c r="BD354" s="78"/>
      <c r="BE354" s="78"/>
      <c r="BF354" s="78"/>
      <c r="BG354" s="78"/>
      <c r="BH354" s="78"/>
      <c r="BI354" s="78"/>
      <c r="BJ354" s="78"/>
      <c r="BK354" s="78"/>
      <c r="BL354" s="78"/>
      <c r="BM354" s="78"/>
      <c r="BN354" s="78"/>
      <c r="BO354" s="78"/>
      <c r="BP354" s="78"/>
      <c r="BQ354" s="78"/>
      <c r="BR354" s="78"/>
      <c r="BS354" s="78"/>
      <c r="BT354" s="78"/>
      <c r="BU354" s="78"/>
      <c r="BV354" s="78"/>
      <c r="BW354" s="78"/>
      <c r="BX354" s="78"/>
      <c r="BY354" s="78"/>
      <c r="BZ354" s="78"/>
      <c r="CA354" s="78"/>
      <c r="CB354" s="78"/>
      <c r="CC354" s="78"/>
      <c r="CD354" s="78"/>
      <c r="CE354" s="78"/>
      <c r="CF354" s="78"/>
      <c r="CG354" s="78"/>
      <c r="CH354" s="78"/>
      <c r="CI354" s="78"/>
      <c r="CJ354" s="78"/>
      <c r="CK354" s="78"/>
      <c r="CL354" s="78"/>
      <c r="CM354" s="78"/>
      <c r="CN354" s="78"/>
      <c r="CO354" s="78"/>
      <c r="CP354" s="78"/>
      <c r="CQ354" s="78"/>
      <c r="CR354" s="78"/>
      <c r="CS354" s="78"/>
      <c r="CT354" s="78"/>
      <c r="CU354" s="78"/>
      <c r="CV354" s="78"/>
      <c r="CW354" s="78"/>
      <c r="CX354" s="78"/>
      <c r="CY354" s="78"/>
      <c r="CZ354" s="78"/>
      <c r="DA354" s="78"/>
      <c r="DB354" s="78"/>
      <c r="DC354" s="78"/>
      <c r="DD354" s="78"/>
      <c r="DE354" s="78"/>
      <c r="DF354" s="78"/>
      <c r="DG354" s="78"/>
      <c r="DH354" s="78"/>
      <c r="DI354" s="78"/>
      <c r="DJ354" s="78"/>
      <c r="DK354" s="78"/>
      <c r="DL354" s="78"/>
      <c r="DM354" s="78"/>
      <c r="DN354" s="78"/>
      <c r="DO354" s="78"/>
      <c r="DP354" s="78"/>
      <c r="DQ354" s="78"/>
      <c r="DR354" s="78"/>
      <c r="DS354" s="78"/>
      <c r="DT354" s="78"/>
      <c r="DU354" s="78"/>
      <c r="DV354" s="78"/>
      <c r="DW354" s="78"/>
      <c r="DX354" s="78"/>
      <c r="DY354" s="78"/>
      <c r="DZ354" s="78"/>
      <c r="EA354" s="78"/>
      <c r="EB354" s="78"/>
      <c r="EC354" s="78"/>
    </row>
    <row r="356" spans="1:133" x14ac:dyDescent="0.25">
      <c r="A356" s="158" t="s">
        <v>64</v>
      </c>
      <c r="B356" s="158"/>
      <c r="C356" s="158"/>
      <c r="D356" s="158"/>
      <c r="E356" s="158"/>
    </row>
    <row r="357" spans="1:133" x14ac:dyDescent="0.25">
      <c r="A357" s="57" t="s">
        <v>8</v>
      </c>
      <c r="B357" s="58" t="s">
        <v>9</v>
      </c>
      <c r="C357" s="34" t="s">
        <v>10</v>
      </c>
      <c r="D357" s="34" t="s">
        <v>340</v>
      </c>
      <c r="E357" s="16" t="s">
        <v>65</v>
      </c>
    </row>
    <row r="358" spans="1:133" ht="62.4" x14ac:dyDescent="0.25">
      <c r="A358" s="59" t="s">
        <v>66</v>
      </c>
      <c r="B358" s="60" t="s">
        <v>14</v>
      </c>
      <c r="C358" s="53" t="s">
        <v>67</v>
      </c>
      <c r="D358" s="53" t="s">
        <v>68</v>
      </c>
      <c r="E358" s="75">
        <v>0</v>
      </c>
    </row>
    <row r="359" spans="1:133" ht="46.8" x14ac:dyDescent="0.25">
      <c r="A359" s="63" t="s">
        <v>69</v>
      </c>
      <c r="B359" s="25" t="s">
        <v>70</v>
      </c>
      <c r="C359" s="35" t="s">
        <v>71</v>
      </c>
      <c r="D359" s="53" t="str">
        <f>D365</f>
        <v>Historical data on site in the FSR (It was calculated with conservative value)</v>
      </c>
      <c r="E359" s="74">
        <f>E365</f>
        <v>368.53808171003425</v>
      </c>
    </row>
    <row r="361" spans="1:133" x14ac:dyDescent="0.25">
      <c r="A361" s="174" t="s">
        <v>72</v>
      </c>
      <c r="B361" s="174"/>
      <c r="C361" s="175"/>
      <c r="D361" s="175"/>
      <c r="E361" s="174"/>
    </row>
    <row r="362" spans="1:133" x14ac:dyDescent="0.25">
      <c r="A362" s="59" t="s">
        <v>8</v>
      </c>
      <c r="B362" s="16" t="s">
        <v>9</v>
      </c>
      <c r="C362" s="38" t="s">
        <v>10</v>
      </c>
      <c r="D362" s="38" t="s">
        <v>340</v>
      </c>
      <c r="E362" s="16" t="s">
        <v>65</v>
      </c>
    </row>
    <row r="363" spans="1:133" ht="33.6" x14ac:dyDescent="0.4">
      <c r="A363" s="76" t="s">
        <v>73</v>
      </c>
      <c r="B363" s="25" t="s">
        <v>74</v>
      </c>
      <c r="C363" s="35" t="s">
        <v>75</v>
      </c>
      <c r="D363" s="35" t="s">
        <v>378</v>
      </c>
      <c r="E363" s="50">
        <f>E364*E367*E368*E369*E370*E371</f>
        <v>1.4969025419929516</v>
      </c>
    </row>
    <row r="364" spans="1:133" ht="46.8" x14ac:dyDescent="0.4">
      <c r="A364" s="77" t="s">
        <v>207</v>
      </c>
      <c r="B364" s="25" t="s">
        <v>76</v>
      </c>
      <c r="C364" s="35" t="s">
        <v>77</v>
      </c>
      <c r="D364" s="35" t="s">
        <v>379</v>
      </c>
      <c r="E364" s="52">
        <f>E365/E366</f>
        <v>73.707616342006844</v>
      </c>
    </row>
    <row r="365" spans="1:133" ht="46.8" x14ac:dyDescent="0.25">
      <c r="A365" s="63" t="s">
        <v>208</v>
      </c>
      <c r="B365" s="25" t="s">
        <v>78</v>
      </c>
      <c r="C365" s="35" t="s">
        <v>79</v>
      </c>
      <c r="D365" s="53" t="s">
        <v>352</v>
      </c>
      <c r="E365" s="52">
        <f>0.000186539759501062*E338</f>
        <v>368.53808171003425</v>
      </c>
    </row>
    <row r="366" spans="1:133" ht="31.2" x14ac:dyDescent="0.25">
      <c r="A366" s="63" t="s">
        <v>209</v>
      </c>
      <c r="B366" s="25" t="s">
        <v>80</v>
      </c>
      <c r="C366" s="35" t="s">
        <v>81</v>
      </c>
      <c r="D366" s="35" t="s">
        <v>353</v>
      </c>
      <c r="E366" s="25">
        <f>5</f>
        <v>5</v>
      </c>
    </row>
    <row r="367" spans="1:133" ht="62.4" x14ac:dyDescent="0.25">
      <c r="A367" s="63" t="s">
        <v>210</v>
      </c>
      <c r="B367" s="25" t="s">
        <v>82</v>
      </c>
      <c r="C367" s="35" t="s">
        <v>83</v>
      </c>
      <c r="D367" s="53" t="s">
        <v>354</v>
      </c>
      <c r="E367" s="25">
        <f>15*2</f>
        <v>30</v>
      </c>
    </row>
    <row r="368" spans="1:133" s="13" customFormat="1" ht="172.2" x14ac:dyDescent="0.25">
      <c r="A368" s="63" t="s">
        <v>211</v>
      </c>
      <c r="B368" s="25" t="s">
        <v>84</v>
      </c>
      <c r="C368" s="35" t="s">
        <v>85</v>
      </c>
      <c r="D368" s="35" t="s">
        <v>355</v>
      </c>
      <c r="E368" s="25">
        <f>25.1/100</f>
        <v>0.251</v>
      </c>
      <c r="R368" s="14"/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F368" s="14"/>
      <c r="AG368" s="14"/>
      <c r="AH368" s="14"/>
      <c r="AI368" s="14"/>
      <c r="AJ368" s="14"/>
      <c r="AK368" s="14"/>
      <c r="AL368" s="14"/>
      <c r="AM368" s="14"/>
      <c r="AN368" s="14"/>
      <c r="AO368" s="14"/>
      <c r="AP368" s="14"/>
      <c r="AQ368" s="14"/>
      <c r="AR368" s="14"/>
      <c r="AS368" s="14"/>
      <c r="AT368" s="14"/>
      <c r="AU368" s="14"/>
      <c r="AV368" s="14"/>
      <c r="AW368" s="14"/>
      <c r="AX368" s="14"/>
      <c r="AY368" s="14"/>
      <c r="AZ368" s="14"/>
      <c r="BA368" s="14"/>
      <c r="BB368" s="14"/>
      <c r="BC368" s="14"/>
      <c r="BD368" s="14"/>
      <c r="BE368" s="14"/>
      <c r="BF368" s="14"/>
      <c r="BG368" s="14"/>
      <c r="BH368" s="14"/>
      <c r="BI368" s="14"/>
      <c r="BJ368" s="14"/>
      <c r="BK368" s="14"/>
      <c r="BL368" s="14"/>
      <c r="BM368" s="14"/>
      <c r="BN368" s="14"/>
      <c r="BO368" s="14"/>
      <c r="BP368" s="14"/>
      <c r="BQ368" s="14"/>
      <c r="BR368" s="14"/>
      <c r="BS368" s="14"/>
      <c r="BT368" s="14"/>
      <c r="BU368" s="14"/>
      <c r="BV368" s="14"/>
      <c r="BW368" s="14"/>
      <c r="BX368" s="14"/>
      <c r="BY368" s="14"/>
      <c r="BZ368" s="14"/>
      <c r="CA368" s="14"/>
      <c r="CB368" s="14"/>
      <c r="CC368" s="14"/>
      <c r="CD368" s="14"/>
      <c r="CE368" s="14"/>
      <c r="CF368" s="14"/>
      <c r="CG368" s="14"/>
      <c r="CH368" s="14"/>
      <c r="CI368" s="14"/>
      <c r="CJ368" s="14"/>
      <c r="CK368" s="14"/>
      <c r="CL368" s="14"/>
      <c r="CM368" s="14"/>
      <c r="CN368" s="14"/>
      <c r="CO368" s="14"/>
      <c r="CP368" s="14"/>
      <c r="CQ368" s="14"/>
      <c r="CR368" s="14"/>
      <c r="CS368" s="14"/>
      <c r="CT368" s="14"/>
      <c r="CU368" s="14"/>
      <c r="CV368" s="14"/>
      <c r="CW368" s="14"/>
      <c r="CX368" s="14"/>
      <c r="CY368" s="14"/>
      <c r="CZ368" s="14"/>
      <c r="DA368" s="14"/>
      <c r="DB368" s="14"/>
      <c r="DC368" s="14"/>
      <c r="DD368" s="14"/>
      <c r="DE368" s="14"/>
      <c r="DF368" s="14"/>
      <c r="DG368" s="14"/>
      <c r="DH368" s="14"/>
      <c r="DI368" s="14"/>
      <c r="DJ368" s="14"/>
      <c r="DK368" s="14"/>
      <c r="DL368" s="14"/>
      <c r="DM368" s="14"/>
      <c r="DN368" s="14"/>
      <c r="DO368" s="14"/>
      <c r="DP368" s="14"/>
      <c r="DQ368" s="14"/>
      <c r="DR368" s="14"/>
      <c r="DS368" s="14"/>
      <c r="DT368" s="14"/>
      <c r="DU368" s="14"/>
      <c r="DV368" s="14"/>
      <c r="DW368" s="14"/>
      <c r="DX368" s="14"/>
      <c r="DY368" s="14"/>
      <c r="DZ368" s="14"/>
      <c r="EA368" s="14"/>
      <c r="EB368" s="14"/>
      <c r="EC368" s="14"/>
    </row>
    <row r="369" spans="1:133" s="13" customFormat="1" ht="156" x14ac:dyDescent="0.25">
      <c r="A369" s="63" t="s">
        <v>212</v>
      </c>
      <c r="B369" s="25" t="s">
        <v>87</v>
      </c>
      <c r="C369" s="35" t="s">
        <v>86</v>
      </c>
      <c r="D369" s="35" t="s">
        <v>356</v>
      </c>
      <c r="E369" s="25">
        <f>0.84/1000</f>
        <v>8.3999999999999993E-4</v>
      </c>
      <c r="R369" s="14"/>
      <c r="S369" s="14"/>
      <c r="T369" s="14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F369" s="14"/>
      <c r="AG369" s="14"/>
      <c r="AH369" s="14"/>
      <c r="AI369" s="14"/>
      <c r="AJ369" s="14"/>
      <c r="AK369" s="14"/>
      <c r="AL369" s="14"/>
      <c r="AM369" s="14"/>
      <c r="AN369" s="14"/>
      <c r="AO369" s="14"/>
      <c r="AP369" s="14"/>
      <c r="AQ369" s="14"/>
      <c r="AR369" s="14"/>
      <c r="AS369" s="14"/>
      <c r="AT369" s="14"/>
      <c r="AU369" s="14"/>
      <c r="AV369" s="14"/>
      <c r="AW369" s="14"/>
      <c r="AX369" s="14"/>
      <c r="AY369" s="14"/>
      <c r="AZ369" s="14"/>
      <c r="BA369" s="14"/>
      <c r="BB369" s="14"/>
      <c r="BC369" s="14"/>
      <c r="BD369" s="14"/>
      <c r="BE369" s="14"/>
      <c r="BF369" s="14"/>
      <c r="BG369" s="14"/>
      <c r="BH369" s="14"/>
      <c r="BI369" s="14"/>
      <c r="BJ369" s="14"/>
      <c r="BK369" s="14"/>
      <c r="BL369" s="14"/>
      <c r="BM369" s="14"/>
      <c r="BN369" s="14"/>
      <c r="BO369" s="14"/>
      <c r="BP369" s="14"/>
      <c r="BQ369" s="14"/>
      <c r="BR369" s="14"/>
      <c r="BS369" s="14"/>
      <c r="BT369" s="14"/>
      <c r="BU369" s="14"/>
      <c r="BV369" s="14"/>
      <c r="BW369" s="14"/>
      <c r="BX369" s="14"/>
      <c r="BY369" s="14"/>
      <c r="BZ369" s="14"/>
      <c r="CA369" s="14"/>
      <c r="CB369" s="14"/>
      <c r="CC369" s="14"/>
      <c r="CD369" s="14"/>
      <c r="CE369" s="14"/>
      <c r="CF369" s="14"/>
      <c r="CG369" s="14"/>
      <c r="CH369" s="14"/>
      <c r="CI369" s="14"/>
      <c r="CJ369" s="14"/>
      <c r="CK369" s="14"/>
      <c r="CL369" s="14"/>
      <c r="CM369" s="14"/>
      <c r="CN369" s="14"/>
      <c r="CO369" s="14"/>
      <c r="CP369" s="14"/>
      <c r="CQ369" s="14"/>
      <c r="CR369" s="14"/>
      <c r="CS369" s="14"/>
      <c r="CT369" s="14"/>
      <c r="CU369" s="14"/>
      <c r="CV369" s="14"/>
      <c r="CW369" s="14"/>
      <c r="CX369" s="14"/>
      <c r="CY369" s="14"/>
      <c r="CZ369" s="14"/>
      <c r="DA369" s="14"/>
      <c r="DB369" s="14"/>
      <c r="DC369" s="14"/>
      <c r="DD369" s="14"/>
      <c r="DE369" s="14"/>
      <c r="DF369" s="14"/>
      <c r="DG369" s="14"/>
      <c r="DH369" s="14"/>
      <c r="DI369" s="14"/>
      <c r="DJ369" s="14"/>
      <c r="DK369" s="14"/>
      <c r="DL369" s="14"/>
      <c r="DM369" s="14"/>
      <c r="DN369" s="14"/>
      <c r="DO369" s="14"/>
      <c r="DP369" s="14"/>
      <c r="DQ369" s="14"/>
      <c r="DR369" s="14"/>
      <c r="DS369" s="14"/>
      <c r="DT369" s="14"/>
      <c r="DU369" s="14"/>
      <c r="DV369" s="14"/>
      <c r="DW369" s="14"/>
      <c r="DX369" s="14"/>
      <c r="DY369" s="14"/>
      <c r="DZ369" s="14"/>
      <c r="EA369" s="14"/>
      <c r="EB369" s="14"/>
      <c r="EC369" s="14"/>
    </row>
    <row r="370" spans="1:133" s="13" customFormat="1" ht="171.6" x14ac:dyDescent="0.25">
      <c r="A370" s="63" t="s">
        <v>213</v>
      </c>
      <c r="B370" s="25" t="s">
        <v>88</v>
      </c>
      <c r="C370" s="35" t="s">
        <v>89</v>
      </c>
      <c r="D370" s="35" t="s">
        <v>357</v>
      </c>
      <c r="E370" s="25">
        <f>43.33/1000</f>
        <v>4.333E-2</v>
      </c>
      <c r="R370" s="14"/>
      <c r="S370" s="14"/>
      <c r="T370" s="14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F370" s="14"/>
      <c r="AG370" s="14"/>
      <c r="AH370" s="14"/>
      <c r="AI370" s="14"/>
      <c r="AJ370" s="14"/>
      <c r="AK370" s="14"/>
      <c r="AL370" s="14"/>
      <c r="AM370" s="14"/>
      <c r="AN370" s="14"/>
      <c r="AO370" s="14"/>
      <c r="AP370" s="14"/>
      <c r="AQ370" s="14"/>
      <c r="AR370" s="14"/>
      <c r="AS370" s="14"/>
      <c r="AT370" s="14"/>
      <c r="AU370" s="14"/>
      <c r="AV370" s="14"/>
      <c r="AW370" s="14"/>
      <c r="AX370" s="14"/>
      <c r="AY370" s="14"/>
      <c r="AZ370" s="14"/>
      <c r="BA370" s="14"/>
      <c r="BB370" s="14"/>
      <c r="BC370" s="14"/>
      <c r="BD370" s="14"/>
      <c r="BE370" s="14"/>
      <c r="BF370" s="14"/>
      <c r="BG370" s="14"/>
      <c r="BH370" s="14"/>
      <c r="BI370" s="14"/>
      <c r="BJ370" s="14"/>
      <c r="BK370" s="14"/>
      <c r="BL370" s="14"/>
      <c r="BM370" s="14"/>
      <c r="BN370" s="14"/>
      <c r="BO370" s="14"/>
      <c r="BP370" s="14"/>
      <c r="BQ370" s="14"/>
      <c r="BR370" s="14"/>
      <c r="BS370" s="14"/>
      <c r="BT370" s="14"/>
      <c r="BU370" s="14"/>
      <c r="BV370" s="14"/>
      <c r="BW370" s="14"/>
      <c r="BX370" s="14"/>
      <c r="BY370" s="14"/>
      <c r="BZ370" s="14"/>
      <c r="CA370" s="14"/>
      <c r="CB370" s="14"/>
      <c r="CC370" s="14"/>
      <c r="CD370" s="14"/>
      <c r="CE370" s="14"/>
      <c r="CF370" s="14"/>
      <c r="CG370" s="14"/>
      <c r="CH370" s="14"/>
      <c r="CI370" s="14"/>
      <c r="CJ370" s="14"/>
      <c r="CK370" s="14"/>
      <c r="CL370" s="14"/>
      <c r="CM370" s="14"/>
      <c r="CN370" s="14"/>
      <c r="CO370" s="14"/>
      <c r="CP370" s="14"/>
      <c r="CQ370" s="14"/>
      <c r="CR370" s="14"/>
      <c r="CS370" s="14"/>
      <c r="CT370" s="14"/>
      <c r="CU370" s="14"/>
      <c r="CV370" s="14"/>
      <c r="CW370" s="14"/>
      <c r="CX370" s="14"/>
      <c r="CY370" s="14"/>
      <c r="CZ370" s="14"/>
      <c r="DA370" s="14"/>
      <c r="DB370" s="14"/>
      <c r="DC370" s="14"/>
      <c r="DD370" s="14"/>
      <c r="DE370" s="14"/>
      <c r="DF370" s="14"/>
      <c r="DG370" s="14"/>
      <c r="DH370" s="14"/>
      <c r="DI370" s="14"/>
      <c r="DJ370" s="14"/>
      <c r="DK370" s="14"/>
      <c r="DL370" s="14"/>
      <c r="DM370" s="14"/>
      <c r="DN370" s="14"/>
      <c r="DO370" s="14"/>
      <c r="DP370" s="14"/>
      <c r="DQ370" s="14"/>
      <c r="DR370" s="14"/>
      <c r="DS370" s="14"/>
      <c r="DT370" s="14"/>
      <c r="DU370" s="14"/>
      <c r="DV370" s="14"/>
      <c r="DW370" s="14"/>
      <c r="DX370" s="14"/>
      <c r="DY370" s="14"/>
      <c r="DZ370" s="14"/>
      <c r="EA370" s="14"/>
      <c r="EB370" s="14"/>
      <c r="EC370" s="14"/>
    </row>
    <row r="371" spans="1:133" s="13" customFormat="1" ht="62.4" x14ac:dyDescent="0.25">
      <c r="A371" s="63" t="s">
        <v>214</v>
      </c>
      <c r="B371" s="25" t="s">
        <v>90</v>
      </c>
      <c r="C371" s="35" t="s">
        <v>91</v>
      </c>
      <c r="D371" s="35" t="s">
        <v>358</v>
      </c>
      <c r="E371" s="25">
        <v>74.099999999999994</v>
      </c>
      <c r="R371" s="14"/>
      <c r="S371" s="14"/>
      <c r="T371" s="14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F371" s="14"/>
      <c r="AG371" s="14"/>
      <c r="AH371" s="14"/>
      <c r="AI371" s="14"/>
      <c r="AJ371" s="14"/>
      <c r="AK371" s="14"/>
      <c r="AL371" s="14"/>
      <c r="AM371" s="14"/>
      <c r="AN371" s="14"/>
      <c r="AO371" s="14"/>
      <c r="AP371" s="14"/>
      <c r="AQ371" s="14"/>
      <c r="AR371" s="14"/>
      <c r="AS371" s="14"/>
      <c r="AT371" s="14"/>
      <c r="AU371" s="14"/>
      <c r="AV371" s="14"/>
      <c r="AW371" s="14"/>
      <c r="AX371" s="14"/>
      <c r="AY371" s="14"/>
      <c r="AZ371" s="14"/>
      <c r="BA371" s="14"/>
      <c r="BB371" s="14"/>
      <c r="BC371" s="14"/>
      <c r="BD371" s="14"/>
      <c r="BE371" s="14"/>
      <c r="BF371" s="14"/>
      <c r="BG371" s="14"/>
      <c r="BH371" s="14"/>
      <c r="BI371" s="14"/>
      <c r="BJ371" s="14"/>
      <c r="BK371" s="14"/>
      <c r="BL371" s="14"/>
      <c r="BM371" s="14"/>
      <c r="BN371" s="14"/>
      <c r="BO371" s="14"/>
      <c r="BP371" s="14"/>
      <c r="BQ371" s="14"/>
      <c r="BR371" s="14"/>
      <c r="BS371" s="14"/>
      <c r="BT371" s="14"/>
      <c r="BU371" s="14"/>
      <c r="BV371" s="14"/>
      <c r="BW371" s="14"/>
      <c r="BX371" s="14"/>
      <c r="BY371" s="14"/>
      <c r="BZ371" s="14"/>
      <c r="CA371" s="14"/>
      <c r="CB371" s="14"/>
      <c r="CC371" s="14"/>
      <c r="CD371" s="14"/>
      <c r="CE371" s="14"/>
      <c r="CF371" s="14"/>
      <c r="CG371" s="14"/>
      <c r="CH371" s="14"/>
      <c r="CI371" s="14"/>
      <c r="CJ371" s="14"/>
      <c r="CK371" s="14"/>
      <c r="CL371" s="14"/>
      <c r="CM371" s="14"/>
      <c r="CN371" s="14"/>
      <c r="CO371" s="14"/>
      <c r="CP371" s="14"/>
      <c r="CQ371" s="14"/>
      <c r="CR371" s="14"/>
      <c r="CS371" s="14"/>
      <c r="CT371" s="14"/>
      <c r="CU371" s="14"/>
      <c r="CV371" s="14"/>
      <c r="CW371" s="14"/>
      <c r="CX371" s="14"/>
      <c r="CY371" s="14"/>
      <c r="CZ371" s="14"/>
      <c r="DA371" s="14"/>
      <c r="DB371" s="14"/>
      <c r="DC371" s="14"/>
      <c r="DD371" s="14"/>
      <c r="DE371" s="14"/>
      <c r="DF371" s="14"/>
      <c r="DG371" s="14"/>
      <c r="DH371" s="14"/>
      <c r="DI371" s="14"/>
      <c r="DJ371" s="14"/>
      <c r="DK371" s="14"/>
      <c r="DL371" s="14"/>
      <c r="DM371" s="14"/>
      <c r="DN371" s="14"/>
      <c r="DO371" s="14"/>
      <c r="DP371" s="14"/>
      <c r="DQ371" s="14"/>
      <c r="DR371" s="14"/>
      <c r="DS371" s="14"/>
      <c r="DT371" s="14"/>
      <c r="DU371" s="14"/>
      <c r="DV371" s="14"/>
      <c r="DW371" s="14"/>
      <c r="DX371" s="14"/>
      <c r="DY371" s="14"/>
      <c r="DZ371" s="14"/>
      <c r="EA371" s="14"/>
      <c r="EB371" s="14"/>
      <c r="EC371" s="14"/>
    </row>
    <row r="373" spans="1:133" s="13" customFormat="1" x14ac:dyDescent="0.25">
      <c r="A373" s="158" t="s">
        <v>93</v>
      </c>
      <c r="B373" s="158"/>
      <c r="C373" s="158"/>
      <c r="D373" s="158"/>
      <c r="E373" s="158"/>
      <c r="R373" s="14"/>
      <c r="S373" s="14"/>
      <c r="T373" s="14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F373" s="14"/>
      <c r="AG373" s="14"/>
      <c r="AH373" s="14"/>
      <c r="AI373" s="14"/>
      <c r="AJ373" s="14"/>
      <c r="AK373" s="14"/>
      <c r="AL373" s="14"/>
      <c r="AM373" s="14"/>
      <c r="AN373" s="14"/>
      <c r="AO373" s="14"/>
      <c r="AP373" s="14"/>
      <c r="AQ373" s="14"/>
      <c r="AR373" s="14"/>
      <c r="AS373" s="14"/>
      <c r="AT373" s="14"/>
      <c r="AU373" s="14"/>
      <c r="AV373" s="14"/>
      <c r="AW373" s="14"/>
      <c r="AX373" s="14"/>
      <c r="AY373" s="14"/>
      <c r="AZ373" s="14"/>
      <c r="BA373" s="14"/>
      <c r="BB373" s="14"/>
      <c r="BC373" s="14"/>
      <c r="BD373" s="14"/>
      <c r="BE373" s="14"/>
      <c r="BF373" s="14"/>
      <c r="BG373" s="14"/>
      <c r="BH373" s="14"/>
      <c r="BI373" s="14"/>
      <c r="BJ373" s="14"/>
      <c r="BK373" s="14"/>
      <c r="BL373" s="14"/>
      <c r="BM373" s="14"/>
      <c r="BN373" s="14"/>
      <c r="BO373" s="14"/>
      <c r="BP373" s="14"/>
      <c r="BQ373" s="14"/>
      <c r="BR373" s="14"/>
      <c r="BS373" s="14"/>
      <c r="BT373" s="14"/>
      <c r="BU373" s="14"/>
      <c r="BV373" s="14"/>
      <c r="BW373" s="14"/>
      <c r="BX373" s="14"/>
      <c r="BY373" s="14"/>
      <c r="BZ373" s="14"/>
      <c r="CA373" s="14"/>
      <c r="CB373" s="14"/>
      <c r="CC373" s="14"/>
      <c r="CD373" s="14"/>
      <c r="CE373" s="14"/>
      <c r="CF373" s="14"/>
      <c r="CG373" s="14"/>
      <c r="CH373" s="14"/>
      <c r="CI373" s="14"/>
      <c r="CJ373" s="14"/>
      <c r="CK373" s="14"/>
      <c r="CL373" s="14"/>
      <c r="CM373" s="14"/>
      <c r="CN373" s="14"/>
      <c r="CO373" s="14"/>
      <c r="CP373" s="14"/>
      <c r="CQ373" s="14"/>
      <c r="CR373" s="14"/>
      <c r="CS373" s="14"/>
      <c r="CT373" s="14"/>
      <c r="CU373" s="14"/>
      <c r="CV373" s="14"/>
      <c r="CW373" s="14"/>
      <c r="CX373" s="14"/>
      <c r="CY373" s="14"/>
      <c r="CZ373" s="14"/>
      <c r="DA373" s="14"/>
      <c r="DB373" s="14"/>
      <c r="DC373" s="14"/>
      <c r="DD373" s="14"/>
      <c r="DE373" s="14"/>
      <c r="DF373" s="14"/>
      <c r="DG373" s="14"/>
      <c r="DH373" s="14"/>
      <c r="DI373" s="14"/>
      <c r="DJ373" s="14"/>
      <c r="DK373" s="14"/>
      <c r="DL373" s="14"/>
      <c r="DM373" s="14"/>
      <c r="DN373" s="14"/>
      <c r="DO373" s="14"/>
      <c r="DP373" s="14"/>
      <c r="DQ373" s="14"/>
      <c r="DR373" s="14"/>
      <c r="DS373" s="14"/>
      <c r="DT373" s="14"/>
      <c r="DU373" s="14"/>
      <c r="DV373" s="14"/>
      <c r="DW373" s="14"/>
      <c r="DX373" s="14"/>
      <c r="DY373" s="14"/>
      <c r="DZ373" s="14"/>
      <c r="EA373" s="14"/>
      <c r="EB373" s="14"/>
      <c r="EC373" s="14"/>
    </row>
    <row r="374" spans="1:133" s="13" customFormat="1" x14ac:dyDescent="0.25">
      <c r="A374" s="57" t="s">
        <v>8</v>
      </c>
      <c r="B374" s="58" t="s">
        <v>9</v>
      </c>
      <c r="C374" s="34" t="s">
        <v>10</v>
      </c>
      <c r="D374" s="34" t="s">
        <v>340</v>
      </c>
      <c r="E374" s="16" t="s">
        <v>65</v>
      </c>
      <c r="R374" s="14"/>
      <c r="S374" s="14"/>
      <c r="T374" s="14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F374" s="14"/>
      <c r="AG374" s="14"/>
      <c r="AH374" s="14"/>
      <c r="AI374" s="14"/>
      <c r="AJ374" s="14"/>
      <c r="AK374" s="14"/>
      <c r="AL374" s="14"/>
      <c r="AM374" s="14"/>
      <c r="AN374" s="14"/>
      <c r="AO374" s="14"/>
      <c r="AP374" s="14"/>
      <c r="AQ374" s="14"/>
      <c r="AR374" s="14"/>
      <c r="AS374" s="14"/>
      <c r="AT374" s="14"/>
      <c r="AU374" s="14"/>
      <c r="AV374" s="14"/>
      <c r="AW374" s="14"/>
      <c r="AX374" s="14"/>
      <c r="AY374" s="14"/>
      <c r="AZ374" s="14"/>
      <c r="BA374" s="14"/>
      <c r="BB374" s="14"/>
      <c r="BC374" s="14"/>
      <c r="BD374" s="14"/>
      <c r="BE374" s="14"/>
      <c r="BF374" s="14"/>
      <c r="BG374" s="14"/>
      <c r="BH374" s="14"/>
      <c r="BI374" s="14"/>
      <c r="BJ374" s="14"/>
      <c r="BK374" s="14"/>
      <c r="BL374" s="14"/>
      <c r="BM374" s="14"/>
      <c r="BN374" s="14"/>
      <c r="BO374" s="14"/>
      <c r="BP374" s="14"/>
      <c r="BQ374" s="14"/>
      <c r="BR374" s="14"/>
      <c r="BS374" s="14"/>
      <c r="BT374" s="14"/>
      <c r="BU374" s="14"/>
      <c r="BV374" s="14"/>
      <c r="BW374" s="14"/>
      <c r="BX374" s="14"/>
      <c r="BY374" s="14"/>
      <c r="BZ374" s="14"/>
      <c r="CA374" s="14"/>
      <c r="CB374" s="14"/>
      <c r="CC374" s="14"/>
      <c r="CD374" s="14"/>
      <c r="CE374" s="14"/>
      <c r="CF374" s="14"/>
      <c r="CG374" s="14"/>
      <c r="CH374" s="14"/>
      <c r="CI374" s="14"/>
      <c r="CJ374" s="14"/>
      <c r="CK374" s="14"/>
      <c r="CL374" s="14"/>
      <c r="CM374" s="14"/>
      <c r="CN374" s="14"/>
      <c r="CO374" s="14"/>
      <c r="CP374" s="14"/>
      <c r="CQ374" s="14"/>
      <c r="CR374" s="14"/>
      <c r="CS374" s="14"/>
      <c r="CT374" s="14"/>
      <c r="CU374" s="14"/>
      <c r="CV374" s="14"/>
      <c r="CW374" s="14"/>
      <c r="CX374" s="14"/>
      <c r="CY374" s="14"/>
      <c r="CZ374" s="14"/>
      <c r="DA374" s="14"/>
      <c r="DB374" s="14"/>
      <c r="DC374" s="14"/>
      <c r="DD374" s="14"/>
      <c r="DE374" s="14"/>
      <c r="DF374" s="14"/>
      <c r="DG374" s="14"/>
      <c r="DH374" s="14"/>
      <c r="DI374" s="14"/>
      <c r="DJ374" s="14"/>
      <c r="DK374" s="14"/>
      <c r="DL374" s="14"/>
      <c r="DM374" s="14"/>
      <c r="DN374" s="14"/>
      <c r="DO374" s="14"/>
      <c r="DP374" s="14"/>
      <c r="DQ374" s="14"/>
      <c r="DR374" s="14"/>
      <c r="DS374" s="14"/>
      <c r="DT374" s="14"/>
      <c r="DU374" s="14"/>
      <c r="DV374" s="14"/>
      <c r="DW374" s="14"/>
      <c r="DX374" s="14"/>
      <c r="DY374" s="14"/>
      <c r="DZ374" s="14"/>
      <c r="EA374" s="14"/>
      <c r="EB374" s="14"/>
      <c r="EC374" s="14"/>
    </row>
    <row r="375" spans="1:133" s="13" customFormat="1" ht="64.8" x14ac:dyDescent="0.25">
      <c r="A375" s="15" t="s">
        <v>94</v>
      </c>
      <c r="B375" s="25" t="s">
        <v>95</v>
      </c>
      <c r="C375" s="35" t="s">
        <v>96</v>
      </c>
      <c r="D375" s="35" t="s">
        <v>97</v>
      </c>
      <c r="E375" s="16">
        <v>0</v>
      </c>
      <c r="R375" s="14"/>
      <c r="S375" s="14"/>
      <c r="T375" s="14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F375" s="14"/>
      <c r="AG375" s="14"/>
      <c r="AH375" s="14"/>
      <c r="AI375" s="14"/>
      <c r="AJ375" s="14"/>
      <c r="AK375" s="14"/>
      <c r="AL375" s="14"/>
      <c r="AM375" s="14"/>
      <c r="AN375" s="14"/>
      <c r="AO375" s="14"/>
      <c r="AP375" s="14"/>
      <c r="AQ375" s="14"/>
      <c r="AR375" s="14"/>
      <c r="AS375" s="14"/>
      <c r="AT375" s="14"/>
      <c r="AU375" s="14"/>
      <c r="AV375" s="14"/>
      <c r="AW375" s="14"/>
      <c r="AX375" s="14"/>
      <c r="AY375" s="14"/>
      <c r="AZ375" s="14"/>
      <c r="BA375" s="14"/>
      <c r="BB375" s="14"/>
      <c r="BC375" s="14"/>
      <c r="BD375" s="14"/>
      <c r="BE375" s="14"/>
      <c r="BF375" s="14"/>
      <c r="BG375" s="14"/>
      <c r="BH375" s="14"/>
      <c r="BI375" s="14"/>
      <c r="BJ375" s="14"/>
      <c r="BK375" s="14"/>
      <c r="BL375" s="14"/>
      <c r="BM375" s="14"/>
      <c r="BN375" s="14"/>
      <c r="BO375" s="14"/>
      <c r="BP375" s="14"/>
      <c r="BQ375" s="14"/>
      <c r="BR375" s="14"/>
      <c r="BS375" s="14"/>
      <c r="BT375" s="14"/>
      <c r="BU375" s="14"/>
      <c r="BV375" s="14"/>
      <c r="BW375" s="14"/>
      <c r="BX375" s="14"/>
      <c r="BY375" s="14"/>
      <c r="BZ375" s="14"/>
      <c r="CA375" s="14"/>
      <c r="CB375" s="14"/>
      <c r="CC375" s="14"/>
      <c r="CD375" s="14"/>
      <c r="CE375" s="14"/>
      <c r="CF375" s="14"/>
      <c r="CG375" s="14"/>
      <c r="CH375" s="14"/>
      <c r="CI375" s="14"/>
      <c r="CJ375" s="14"/>
      <c r="CK375" s="14"/>
      <c r="CL375" s="14"/>
      <c r="CM375" s="14"/>
      <c r="CN375" s="14"/>
      <c r="CO375" s="14"/>
      <c r="CP375" s="14"/>
      <c r="CQ375" s="14"/>
      <c r="CR375" s="14"/>
      <c r="CS375" s="14"/>
      <c r="CT375" s="14"/>
      <c r="CU375" s="14"/>
      <c r="CV375" s="14"/>
      <c r="CW375" s="14"/>
      <c r="CX375" s="14"/>
      <c r="CY375" s="14"/>
      <c r="CZ375" s="14"/>
      <c r="DA375" s="14"/>
      <c r="DB375" s="14"/>
      <c r="DC375" s="14"/>
      <c r="DD375" s="14"/>
      <c r="DE375" s="14"/>
      <c r="DF375" s="14"/>
      <c r="DG375" s="14"/>
      <c r="DH375" s="14"/>
      <c r="DI375" s="14"/>
      <c r="DJ375" s="14"/>
      <c r="DK375" s="14"/>
      <c r="DL375" s="14"/>
      <c r="DM375" s="14"/>
      <c r="DN375" s="14"/>
      <c r="DO375" s="14"/>
      <c r="DP375" s="14"/>
      <c r="DQ375" s="14"/>
      <c r="DR375" s="14"/>
      <c r="DS375" s="14"/>
      <c r="DT375" s="14"/>
      <c r="DU375" s="14"/>
      <c r="DV375" s="14"/>
      <c r="DW375" s="14"/>
      <c r="DX375" s="14"/>
      <c r="DY375" s="14"/>
      <c r="DZ375" s="14"/>
      <c r="EA375" s="14"/>
      <c r="EB375" s="14"/>
      <c r="EC375" s="14"/>
    </row>
    <row r="377" spans="1:133" s="13" customFormat="1" x14ac:dyDescent="0.25">
      <c r="A377" s="158" t="s">
        <v>98</v>
      </c>
      <c r="B377" s="158"/>
      <c r="C377" s="158"/>
      <c r="D377" s="158"/>
      <c r="E377" s="158"/>
      <c r="R377" s="14"/>
      <c r="S377" s="14"/>
      <c r="T377" s="14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F377" s="14"/>
      <c r="AG377" s="14"/>
      <c r="AH377" s="14"/>
      <c r="AI377" s="14"/>
      <c r="AJ377" s="14"/>
      <c r="AK377" s="14"/>
      <c r="AL377" s="14"/>
      <c r="AM377" s="14"/>
      <c r="AN377" s="14"/>
      <c r="AO377" s="14"/>
      <c r="AP377" s="14"/>
      <c r="AQ377" s="14"/>
      <c r="AR377" s="14"/>
      <c r="AS377" s="14"/>
      <c r="AT377" s="14"/>
      <c r="AU377" s="14"/>
      <c r="AV377" s="14"/>
      <c r="AW377" s="14"/>
      <c r="AX377" s="14"/>
      <c r="AY377" s="14"/>
      <c r="AZ377" s="14"/>
      <c r="BA377" s="14"/>
      <c r="BB377" s="14"/>
      <c r="BC377" s="14"/>
      <c r="BD377" s="14"/>
      <c r="BE377" s="14"/>
      <c r="BF377" s="14"/>
      <c r="BG377" s="14"/>
      <c r="BH377" s="14"/>
      <c r="BI377" s="14"/>
      <c r="BJ377" s="14"/>
      <c r="BK377" s="14"/>
      <c r="BL377" s="14"/>
      <c r="BM377" s="14"/>
      <c r="BN377" s="14"/>
      <c r="BO377" s="14"/>
      <c r="BP377" s="14"/>
      <c r="BQ377" s="14"/>
      <c r="BR377" s="14"/>
      <c r="BS377" s="14"/>
      <c r="BT377" s="14"/>
      <c r="BU377" s="14"/>
      <c r="BV377" s="14"/>
      <c r="BW377" s="14"/>
      <c r="BX377" s="14"/>
      <c r="BY377" s="14"/>
      <c r="BZ377" s="14"/>
      <c r="CA377" s="14"/>
      <c r="CB377" s="14"/>
      <c r="CC377" s="14"/>
      <c r="CD377" s="14"/>
      <c r="CE377" s="14"/>
      <c r="CF377" s="14"/>
      <c r="CG377" s="14"/>
      <c r="CH377" s="14"/>
      <c r="CI377" s="14"/>
      <c r="CJ377" s="14"/>
      <c r="CK377" s="14"/>
      <c r="CL377" s="14"/>
      <c r="CM377" s="14"/>
      <c r="CN377" s="14"/>
      <c r="CO377" s="14"/>
      <c r="CP377" s="14"/>
      <c r="CQ377" s="14"/>
      <c r="CR377" s="14"/>
      <c r="CS377" s="14"/>
      <c r="CT377" s="14"/>
      <c r="CU377" s="14"/>
      <c r="CV377" s="14"/>
      <c r="CW377" s="14"/>
      <c r="CX377" s="14"/>
      <c r="CY377" s="14"/>
      <c r="CZ377" s="14"/>
      <c r="DA377" s="14"/>
      <c r="DB377" s="14"/>
      <c r="DC377" s="14"/>
      <c r="DD377" s="14"/>
      <c r="DE377" s="14"/>
      <c r="DF377" s="14"/>
      <c r="DG377" s="14"/>
      <c r="DH377" s="14"/>
      <c r="DI377" s="14"/>
      <c r="DJ377" s="14"/>
      <c r="DK377" s="14"/>
      <c r="DL377" s="14"/>
      <c r="DM377" s="14"/>
      <c r="DN377" s="14"/>
      <c r="DO377" s="14"/>
      <c r="DP377" s="14"/>
      <c r="DQ377" s="14"/>
      <c r="DR377" s="14"/>
      <c r="DS377" s="14"/>
      <c r="DT377" s="14"/>
      <c r="DU377" s="14"/>
      <c r="DV377" s="14"/>
      <c r="DW377" s="14"/>
      <c r="DX377" s="14"/>
      <c r="DY377" s="14"/>
      <c r="DZ377" s="14"/>
      <c r="EA377" s="14"/>
      <c r="EB377" s="14"/>
      <c r="EC377" s="14"/>
    </row>
    <row r="378" spans="1:133" s="13" customFormat="1" x14ac:dyDescent="0.25">
      <c r="A378" s="57" t="s">
        <v>8</v>
      </c>
      <c r="B378" s="58" t="s">
        <v>9</v>
      </c>
      <c r="C378" s="34" t="s">
        <v>10</v>
      </c>
      <c r="D378" s="34" t="s">
        <v>340</v>
      </c>
      <c r="E378" s="16" t="s">
        <v>65</v>
      </c>
      <c r="R378" s="14"/>
      <c r="S378" s="14"/>
      <c r="T378" s="14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F378" s="14"/>
      <c r="AG378" s="14"/>
      <c r="AH378" s="14"/>
      <c r="AI378" s="14"/>
      <c r="AJ378" s="14"/>
      <c r="AK378" s="14"/>
      <c r="AL378" s="14"/>
      <c r="AM378" s="14"/>
      <c r="AN378" s="14"/>
      <c r="AO378" s="14"/>
      <c r="AP378" s="14"/>
      <c r="AQ378" s="14"/>
      <c r="AR378" s="14"/>
      <c r="AS378" s="14"/>
      <c r="AT378" s="14"/>
      <c r="AU378" s="14"/>
      <c r="AV378" s="14"/>
      <c r="AW378" s="14"/>
      <c r="AX378" s="14"/>
      <c r="AY378" s="14"/>
      <c r="AZ378" s="14"/>
      <c r="BA378" s="14"/>
      <c r="BB378" s="14"/>
      <c r="BC378" s="14"/>
      <c r="BD378" s="14"/>
      <c r="BE378" s="14"/>
      <c r="BF378" s="14"/>
      <c r="BG378" s="14"/>
      <c r="BH378" s="14"/>
      <c r="BI378" s="14"/>
      <c r="BJ378" s="14"/>
      <c r="BK378" s="14"/>
      <c r="BL378" s="14"/>
      <c r="BM378" s="14"/>
      <c r="BN378" s="14"/>
      <c r="BO378" s="14"/>
      <c r="BP378" s="14"/>
      <c r="BQ378" s="14"/>
      <c r="BR378" s="14"/>
      <c r="BS378" s="14"/>
      <c r="BT378" s="14"/>
      <c r="BU378" s="14"/>
      <c r="BV378" s="14"/>
      <c r="BW378" s="14"/>
      <c r="BX378" s="14"/>
      <c r="BY378" s="14"/>
      <c r="BZ378" s="14"/>
      <c r="CA378" s="14"/>
      <c r="CB378" s="14"/>
      <c r="CC378" s="14"/>
      <c r="CD378" s="14"/>
      <c r="CE378" s="14"/>
      <c r="CF378" s="14"/>
      <c r="CG378" s="14"/>
      <c r="CH378" s="14"/>
      <c r="CI378" s="14"/>
      <c r="CJ378" s="14"/>
      <c r="CK378" s="14"/>
      <c r="CL378" s="14"/>
      <c r="CM378" s="14"/>
      <c r="CN378" s="14"/>
      <c r="CO378" s="14"/>
      <c r="CP378" s="14"/>
      <c r="CQ378" s="14"/>
      <c r="CR378" s="14"/>
      <c r="CS378" s="14"/>
      <c r="CT378" s="14"/>
      <c r="CU378" s="14"/>
      <c r="CV378" s="14"/>
      <c r="CW378" s="14"/>
      <c r="CX378" s="14"/>
      <c r="CY378" s="14"/>
      <c r="CZ378" s="14"/>
      <c r="DA378" s="14"/>
      <c r="DB378" s="14"/>
      <c r="DC378" s="14"/>
      <c r="DD378" s="14"/>
      <c r="DE378" s="14"/>
      <c r="DF378" s="14"/>
      <c r="DG378" s="14"/>
      <c r="DH378" s="14"/>
      <c r="DI378" s="14"/>
      <c r="DJ378" s="14"/>
      <c r="DK378" s="14"/>
      <c r="DL378" s="14"/>
      <c r="DM378" s="14"/>
      <c r="DN378" s="14"/>
      <c r="DO378" s="14"/>
      <c r="DP378" s="14"/>
      <c r="DQ378" s="14"/>
      <c r="DR378" s="14"/>
      <c r="DS378" s="14"/>
      <c r="DT378" s="14"/>
      <c r="DU378" s="14"/>
      <c r="DV378" s="14"/>
      <c r="DW378" s="14"/>
      <c r="DX378" s="14"/>
      <c r="DY378" s="14"/>
      <c r="DZ378" s="14"/>
      <c r="EA378" s="14"/>
      <c r="EB378" s="14"/>
      <c r="EC378" s="14"/>
    </row>
    <row r="379" spans="1:133" s="13" customFormat="1" ht="49.2" x14ac:dyDescent="0.25">
      <c r="A379" s="15" t="s">
        <v>99</v>
      </c>
      <c r="B379" s="25" t="s">
        <v>95</v>
      </c>
      <c r="C379" s="35" t="s">
        <v>100</v>
      </c>
      <c r="D379" s="35" t="s">
        <v>101</v>
      </c>
      <c r="E379" s="16">
        <v>0</v>
      </c>
      <c r="R379" s="14"/>
      <c r="S379" s="14"/>
      <c r="T379" s="14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F379" s="14"/>
      <c r="AG379" s="14"/>
      <c r="AH379" s="14"/>
      <c r="AI379" s="14"/>
      <c r="AJ379" s="14"/>
      <c r="AK379" s="14"/>
      <c r="AL379" s="14"/>
      <c r="AM379" s="14"/>
      <c r="AN379" s="14"/>
      <c r="AO379" s="14"/>
      <c r="AP379" s="14"/>
      <c r="AQ379" s="14"/>
      <c r="AR379" s="14"/>
      <c r="AS379" s="14"/>
      <c r="AT379" s="14"/>
      <c r="AU379" s="14"/>
      <c r="AV379" s="14"/>
      <c r="AW379" s="14"/>
      <c r="AX379" s="14"/>
      <c r="AY379" s="14"/>
      <c r="AZ379" s="14"/>
      <c r="BA379" s="14"/>
      <c r="BB379" s="14"/>
      <c r="BC379" s="14"/>
      <c r="BD379" s="14"/>
      <c r="BE379" s="14"/>
      <c r="BF379" s="14"/>
      <c r="BG379" s="14"/>
      <c r="BH379" s="14"/>
      <c r="BI379" s="14"/>
      <c r="BJ379" s="14"/>
      <c r="BK379" s="14"/>
      <c r="BL379" s="14"/>
      <c r="BM379" s="14"/>
      <c r="BN379" s="14"/>
      <c r="BO379" s="14"/>
      <c r="BP379" s="14"/>
      <c r="BQ379" s="14"/>
      <c r="BR379" s="14"/>
      <c r="BS379" s="14"/>
      <c r="BT379" s="14"/>
      <c r="BU379" s="14"/>
      <c r="BV379" s="14"/>
      <c r="BW379" s="14"/>
      <c r="BX379" s="14"/>
      <c r="BY379" s="14"/>
      <c r="BZ379" s="14"/>
      <c r="CA379" s="14"/>
      <c r="CB379" s="14"/>
      <c r="CC379" s="14"/>
      <c r="CD379" s="14"/>
      <c r="CE379" s="14"/>
      <c r="CF379" s="14"/>
      <c r="CG379" s="14"/>
      <c r="CH379" s="14"/>
      <c r="CI379" s="14"/>
      <c r="CJ379" s="14"/>
      <c r="CK379" s="14"/>
      <c r="CL379" s="14"/>
      <c r="CM379" s="14"/>
      <c r="CN379" s="14"/>
      <c r="CO379" s="14"/>
      <c r="CP379" s="14"/>
      <c r="CQ379" s="14"/>
      <c r="CR379" s="14"/>
      <c r="CS379" s="14"/>
      <c r="CT379" s="14"/>
      <c r="CU379" s="14"/>
      <c r="CV379" s="14"/>
      <c r="CW379" s="14"/>
      <c r="CX379" s="14"/>
      <c r="CY379" s="14"/>
      <c r="CZ379" s="14"/>
      <c r="DA379" s="14"/>
      <c r="DB379" s="14"/>
      <c r="DC379" s="14"/>
      <c r="DD379" s="14"/>
      <c r="DE379" s="14"/>
      <c r="DF379" s="14"/>
      <c r="DG379" s="14"/>
      <c r="DH379" s="14"/>
      <c r="DI379" s="14"/>
      <c r="DJ379" s="14"/>
      <c r="DK379" s="14"/>
      <c r="DL379" s="14"/>
      <c r="DM379" s="14"/>
      <c r="DN379" s="14"/>
      <c r="DO379" s="14"/>
      <c r="DP379" s="14"/>
      <c r="DQ379" s="14"/>
      <c r="DR379" s="14"/>
      <c r="DS379" s="14"/>
      <c r="DT379" s="14"/>
      <c r="DU379" s="14"/>
      <c r="DV379" s="14"/>
      <c r="DW379" s="14"/>
      <c r="DX379" s="14"/>
      <c r="DY379" s="14"/>
      <c r="DZ379" s="14"/>
      <c r="EA379" s="14"/>
      <c r="EB379" s="14"/>
      <c r="EC379" s="14"/>
    </row>
    <row r="381" spans="1:133" s="13" customFormat="1" x14ac:dyDescent="0.25">
      <c r="A381" s="57" t="s">
        <v>8</v>
      </c>
      <c r="B381" s="58" t="s">
        <v>9</v>
      </c>
      <c r="C381" s="34" t="s">
        <v>10</v>
      </c>
      <c r="D381" s="34" t="s">
        <v>340</v>
      </c>
      <c r="E381" s="16" t="s">
        <v>65</v>
      </c>
      <c r="R381" s="14"/>
      <c r="S381" s="14"/>
      <c r="T381" s="1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F381" s="14"/>
      <c r="AG381" s="14"/>
      <c r="AH381" s="14"/>
      <c r="AI381" s="14"/>
      <c r="AJ381" s="14"/>
      <c r="AK381" s="14"/>
      <c r="AL381" s="14"/>
      <c r="AM381" s="14"/>
      <c r="AN381" s="14"/>
      <c r="AO381" s="14"/>
      <c r="AP381" s="14"/>
      <c r="AQ381" s="14"/>
      <c r="AR381" s="14"/>
      <c r="AS381" s="14"/>
      <c r="AT381" s="14"/>
      <c r="AU381" s="14"/>
      <c r="AV381" s="14"/>
      <c r="AW381" s="14"/>
      <c r="AX381" s="14"/>
      <c r="AY381" s="14"/>
      <c r="AZ381" s="14"/>
      <c r="BA381" s="14"/>
      <c r="BB381" s="14"/>
      <c r="BC381" s="14"/>
      <c r="BD381" s="14"/>
      <c r="BE381" s="14"/>
      <c r="BF381" s="14"/>
      <c r="BG381" s="14"/>
      <c r="BH381" s="14"/>
      <c r="BI381" s="14"/>
      <c r="BJ381" s="14"/>
      <c r="BK381" s="14"/>
      <c r="BL381" s="14"/>
      <c r="BM381" s="14"/>
      <c r="BN381" s="14"/>
      <c r="BO381" s="14"/>
      <c r="BP381" s="14"/>
      <c r="BQ381" s="14"/>
      <c r="BR381" s="14"/>
      <c r="BS381" s="14"/>
      <c r="BT381" s="14"/>
      <c r="BU381" s="14"/>
      <c r="BV381" s="14"/>
      <c r="BW381" s="14"/>
      <c r="BX381" s="14"/>
      <c r="BY381" s="14"/>
      <c r="BZ381" s="14"/>
      <c r="CA381" s="14"/>
      <c r="CB381" s="14"/>
      <c r="CC381" s="14"/>
      <c r="CD381" s="14"/>
      <c r="CE381" s="14"/>
      <c r="CF381" s="14"/>
      <c r="CG381" s="14"/>
      <c r="CH381" s="14"/>
      <c r="CI381" s="14"/>
      <c r="CJ381" s="14"/>
      <c r="CK381" s="14"/>
      <c r="CL381" s="14"/>
      <c r="CM381" s="14"/>
      <c r="CN381" s="14"/>
      <c r="CO381" s="14"/>
      <c r="CP381" s="14"/>
      <c r="CQ381" s="14"/>
      <c r="CR381" s="14"/>
      <c r="CS381" s="14"/>
      <c r="CT381" s="14"/>
      <c r="CU381" s="14"/>
      <c r="CV381" s="14"/>
      <c r="CW381" s="14"/>
      <c r="CX381" s="14"/>
      <c r="CY381" s="14"/>
      <c r="CZ381" s="14"/>
      <c r="DA381" s="14"/>
      <c r="DB381" s="14"/>
      <c r="DC381" s="14"/>
      <c r="DD381" s="14"/>
      <c r="DE381" s="14"/>
      <c r="DF381" s="14"/>
      <c r="DG381" s="14"/>
      <c r="DH381" s="14"/>
      <c r="DI381" s="14"/>
      <c r="DJ381" s="14"/>
      <c r="DK381" s="14"/>
      <c r="DL381" s="14"/>
      <c r="DM381" s="14"/>
      <c r="DN381" s="14"/>
      <c r="DO381" s="14"/>
      <c r="DP381" s="14"/>
      <c r="DQ381" s="14"/>
      <c r="DR381" s="14"/>
      <c r="DS381" s="14"/>
      <c r="DT381" s="14"/>
      <c r="DU381" s="14"/>
      <c r="DV381" s="14"/>
      <c r="DW381" s="14"/>
      <c r="DX381" s="14"/>
      <c r="DY381" s="14"/>
      <c r="DZ381" s="14"/>
      <c r="EA381" s="14"/>
      <c r="EB381" s="14"/>
      <c r="EC381" s="14"/>
    </row>
    <row r="382" spans="1:133" s="13" customFormat="1" ht="18" x14ac:dyDescent="0.25">
      <c r="A382" s="59" t="s">
        <v>102</v>
      </c>
      <c r="B382" s="25" t="s">
        <v>103</v>
      </c>
      <c r="C382" s="35" t="s">
        <v>104</v>
      </c>
      <c r="D382" s="53" t="s">
        <v>380</v>
      </c>
      <c r="E382" s="18">
        <f>ROUNDDOWN(E332+E363+E358+E375+E379,0)</f>
        <v>2563</v>
      </c>
      <c r="R382" s="14"/>
      <c r="S382" s="14"/>
      <c r="T382" s="14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F382" s="14"/>
      <c r="AG382" s="14"/>
      <c r="AH382" s="14"/>
      <c r="AI382" s="14"/>
      <c r="AJ382" s="14"/>
      <c r="AK382" s="14"/>
      <c r="AL382" s="14"/>
      <c r="AM382" s="14"/>
      <c r="AN382" s="14"/>
      <c r="AO382" s="14"/>
      <c r="AP382" s="14"/>
      <c r="AQ382" s="14"/>
      <c r="AR382" s="14"/>
      <c r="AS382" s="14"/>
      <c r="AT382" s="14"/>
      <c r="AU382" s="14"/>
      <c r="AV382" s="14"/>
      <c r="AW382" s="14"/>
      <c r="AX382" s="14"/>
      <c r="AY382" s="14"/>
      <c r="AZ382" s="14"/>
      <c r="BA382" s="14"/>
      <c r="BB382" s="14"/>
      <c r="BC382" s="14"/>
      <c r="BD382" s="14"/>
      <c r="BE382" s="14"/>
      <c r="BF382" s="14"/>
      <c r="BG382" s="14"/>
      <c r="BH382" s="14"/>
      <c r="BI382" s="14"/>
      <c r="BJ382" s="14"/>
      <c r="BK382" s="14"/>
      <c r="BL382" s="14"/>
      <c r="BM382" s="14"/>
      <c r="BN382" s="14"/>
      <c r="BO382" s="14"/>
      <c r="BP382" s="14"/>
      <c r="BQ382" s="14"/>
      <c r="BR382" s="14"/>
      <c r="BS382" s="14"/>
      <c r="BT382" s="14"/>
      <c r="BU382" s="14"/>
      <c r="BV382" s="14"/>
      <c r="BW382" s="14"/>
      <c r="BX382" s="14"/>
      <c r="BY382" s="14"/>
      <c r="BZ382" s="14"/>
      <c r="CA382" s="14"/>
      <c r="CB382" s="14"/>
      <c r="CC382" s="14"/>
      <c r="CD382" s="14"/>
      <c r="CE382" s="14"/>
      <c r="CF382" s="14"/>
      <c r="CG382" s="14"/>
      <c r="CH382" s="14"/>
      <c r="CI382" s="14"/>
      <c r="CJ382" s="14"/>
      <c r="CK382" s="14"/>
      <c r="CL382" s="14"/>
      <c r="CM382" s="14"/>
      <c r="CN382" s="14"/>
      <c r="CO382" s="14"/>
      <c r="CP382" s="14"/>
      <c r="CQ382" s="14"/>
      <c r="CR382" s="14"/>
      <c r="CS382" s="14"/>
      <c r="CT382" s="14"/>
      <c r="CU382" s="14"/>
      <c r="CV382" s="14"/>
      <c r="CW382" s="14"/>
      <c r="CX382" s="14"/>
      <c r="CY382" s="14"/>
      <c r="CZ382" s="14"/>
      <c r="DA382" s="14"/>
      <c r="DB382" s="14"/>
      <c r="DC382" s="14"/>
      <c r="DD382" s="14"/>
      <c r="DE382" s="14"/>
      <c r="DF382" s="14"/>
      <c r="DG382" s="14"/>
      <c r="DH382" s="14"/>
      <c r="DI382" s="14"/>
      <c r="DJ382" s="14"/>
      <c r="DK382" s="14"/>
      <c r="DL382" s="14"/>
      <c r="DM382" s="14"/>
      <c r="DN382" s="14"/>
      <c r="DO382" s="14"/>
      <c r="DP382" s="14"/>
      <c r="DQ382" s="14"/>
      <c r="DR382" s="14"/>
      <c r="DS382" s="14"/>
      <c r="DT382" s="14"/>
      <c r="DU382" s="14"/>
      <c r="DV382" s="14"/>
      <c r="DW382" s="14"/>
      <c r="DX382" s="14"/>
      <c r="DY382" s="14"/>
      <c r="DZ382" s="14"/>
      <c r="EA382" s="14"/>
      <c r="EB382" s="14"/>
      <c r="EC382" s="14"/>
    </row>
    <row r="383" spans="1:133" s="167" customFormat="1" ht="43.2" customHeight="1" x14ac:dyDescent="0.25">
      <c r="A383" s="167" t="s">
        <v>235</v>
      </c>
    </row>
    <row r="384" spans="1:133" s="56" customFormat="1" ht="31.2" x14ac:dyDescent="0.25">
      <c r="A384" s="92" t="s">
        <v>8</v>
      </c>
      <c r="B384" s="93" t="s">
        <v>9</v>
      </c>
      <c r="C384" s="94" t="s">
        <v>10</v>
      </c>
      <c r="D384" s="93" t="s">
        <v>341</v>
      </c>
      <c r="E384" s="93" t="s">
        <v>11</v>
      </c>
      <c r="F384" s="16" t="s">
        <v>322</v>
      </c>
      <c r="G384" s="16" t="s">
        <v>323</v>
      </c>
      <c r="H384" s="16" t="s">
        <v>324</v>
      </c>
      <c r="I384" s="16" t="s">
        <v>325</v>
      </c>
      <c r="J384" s="16" t="s">
        <v>326</v>
      </c>
      <c r="K384" s="16" t="s">
        <v>329</v>
      </c>
      <c r="L384" s="16" t="s">
        <v>292</v>
      </c>
      <c r="M384" s="16" t="s">
        <v>292</v>
      </c>
      <c r="N384" s="16" t="s">
        <v>292</v>
      </c>
      <c r="O384" s="16" t="s">
        <v>292</v>
      </c>
      <c r="P384" s="16" t="s">
        <v>292</v>
      </c>
      <c r="Q384" s="16" t="s">
        <v>292</v>
      </c>
      <c r="R384" s="54"/>
      <c r="S384" s="54"/>
      <c r="T384" s="54"/>
      <c r="U384" s="54"/>
      <c r="V384" s="54"/>
      <c r="W384" s="54"/>
      <c r="X384" s="54"/>
      <c r="Y384" s="54"/>
      <c r="Z384" s="54"/>
      <c r="AA384" s="54"/>
      <c r="AB384" s="54"/>
      <c r="AC384" s="54"/>
      <c r="AD384" s="54"/>
      <c r="AE384" s="54"/>
      <c r="AF384" s="54"/>
      <c r="AG384" s="54"/>
      <c r="AH384" s="54"/>
      <c r="AI384" s="54"/>
      <c r="AJ384" s="54"/>
      <c r="AK384" s="54"/>
      <c r="AL384" s="54"/>
      <c r="AM384" s="54"/>
      <c r="AN384" s="54"/>
      <c r="AO384" s="54"/>
      <c r="AP384" s="54"/>
      <c r="AQ384" s="54"/>
      <c r="AR384" s="54"/>
      <c r="AS384" s="54"/>
      <c r="AT384" s="54"/>
      <c r="AU384" s="54"/>
      <c r="AV384" s="54"/>
      <c r="AW384" s="54"/>
      <c r="AX384" s="54"/>
      <c r="AY384" s="54"/>
      <c r="AZ384" s="54"/>
      <c r="BA384" s="54"/>
      <c r="BB384" s="54"/>
      <c r="BC384" s="54"/>
      <c r="BD384" s="54"/>
      <c r="BE384" s="54"/>
      <c r="BF384" s="54"/>
      <c r="BG384" s="54"/>
      <c r="BH384" s="54"/>
      <c r="BI384" s="54"/>
      <c r="BJ384" s="54"/>
      <c r="BK384" s="54"/>
      <c r="BL384" s="54"/>
      <c r="BM384" s="54"/>
      <c r="BN384" s="54"/>
      <c r="BO384" s="54"/>
      <c r="BP384" s="54"/>
      <c r="BQ384" s="54"/>
      <c r="BR384" s="54"/>
      <c r="BS384" s="54"/>
      <c r="BT384" s="54"/>
      <c r="BU384" s="54"/>
      <c r="BV384" s="54"/>
      <c r="BW384" s="54"/>
      <c r="BX384" s="54"/>
      <c r="BY384" s="54"/>
      <c r="BZ384" s="54"/>
      <c r="CA384" s="54"/>
      <c r="CB384" s="54"/>
      <c r="CC384" s="54"/>
      <c r="CD384" s="54"/>
      <c r="CE384" s="54"/>
      <c r="CF384" s="54"/>
      <c r="CG384" s="54"/>
      <c r="CH384" s="54"/>
      <c r="CI384" s="54"/>
      <c r="CJ384" s="54"/>
      <c r="CK384" s="54"/>
      <c r="CL384" s="54"/>
      <c r="CM384" s="54"/>
      <c r="CN384" s="54"/>
      <c r="CO384" s="54"/>
      <c r="CP384" s="54"/>
      <c r="CQ384" s="54"/>
      <c r="CR384" s="54"/>
      <c r="CS384" s="54"/>
      <c r="CT384" s="54"/>
      <c r="CU384" s="54"/>
      <c r="CV384" s="54"/>
      <c r="CW384" s="54"/>
      <c r="CX384" s="54"/>
      <c r="CY384" s="54"/>
      <c r="CZ384" s="54"/>
      <c r="DA384" s="54"/>
      <c r="DB384" s="54"/>
      <c r="DC384" s="54"/>
      <c r="DD384" s="54"/>
      <c r="DE384" s="54"/>
      <c r="DF384" s="54"/>
      <c r="DG384" s="54"/>
      <c r="DH384" s="54"/>
      <c r="DI384" s="54"/>
      <c r="DJ384" s="54"/>
      <c r="DK384" s="54"/>
      <c r="DL384" s="54"/>
      <c r="DM384" s="54"/>
      <c r="DN384" s="54"/>
      <c r="DO384" s="54"/>
      <c r="DP384" s="54"/>
      <c r="DQ384" s="54"/>
      <c r="DR384" s="54"/>
      <c r="DS384" s="54"/>
      <c r="DT384" s="54"/>
      <c r="DU384" s="54"/>
      <c r="DV384" s="54"/>
      <c r="DW384" s="54"/>
      <c r="DX384" s="54"/>
      <c r="DY384" s="54"/>
      <c r="DZ384" s="54"/>
      <c r="EA384" s="54"/>
      <c r="EB384" s="54"/>
      <c r="EC384" s="54"/>
    </row>
    <row r="385" spans="1:133" s="56" customFormat="1" x14ac:dyDescent="0.25">
      <c r="A385" s="178" t="s">
        <v>12</v>
      </c>
      <c r="B385" s="178"/>
      <c r="C385" s="179"/>
      <c r="D385" s="179"/>
      <c r="E385" s="178"/>
      <c r="F385" s="16">
        <v>31</v>
      </c>
      <c r="G385" s="16">
        <v>28</v>
      </c>
      <c r="H385" s="16">
        <v>31</v>
      </c>
      <c r="I385" s="16">
        <v>30</v>
      </c>
      <c r="J385" s="16">
        <v>31</v>
      </c>
      <c r="K385" s="16">
        <v>30</v>
      </c>
      <c r="L385" s="16" t="s">
        <v>297</v>
      </c>
      <c r="M385" s="16" t="s">
        <v>297</v>
      </c>
      <c r="N385" s="16" t="s">
        <v>297</v>
      </c>
      <c r="O385" s="16" t="s">
        <v>297</v>
      </c>
      <c r="P385" s="16" t="s">
        <v>297</v>
      </c>
      <c r="Q385" s="16" t="s">
        <v>297</v>
      </c>
      <c r="R385" s="54"/>
      <c r="S385" s="54"/>
      <c r="T385" s="54"/>
      <c r="U385" s="54"/>
      <c r="V385" s="54"/>
      <c r="W385" s="54"/>
      <c r="X385" s="54"/>
      <c r="Y385" s="54"/>
      <c r="Z385" s="54"/>
      <c r="AA385" s="54"/>
      <c r="AB385" s="54"/>
      <c r="AC385" s="54"/>
      <c r="AD385" s="54"/>
      <c r="AE385" s="54"/>
      <c r="AF385" s="54"/>
      <c r="AG385" s="54"/>
      <c r="AH385" s="54"/>
      <c r="AI385" s="54"/>
      <c r="AJ385" s="54"/>
      <c r="AK385" s="54"/>
      <c r="AL385" s="54"/>
      <c r="AM385" s="54"/>
      <c r="AN385" s="54"/>
      <c r="AO385" s="54"/>
      <c r="AP385" s="54"/>
      <c r="AQ385" s="54"/>
      <c r="AR385" s="54"/>
      <c r="AS385" s="54"/>
      <c r="AT385" s="54"/>
      <c r="AU385" s="54"/>
      <c r="AV385" s="54"/>
      <c r="AW385" s="54"/>
      <c r="AX385" s="54"/>
      <c r="AY385" s="54"/>
      <c r="AZ385" s="54"/>
      <c r="BA385" s="54"/>
      <c r="BB385" s="54"/>
      <c r="BC385" s="54"/>
      <c r="BD385" s="54"/>
      <c r="BE385" s="54"/>
      <c r="BF385" s="54"/>
      <c r="BG385" s="54"/>
      <c r="BH385" s="54"/>
      <c r="BI385" s="54"/>
      <c r="BJ385" s="54"/>
      <c r="BK385" s="54"/>
      <c r="BL385" s="54"/>
      <c r="BM385" s="54"/>
      <c r="BN385" s="54"/>
      <c r="BO385" s="54"/>
      <c r="BP385" s="54"/>
      <c r="BQ385" s="54"/>
      <c r="BR385" s="54"/>
      <c r="BS385" s="54"/>
      <c r="BT385" s="54"/>
      <c r="BU385" s="54"/>
      <c r="BV385" s="54"/>
      <c r="BW385" s="54"/>
      <c r="BX385" s="54"/>
      <c r="BY385" s="54"/>
      <c r="BZ385" s="54"/>
      <c r="CA385" s="54"/>
      <c r="CB385" s="54"/>
      <c r="CC385" s="54"/>
      <c r="CD385" s="54"/>
      <c r="CE385" s="54"/>
      <c r="CF385" s="54"/>
      <c r="CG385" s="54"/>
      <c r="CH385" s="54"/>
      <c r="CI385" s="54"/>
      <c r="CJ385" s="54"/>
      <c r="CK385" s="54"/>
      <c r="CL385" s="54"/>
      <c r="CM385" s="54"/>
      <c r="CN385" s="54"/>
      <c r="CO385" s="54"/>
      <c r="CP385" s="54"/>
      <c r="CQ385" s="54"/>
      <c r="CR385" s="54"/>
      <c r="CS385" s="54"/>
      <c r="CT385" s="54"/>
      <c r="CU385" s="54"/>
      <c r="CV385" s="54"/>
      <c r="CW385" s="54"/>
      <c r="CX385" s="54"/>
      <c r="CY385" s="54"/>
      <c r="CZ385" s="54"/>
      <c r="DA385" s="54"/>
      <c r="DB385" s="54"/>
      <c r="DC385" s="54"/>
      <c r="DD385" s="54"/>
      <c r="DE385" s="54"/>
      <c r="DF385" s="54"/>
      <c r="DG385" s="54"/>
      <c r="DH385" s="54"/>
      <c r="DI385" s="54"/>
      <c r="DJ385" s="54"/>
      <c r="DK385" s="54"/>
      <c r="DL385" s="54"/>
      <c r="DM385" s="54"/>
      <c r="DN385" s="54"/>
      <c r="DO385" s="54"/>
      <c r="DP385" s="54"/>
      <c r="DQ385" s="54"/>
      <c r="DR385" s="54"/>
      <c r="DS385" s="54"/>
      <c r="DT385" s="54"/>
      <c r="DU385" s="54"/>
      <c r="DV385" s="54"/>
      <c r="DW385" s="54"/>
      <c r="DX385" s="54"/>
      <c r="DY385" s="54"/>
      <c r="DZ385" s="54"/>
      <c r="EA385" s="54"/>
      <c r="EB385" s="54"/>
      <c r="EC385" s="54"/>
    </row>
    <row r="386" spans="1:133" ht="46.8" x14ac:dyDescent="0.25">
      <c r="A386" s="59" t="s">
        <v>13</v>
      </c>
      <c r="B386" s="60" t="s">
        <v>14</v>
      </c>
      <c r="C386" s="53" t="s">
        <v>15</v>
      </c>
      <c r="D386" s="53" t="s">
        <v>369</v>
      </c>
      <c r="E386" s="61">
        <f>SUM(F386:K386)</f>
        <v>1563.0130112965996</v>
      </c>
      <c r="F386" s="62">
        <f>$E$387*$E$388*F389*$E$400</f>
        <v>258.32352692666899</v>
      </c>
      <c r="G386" s="62">
        <f t="shared" ref="G386:K386" si="49">$E$387*$E$388*G389*$E$400</f>
        <v>233.52054024615791</v>
      </c>
      <c r="H386" s="62">
        <f t="shared" si="49"/>
        <v>258.70430366408738</v>
      </c>
      <c r="I386" s="62">
        <f t="shared" si="49"/>
        <v>250.17009348810095</v>
      </c>
      <c r="J386" s="62">
        <f t="shared" si="49"/>
        <v>291.97733357719966</v>
      </c>
      <c r="K386" s="62">
        <f t="shared" si="49"/>
        <v>270.31721339438468</v>
      </c>
      <c r="L386" s="62" t="s">
        <v>297</v>
      </c>
      <c r="M386" s="62" t="s">
        <v>297</v>
      </c>
      <c r="N386" s="62" t="s">
        <v>297</v>
      </c>
      <c r="O386" s="62" t="s">
        <v>297</v>
      </c>
      <c r="P386" s="62" t="s">
        <v>297</v>
      </c>
      <c r="Q386" s="62" t="s">
        <v>297</v>
      </c>
    </row>
    <row r="387" spans="1:133" ht="31.2" x14ac:dyDescent="0.25">
      <c r="A387" s="63" t="s">
        <v>16</v>
      </c>
      <c r="B387" s="60" t="s">
        <v>193</v>
      </c>
      <c r="C387" s="35" t="s">
        <v>17</v>
      </c>
      <c r="D387" s="35" t="s">
        <v>205</v>
      </c>
      <c r="E387" s="176">
        <v>28</v>
      </c>
      <c r="F387" s="176"/>
      <c r="G387" s="176"/>
      <c r="H387" s="176"/>
      <c r="I387" s="176"/>
      <c r="J387" s="176"/>
      <c r="K387" s="176"/>
      <c r="L387" s="176"/>
      <c r="M387" s="176"/>
      <c r="N387" s="176"/>
      <c r="O387" s="176"/>
      <c r="P387" s="176"/>
      <c r="Q387" s="176"/>
    </row>
    <row r="388" spans="1:133" ht="64.8" x14ac:dyDescent="0.25">
      <c r="A388" s="63" t="s">
        <v>18</v>
      </c>
      <c r="B388" s="25" t="s">
        <v>194</v>
      </c>
      <c r="C388" s="35" t="s">
        <v>20</v>
      </c>
      <c r="D388" s="35" t="s">
        <v>394</v>
      </c>
      <c r="E388" s="176">
        <v>0.21</v>
      </c>
      <c r="F388" s="176"/>
      <c r="G388" s="176"/>
      <c r="H388" s="176"/>
      <c r="I388" s="176"/>
      <c r="J388" s="176"/>
      <c r="K388" s="176"/>
      <c r="L388" s="176"/>
      <c r="M388" s="176"/>
      <c r="N388" s="176"/>
      <c r="O388" s="176"/>
      <c r="P388" s="176"/>
      <c r="Q388" s="176"/>
    </row>
    <row r="389" spans="1:133" ht="46.8" x14ac:dyDescent="0.25">
      <c r="A389" s="35" t="s">
        <v>21</v>
      </c>
      <c r="B389" s="25" t="s">
        <v>195</v>
      </c>
      <c r="C389" s="53" t="s">
        <v>22</v>
      </c>
      <c r="D389" s="53" t="s">
        <v>370</v>
      </c>
      <c r="E389" s="64">
        <f t="shared" ref="E389:K389" si="50">E397*E390</f>
        <v>422.5192355690719</v>
      </c>
      <c r="F389" s="64">
        <f t="shared" si="50"/>
        <v>69.830934443738244</v>
      </c>
      <c r="G389" s="64">
        <f t="shared" si="50"/>
        <v>63.126102880381055</v>
      </c>
      <c r="H389" s="64">
        <f t="shared" si="50"/>
        <v>69.933867365507751</v>
      </c>
      <c r="I389" s="64">
        <f t="shared" si="50"/>
        <v>67.626869321548838</v>
      </c>
      <c r="J389" s="64">
        <f t="shared" si="50"/>
        <v>78.928351136498762</v>
      </c>
      <c r="K389" s="64">
        <f t="shared" si="50"/>
        <v>73.073110421397288</v>
      </c>
      <c r="L389" s="64" t="s">
        <v>297</v>
      </c>
      <c r="M389" s="64" t="s">
        <v>297</v>
      </c>
      <c r="N389" s="64" t="s">
        <v>297</v>
      </c>
      <c r="O389" s="64" t="s">
        <v>297</v>
      </c>
      <c r="P389" s="64" t="s">
        <v>297</v>
      </c>
      <c r="Q389" s="64" t="s">
        <v>297</v>
      </c>
    </row>
    <row r="390" spans="1:133" ht="46.8" x14ac:dyDescent="0.25">
      <c r="A390" s="35" t="s">
        <v>23</v>
      </c>
      <c r="B390" s="25" t="s">
        <v>197</v>
      </c>
      <c r="C390" s="35" t="s">
        <v>191</v>
      </c>
      <c r="D390" s="35" t="s">
        <v>371</v>
      </c>
      <c r="E390" s="20">
        <f>SUM(F390:K390)</f>
        <v>445.05677648673395</v>
      </c>
      <c r="F390" s="20">
        <f>F392*F395</f>
        <v>73.555776793754859</v>
      </c>
      <c r="G390" s="20">
        <f t="shared" ref="G390:K390" si="51">G392*G395</f>
        <v>66.493303724439556</v>
      </c>
      <c r="H390" s="20">
        <f t="shared" si="51"/>
        <v>73.664200246465597</v>
      </c>
      <c r="I390" s="20">
        <f t="shared" si="51"/>
        <v>71.234144934492221</v>
      </c>
      <c r="J390" s="20">
        <f t="shared" si="51"/>
        <v>83.138457549539538</v>
      </c>
      <c r="K390" s="20">
        <f t="shared" si="51"/>
        <v>76.970893238042208</v>
      </c>
      <c r="L390" s="20" t="s">
        <v>297</v>
      </c>
      <c r="M390" s="20" t="s">
        <v>297</v>
      </c>
      <c r="N390" s="20" t="s">
        <v>297</v>
      </c>
      <c r="O390" s="20" t="s">
        <v>297</v>
      </c>
      <c r="P390" s="20" t="s">
        <v>297</v>
      </c>
      <c r="Q390" s="20" t="s">
        <v>297</v>
      </c>
    </row>
    <row r="391" spans="1:133" ht="62.4" x14ac:dyDescent="0.25">
      <c r="A391" s="17" t="s">
        <v>335</v>
      </c>
      <c r="B391" s="60" t="s">
        <v>192</v>
      </c>
      <c r="C391" s="35" t="s">
        <v>25</v>
      </c>
      <c r="D391" s="35" t="s">
        <v>333</v>
      </c>
      <c r="E391" s="121">
        <f>AVERAGE(F391:K391)</f>
        <v>5813.1175841397853</v>
      </c>
      <c r="F391" s="121">
        <v>5572.4495483870978</v>
      </c>
      <c r="G391" s="121">
        <v>5574.4352499999986</v>
      </c>
      <c r="H391" s="121">
        <v>5573.6576774193554</v>
      </c>
      <c r="I391" s="121">
        <v>5573.6841333333323</v>
      </c>
      <c r="J391" s="121">
        <v>6292.683129032258</v>
      </c>
      <c r="K391" s="121">
        <v>6291.7957666666662</v>
      </c>
      <c r="L391" s="20" t="s">
        <v>297</v>
      </c>
      <c r="M391" s="20" t="s">
        <v>297</v>
      </c>
      <c r="N391" s="20" t="s">
        <v>297</v>
      </c>
      <c r="O391" s="20" t="s">
        <v>297</v>
      </c>
      <c r="P391" s="20" t="s">
        <v>297</v>
      </c>
      <c r="Q391" s="20" t="s">
        <v>297</v>
      </c>
    </row>
    <row r="392" spans="1:133" ht="46.8" x14ac:dyDescent="0.25">
      <c r="A392" s="35" t="s">
        <v>26</v>
      </c>
      <c r="B392" s="60" t="s">
        <v>198</v>
      </c>
      <c r="C392" s="35" t="s">
        <v>27</v>
      </c>
      <c r="D392" s="35" t="s">
        <v>206</v>
      </c>
      <c r="E392" s="65">
        <f>SUM(F392:K392)</f>
        <v>1052651.085</v>
      </c>
      <c r="F392" s="65">
        <f>F391*F385</f>
        <v>172745.93600000005</v>
      </c>
      <c r="G392" s="65">
        <f t="shared" ref="G392:K392" si="52">G391*G385</f>
        <v>156084.18699999998</v>
      </c>
      <c r="H392" s="65">
        <f t="shared" si="52"/>
        <v>172783.38800000001</v>
      </c>
      <c r="I392" s="65">
        <f t="shared" si="52"/>
        <v>167210.52399999998</v>
      </c>
      <c r="J392" s="65">
        <f t="shared" si="52"/>
        <v>195073.177</v>
      </c>
      <c r="K392" s="65">
        <f t="shared" si="52"/>
        <v>188753.87299999999</v>
      </c>
      <c r="L392" s="65" t="s">
        <v>297</v>
      </c>
      <c r="M392" s="65" t="s">
        <v>297</v>
      </c>
      <c r="N392" s="65" t="s">
        <v>297</v>
      </c>
      <c r="O392" s="65" t="s">
        <v>297</v>
      </c>
      <c r="P392" s="65" t="s">
        <v>297</v>
      </c>
      <c r="Q392" s="65" t="s">
        <v>297</v>
      </c>
    </row>
    <row r="393" spans="1:133" ht="62.4" x14ac:dyDescent="0.25">
      <c r="A393" s="35" t="s">
        <v>28</v>
      </c>
      <c r="B393" s="60" t="s">
        <v>199</v>
      </c>
      <c r="C393" s="35" t="s">
        <v>29</v>
      </c>
      <c r="D393" s="35" t="s">
        <v>332</v>
      </c>
      <c r="E393" s="125">
        <f>AVERAGE(F393:K393)</f>
        <v>423.02353142601123</v>
      </c>
      <c r="F393" s="125">
        <v>425.80322580645162</v>
      </c>
      <c r="G393" s="125">
        <v>426.00922619047606</v>
      </c>
      <c r="H393" s="125">
        <v>426.33844086021503</v>
      </c>
      <c r="I393" s="125">
        <v>426.01472222222225</v>
      </c>
      <c r="J393" s="125">
        <v>426.19112903225817</v>
      </c>
      <c r="K393" s="137">
        <v>407.78444444444443</v>
      </c>
      <c r="L393" s="66" t="s">
        <v>297</v>
      </c>
      <c r="M393" s="66" t="s">
        <v>297</v>
      </c>
      <c r="N393" s="66" t="s">
        <v>297</v>
      </c>
      <c r="O393" s="66" t="s">
        <v>297</v>
      </c>
      <c r="P393" s="66" t="s">
        <v>297</v>
      </c>
      <c r="Q393" s="66" t="s">
        <v>297</v>
      </c>
    </row>
    <row r="394" spans="1:133" ht="62.4" x14ac:dyDescent="0.25">
      <c r="A394" s="35" t="s">
        <v>30</v>
      </c>
      <c r="B394" s="60" t="s">
        <v>199</v>
      </c>
      <c r="C394" s="35" t="s">
        <v>31</v>
      </c>
      <c r="D394" s="35" t="s">
        <v>331</v>
      </c>
      <c r="E394" s="125">
        <f>AVERAGE(F394:K394)</f>
        <v>19.759113756613758</v>
      </c>
      <c r="F394" s="125">
        <v>19.769354838709678</v>
      </c>
      <c r="G394" s="125">
        <v>19.507738095238093</v>
      </c>
      <c r="H394" s="125">
        <v>19.346505376344087</v>
      </c>
      <c r="I394" s="125">
        <v>19.989444444444441</v>
      </c>
      <c r="J394" s="125">
        <v>19.942473118279572</v>
      </c>
      <c r="K394" s="137">
        <v>19.99916666666666</v>
      </c>
      <c r="L394" s="65" t="s">
        <v>297</v>
      </c>
      <c r="M394" s="65" t="s">
        <v>297</v>
      </c>
      <c r="N394" s="65" t="s">
        <v>297</v>
      </c>
      <c r="O394" s="65" t="s">
        <v>297</v>
      </c>
      <c r="P394" s="65" t="s">
        <v>297</v>
      </c>
      <c r="Q394" s="65" t="s">
        <v>297</v>
      </c>
    </row>
    <row r="395" spans="1:133" ht="62.4" x14ac:dyDescent="0.25">
      <c r="A395" s="35" t="s">
        <v>32</v>
      </c>
      <c r="B395" s="60" t="s">
        <v>200</v>
      </c>
      <c r="C395" s="35" t="s">
        <v>34</v>
      </c>
      <c r="D395" s="35" t="s">
        <v>338</v>
      </c>
      <c r="E395" s="122">
        <f>E393/1000000</f>
        <v>4.2302353142601123E-4</v>
      </c>
      <c r="F395" s="120">
        <f>F393/1000000</f>
        <v>4.258032258064516E-4</v>
      </c>
      <c r="G395" s="120">
        <f t="shared" ref="G395:K396" si="53">G393/1000000</f>
        <v>4.2600922619047605E-4</v>
      </c>
      <c r="H395" s="120">
        <f t="shared" si="53"/>
        <v>4.2633844086021504E-4</v>
      </c>
      <c r="I395" s="120">
        <f t="shared" si="53"/>
        <v>4.2601472222222224E-4</v>
      </c>
      <c r="J395" s="120">
        <f t="shared" si="53"/>
        <v>4.2619112903225816E-4</v>
      </c>
      <c r="K395" s="120">
        <f t="shared" si="53"/>
        <v>4.0778444444444442E-4</v>
      </c>
      <c r="L395" s="22" t="s">
        <v>297</v>
      </c>
      <c r="M395" s="22" t="s">
        <v>297</v>
      </c>
      <c r="N395" s="22" t="s">
        <v>297</v>
      </c>
      <c r="O395" s="22" t="s">
        <v>297</v>
      </c>
      <c r="P395" s="22" t="s">
        <v>297</v>
      </c>
      <c r="Q395" s="22" t="s">
        <v>297</v>
      </c>
    </row>
    <row r="396" spans="1:133" ht="62.4" x14ac:dyDescent="0.25">
      <c r="A396" s="35" t="s">
        <v>30</v>
      </c>
      <c r="B396" s="60" t="s">
        <v>33</v>
      </c>
      <c r="C396" s="35" t="s">
        <v>35</v>
      </c>
      <c r="D396" s="35" t="s">
        <v>339</v>
      </c>
      <c r="E396" s="122">
        <f>E394/1000000</f>
        <v>1.9759113756613756E-5</v>
      </c>
      <c r="F396" s="120">
        <f>F394/1000000</f>
        <v>1.9769354838709678E-5</v>
      </c>
      <c r="G396" s="120">
        <f t="shared" si="53"/>
        <v>1.9507738095238094E-5</v>
      </c>
      <c r="H396" s="120">
        <f t="shared" si="53"/>
        <v>1.9346505376344086E-5</v>
      </c>
      <c r="I396" s="120">
        <f t="shared" si="53"/>
        <v>1.9989444444444441E-5</v>
      </c>
      <c r="J396" s="120">
        <f t="shared" si="53"/>
        <v>1.9942473118279573E-5</v>
      </c>
      <c r="K396" s="120">
        <f t="shared" si="53"/>
        <v>1.999916666666666E-5</v>
      </c>
      <c r="L396" s="22" t="s">
        <v>297</v>
      </c>
      <c r="M396" s="22" t="s">
        <v>297</v>
      </c>
      <c r="N396" s="22" t="s">
        <v>297</v>
      </c>
      <c r="O396" s="22" t="s">
        <v>297</v>
      </c>
      <c r="P396" s="22" t="s">
        <v>297</v>
      </c>
      <c r="Q396" s="22" t="s">
        <v>297</v>
      </c>
    </row>
    <row r="397" spans="1:133" ht="46.8" x14ac:dyDescent="0.25">
      <c r="A397" s="63" t="s">
        <v>36</v>
      </c>
      <c r="B397" s="25" t="s">
        <v>201</v>
      </c>
      <c r="C397" s="35" t="s">
        <v>38</v>
      </c>
      <c r="D397" s="35" t="s">
        <v>368</v>
      </c>
      <c r="E397" s="68">
        <f>(1-(E398/E399))</f>
        <v>0.94936030163258545</v>
      </c>
      <c r="F397" s="68">
        <f>E397</f>
        <v>0.94936030163258545</v>
      </c>
      <c r="G397" s="68">
        <f>E397</f>
        <v>0.94936030163258545</v>
      </c>
      <c r="H397" s="68">
        <f>E397</f>
        <v>0.94936030163258545</v>
      </c>
      <c r="I397" s="68">
        <f>E397</f>
        <v>0.94936030163258545</v>
      </c>
      <c r="J397" s="68">
        <f>E397</f>
        <v>0.94936030163258545</v>
      </c>
      <c r="K397" s="68">
        <f>F397</f>
        <v>0.94936030163258545</v>
      </c>
      <c r="L397" s="68" t="s">
        <v>297</v>
      </c>
      <c r="M397" s="68" t="s">
        <v>297</v>
      </c>
      <c r="N397" s="68" t="s">
        <v>297</v>
      </c>
      <c r="O397" s="68" t="s">
        <v>297</v>
      </c>
      <c r="P397" s="68" t="s">
        <v>297</v>
      </c>
      <c r="Q397" s="68" t="s">
        <v>297</v>
      </c>
    </row>
    <row r="398" spans="1:133" ht="31.2" x14ac:dyDescent="0.25">
      <c r="A398" s="35" t="s">
        <v>39</v>
      </c>
      <c r="B398" s="25" t="s">
        <v>196</v>
      </c>
      <c r="C398" s="35" t="s">
        <v>40</v>
      </c>
      <c r="D398" s="35" t="s">
        <v>351</v>
      </c>
      <c r="E398" s="52">
        <f>SUM(F398:K398)</f>
        <v>21.519185929999999</v>
      </c>
      <c r="F398" s="52">
        <v>3.68560643</v>
      </c>
      <c r="G398" s="52">
        <v>3.3289348400000001</v>
      </c>
      <c r="H398" s="52">
        <v>3.68560643</v>
      </c>
      <c r="I398" s="52">
        <v>3.5667158999999993</v>
      </c>
      <c r="J398" s="52">
        <v>3.68560643</v>
      </c>
      <c r="K398" s="52">
        <v>3.5667158999999993</v>
      </c>
      <c r="L398" s="69" t="s">
        <v>297</v>
      </c>
      <c r="M398" s="69" t="s">
        <v>297</v>
      </c>
      <c r="N398" s="69" t="s">
        <v>297</v>
      </c>
      <c r="O398" s="69" t="s">
        <v>297</v>
      </c>
      <c r="P398" s="69" t="s">
        <v>297</v>
      </c>
      <c r="Q398" s="69" t="s">
        <v>297</v>
      </c>
    </row>
    <row r="399" spans="1:133" ht="31.2" x14ac:dyDescent="0.25">
      <c r="A399" s="63" t="s">
        <v>41</v>
      </c>
      <c r="B399" s="25" t="s">
        <v>24</v>
      </c>
      <c r="C399" s="35" t="s">
        <v>42</v>
      </c>
      <c r="D399" s="35" t="s">
        <v>351</v>
      </c>
      <c r="E399" s="52">
        <f>SUM(F399:K399)</f>
        <v>424.94696105549997</v>
      </c>
      <c r="F399" s="52">
        <v>72.780971230500001</v>
      </c>
      <c r="G399" s="52">
        <v>65.737651434</v>
      </c>
      <c r="H399" s="52">
        <v>72.780971230499986</v>
      </c>
      <c r="I399" s="52">
        <v>70.433197965000005</v>
      </c>
      <c r="J399" s="52">
        <v>72.780971230499986</v>
      </c>
      <c r="K399" s="52">
        <v>70.433197965000005</v>
      </c>
      <c r="L399" s="69" t="s">
        <v>297</v>
      </c>
      <c r="M399" s="69" t="s">
        <v>297</v>
      </c>
      <c r="N399" s="69" t="s">
        <v>297</v>
      </c>
      <c r="O399" s="69" t="s">
        <v>297</v>
      </c>
      <c r="P399" s="69" t="s">
        <v>297</v>
      </c>
      <c r="Q399" s="69" t="s">
        <v>297</v>
      </c>
    </row>
    <row r="400" spans="1:133" ht="31.2" x14ac:dyDescent="0.25">
      <c r="A400" s="53" t="s">
        <v>43</v>
      </c>
      <c r="B400" s="25" t="s">
        <v>201</v>
      </c>
      <c r="C400" s="53" t="s">
        <v>44</v>
      </c>
      <c r="D400" s="35" t="s">
        <v>372</v>
      </c>
      <c r="E400" s="177">
        <f>E401*E402*0.89</f>
        <v>0.62912766321310198</v>
      </c>
      <c r="F400" s="177"/>
      <c r="G400" s="177"/>
      <c r="H400" s="177"/>
      <c r="I400" s="177"/>
      <c r="J400" s="177"/>
      <c r="K400" s="177"/>
      <c r="L400" s="177"/>
      <c r="M400" s="177"/>
      <c r="N400" s="177"/>
      <c r="O400" s="177"/>
      <c r="P400" s="177"/>
      <c r="Q400" s="177"/>
    </row>
    <row r="401" spans="1:133" ht="31.2" x14ac:dyDescent="0.25">
      <c r="A401" s="70" t="s">
        <v>45</v>
      </c>
      <c r="B401" s="25" t="s">
        <v>201</v>
      </c>
      <c r="C401" s="53" t="s">
        <v>46</v>
      </c>
      <c r="D401" s="35" t="s">
        <v>373</v>
      </c>
      <c r="E401" s="162">
        <v>0.7</v>
      </c>
      <c r="F401" s="163"/>
      <c r="G401" s="163"/>
      <c r="H401" s="163"/>
      <c r="I401" s="163"/>
      <c r="J401" s="163"/>
      <c r="K401" s="163"/>
      <c r="L401" s="163"/>
      <c r="M401" s="163"/>
      <c r="N401" s="163"/>
      <c r="O401" s="163"/>
      <c r="P401" s="163"/>
      <c r="Q401" s="164"/>
    </row>
    <row r="402" spans="1:133" ht="36" customHeight="1" x14ac:dyDescent="0.25">
      <c r="A402" s="70" t="s">
        <v>47</v>
      </c>
      <c r="B402" s="25" t="s">
        <v>37</v>
      </c>
      <c r="C402" s="53" t="s">
        <v>48</v>
      </c>
      <c r="D402" s="35" t="s">
        <v>374</v>
      </c>
      <c r="E402" s="159">
        <f>(F403*F408+G403*G408+H403*H408+I403*I408+J403*J408+K403*K408)/(F397*F392*F395+G397*G395*G392+H397*H392*H395+I397*I395*I392+J397*J395*J392+K397*K395*K392)</f>
        <v>1.0098357354945457</v>
      </c>
      <c r="F402" s="160"/>
      <c r="G402" s="160"/>
      <c r="H402" s="160"/>
      <c r="I402" s="160"/>
      <c r="J402" s="160"/>
      <c r="K402" s="160"/>
      <c r="L402" s="160"/>
      <c r="M402" s="160"/>
      <c r="N402" s="160"/>
      <c r="O402" s="160"/>
      <c r="P402" s="160"/>
      <c r="Q402" s="161"/>
    </row>
    <row r="403" spans="1:133" s="9" customFormat="1" ht="46.8" x14ac:dyDescent="0.4">
      <c r="A403" s="71" t="s">
        <v>49</v>
      </c>
      <c r="B403" s="25" t="s">
        <v>37</v>
      </c>
      <c r="C403" s="53" t="s">
        <v>50</v>
      </c>
      <c r="D403" s="53" t="s">
        <v>375</v>
      </c>
      <c r="E403" s="72">
        <f>AVERAGE(F403:K403)</f>
        <v>0.47566758520675173</v>
      </c>
      <c r="F403" s="72">
        <f>IF(F407&lt;283,0,IF(F407&gt;303,1,EXP(($E$404*(F407-$E$405))/($E$406*$E$405*F407))))</f>
        <v>0.29505266129807517</v>
      </c>
      <c r="G403" s="72">
        <f t="shared" ref="G403:K403" si="54">IF(G407&lt;283,0,IF(G407&gt;303,1,EXP(($E$404*(G407-$E$405))/($E$406*$E$405*G407))))</f>
        <v>0.24547412919519337</v>
      </c>
      <c r="H403" s="72">
        <f t="shared" si="54"/>
        <v>0.42307437878932203</v>
      </c>
      <c r="I403" s="72">
        <f t="shared" si="54"/>
        <v>0.50475941545474445</v>
      </c>
      <c r="J403" s="72">
        <f t="shared" si="54"/>
        <v>0.57531644493802248</v>
      </c>
      <c r="K403" s="72">
        <f t="shared" si="54"/>
        <v>0.81032848156515291</v>
      </c>
      <c r="L403" s="72" t="s">
        <v>297</v>
      </c>
      <c r="M403" s="72" t="s">
        <v>297</v>
      </c>
      <c r="N403" s="72" t="s">
        <v>297</v>
      </c>
      <c r="O403" s="72" t="s">
        <v>297</v>
      </c>
      <c r="P403" s="72" t="s">
        <v>297</v>
      </c>
      <c r="Q403" s="72" t="s">
        <v>297</v>
      </c>
      <c r="R403" s="78"/>
      <c r="S403" s="78"/>
      <c r="T403" s="78"/>
      <c r="U403" s="78"/>
      <c r="V403" s="78"/>
      <c r="W403" s="78"/>
      <c r="X403" s="78"/>
      <c r="Y403" s="78"/>
      <c r="Z403" s="78"/>
      <c r="AA403" s="78"/>
      <c r="AB403" s="78"/>
      <c r="AC403" s="78"/>
      <c r="AD403" s="78"/>
      <c r="AE403" s="78"/>
      <c r="AF403" s="78"/>
      <c r="AG403" s="78"/>
      <c r="AH403" s="78"/>
      <c r="AI403" s="78"/>
      <c r="AJ403" s="78"/>
      <c r="AK403" s="78"/>
      <c r="AL403" s="78"/>
      <c r="AM403" s="78"/>
      <c r="AN403" s="78"/>
      <c r="AO403" s="78"/>
      <c r="AP403" s="78"/>
      <c r="AQ403" s="78"/>
      <c r="AR403" s="78"/>
      <c r="AS403" s="78"/>
      <c r="AT403" s="78"/>
      <c r="AU403" s="78"/>
      <c r="AV403" s="78"/>
      <c r="AW403" s="78"/>
      <c r="AX403" s="78"/>
      <c r="AY403" s="78"/>
      <c r="AZ403" s="78"/>
      <c r="BA403" s="78"/>
      <c r="BB403" s="78"/>
      <c r="BC403" s="78"/>
      <c r="BD403" s="78"/>
      <c r="BE403" s="78"/>
      <c r="BF403" s="78"/>
      <c r="BG403" s="78"/>
      <c r="BH403" s="78"/>
      <c r="BI403" s="78"/>
      <c r="BJ403" s="78"/>
      <c r="BK403" s="78"/>
      <c r="BL403" s="78"/>
      <c r="BM403" s="78"/>
      <c r="BN403" s="78"/>
      <c r="BO403" s="78"/>
      <c r="BP403" s="78"/>
      <c r="BQ403" s="78"/>
      <c r="BR403" s="78"/>
      <c r="BS403" s="78"/>
      <c r="BT403" s="78"/>
      <c r="BU403" s="78"/>
      <c r="BV403" s="78"/>
      <c r="BW403" s="78"/>
      <c r="BX403" s="78"/>
      <c r="BY403" s="78"/>
      <c r="BZ403" s="78"/>
      <c r="CA403" s="78"/>
      <c r="CB403" s="78"/>
      <c r="CC403" s="78"/>
      <c r="CD403" s="78"/>
      <c r="CE403" s="78"/>
      <c r="CF403" s="78"/>
      <c r="CG403" s="78"/>
      <c r="CH403" s="78"/>
      <c r="CI403" s="78"/>
      <c r="CJ403" s="78"/>
      <c r="CK403" s="78"/>
      <c r="CL403" s="78"/>
      <c r="CM403" s="78"/>
      <c r="CN403" s="78"/>
      <c r="CO403" s="78"/>
      <c r="CP403" s="78"/>
      <c r="CQ403" s="78"/>
      <c r="CR403" s="78"/>
      <c r="CS403" s="78"/>
      <c r="CT403" s="78"/>
      <c r="CU403" s="78"/>
      <c r="CV403" s="78"/>
      <c r="CW403" s="78"/>
      <c r="CX403" s="78"/>
      <c r="CY403" s="78"/>
      <c r="CZ403" s="78"/>
      <c r="DA403" s="78"/>
      <c r="DB403" s="78"/>
      <c r="DC403" s="78"/>
      <c r="DD403" s="78"/>
      <c r="DE403" s="78"/>
      <c r="DF403" s="78"/>
      <c r="DG403" s="78"/>
      <c r="DH403" s="78"/>
      <c r="DI403" s="78"/>
      <c r="DJ403" s="78"/>
      <c r="DK403" s="78"/>
      <c r="DL403" s="78"/>
      <c r="DM403" s="78"/>
      <c r="DN403" s="78"/>
      <c r="DO403" s="78"/>
      <c r="DP403" s="78"/>
      <c r="DQ403" s="78"/>
      <c r="DR403" s="78"/>
      <c r="DS403" s="78"/>
      <c r="DT403" s="78"/>
      <c r="DU403" s="78"/>
      <c r="DV403" s="78"/>
      <c r="DW403" s="78"/>
      <c r="DX403" s="78"/>
      <c r="DY403" s="78"/>
      <c r="DZ403" s="78"/>
      <c r="EA403" s="78"/>
      <c r="EB403" s="78"/>
      <c r="EC403" s="78"/>
    </row>
    <row r="404" spans="1:133" s="9" customFormat="1" x14ac:dyDescent="0.25">
      <c r="A404" s="73" t="s">
        <v>51</v>
      </c>
      <c r="B404" s="60" t="s">
        <v>202</v>
      </c>
      <c r="C404" s="53" t="s">
        <v>53</v>
      </c>
      <c r="D404" s="53" t="s">
        <v>376</v>
      </c>
      <c r="E404" s="162">
        <v>15175</v>
      </c>
      <c r="F404" s="163"/>
      <c r="G404" s="163"/>
      <c r="H404" s="163"/>
      <c r="I404" s="163"/>
      <c r="J404" s="163"/>
      <c r="K404" s="163"/>
      <c r="L404" s="163"/>
      <c r="M404" s="163"/>
      <c r="N404" s="163"/>
      <c r="O404" s="163"/>
      <c r="P404" s="163"/>
      <c r="Q404" s="164"/>
      <c r="R404" s="78"/>
      <c r="S404" s="78"/>
      <c r="T404" s="78"/>
      <c r="U404" s="78"/>
      <c r="V404" s="78"/>
      <c r="W404" s="78"/>
      <c r="X404" s="78"/>
      <c r="Y404" s="78"/>
      <c r="Z404" s="78"/>
      <c r="AA404" s="78"/>
      <c r="AB404" s="78"/>
      <c r="AC404" s="78"/>
      <c r="AD404" s="78"/>
      <c r="AE404" s="78"/>
      <c r="AF404" s="78"/>
      <c r="AG404" s="78"/>
      <c r="AH404" s="78"/>
      <c r="AI404" s="78"/>
      <c r="AJ404" s="78"/>
      <c r="AK404" s="78"/>
      <c r="AL404" s="78"/>
      <c r="AM404" s="78"/>
      <c r="AN404" s="78"/>
      <c r="AO404" s="78"/>
      <c r="AP404" s="78"/>
      <c r="AQ404" s="78"/>
      <c r="AR404" s="78"/>
      <c r="AS404" s="78"/>
      <c r="AT404" s="78"/>
      <c r="AU404" s="78"/>
      <c r="AV404" s="78"/>
      <c r="AW404" s="78"/>
      <c r="AX404" s="78"/>
      <c r="AY404" s="78"/>
      <c r="AZ404" s="78"/>
      <c r="BA404" s="78"/>
      <c r="BB404" s="78"/>
      <c r="BC404" s="78"/>
      <c r="BD404" s="78"/>
      <c r="BE404" s="78"/>
      <c r="BF404" s="78"/>
      <c r="BG404" s="78"/>
      <c r="BH404" s="78"/>
      <c r="BI404" s="78"/>
      <c r="BJ404" s="78"/>
      <c r="BK404" s="78"/>
      <c r="BL404" s="78"/>
      <c r="BM404" s="78"/>
      <c r="BN404" s="78"/>
      <c r="BO404" s="78"/>
      <c r="BP404" s="78"/>
      <c r="BQ404" s="78"/>
      <c r="BR404" s="78"/>
      <c r="BS404" s="78"/>
      <c r="BT404" s="78"/>
      <c r="BU404" s="78"/>
      <c r="BV404" s="78"/>
      <c r="BW404" s="78"/>
      <c r="BX404" s="78"/>
      <c r="BY404" s="78"/>
      <c r="BZ404" s="78"/>
      <c r="CA404" s="78"/>
      <c r="CB404" s="78"/>
      <c r="CC404" s="78"/>
      <c r="CD404" s="78"/>
      <c r="CE404" s="78"/>
      <c r="CF404" s="78"/>
      <c r="CG404" s="78"/>
      <c r="CH404" s="78"/>
      <c r="CI404" s="78"/>
      <c r="CJ404" s="78"/>
      <c r="CK404" s="78"/>
      <c r="CL404" s="78"/>
      <c r="CM404" s="78"/>
      <c r="CN404" s="78"/>
      <c r="CO404" s="78"/>
      <c r="CP404" s="78"/>
      <c r="CQ404" s="78"/>
      <c r="CR404" s="78"/>
      <c r="CS404" s="78"/>
      <c r="CT404" s="78"/>
      <c r="CU404" s="78"/>
      <c r="CV404" s="78"/>
      <c r="CW404" s="78"/>
      <c r="CX404" s="78"/>
      <c r="CY404" s="78"/>
      <c r="CZ404" s="78"/>
      <c r="DA404" s="78"/>
      <c r="DB404" s="78"/>
      <c r="DC404" s="78"/>
      <c r="DD404" s="78"/>
      <c r="DE404" s="78"/>
      <c r="DF404" s="78"/>
      <c r="DG404" s="78"/>
      <c r="DH404" s="78"/>
      <c r="DI404" s="78"/>
      <c r="DJ404" s="78"/>
      <c r="DK404" s="78"/>
      <c r="DL404" s="78"/>
      <c r="DM404" s="78"/>
      <c r="DN404" s="78"/>
      <c r="DO404" s="78"/>
      <c r="DP404" s="78"/>
      <c r="DQ404" s="78"/>
      <c r="DR404" s="78"/>
      <c r="DS404" s="78"/>
      <c r="DT404" s="78"/>
      <c r="DU404" s="78"/>
      <c r="DV404" s="78"/>
      <c r="DW404" s="78"/>
      <c r="DX404" s="78"/>
      <c r="DY404" s="78"/>
      <c r="DZ404" s="78"/>
      <c r="EA404" s="78"/>
      <c r="EB404" s="78"/>
      <c r="EC404" s="78"/>
    </row>
    <row r="405" spans="1:133" s="9" customFormat="1" ht="18" x14ac:dyDescent="0.25">
      <c r="A405" s="73" t="s">
        <v>54</v>
      </c>
      <c r="B405" s="60" t="s">
        <v>203</v>
      </c>
      <c r="C405" s="53" t="s">
        <v>56</v>
      </c>
      <c r="D405" s="53" t="s">
        <v>376</v>
      </c>
      <c r="E405" s="162">
        <v>303.16000000000003</v>
      </c>
      <c r="F405" s="163"/>
      <c r="G405" s="163"/>
      <c r="H405" s="163"/>
      <c r="I405" s="163"/>
      <c r="J405" s="163"/>
      <c r="K405" s="163"/>
      <c r="L405" s="163"/>
      <c r="M405" s="163"/>
      <c r="N405" s="163"/>
      <c r="O405" s="163"/>
      <c r="P405" s="163"/>
      <c r="Q405" s="164"/>
      <c r="R405" s="78"/>
      <c r="S405" s="78"/>
      <c r="T405" s="78"/>
      <c r="U405" s="78"/>
      <c r="V405" s="78"/>
      <c r="W405" s="78"/>
      <c r="X405" s="78"/>
      <c r="Y405" s="78"/>
      <c r="Z405" s="78"/>
      <c r="AA405" s="78"/>
      <c r="AB405" s="78"/>
      <c r="AC405" s="78"/>
      <c r="AD405" s="78"/>
      <c r="AE405" s="78"/>
      <c r="AF405" s="78"/>
      <c r="AG405" s="78"/>
      <c r="AH405" s="78"/>
      <c r="AI405" s="78"/>
      <c r="AJ405" s="78"/>
      <c r="AK405" s="78"/>
      <c r="AL405" s="78"/>
      <c r="AM405" s="78"/>
      <c r="AN405" s="78"/>
      <c r="AO405" s="78"/>
      <c r="AP405" s="78"/>
      <c r="AQ405" s="78"/>
      <c r="AR405" s="78"/>
      <c r="AS405" s="78"/>
      <c r="AT405" s="78"/>
      <c r="AU405" s="78"/>
      <c r="AV405" s="78"/>
      <c r="AW405" s="78"/>
      <c r="AX405" s="78"/>
      <c r="AY405" s="78"/>
      <c r="AZ405" s="78"/>
      <c r="BA405" s="78"/>
      <c r="BB405" s="78"/>
      <c r="BC405" s="78"/>
      <c r="BD405" s="78"/>
      <c r="BE405" s="78"/>
      <c r="BF405" s="78"/>
      <c r="BG405" s="78"/>
      <c r="BH405" s="78"/>
      <c r="BI405" s="78"/>
      <c r="BJ405" s="78"/>
      <c r="BK405" s="78"/>
      <c r="BL405" s="78"/>
      <c r="BM405" s="78"/>
      <c r="BN405" s="78"/>
      <c r="BO405" s="78"/>
      <c r="BP405" s="78"/>
      <c r="BQ405" s="78"/>
      <c r="BR405" s="78"/>
      <c r="BS405" s="78"/>
      <c r="BT405" s="78"/>
      <c r="BU405" s="78"/>
      <c r="BV405" s="78"/>
      <c r="BW405" s="78"/>
      <c r="BX405" s="78"/>
      <c r="BY405" s="78"/>
      <c r="BZ405" s="78"/>
      <c r="CA405" s="78"/>
      <c r="CB405" s="78"/>
      <c r="CC405" s="78"/>
      <c r="CD405" s="78"/>
      <c r="CE405" s="78"/>
      <c r="CF405" s="78"/>
      <c r="CG405" s="78"/>
      <c r="CH405" s="78"/>
      <c r="CI405" s="78"/>
      <c r="CJ405" s="78"/>
      <c r="CK405" s="78"/>
      <c r="CL405" s="78"/>
      <c r="CM405" s="78"/>
      <c r="CN405" s="78"/>
      <c r="CO405" s="78"/>
      <c r="CP405" s="78"/>
      <c r="CQ405" s="78"/>
      <c r="CR405" s="78"/>
      <c r="CS405" s="78"/>
      <c r="CT405" s="78"/>
      <c r="CU405" s="78"/>
      <c r="CV405" s="78"/>
      <c r="CW405" s="78"/>
      <c r="CX405" s="78"/>
      <c r="CY405" s="78"/>
      <c r="CZ405" s="78"/>
      <c r="DA405" s="78"/>
      <c r="DB405" s="78"/>
      <c r="DC405" s="78"/>
      <c r="DD405" s="78"/>
      <c r="DE405" s="78"/>
      <c r="DF405" s="78"/>
      <c r="DG405" s="78"/>
      <c r="DH405" s="78"/>
      <c r="DI405" s="78"/>
      <c r="DJ405" s="78"/>
      <c r="DK405" s="78"/>
      <c r="DL405" s="78"/>
      <c r="DM405" s="78"/>
      <c r="DN405" s="78"/>
      <c r="DO405" s="78"/>
      <c r="DP405" s="78"/>
      <c r="DQ405" s="78"/>
      <c r="DR405" s="78"/>
      <c r="DS405" s="78"/>
      <c r="DT405" s="78"/>
      <c r="DU405" s="78"/>
      <c r="DV405" s="78"/>
      <c r="DW405" s="78"/>
      <c r="DX405" s="78"/>
      <c r="DY405" s="78"/>
      <c r="DZ405" s="78"/>
      <c r="EA405" s="78"/>
      <c r="EB405" s="78"/>
      <c r="EC405" s="78"/>
    </row>
    <row r="406" spans="1:133" s="9" customFormat="1" x14ac:dyDescent="0.25">
      <c r="A406" s="73" t="s">
        <v>57</v>
      </c>
      <c r="B406" s="60" t="s">
        <v>204</v>
      </c>
      <c r="C406" s="53" t="s">
        <v>59</v>
      </c>
      <c r="D406" s="53" t="s">
        <v>376</v>
      </c>
      <c r="E406" s="162">
        <v>1.9870000000000001</v>
      </c>
      <c r="F406" s="163"/>
      <c r="G406" s="163"/>
      <c r="H406" s="163"/>
      <c r="I406" s="163"/>
      <c r="J406" s="163"/>
      <c r="K406" s="163"/>
      <c r="L406" s="163"/>
      <c r="M406" s="163"/>
      <c r="N406" s="163"/>
      <c r="O406" s="163"/>
      <c r="P406" s="163"/>
      <c r="Q406" s="164"/>
      <c r="R406" s="78"/>
      <c r="S406" s="78"/>
      <c r="T406" s="78"/>
      <c r="U406" s="78"/>
      <c r="V406" s="78"/>
      <c r="W406" s="78"/>
      <c r="X406" s="78"/>
      <c r="Y406" s="78"/>
      <c r="Z406" s="78"/>
      <c r="AA406" s="78"/>
      <c r="AB406" s="78"/>
      <c r="AC406" s="78"/>
      <c r="AD406" s="78"/>
      <c r="AE406" s="78"/>
      <c r="AF406" s="78"/>
      <c r="AG406" s="78"/>
      <c r="AH406" s="78"/>
      <c r="AI406" s="78"/>
      <c r="AJ406" s="78"/>
      <c r="AK406" s="78"/>
      <c r="AL406" s="78"/>
      <c r="AM406" s="78"/>
      <c r="AN406" s="78"/>
      <c r="AO406" s="78"/>
      <c r="AP406" s="78"/>
      <c r="AQ406" s="78"/>
      <c r="AR406" s="78"/>
      <c r="AS406" s="78"/>
      <c r="AT406" s="78"/>
      <c r="AU406" s="78"/>
      <c r="AV406" s="78"/>
      <c r="AW406" s="78"/>
      <c r="AX406" s="78"/>
      <c r="AY406" s="78"/>
      <c r="AZ406" s="78"/>
      <c r="BA406" s="78"/>
      <c r="BB406" s="78"/>
      <c r="BC406" s="78"/>
      <c r="BD406" s="78"/>
      <c r="BE406" s="78"/>
      <c r="BF406" s="78"/>
      <c r="BG406" s="78"/>
      <c r="BH406" s="78"/>
      <c r="BI406" s="78"/>
      <c r="BJ406" s="78"/>
      <c r="BK406" s="78"/>
      <c r="BL406" s="78"/>
      <c r="BM406" s="78"/>
      <c r="BN406" s="78"/>
      <c r="BO406" s="78"/>
      <c r="BP406" s="78"/>
      <c r="BQ406" s="78"/>
      <c r="BR406" s="78"/>
      <c r="BS406" s="78"/>
      <c r="BT406" s="78"/>
      <c r="BU406" s="78"/>
      <c r="BV406" s="78"/>
      <c r="BW406" s="78"/>
      <c r="BX406" s="78"/>
      <c r="BY406" s="78"/>
      <c r="BZ406" s="78"/>
      <c r="CA406" s="78"/>
      <c r="CB406" s="78"/>
      <c r="CC406" s="78"/>
      <c r="CD406" s="78"/>
      <c r="CE406" s="78"/>
      <c r="CF406" s="78"/>
      <c r="CG406" s="78"/>
      <c r="CH406" s="78"/>
      <c r="CI406" s="78"/>
      <c r="CJ406" s="78"/>
      <c r="CK406" s="78"/>
      <c r="CL406" s="78"/>
      <c r="CM406" s="78"/>
      <c r="CN406" s="78"/>
      <c r="CO406" s="78"/>
      <c r="CP406" s="78"/>
      <c r="CQ406" s="78"/>
      <c r="CR406" s="78"/>
      <c r="CS406" s="78"/>
      <c r="CT406" s="78"/>
      <c r="CU406" s="78"/>
      <c r="CV406" s="78"/>
      <c r="CW406" s="78"/>
      <c r="CX406" s="78"/>
      <c r="CY406" s="78"/>
      <c r="CZ406" s="78"/>
      <c r="DA406" s="78"/>
      <c r="DB406" s="78"/>
      <c r="DC406" s="78"/>
      <c r="DD406" s="78"/>
      <c r="DE406" s="78"/>
      <c r="DF406" s="78"/>
      <c r="DG406" s="78"/>
      <c r="DH406" s="78"/>
      <c r="DI406" s="78"/>
      <c r="DJ406" s="78"/>
      <c r="DK406" s="78"/>
      <c r="DL406" s="78"/>
      <c r="DM406" s="78"/>
      <c r="DN406" s="78"/>
      <c r="DO406" s="78"/>
      <c r="DP406" s="78"/>
      <c r="DQ406" s="78"/>
      <c r="DR406" s="78"/>
      <c r="DS406" s="78"/>
      <c r="DT406" s="78"/>
      <c r="DU406" s="78"/>
      <c r="DV406" s="78"/>
      <c r="DW406" s="78"/>
      <c r="DX406" s="78"/>
      <c r="DY406" s="78"/>
      <c r="DZ406" s="78"/>
      <c r="EA406" s="78"/>
      <c r="EB406" s="78"/>
      <c r="EC406" s="78"/>
    </row>
    <row r="407" spans="1:133" s="9" customFormat="1" ht="31.2" x14ac:dyDescent="0.25">
      <c r="A407" s="73" t="s">
        <v>60</v>
      </c>
      <c r="B407" s="60" t="s">
        <v>203</v>
      </c>
      <c r="C407" s="53" t="s">
        <v>61</v>
      </c>
      <c r="D407" s="143" t="s">
        <v>363</v>
      </c>
      <c r="E407" s="98">
        <f>AVERAGE(F407:K407)</f>
        <v>293.65000000000003</v>
      </c>
      <c r="F407" s="60">
        <v>289.14999999999998</v>
      </c>
      <c r="G407" s="60">
        <v>287.14999999999998</v>
      </c>
      <c r="H407" s="60">
        <v>293.14999999999998</v>
      </c>
      <c r="I407" s="60">
        <v>295.14999999999998</v>
      </c>
      <c r="J407" s="60">
        <v>296.64999999999998</v>
      </c>
      <c r="K407" s="60">
        <v>300.64999999999998</v>
      </c>
      <c r="L407" s="60" t="s">
        <v>297</v>
      </c>
      <c r="M407" s="60" t="s">
        <v>297</v>
      </c>
      <c r="N407" s="60" t="s">
        <v>297</v>
      </c>
      <c r="O407" s="60" t="s">
        <v>297</v>
      </c>
      <c r="P407" s="60" t="s">
        <v>297</v>
      </c>
      <c r="Q407" s="60" t="s">
        <v>297</v>
      </c>
      <c r="R407" s="78"/>
      <c r="S407" s="78"/>
      <c r="T407" s="78"/>
      <c r="U407" s="78"/>
      <c r="V407" s="78"/>
      <c r="W407" s="78"/>
      <c r="X407" s="78"/>
      <c r="Y407" s="78"/>
      <c r="Z407" s="78"/>
      <c r="AA407" s="78"/>
      <c r="AB407" s="78"/>
      <c r="AC407" s="78"/>
      <c r="AD407" s="78"/>
      <c r="AE407" s="78"/>
      <c r="AF407" s="78"/>
      <c r="AG407" s="78"/>
      <c r="AH407" s="78"/>
      <c r="AI407" s="78"/>
      <c r="AJ407" s="78"/>
      <c r="AK407" s="78"/>
      <c r="AL407" s="78"/>
      <c r="AM407" s="78"/>
      <c r="AN407" s="78"/>
      <c r="AO407" s="78"/>
      <c r="AP407" s="78"/>
      <c r="AQ407" s="78"/>
      <c r="AR407" s="78"/>
      <c r="AS407" s="78"/>
      <c r="AT407" s="78"/>
      <c r="AU407" s="78"/>
      <c r="AV407" s="78"/>
      <c r="AW407" s="78"/>
      <c r="AX407" s="78"/>
      <c r="AY407" s="78"/>
      <c r="AZ407" s="78"/>
      <c r="BA407" s="78"/>
      <c r="BB407" s="78"/>
      <c r="BC407" s="78"/>
      <c r="BD407" s="78"/>
      <c r="BE407" s="78"/>
      <c r="BF407" s="78"/>
      <c r="BG407" s="78"/>
      <c r="BH407" s="78"/>
      <c r="BI407" s="78"/>
      <c r="BJ407" s="78"/>
      <c r="BK407" s="78"/>
      <c r="BL407" s="78"/>
      <c r="BM407" s="78"/>
      <c r="BN407" s="78"/>
      <c r="BO407" s="78"/>
      <c r="BP407" s="78"/>
      <c r="BQ407" s="78"/>
      <c r="BR407" s="78"/>
      <c r="BS407" s="78"/>
      <c r="BT407" s="78"/>
      <c r="BU407" s="78"/>
      <c r="BV407" s="78"/>
      <c r="BW407" s="78"/>
      <c r="BX407" s="78"/>
      <c r="BY407" s="78"/>
      <c r="BZ407" s="78"/>
      <c r="CA407" s="78"/>
      <c r="CB407" s="78"/>
      <c r="CC407" s="78"/>
      <c r="CD407" s="78"/>
      <c r="CE407" s="78"/>
      <c r="CF407" s="78"/>
      <c r="CG407" s="78"/>
      <c r="CH407" s="78"/>
      <c r="CI407" s="78"/>
      <c r="CJ407" s="78"/>
      <c r="CK407" s="78"/>
      <c r="CL407" s="78"/>
      <c r="CM407" s="78"/>
      <c r="CN407" s="78"/>
      <c r="CO407" s="78"/>
      <c r="CP407" s="78"/>
      <c r="CQ407" s="78"/>
      <c r="CR407" s="78"/>
      <c r="CS407" s="78"/>
      <c r="CT407" s="78"/>
      <c r="CU407" s="78"/>
      <c r="CV407" s="78"/>
      <c r="CW407" s="78"/>
      <c r="CX407" s="78"/>
      <c r="CY407" s="78"/>
      <c r="CZ407" s="78"/>
      <c r="DA407" s="78"/>
      <c r="DB407" s="78"/>
      <c r="DC407" s="78"/>
      <c r="DD407" s="78"/>
      <c r="DE407" s="78"/>
      <c r="DF407" s="78"/>
      <c r="DG407" s="78"/>
      <c r="DH407" s="78"/>
      <c r="DI407" s="78"/>
      <c r="DJ407" s="78"/>
      <c r="DK407" s="78"/>
      <c r="DL407" s="78"/>
      <c r="DM407" s="78"/>
      <c r="DN407" s="78"/>
      <c r="DO407" s="78"/>
      <c r="DP407" s="78"/>
      <c r="DQ407" s="78"/>
      <c r="DR407" s="78"/>
      <c r="DS407" s="78"/>
      <c r="DT407" s="78"/>
      <c r="DU407" s="78"/>
      <c r="DV407" s="78"/>
      <c r="DW407" s="78"/>
      <c r="DX407" s="78"/>
      <c r="DY407" s="78"/>
      <c r="DZ407" s="78"/>
      <c r="EA407" s="78"/>
      <c r="EB407" s="78"/>
      <c r="EC407" s="78"/>
    </row>
    <row r="408" spans="1:133" s="9" customFormat="1" ht="31.2" x14ac:dyDescent="0.4">
      <c r="A408" s="71" t="s">
        <v>62</v>
      </c>
      <c r="B408" s="60" t="s">
        <v>196</v>
      </c>
      <c r="C408" s="53" t="s">
        <v>63</v>
      </c>
      <c r="D408" s="53" t="s">
        <v>377</v>
      </c>
      <c r="E408" s="74">
        <f>SUM(F408:K408)</f>
        <v>970.90398610253169</v>
      </c>
      <c r="F408" s="74">
        <f>F397*F392*F395+(1-F403)*'Baseline Emissions 2021'!Q408</f>
        <v>180.31742867313298</v>
      </c>
      <c r="G408" s="74">
        <f t="shared" ref="G408:K408" si="55">G397*G392*G395+(1-G403)*F408</f>
        <v>199.1802677712603</v>
      </c>
      <c r="H408" s="74">
        <f t="shared" si="55"/>
        <v>184.84606708235128</v>
      </c>
      <c r="I408" s="74">
        <f t="shared" si="55"/>
        <v>159.170143634304</v>
      </c>
      <c r="J408" s="74">
        <f t="shared" si="55"/>
        <v>146.52529359484055</v>
      </c>
      <c r="K408" s="74">
        <f t="shared" si="55"/>
        <v>100.86478534664246</v>
      </c>
      <c r="L408" s="74" t="s">
        <v>297</v>
      </c>
      <c r="M408" s="74" t="s">
        <v>297</v>
      </c>
      <c r="N408" s="74" t="s">
        <v>297</v>
      </c>
      <c r="O408" s="74" t="s">
        <v>297</v>
      </c>
      <c r="P408" s="74" t="s">
        <v>297</v>
      </c>
      <c r="Q408" s="74" t="s">
        <v>297</v>
      </c>
      <c r="R408" s="78"/>
      <c r="S408" s="78"/>
      <c r="T408" s="78"/>
      <c r="U408" s="78"/>
      <c r="V408" s="78"/>
      <c r="W408" s="78"/>
      <c r="X408" s="78"/>
      <c r="Y408" s="78"/>
      <c r="Z408" s="78"/>
      <c r="AA408" s="78"/>
      <c r="AB408" s="78"/>
      <c r="AC408" s="78"/>
      <c r="AD408" s="78"/>
      <c r="AE408" s="78"/>
      <c r="AF408" s="78"/>
      <c r="AG408" s="78"/>
      <c r="AH408" s="78"/>
      <c r="AI408" s="78"/>
      <c r="AJ408" s="78"/>
      <c r="AK408" s="78"/>
      <c r="AL408" s="78"/>
      <c r="AM408" s="78"/>
      <c r="AN408" s="78"/>
      <c r="AO408" s="78"/>
      <c r="AP408" s="78"/>
      <c r="AQ408" s="78"/>
      <c r="AR408" s="78"/>
      <c r="AS408" s="78"/>
      <c r="AT408" s="78"/>
      <c r="AU408" s="78"/>
      <c r="AV408" s="78"/>
      <c r="AW408" s="78"/>
      <c r="AX408" s="78"/>
      <c r="AY408" s="78"/>
      <c r="AZ408" s="78"/>
      <c r="BA408" s="78"/>
      <c r="BB408" s="78"/>
      <c r="BC408" s="78"/>
      <c r="BD408" s="78"/>
      <c r="BE408" s="78"/>
      <c r="BF408" s="78"/>
      <c r="BG408" s="78"/>
      <c r="BH408" s="78"/>
      <c r="BI408" s="78"/>
      <c r="BJ408" s="78"/>
      <c r="BK408" s="78"/>
      <c r="BL408" s="78"/>
      <c r="BM408" s="78"/>
      <c r="BN408" s="78"/>
      <c r="BO408" s="78"/>
      <c r="BP408" s="78"/>
      <c r="BQ408" s="78"/>
      <c r="BR408" s="78"/>
      <c r="BS408" s="78"/>
      <c r="BT408" s="78"/>
      <c r="BU408" s="78"/>
      <c r="BV408" s="78"/>
      <c r="BW408" s="78"/>
      <c r="BX408" s="78"/>
      <c r="BY408" s="78"/>
      <c r="BZ408" s="78"/>
      <c r="CA408" s="78"/>
      <c r="CB408" s="78"/>
      <c r="CC408" s="78"/>
      <c r="CD408" s="78"/>
      <c r="CE408" s="78"/>
      <c r="CF408" s="78"/>
      <c r="CG408" s="78"/>
      <c r="CH408" s="78"/>
      <c r="CI408" s="78"/>
      <c r="CJ408" s="78"/>
      <c r="CK408" s="78"/>
      <c r="CL408" s="78"/>
      <c r="CM408" s="78"/>
      <c r="CN408" s="78"/>
      <c r="CO408" s="78"/>
      <c r="CP408" s="78"/>
      <c r="CQ408" s="78"/>
      <c r="CR408" s="78"/>
      <c r="CS408" s="78"/>
      <c r="CT408" s="78"/>
      <c r="CU408" s="78"/>
      <c r="CV408" s="78"/>
      <c r="CW408" s="78"/>
      <c r="CX408" s="78"/>
      <c r="CY408" s="78"/>
      <c r="CZ408" s="78"/>
      <c r="DA408" s="78"/>
      <c r="DB408" s="78"/>
      <c r="DC408" s="78"/>
      <c r="DD408" s="78"/>
      <c r="DE408" s="78"/>
      <c r="DF408" s="78"/>
      <c r="DG408" s="78"/>
      <c r="DH408" s="78"/>
      <c r="DI408" s="78"/>
      <c r="DJ408" s="78"/>
      <c r="DK408" s="78"/>
      <c r="DL408" s="78"/>
      <c r="DM408" s="78"/>
      <c r="DN408" s="78"/>
      <c r="DO408" s="78"/>
      <c r="DP408" s="78"/>
      <c r="DQ408" s="78"/>
      <c r="DR408" s="78"/>
      <c r="DS408" s="78"/>
      <c r="DT408" s="78"/>
      <c r="DU408" s="78"/>
      <c r="DV408" s="78"/>
      <c r="DW408" s="78"/>
      <c r="DX408" s="78"/>
      <c r="DY408" s="78"/>
      <c r="DZ408" s="78"/>
      <c r="EA408" s="78"/>
      <c r="EB408" s="78"/>
      <c r="EC408" s="78"/>
    </row>
    <row r="410" spans="1:133" x14ac:dyDescent="0.25">
      <c r="A410" s="158" t="s">
        <v>64</v>
      </c>
      <c r="B410" s="158"/>
      <c r="C410" s="158"/>
      <c r="D410" s="158"/>
      <c r="E410" s="158"/>
    </row>
    <row r="411" spans="1:133" x14ac:dyDescent="0.25">
      <c r="A411" s="57" t="s">
        <v>8</v>
      </c>
      <c r="B411" s="58" t="s">
        <v>9</v>
      </c>
      <c r="C411" s="34" t="s">
        <v>10</v>
      </c>
      <c r="D411" s="34" t="s">
        <v>340</v>
      </c>
      <c r="E411" s="16" t="s">
        <v>65</v>
      </c>
    </row>
    <row r="412" spans="1:133" ht="62.4" x14ac:dyDescent="0.25">
      <c r="A412" s="59" t="s">
        <v>66</v>
      </c>
      <c r="B412" s="60" t="s">
        <v>14</v>
      </c>
      <c r="C412" s="53" t="s">
        <v>67</v>
      </c>
      <c r="D412" s="53" t="s">
        <v>68</v>
      </c>
      <c r="E412" s="75">
        <v>0</v>
      </c>
    </row>
    <row r="413" spans="1:133" ht="46.8" x14ac:dyDescent="0.25">
      <c r="A413" s="63" t="s">
        <v>69</v>
      </c>
      <c r="B413" s="25" t="s">
        <v>70</v>
      </c>
      <c r="C413" s="35" t="s">
        <v>71</v>
      </c>
      <c r="D413" s="53" t="str">
        <f>D419</f>
        <v>Historical data on site in the FSR (It was calculated with conservative value)</v>
      </c>
      <c r="E413" s="74">
        <f>E419</f>
        <v>195.94727091958364</v>
      </c>
    </row>
    <row r="415" spans="1:133" x14ac:dyDescent="0.25">
      <c r="A415" s="174" t="s">
        <v>72</v>
      </c>
      <c r="B415" s="174"/>
      <c r="C415" s="175"/>
      <c r="D415" s="175"/>
      <c r="E415" s="174"/>
    </row>
    <row r="416" spans="1:133" s="13" customFormat="1" x14ac:dyDescent="0.25">
      <c r="A416" s="59" t="s">
        <v>8</v>
      </c>
      <c r="B416" s="16" t="s">
        <v>9</v>
      </c>
      <c r="C416" s="38" t="s">
        <v>10</v>
      </c>
      <c r="D416" s="38" t="s">
        <v>340</v>
      </c>
      <c r="E416" s="16" t="s">
        <v>65</v>
      </c>
      <c r="R416" s="14"/>
      <c r="S416" s="14"/>
      <c r="T416" s="1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F416" s="14"/>
      <c r="AG416" s="14"/>
      <c r="AH416" s="14"/>
      <c r="AI416" s="14"/>
      <c r="AJ416" s="14"/>
      <c r="AK416" s="14"/>
      <c r="AL416" s="14"/>
      <c r="AM416" s="14"/>
      <c r="AN416" s="14"/>
      <c r="AO416" s="14"/>
      <c r="AP416" s="14"/>
      <c r="AQ416" s="14"/>
      <c r="AR416" s="14"/>
      <c r="AS416" s="14"/>
      <c r="AT416" s="14"/>
      <c r="AU416" s="14"/>
      <c r="AV416" s="14"/>
      <c r="AW416" s="14"/>
      <c r="AX416" s="14"/>
      <c r="AY416" s="14"/>
      <c r="AZ416" s="14"/>
      <c r="BA416" s="14"/>
      <c r="BB416" s="14"/>
      <c r="BC416" s="14"/>
      <c r="BD416" s="14"/>
      <c r="BE416" s="14"/>
      <c r="BF416" s="14"/>
      <c r="BG416" s="14"/>
      <c r="BH416" s="14"/>
      <c r="BI416" s="14"/>
      <c r="BJ416" s="14"/>
      <c r="BK416" s="14"/>
      <c r="BL416" s="14"/>
      <c r="BM416" s="14"/>
      <c r="BN416" s="14"/>
      <c r="BO416" s="14"/>
      <c r="BP416" s="14"/>
      <c r="BQ416" s="14"/>
      <c r="BR416" s="14"/>
      <c r="BS416" s="14"/>
      <c r="BT416" s="14"/>
      <c r="BU416" s="14"/>
      <c r="BV416" s="14"/>
      <c r="BW416" s="14"/>
      <c r="BX416" s="14"/>
      <c r="BY416" s="14"/>
      <c r="BZ416" s="14"/>
      <c r="CA416" s="14"/>
      <c r="CB416" s="14"/>
      <c r="CC416" s="14"/>
      <c r="CD416" s="14"/>
      <c r="CE416" s="14"/>
      <c r="CF416" s="14"/>
      <c r="CG416" s="14"/>
      <c r="CH416" s="14"/>
      <c r="CI416" s="14"/>
      <c r="CJ416" s="14"/>
      <c r="CK416" s="14"/>
      <c r="CL416" s="14"/>
      <c r="CM416" s="14"/>
      <c r="CN416" s="14"/>
      <c r="CO416" s="14"/>
      <c r="CP416" s="14"/>
      <c r="CQ416" s="14"/>
      <c r="CR416" s="14"/>
      <c r="CS416" s="14"/>
      <c r="CT416" s="14"/>
      <c r="CU416" s="14"/>
      <c r="CV416" s="14"/>
      <c r="CW416" s="14"/>
      <c r="CX416" s="14"/>
      <c r="CY416" s="14"/>
      <c r="CZ416" s="14"/>
      <c r="DA416" s="14"/>
      <c r="DB416" s="14"/>
      <c r="DC416" s="14"/>
      <c r="DD416" s="14"/>
      <c r="DE416" s="14"/>
      <c r="DF416" s="14"/>
      <c r="DG416" s="14"/>
      <c r="DH416" s="14"/>
      <c r="DI416" s="14"/>
      <c r="DJ416" s="14"/>
      <c r="DK416" s="14"/>
      <c r="DL416" s="14"/>
      <c r="DM416" s="14"/>
      <c r="DN416" s="14"/>
      <c r="DO416" s="14"/>
      <c r="DP416" s="14"/>
      <c r="DQ416" s="14"/>
      <c r="DR416" s="14"/>
      <c r="DS416" s="14"/>
      <c r="DT416" s="14"/>
      <c r="DU416" s="14"/>
      <c r="DV416" s="14"/>
      <c r="DW416" s="14"/>
      <c r="DX416" s="14"/>
      <c r="DY416" s="14"/>
      <c r="DZ416" s="14"/>
      <c r="EA416" s="14"/>
      <c r="EB416" s="14"/>
      <c r="EC416" s="14"/>
    </row>
    <row r="417" spans="1:133" s="13" customFormat="1" ht="33.6" x14ac:dyDescent="0.4">
      <c r="A417" s="76" t="s">
        <v>73</v>
      </c>
      <c r="B417" s="25" t="s">
        <v>74</v>
      </c>
      <c r="C417" s="35" t="s">
        <v>75</v>
      </c>
      <c r="D417" s="35" t="s">
        <v>378</v>
      </c>
      <c r="E417" s="50">
        <f>E418*E421*E422*E423*E424*E425</f>
        <v>0.79588509978430322</v>
      </c>
      <c r="R417" s="14"/>
      <c r="S417" s="14"/>
      <c r="T417" s="14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F417" s="14"/>
      <c r="AG417" s="14"/>
      <c r="AH417" s="14"/>
      <c r="AI417" s="14"/>
      <c r="AJ417" s="14"/>
      <c r="AK417" s="14"/>
      <c r="AL417" s="14"/>
      <c r="AM417" s="14"/>
      <c r="AN417" s="14"/>
      <c r="AO417" s="14"/>
      <c r="AP417" s="14"/>
      <c r="AQ417" s="14"/>
      <c r="AR417" s="14"/>
      <c r="AS417" s="14"/>
      <c r="AT417" s="14"/>
      <c r="AU417" s="14"/>
      <c r="AV417" s="14"/>
      <c r="AW417" s="14"/>
      <c r="AX417" s="14"/>
      <c r="AY417" s="14"/>
      <c r="AZ417" s="14"/>
      <c r="BA417" s="14"/>
      <c r="BB417" s="14"/>
      <c r="BC417" s="14"/>
      <c r="BD417" s="14"/>
      <c r="BE417" s="14"/>
      <c r="BF417" s="14"/>
      <c r="BG417" s="14"/>
      <c r="BH417" s="14"/>
      <c r="BI417" s="14"/>
      <c r="BJ417" s="14"/>
      <c r="BK417" s="14"/>
      <c r="BL417" s="14"/>
      <c r="BM417" s="14"/>
      <c r="BN417" s="14"/>
      <c r="BO417" s="14"/>
      <c r="BP417" s="14"/>
      <c r="BQ417" s="14"/>
      <c r="BR417" s="14"/>
      <c r="BS417" s="14"/>
      <c r="BT417" s="14"/>
      <c r="BU417" s="14"/>
      <c r="BV417" s="14"/>
      <c r="BW417" s="14"/>
      <c r="BX417" s="14"/>
      <c r="BY417" s="14"/>
      <c r="BZ417" s="14"/>
      <c r="CA417" s="14"/>
      <c r="CB417" s="14"/>
      <c r="CC417" s="14"/>
      <c r="CD417" s="14"/>
      <c r="CE417" s="14"/>
      <c r="CF417" s="14"/>
      <c r="CG417" s="14"/>
      <c r="CH417" s="14"/>
      <c r="CI417" s="14"/>
      <c r="CJ417" s="14"/>
      <c r="CK417" s="14"/>
      <c r="CL417" s="14"/>
      <c r="CM417" s="14"/>
      <c r="CN417" s="14"/>
      <c r="CO417" s="14"/>
      <c r="CP417" s="14"/>
      <c r="CQ417" s="14"/>
      <c r="CR417" s="14"/>
      <c r="CS417" s="14"/>
      <c r="CT417" s="14"/>
      <c r="CU417" s="14"/>
      <c r="CV417" s="14"/>
      <c r="CW417" s="14"/>
      <c r="CX417" s="14"/>
      <c r="CY417" s="14"/>
      <c r="CZ417" s="14"/>
      <c r="DA417" s="14"/>
      <c r="DB417" s="14"/>
      <c r="DC417" s="14"/>
      <c r="DD417" s="14"/>
      <c r="DE417" s="14"/>
      <c r="DF417" s="14"/>
      <c r="DG417" s="14"/>
      <c r="DH417" s="14"/>
      <c r="DI417" s="14"/>
      <c r="DJ417" s="14"/>
      <c r="DK417" s="14"/>
      <c r="DL417" s="14"/>
      <c r="DM417" s="14"/>
      <c r="DN417" s="14"/>
      <c r="DO417" s="14"/>
      <c r="DP417" s="14"/>
      <c r="DQ417" s="14"/>
      <c r="DR417" s="14"/>
      <c r="DS417" s="14"/>
      <c r="DT417" s="14"/>
      <c r="DU417" s="14"/>
      <c r="DV417" s="14"/>
      <c r="DW417" s="14"/>
      <c r="DX417" s="14"/>
      <c r="DY417" s="14"/>
      <c r="DZ417" s="14"/>
      <c r="EA417" s="14"/>
      <c r="EB417" s="14"/>
      <c r="EC417" s="14"/>
    </row>
    <row r="418" spans="1:133" s="13" customFormat="1" ht="46.8" x14ac:dyDescent="0.4">
      <c r="A418" s="77" t="s">
        <v>207</v>
      </c>
      <c r="B418" s="25" t="s">
        <v>76</v>
      </c>
      <c r="C418" s="35" t="s">
        <v>77</v>
      </c>
      <c r="D418" s="35" t="s">
        <v>379</v>
      </c>
      <c r="E418" s="52">
        <f>E419/E420</f>
        <v>39.18945418391673</v>
      </c>
      <c r="R418" s="14"/>
      <c r="S418" s="14"/>
      <c r="T418" s="14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F418" s="14"/>
      <c r="AG418" s="14"/>
      <c r="AH418" s="14"/>
      <c r="AI418" s="14"/>
      <c r="AJ418" s="14"/>
      <c r="AK418" s="14"/>
      <c r="AL418" s="14"/>
      <c r="AM418" s="14"/>
      <c r="AN418" s="14"/>
      <c r="AO418" s="14"/>
      <c r="AP418" s="14"/>
      <c r="AQ418" s="14"/>
      <c r="AR418" s="14"/>
      <c r="AS418" s="14"/>
      <c r="AT418" s="14"/>
      <c r="AU418" s="14"/>
      <c r="AV418" s="14"/>
      <c r="AW418" s="14"/>
      <c r="AX418" s="14"/>
      <c r="AY418" s="14"/>
      <c r="AZ418" s="14"/>
      <c r="BA418" s="14"/>
      <c r="BB418" s="14"/>
      <c r="BC418" s="14"/>
      <c r="BD418" s="14"/>
      <c r="BE418" s="14"/>
      <c r="BF418" s="14"/>
      <c r="BG418" s="14"/>
      <c r="BH418" s="14"/>
      <c r="BI418" s="14"/>
      <c r="BJ418" s="14"/>
      <c r="BK418" s="14"/>
      <c r="BL418" s="14"/>
      <c r="BM418" s="14"/>
      <c r="BN418" s="14"/>
      <c r="BO418" s="14"/>
      <c r="BP418" s="14"/>
      <c r="BQ418" s="14"/>
      <c r="BR418" s="14"/>
      <c r="BS418" s="14"/>
      <c r="BT418" s="14"/>
      <c r="BU418" s="14"/>
      <c r="BV418" s="14"/>
      <c r="BW418" s="14"/>
      <c r="BX418" s="14"/>
      <c r="BY418" s="14"/>
      <c r="BZ418" s="14"/>
      <c r="CA418" s="14"/>
      <c r="CB418" s="14"/>
      <c r="CC418" s="14"/>
      <c r="CD418" s="14"/>
      <c r="CE418" s="14"/>
      <c r="CF418" s="14"/>
      <c r="CG418" s="14"/>
      <c r="CH418" s="14"/>
      <c r="CI418" s="14"/>
      <c r="CJ418" s="14"/>
      <c r="CK418" s="14"/>
      <c r="CL418" s="14"/>
      <c r="CM418" s="14"/>
      <c r="CN418" s="14"/>
      <c r="CO418" s="14"/>
      <c r="CP418" s="14"/>
      <c r="CQ418" s="14"/>
      <c r="CR418" s="14"/>
      <c r="CS418" s="14"/>
      <c r="CT418" s="14"/>
      <c r="CU418" s="14"/>
      <c r="CV418" s="14"/>
      <c r="CW418" s="14"/>
      <c r="CX418" s="14"/>
      <c r="CY418" s="14"/>
      <c r="CZ418" s="14"/>
      <c r="DA418" s="14"/>
      <c r="DB418" s="14"/>
      <c r="DC418" s="14"/>
      <c r="DD418" s="14"/>
      <c r="DE418" s="14"/>
      <c r="DF418" s="14"/>
      <c r="DG418" s="14"/>
      <c r="DH418" s="14"/>
      <c r="DI418" s="14"/>
      <c r="DJ418" s="14"/>
      <c r="DK418" s="14"/>
      <c r="DL418" s="14"/>
      <c r="DM418" s="14"/>
      <c r="DN418" s="14"/>
      <c r="DO418" s="14"/>
      <c r="DP418" s="14"/>
      <c r="DQ418" s="14"/>
      <c r="DR418" s="14"/>
      <c r="DS418" s="14"/>
      <c r="DT418" s="14"/>
      <c r="DU418" s="14"/>
      <c r="DV418" s="14"/>
      <c r="DW418" s="14"/>
      <c r="DX418" s="14"/>
      <c r="DY418" s="14"/>
      <c r="DZ418" s="14"/>
      <c r="EA418" s="14"/>
      <c r="EB418" s="14"/>
      <c r="EC418" s="14"/>
    </row>
    <row r="419" spans="1:133" s="13" customFormat="1" ht="46.8" x14ac:dyDescent="0.25">
      <c r="A419" s="63" t="s">
        <v>208</v>
      </c>
      <c r="B419" s="25" t="s">
        <v>78</v>
      </c>
      <c r="C419" s="35" t="s">
        <v>79</v>
      </c>
      <c r="D419" s="53" t="s">
        <v>352</v>
      </c>
      <c r="E419" s="52">
        <f>0.000186146457940129*E392</f>
        <v>195.94727091958364</v>
      </c>
      <c r="R419" s="14"/>
      <c r="S419" s="14"/>
      <c r="T419" s="14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F419" s="14"/>
      <c r="AG419" s="14"/>
      <c r="AH419" s="14"/>
      <c r="AI419" s="14"/>
      <c r="AJ419" s="14"/>
      <c r="AK419" s="14"/>
      <c r="AL419" s="14"/>
      <c r="AM419" s="14"/>
      <c r="AN419" s="14"/>
      <c r="AO419" s="14"/>
      <c r="AP419" s="14"/>
      <c r="AQ419" s="14"/>
      <c r="AR419" s="14"/>
      <c r="AS419" s="14"/>
      <c r="AT419" s="14"/>
      <c r="AU419" s="14"/>
      <c r="AV419" s="14"/>
      <c r="AW419" s="14"/>
      <c r="AX419" s="14"/>
      <c r="AY419" s="14"/>
      <c r="AZ419" s="14"/>
      <c r="BA419" s="14"/>
      <c r="BB419" s="14"/>
      <c r="BC419" s="14"/>
      <c r="BD419" s="14"/>
      <c r="BE419" s="14"/>
      <c r="BF419" s="14"/>
      <c r="BG419" s="14"/>
      <c r="BH419" s="14"/>
      <c r="BI419" s="14"/>
      <c r="BJ419" s="14"/>
      <c r="BK419" s="14"/>
      <c r="BL419" s="14"/>
      <c r="BM419" s="14"/>
      <c r="BN419" s="14"/>
      <c r="BO419" s="14"/>
      <c r="BP419" s="14"/>
      <c r="BQ419" s="14"/>
      <c r="BR419" s="14"/>
      <c r="BS419" s="14"/>
      <c r="BT419" s="14"/>
      <c r="BU419" s="14"/>
      <c r="BV419" s="14"/>
      <c r="BW419" s="14"/>
      <c r="BX419" s="14"/>
      <c r="BY419" s="14"/>
      <c r="BZ419" s="14"/>
      <c r="CA419" s="14"/>
      <c r="CB419" s="14"/>
      <c r="CC419" s="14"/>
      <c r="CD419" s="14"/>
      <c r="CE419" s="14"/>
      <c r="CF419" s="14"/>
      <c r="CG419" s="14"/>
      <c r="CH419" s="14"/>
      <c r="CI419" s="14"/>
      <c r="CJ419" s="14"/>
      <c r="CK419" s="14"/>
      <c r="CL419" s="14"/>
      <c r="CM419" s="14"/>
      <c r="CN419" s="14"/>
      <c r="CO419" s="14"/>
      <c r="CP419" s="14"/>
      <c r="CQ419" s="14"/>
      <c r="CR419" s="14"/>
      <c r="CS419" s="14"/>
      <c r="CT419" s="14"/>
      <c r="CU419" s="14"/>
      <c r="CV419" s="14"/>
      <c r="CW419" s="14"/>
      <c r="CX419" s="14"/>
      <c r="CY419" s="14"/>
      <c r="CZ419" s="14"/>
      <c r="DA419" s="14"/>
      <c r="DB419" s="14"/>
      <c r="DC419" s="14"/>
      <c r="DD419" s="14"/>
      <c r="DE419" s="14"/>
      <c r="DF419" s="14"/>
      <c r="DG419" s="14"/>
      <c r="DH419" s="14"/>
      <c r="DI419" s="14"/>
      <c r="DJ419" s="14"/>
      <c r="DK419" s="14"/>
      <c r="DL419" s="14"/>
      <c r="DM419" s="14"/>
      <c r="DN419" s="14"/>
      <c r="DO419" s="14"/>
      <c r="DP419" s="14"/>
      <c r="DQ419" s="14"/>
      <c r="DR419" s="14"/>
      <c r="DS419" s="14"/>
      <c r="DT419" s="14"/>
      <c r="DU419" s="14"/>
      <c r="DV419" s="14"/>
      <c r="DW419" s="14"/>
      <c r="DX419" s="14"/>
      <c r="DY419" s="14"/>
      <c r="DZ419" s="14"/>
      <c r="EA419" s="14"/>
      <c r="EB419" s="14"/>
      <c r="EC419" s="14"/>
    </row>
    <row r="420" spans="1:133" s="13" customFormat="1" ht="31.2" x14ac:dyDescent="0.25">
      <c r="A420" s="63" t="s">
        <v>209</v>
      </c>
      <c r="B420" s="25" t="s">
        <v>80</v>
      </c>
      <c r="C420" s="35" t="s">
        <v>81</v>
      </c>
      <c r="D420" s="35" t="s">
        <v>353</v>
      </c>
      <c r="E420" s="25">
        <f>5</f>
        <v>5</v>
      </c>
      <c r="R420" s="14"/>
      <c r="S420" s="14"/>
      <c r="T420" s="14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F420" s="14"/>
      <c r="AG420" s="14"/>
      <c r="AH420" s="14"/>
      <c r="AI420" s="14"/>
      <c r="AJ420" s="14"/>
      <c r="AK420" s="14"/>
      <c r="AL420" s="14"/>
      <c r="AM420" s="14"/>
      <c r="AN420" s="14"/>
      <c r="AO420" s="14"/>
      <c r="AP420" s="14"/>
      <c r="AQ420" s="14"/>
      <c r="AR420" s="14"/>
      <c r="AS420" s="14"/>
      <c r="AT420" s="14"/>
      <c r="AU420" s="14"/>
      <c r="AV420" s="14"/>
      <c r="AW420" s="14"/>
      <c r="AX420" s="14"/>
      <c r="AY420" s="14"/>
      <c r="AZ420" s="14"/>
      <c r="BA420" s="14"/>
      <c r="BB420" s="14"/>
      <c r="BC420" s="14"/>
      <c r="BD420" s="14"/>
      <c r="BE420" s="14"/>
      <c r="BF420" s="14"/>
      <c r="BG420" s="14"/>
      <c r="BH420" s="14"/>
      <c r="BI420" s="14"/>
      <c r="BJ420" s="14"/>
      <c r="BK420" s="14"/>
      <c r="BL420" s="14"/>
      <c r="BM420" s="14"/>
      <c r="BN420" s="14"/>
      <c r="BO420" s="14"/>
      <c r="BP420" s="14"/>
      <c r="BQ420" s="14"/>
      <c r="BR420" s="14"/>
      <c r="BS420" s="14"/>
      <c r="BT420" s="14"/>
      <c r="BU420" s="14"/>
      <c r="BV420" s="14"/>
      <c r="BW420" s="14"/>
      <c r="BX420" s="14"/>
      <c r="BY420" s="14"/>
      <c r="BZ420" s="14"/>
      <c r="CA420" s="14"/>
      <c r="CB420" s="14"/>
      <c r="CC420" s="14"/>
      <c r="CD420" s="14"/>
      <c r="CE420" s="14"/>
      <c r="CF420" s="14"/>
      <c r="CG420" s="14"/>
      <c r="CH420" s="14"/>
      <c r="CI420" s="14"/>
      <c r="CJ420" s="14"/>
      <c r="CK420" s="14"/>
      <c r="CL420" s="14"/>
      <c r="CM420" s="14"/>
      <c r="CN420" s="14"/>
      <c r="CO420" s="14"/>
      <c r="CP420" s="14"/>
      <c r="CQ420" s="14"/>
      <c r="CR420" s="14"/>
      <c r="CS420" s="14"/>
      <c r="CT420" s="14"/>
      <c r="CU420" s="14"/>
      <c r="CV420" s="14"/>
      <c r="CW420" s="14"/>
      <c r="CX420" s="14"/>
      <c r="CY420" s="14"/>
      <c r="CZ420" s="14"/>
      <c r="DA420" s="14"/>
      <c r="DB420" s="14"/>
      <c r="DC420" s="14"/>
      <c r="DD420" s="14"/>
      <c r="DE420" s="14"/>
      <c r="DF420" s="14"/>
      <c r="DG420" s="14"/>
      <c r="DH420" s="14"/>
      <c r="DI420" s="14"/>
      <c r="DJ420" s="14"/>
      <c r="DK420" s="14"/>
      <c r="DL420" s="14"/>
      <c r="DM420" s="14"/>
      <c r="DN420" s="14"/>
      <c r="DO420" s="14"/>
      <c r="DP420" s="14"/>
      <c r="DQ420" s="14"/>
      <c r="DR420" s="14"/>
      <c r="DS420" s="14"/>
      <c r="DT420" s="14"/>
      <c r="DU420" s="14"/>
      <c r="DV420" s="14"/>
      <c r="DW420" s="14"/>
      <c r="DX420" s="14"/>
      <c r="DY420" s="14"/>
      <c r="DZ420" s="14"/>
      <c r="EA420" s="14"/>
      <c r="EB420" s="14"/>
      <c r="EC420" s="14"/>
    </row>
    <row r="421" spans="1:133" s="13" customFormat="1" ht="62.4" x14ac:dyDescent="0.25">
      <c r="A421" s="63" t="s">
        <v>210</v>
      </c>
      <c r="B421" s="25" t="s">
        <v>82</v>
      </c>
      <c r="C421" s="35" t="s">
        <v>83</v>
      </c>
      <c r="D421" s="53" t="s">
        <v>354</v>
      </c>
      <c r="E421" s="25">
        <f>15*2</f>
        <v>30</v>
      </c>
      <c r="R421" s="14"/>
      <c r="S421" s="14"/>
      <c r="T421" s="14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F421" s="14"/>
      <c r="AG421" s="14"/>
      <c r="AH421" s="14"/>
      <c r="AI421" s="14"/>
      <c r="AJ421" s="14"/>
      <c r="AK421" s="14"/>
      <c r="AL421" s="14"/>
      <c r="AM421" s="14"/>
      <c r="AN421" s="14"/>
      <c r="AO421" s="14"/>
      <c r="AP421" s="14"/>
      <c r="AQ421" s="14"/>
      <c r="AR421" s="14"/>
      <c r="AS421" s="14"/>
      <c r="AT421" s="14"/>
      <c r="AU421" s="14"/>
      <c r="AV421" s="14"/>
      <c r="AW421" s="14"/>
      <c r="AX421" s="14"/>
      <c r="AY421" s="14"/>
      <c r="AZ421" s="14"/>
      <c r="BA421" s="14"/>
      <c r="BB421" s="14"/>
      <c r="BC421" s="14"/>
      <c r="BD421" s="14"/>
      <c r="BE421" s="14"/>
      <c r="BF421" s="14"/>
      <c r="BG421" s="14"/>
      <c r="BH421" s="14"/>
      <c r="BI421" s="14"/>
      <c r="BJ421" s="14"/>
      <c r="BK421" s="14"/>
      <c r="BL421" s="14"/>
      <c r="BM421" s="14"/>
      <c r="BN421" s="14"/>
      <c r="BO421" s="14"/>
      <c r="BP421" s="14"/>
      <c r="BQ421" s="14"/>
      <c r="BR421" s="14"/>
      <c r="BS421" s="14"/>
      <c r="BT421" s="14"/>
      <c r="BU421" s="14"/>
      <c r="BV421" s="14"/>
      <c r="BW421" s="14"/>
      <c r="BX421" s="14"/>
      <c r="BY421" s="14"/>
      <c r="BZ421" s="14"/>
      <c r="CA421" s="14"/>
      <c r="CB421" s="14"/>
      <c r="CC421" s="14"/>
      <c r="CD421" s="14"/>
      <c r="CE421" s="14"/>
      <c r="CF421" s="14"/>
      <c r="CG421" s="14"/>
      <c r="CH421" s="14"/>
      <c r="CI421" s="14"/>
      <c r="CJ421" s="14"/>
      <c r="CK421" s="14"/>
      <c r="CL421" s="14"/>
      <c r="CM421" s="14"/>
      <c r="CN421" s="14"/>
      <c r="CO421" s="14"/>
      <c r="CP421" s="14"/>
      <c r="CQ421" s="14"/>
      <c r="CR421" s="14"/>
      <c r="CS421" s="14"/>
      <c r="CT421" s="14"/>
      <c r="CU421" s="14"/>
      <c r="CV421" s="14"/>
      <c r="CW421" s="14"/>
      <c r="CX421" s="14"/>
      <c r="CY421" s="14"/>
      <c r="CZ421" s="14"/>
      <c r="DA421" s="14"/>
      <c r="DB421" s="14"/>
      <c r="DC421" s="14"/>
      <c r="DD421" s="14"/>
      <c r="DE421" s="14"/>
      <c r="DF421" s="14"/>
      <c r="DG421" s="14"/>
      <c r="DH421" s="14"/>
      <c r="DI421" s="14"/>
      <c r="DJ421" s="14"/>
      <c r="DK421" s="14"/>
      <c r="DL421" s="14"/>
      <c r="DM421" s="14"/>
      <c r="DN421" s="14"/>
      <c r="DO421" s="14"/>
      <c r="DP421" s="14"/>
      <c r="DQ421" s="14"/>
      <c r="DR421" s="14"/>
      <c r="DS421" s="14"/>
      <c r="DT421" s="14"/>
      <c r="DU421" s="14"/>
      <c r="DV421" s="14"/>
      <c r="DW421" s="14"/>
      <c r="DX421" s="14"/>
      <c r="DY421" s="14"/>
      <c r="DZ421" s="14"/>
      <c r="EA421" s="14"/>
      <c r="EB421" s="14"/>
      <c r="EC421" s="14"/>
    </row>
    <row r="422" spans="1:133" s="13" customFormat="1" ht="172.2" x14ac:dyDescent="0.25">
      <c r="A422" s="63" t="s">
        <v>211</v>
      </c>
      <c r="B422" s="25" t="s">
        <v>84</v>
      </c>
      <c r="C422" s="35" t="s">
        <v>85</v>
      </c>
      <c r="D422" s="35" t="s">
        <v>355</v>
      </c>
      <c r="E422" s="25">
        <f>25.1/100</f>
        <v>0.251</v>
      </c>
      <c r="R422" s="14"/>
      <c r="S422" s="14"/>
      <c r="T422" s="14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F422" s="14"/>
      <c r="AG422" s="14"/>
      <c r="AH422" s="14"/>
      <c r="AI422" s="14"/>
      <c r="AJ422" s="14"/>
      <c r="AK422" s="14"/>
      <c r="AL422" s="14"/>
      <c r="AM422" s="14"/>
      <c r="AN422" s="14"/>
      <c r="AO422" s="14"/>
      <c r="AP422" s="14"/>
      <c r="AQ422" s="14"/>
      <c r="AR422" s="14"/>
      <c r="AS422" s="14"/>
      <c r="AT422" s="14"/>
      <c r="AU422" s="14"/>
      <c r="AV422" s="14"/>
      <c r="AW422" s="14"/>
      <c r="AX422" s="14"/>
      <c r="AY422" s="14"/>
      <c r="AZ422" s="14"/>
      <c r="BA422" s="14"/>
      <c r="BB422" s="14"/>
      <c r="BC422" s="14"/>
      <c r="BD422" s="14"/>
      <c r="BE422" s="14"/>
      <c r="BF422" s="14"/>
      <c r="BG422" s="14"/>
      <c r="BH422" s="14"/>
      <c r="BI422" s="14"/>
      <c r="BJ422" s="14"/>
      <c r="BK422" s="14"/>
      <c r="BL422" s="14"/>
      <c r="BM422" s="14"/>
      <c r="BN422" s="14"/>
      <c r="BO422" s="14"/>
      <c r="BP422" s="14"/>
      <c r="BQ422" s="14"/>
      <c r="BR422" s="14"/>
      <c r="BS422" s="14"/>
      <c r="BT422" s="14"/>
      <c r="BU422" s="14"/>
      <c r="BV422" s="14"/>
      <c r="BW422" s="14"/>
      <c r="BX422" s="14"/>
      <c r="BY422" s="14"/>
      <c r="BZ422" s="14"/>
      <c r="CA422" s="14"/>
      <c r="CB422" s="14"/>
      <c r="CC422" s="14"/>
      <c r="CD422" s="14"/>
      <c r="CE422" s="14"/>
      <c r="CF422" s="14"/>
      <c r="CG422" s="14"/>
      <c r="CH422" s="14"/>
      <c r="CI422" s="14"/>
      <c r="CJ422" s="14"/>
      <c r="CK422" s="14"/>
      <c r="CL422" s="14"/>
      <c r="CM422" s="14"/>
      <c r="CN422" s="14"/>
      <c r="CO422" s="14"/>
      <c r="CP422" s="14"/>
      <c r="CQ422" s="14"/>
      <c r="CR422" s="14"/>
      <c r="CS422" s="14"/>
      <c r="CT422" s="14"/>
      <c r="CU422" s="14"/>
      <c r="CV422" s="14"/>
      <c r="CW422" s="14"/>
      <c r="CX422" s="14"/>
      <c r="CY422" s="14"/>
      <c r="CZ422" s="14"/>
      <c r="DA422" s="14"/>
      <c r="DB422" s="14"/>
      <c r="DC422" s="14"/>
      <c r="DD422" s="14"/>
      <c r="DE422" s="14"/>
      <c r="DF422" s="14"/>
      <c r="DG422" s="14"/>
      <c r="DH422" s="14"/>
      <c r="DI422" s="14"/>
      <c r="DJ422" s="14"/>
      <c r="DK422" s="14"/>
      <c r="DL422" s="14"/>
      <c r="DM422" s="14"/>
      <c r="DN422" s="14"/>
      <c r="DO422" s="14"/>
      <c r="DP422" s="14"/>
      <c r="DQ422" s="14"/>
      <c r="DR422" s="14"/>
      <c r="DS422" s="14"/>
      <c r="DT422" s="14"/>
      <c r="DU422" s="14"/>
      <c r="DV422" s="14"/>
      <c r="DW422" s="14"/>
      <c r="DX422" s="14"/>
      <c r="DY422" s="14"/>
      <c r="DZ422" s="14"/>
      <c r="EA422" s="14"/>
      <c r="EB422" s="14"/>
      <c r="EC422" s="14"/>
    </row>
    <row r="423" spans="1:133" s="13" customFormat="1" ht="156" x14ac:dyDescent="0.25">
      <c r="A423" s="63" t="s">
        <v>212</v>
      </c>
      <c r="B423" s="25" t="s">
        <v>87</v>
      </c>
      <c r="C423" s="35" t="s">
        <v>86</v>
      </c>
      <c r="D423" s="35" t="s">
        <v>356</v>
      </c>
      <c r="E423" s="25">
        <f>0.84/1000</f>
        <v>8.3999999999999993E-4</v>
      </c>
      <c r="R423" s="14"/>
      <c r="S423" s="14"/>
      <c r="T423" s="14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F423" s="14"/>
      <c r="AG423" s="14"/>
      <c r="AH423" s="14"/>
      <c r="AI423" s="14"/>
      <c r="AJ423" s="14"/>
      <c r="AK423" s="14"/>
      <c r="AL423" s="14"/>
      <c r="AM423" s="14"/>
      <c r="AN423" s="14"/>
      <c r="AO423" s="14"/>
      <c r="AP423" s="14"/>
      <c r="AQ423" s="14"/>
      <c r="AR423" s="14"/>
      <c r="AS423" s="14"/>
      <c r="AT423" s="14"/>
      <c r="AU423" s="14"/>
      <c r="AV423" s="14"/>
      <c r="AW423" s="14"/>
      <c r="AX423" s="14"/>
      <c r="AY423" s="14"/>
      <c r="AZ423" s="14"/>
      <c r="BA423" s="14"/>
      <c r="BB423" s="14"/>
      <c r="BC423" s="14"/>
      <c r="BD423" s="14"/>
      <c r="BE423" s="14"/>
      <c r="BF423" s="14"/>
      <c r="BG423" s="14"/>
      <c r="BH423" s="14"/>
      <c r="BI423" s="14"/>
      <c r="BJ423" s="14"/>
      <c r="BK423" s="14"/>
      <c r="BL423" s="14"/>
      <c r="BM423" s="14"/>
      <c r="BN423" s="14"/>
      <c r="BO423" s="14"/>
      <c r="BP423" s="14"/>
      <c r="BQ423" s="14"/>
      <c r="BR423" s="14"/>
      <c r="BS423" s="14"/>
      <c r="BT423" s="14"/>
      <c r="BU423" s="14"/>
      <c r="BV423" s="14"/>
      <c r="BW423" s="14"/>
      <c r="BX423" s="14"/>
      <c r="BY423" s="14"/>
      <c r="BZ423" s="14"/>
      <c r="CA423" s="14"/>
      <c r="CB423" s="14"/>
      <c r="CC423" s="14"/>
      <c r="CD423" s="14"/>
      <c r="CE423" s="14"/>
      <c r="CF423" s="14"/>
      <c r="CG423" s="14"/>
      <c r="CH423" s="14"/>
      <c r="CI423" s="14"/>
      <c r="CJ423" s="14"/>
      <c r="CK423" s="14"/>
      <c r="CL423" s="14"/>
      <c r="CM423" s="14"/>
      <c r="CN423" s="14"/>
      <c r="CO423" s="14"/>
      <c r="CP423" s="14"/>
      <c r="CQ423" s="14"/>
      <c r="CR423" s="14"/>
      <c r="CS423" s="14"/>
      <c r="CT423" s="14"/>
      <c r="CU423" s="14"/>
      <c r="CV423" s="14"/>
      <c r="CW423" s="14"/>
      <c r="CX423" s="14"/>
      <c r="CY423" s="14"/>
      <c r="CZ423" s="14"/>
      <c r="DA423" s="14"/>
      <c r="DB423" s="14"/>
      <c r="DC423" s="14"/>
      <c r="DD423" s="14"/>
      <c r="DE423" s="14"/>
      <c r="DF423" s="14"/>
      <c r="DG423" s="14"/>
      <c r="DH423" s="14"/>
      <c r="DI423" s="14"/>
      <c r="DJ423" s="14"/>
      <c r="DK423" s="14"/>
      <c r="DL423" s="14"/>
      <c r="DM423" s="14"/>
      <c r="DN423" s="14"/>
      <c r="DO423" s="14"/>
      <c r="DP423" s="14"/>
      <c r="DQ423" s="14"/>
      <c r="DR423" s="14"/>
      <c r="DS423" s="14"/>
      <c r="DT423" s="14"/>
      <c r="DU423" s="14"/>
      <c r="DV423" s="14"/>
      <c r="DW423" s="14"/>
      <c r="DX423" s="14"/>
      <c r="DY423" s="14"/>
      <c r="DZ423" s="14"/>
      <c r="EA423" s="14"/>
      <c r="EB423" s="14"/>
      <c r="EC423" s="14"/>
    </row>
    <row r="424" spans="1:133" s="13" customFormat="1" ht="171.6" x14ac:dyDescent="0.25">
      <c r="A424" s="63" t="s">
        <v>213</v>
      </c>
      <c r="B424" s="25" t="s">
        <v>88</v>
      </c>
      <c r="C424" s="35" t="s">
        <v>89</v>
      </c>
      <c r="D424" s="35" t="s">
        <v>357</v>
      </c>
      <c r="E424" s="25">
        <f>43.33/1000</f>
        <v>4.333E-2</v>
      </c>
      <c r="R424" s="14"/>
      <c r="S424" s="14"/>
      <c r="T424" s="14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F424" s="14"/>
      <c r="AG424" s="14"/>
      <c r="AH424" s="14"/>
      <c r="AI424" s="14"/>
      <c r="AJ424" s="14"/>
      <c r="AK424" s="14"/>
      <c r="AL424" s="14"/>
      <c r="AM424" s="14"/>
      <c r="AN424" s="14"/>
      <c r="AO424" s="14"/>
      <c r="AP424" s="14"/>
      <c r="AQ424" s="14"/>
      <c r="AR424" s="14"/>
      <c r="AS424" s="14"/>
      <c r="AT424" s="14"/>
      <c r="AU424" s="14"/>
      <c r="AV424" s="14"/>
      <c r="AW424" s="14"/>
      <c r="AX424" s="14"/>
      <c r="AY424" s="14"/>
      <c r="AZ424" s="14"/>
      <c r="BA424" s="14"/>
      <c r="BB424" s="14"/>
      <c r="BC424" s="14"/>
      <c r="BD424" s="14"/>
      <c r="BE424" s="14"/>
      <c r="BF424" s="14"/>
      <c r="BG424" s="14"/>
      <c r="BH424" s="14"/>
      <c r="BI424" s="14"/>
      <c r="BJ424" s="14"/>
      <c r="BK424" s="14"/>
      <c r="BL424" s="14"/>
      <c r="BM424" s="14"/>
      <c r="BN424" s="14"/>
      <c r="BO424" s="14"/>
      <c r="BP424" s="14"/>
      <c r="BQ424" s="14"/>
      <c r="BR424" s="14"/>
      <c r="BS424" s="14"/>
      <c r="BT424" s="14"/>
      <c r="BU424" s="14"/>
      <c r="BV424" s="14"/>
      <c r="BW424" s="14"/>
      <c r="BX424" s="14"/>
      <c r="BY424" s="14"/>
      <c r="BZ424" s="14"/>
      <c r="CA424" s="14"/>
      <c r="CB424" s="14"/>
      <c r="CC424" s="14"/>
      <c r="CD424" s="14"/>
      <c r="CE424" s="14"/>
      <c r="CF424" s="14"/>
      <c r="CG424" s="14"/>
      <c r="CH424" s="14"/>
      <c r="CI424" s="14"/>
      <c r="CJ424" s="14"/>
      <c r="CK424" s="14"/>
      <c r="CL424" s="14"/>
      <c r="CM424" s="14"/>
      <c r="CN424" s="14"/>
      <c r="CO424" s="14"/>
      <c r="CP424" s="14"/>
      <c r="CQ424" s="14"/>
      <c r="CR424" s="14"/>
      <c r="CS424" s="14"/>
      <c r="CT424" s="14"/>
      <c r="CU424" s="14"/>
      <c r="CV424" s="14"/>
      <c r="CW424" s="14"/>
      <c r="CX424" s="14"/>
      <c r="CY424" s="14"/>
      <c r="CZ424" s="14"/>
      <c r="DA424" s="14"/>
      <c r="DB424" s="14"/>
      <c r="DC424" s="14"/>
      <c r="DD424" s="14"/>
      <c r="DE424" s="14"/>
      <c r="DF424" s="14"/>
      <c r="DG424" s="14"/>
      <c r="DH424" s="14"/>
      <c r="DI424" s="14"/>
      <c r="DJ424" s="14"/>
      <c r="DK424" s="14"/>
      <c r="DL424" s="14"/>
      <c r="DM424" s="14"/>
      <c r="DN424" s="14"/>
      <c r="DO424" s="14"/>
      <c r="DP424" s="14"/>
      <c r="DQ424" s="14"/>
      <c r="DR424" s="14"/>
      <c r="DS424" s="14"/>
      <c r="DT424" s="14"/>
      <c r="DU424" s="14"/>
      <c r="DV424" s="14"/>
      <c r="DW424" s="14"/>
      <c r="DX424" s="14"/>
      <c r="DY424" s="14"/>
      <c r="DZ424" s="14"/>
      <c r="EA424" s="14"/>
      <c r="EB424" s="14"/>
      <c r="EC424" s="14"/>
    </row>
    <row r="425" spans="1:133" s="13" customFormat="1" ht="62.4" x14ac:dyDescent="0.25">
      <c r="A425" s="63" t="s">
        <v>214</v>
      </c>
      <c r="B425" s="25" t="s">
        <v>90</v>
      </c>
      <c r="C425" s="35" t="s">
        <v>91</v>
      </c>
      <c r="D425" s="35" t="s">
        <v>358</v>
      </c>
      <c r="E425" s="25">
        <v>74.099999999999994</v>
      </c>
      <c r="R425" s="14"/>
      <c r="S425" s="14"/>
      <c r="T425" s="14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F425" s="14"/>
      <c r="AG425" s="14"/>
      <c r="AH425" s="14"/>
      <c r="AI425" s="14"/>
      <c r="AJ425" s="14"/>
      <c r="AK425" s="14"/>
      <c r="AL425" s="14"/>
      <c r="AM425" s="14"/>
      <c r="AN425" s="14"/>
      <c r="AO425" s="14"/>
      <c r="AP425" s="14"/>
      <c r="AQ425" s="14"/>
      <c r="AR425" s="14"/>
      <c r="AS425" s="14"/>
      <c r="AT425" s="14"/>
      <c r="AU425" s="14"/>
      <c r="AV425" s="14"/>
      <c r="AW425" s="14"/>
      <c r="AX425" s="14"/>
      <c r="AY425" s="14"/>
      <c r="AZ425" s="14"/>
      <c r="BA425" s="14"/>
      <c r="BB425" s="14"/>
      <c r="BC425" s="14"/>
      <c r="BD425" s="14"/>
      <c r="BE425" s="14"/>
      <c r="BF425" s="14"/>
      <c r="BG425" s="14"/>
      <c r="BH425" s="14"/>
      <c r="BI425" s="14"/>
      <c r="BJ425" s="14"/>
      <c r="BK425" s="14"/>
      <c r="BL425" s="14"/>
      <c r="BM425" s="14"/>
      <c r="BN425" s="14"/>
      <c r="BO425" s="14"/>
      <c r="BP425" s="14"/>
      <c r="BQ425" s="14"/>
      <c r="BR425" s="14"/>
      <c r="BS425" s="14"/>
      <c r="BT425" s="14"/>
      <c r="BU425" s="14"/>
      <c r="BV425" s="14"/>
      <c r="BW425" s="14"/>
      <c r="BX425" s="14"/>
      <c r="BY425" s="14"/>
      <c r="BZ425" s="14"/>
      <c r="CA425" s="14"/>
      <c r="CB425" s="14"/>
      <c r="CC425" s="14"/>
      <c r="CD425" s="14"/>
      <c r="CE425" s="14"/>
      <c r="CF425" s="14"/>
      <c r="CG425" s="14"/>
      <c r="CH425" s="14"/>
      <c r="CI425" s="14"/>
      <c r="CJ425" s="14"/>
      <c r="CK425" s="14"/>
      <c r="CL425" s="14"/>
      <c r="CM425" s="14"/>
      <c r="CN425" s="14"/>
      <c r="CO425" s="14"/>
      <c r="CP425" s="14"/>
      <c r="CQ425" s="14"/>
      <c r="CR425" s="14"/>
      <c r="CS425" s="14"/>
      <c r="CT425" s="14"/>
      <c r="CU425" s="14"/>
      <c r="CV425" s="14"/>
      <c r="CW425" s="14"/>
      <c r="CX425" s="14"/>
      <c r="CY425" s="14"/>
      <c r="CZ425" s="14"/>
      <c r="DA425" s="14"/>
      <c r="DB425" s="14"/>
      <c r="DC425" s="14"/>
      <c r="DD425" s="14"/>
      <c r="DE425" s="14"/>
      <c r="DF425" s="14"/>
      <c r="DG425" s="14"/>
      <c r="DH425" s="14"/>
      <c r="DI425" s="14"/>
      <c r="DJ425" s="14"/>
      <c r="DK425" s="14"/>
      <c r="DL425" s="14"/>
      <c r="DM425" s="14"/>
      <c r="DN425" s="14"/>
      <c r="DO425" s="14"/>
      <c r="DP425" s="14"/>
      <c r="DQ425" s="14"/>
      <c r="DR425" s="14"/>
      <c r="DS425" s="14"/>
      <c r="DT425" s="14"/>
      <c r="DU425" s="14"/>
      <c r="DV425" s="14"/>
      <c r="DW425" s="14"/>
      <c r="DX425" s="14"/>
      <c r="DY425" s="14"/>
      <c r="DZ425" s="14"/>
      <c r="EA425" s="14"/>
      <c r="EB425" s="14"/>
      <c r="EC425" s="14"/>
    </row>
    <row r="427" spans="1:133" s="13" customFormat="1" x14ac:dyDescent="0.25">
      <c r="A427" s="158" t="s">
        <v>93</v>
      </c>
      <c r="B427" s="158"/>
      <c r="C427" s="158"/>
      <c r="D427" s="158"/>
      <c r="E427" s="158"/>
      <c r="R427" s="14"/>
      <c r="S427" s="14"/>
      <c r="T427" s="14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F427" s="14"/>
      <c r="AG427" s="14"/>
      <c r="AH427" s="14"/>
      <c r="AI427" s="14"/>
      <c r="AJ427" s="14"/>
      <c r="AK427" s="14"/>
      <c r="AL427" s="14"/>
      <c r="AM427" s="14"/>
      <c r="AN427" s="14"/>
      <c r="AO427" s="14"/>
      <c r="AP427" s="14"/>
      <c r="AQ427" s="14"/>
      <c r="AR427" s="14"/>
      <c r="AS427" s="14"/>
      <c r="AT427" s="14"/>
      <c r="AU427" s="14"/>
      <c r="AV427" s="14"/>
      <c r="AW427" s="14"/>
      <c r="AX427" s="14"/>
      <c r="AY427" s="14"/>
      <c r="AZ427" s="14"/>
      <c r="BA427" s="14"/>
      <c r="BB427" s="14"/>
      <c r="BC427" s="14"/>
      <c r="BD427" s="14"/>
      <c r="BE427" s="14"/>
      <c r="BF427" s="14"/>
      <c r="BG427" s="14"/>
      <c r="BH427" s="14"/>
      <c r="BI427" s="14"/>
      <c r="BJ427" s="14"/>
      <c r="BK427" s="14"/>
      <c r="BL427" s="14"/>
      <c r="BM427" s="14"/>
      <c r="BN427" s="14"/>
      <c r="BO427" s="14"/>
      <c r="BP427" s="14"/>
      <c r="BQ427" s="14"/>
      <c r="BR427" s="14"/>
      <c r="BS427" s="14"/>
      <c r="BT427" s="14"/>
      <c r="BU427" s="14"/>
      <c r="BV427" s="14"/>
      <c r="BW427" s="14"/>
      <c r="BX427" s="14"/>
      <c r="BY427" s="14"/>
      <c r="BZ427" s="14"/>
      <c r="CA427" s="14"/>
      <c r="CB427" s="14"/>
      <c r="CC427" s="14"/>
      <c r="CD427" s="14"/>
      <c r="CE427" s="14"/>
      <c r="CF427" s="14"/>
      <c r="CG427" s="14"/>
      <c r="CH427" s="14"/>
      <c r="CI427" s="14"/>
      <c r="CJ427" s="14"/>
      <c r="CK427" s="14"/>
      <c r="CL427" s="14"/>
      <c r="CM427" s="14"/>
      <c r="CN427" s="14"/>
      <c r="CO427" s="14"/>
      <c r="CP427" s="14"/>
      <c r="CQ427" s="14"/>
      <c r="CR427" s="14"/>
      <c r="CS427" s="14"/>
      <c r="CT427" s="14"/>
      <c r="CU427" s="14"/>
      <c r="CV427" s="14"/>
      <c r="CW427" s="14"/>
      <c r="CX427" s="14"/>
      <c r="CY427" s="14"/>
      <c r="CZ427" s="14"/>
      <c r="DA427" s="14"/>
      <c r="DB427" s="14"/>
      <c r="DC427" s="14"/>
      <c r="DD427" s="14"/>
      <c r="DE427" s="14"/>
      <c r="DF427" s="14"/>
      <c r="DG427" s="14"/>
      <c r="DH427" s="14"/>
      <c r="DI427" s="14"/>
      <c r="DJ427" s="14"/>
      <c r="DK427" s="14"/>
      <c r="DL427" s="14"/>
      <c r="DM427" s="14"/>
      <c r="DN427" s="14"/>
      <c r="DO427" s="14"/>
      <c r="DP427" s="14"/>
      <c r="DQ427" s="14"/>
      <c r="DR427" s="14"/>
      <c r="DS427" s="14"/>
      <c r="DT427" s="14"/>
      <c r="DU427" s="14"/>
      <c r="DV427" s="14"/>
      <c r="DW427" s="14"/>
      <c r="DX427" s="14"/>
      <c r="DY427" s="14"/>
      <c r="DZ427" s="14"/>
      <c r="EA427" s="14"/>
      <c r="EB427" s="14"/>
      <c r="EC427" s="14"/>
    </row>
    <row r="428" spans="1:133" s="13" customFormat="1" x14ac:dyDescent="0.25">
      <c r="A428" s="57" t="s">
        <v>8</v>
      </c>
      <c r="B428" s="58" t="s">
        <v>9</v>
      </c>
      <c r="C428" s="34" t="s">
        <v>10</v>
      </c>
      <c r="D428" s="34" t="s">
        <v>340</v>
      </c>
      <c r="E428" s="16" t="s">
        <v>65</v>
      </c>
      <c r="R428" s="14"/>
      <c r="S428" s="14"/>
      <c r="T428" s="14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F428" s="14"/>
      <c r="AG428" s="14"/>
      <c r="AH428" s="14"/>
      <c r="AI428" s="14"/>
      <c r="AJ428" s="14"/>
      <c r="AK428" s="14"/>
      <c r="AL428" s="14"/>
      <c r="AM428" s="14"/>
      <c r="AN428" s="14"/>
      <c r="AO428" s="14"/>
      <c r="AP428" s="14"/>
      <c r="AQ428" s="14"/>
      <c r="AR428" s="14"/>
      <c r="AS428" s="14"/>
      <c r="AT428" s="14"/>
      <c r="AU428" s="14"/>
      <c r="AV428" s="14"/>
      <c r="AW428" s="14"/>
      <c r="AX428" s="14"/>
      <c r="AY428" s="14"/>
      <c r="AZ428" s="14"/>
      <c r="BA428" s="14"/>
      <c r="BB428" s="14"/>
      <c r="BC428" s="14"/>
      <c r="BD428" s="14"/>
      <c r="BE428" s="14"/>
      <c r="BF428" s="14"/>
      <c r="BG428" s="14"/>
      <c r="BH428" s="14"/>
      <c r="BI428" s="14"/>
      <c r="BJ428" s="14"/>
      <c r="BK428" s="14"/>
      <c r="BL428" s="14"/>
      <c r="BM428" s="14"/>
      <c r="BN428" s="14"/>
      <c r="BO428" s="14"/>
      <c r="BP428" s="14"/>
      <c r="BQ428" s="14"/>
      <c r="BR428" s="14"/>
      <c r="BS428" s="14"/>
      <c r="BT428" s="14"/>
      <c r="BU428" s="14"/>
      <c r="BV428" s="14"/>
      <c r="BW428" s="14"/>
      <c r="BX428" s="14"/>
      <c r="BY428" s="14"/>
      <c r="BZ428" s="14"/>
      <c r="CA428" s="14"/>
      <c r="CB428" s="14"/>
      <c r="CC428" s="14"/>
      <c r="CD428" s="14"/>
      <c r="CE428" s="14"/>
      <c r="CF428" s="14"/>
      <c r="CG428" s="14"/>
      <c r="CH428" s="14"/>
      <c r="CI428" s="14"/>
      <c r="CJ428" s="14"/>
      <c r="CK428" s="14"/>
      <c r="CL428" s="14"/>
      <c r="CM428" s="14"/>
      <c r="CN428" s="14"/>
      <c r="CO428" s="14"/>
      <c r="CP428" s="14"/>
      <c r="CQ428" s="14"/>
      <c r="CR428" s="14"/>
      <c r="CS428" s="14"/>
      <c r="CT428" s="14"/>
      <c r="CU428" s="14"/>
      <c r="CV428" s="14"/>
      <c r="CW428" s="14"/>
      <c r="CX428" s="14"/>
      <c r="CY428" s="14"/>
      <c r="CZ428" s="14"/>
      <c r="DA428" s="14"/>
      <c r="DB428" s="14"/>
      <c r="DC428" s="14"/>
      <c r="DD428" s="14"/>
      <c r="DE428" s="14"/>
      <c r="DF428" s="14"/>
      <c r="DG428" s="14"/>
      <c r="DH428" s="14"/>
      <c r="DI428" s="14"/>
      <c r="DJ428" s="14"/>
      <c r="DK428" s="14"/>
      <c r="DL428" s="14"/>
      <c r="DM428" s="14"/>
      <c r="DN428" s="14"/>
      <c r="DO428" s="14"/>
      <c r="DP428" s="14"/>
      <c r="DQ428" s="14"/>
      <c r="DR428" s="14"/>
      <c r="DS428" s="14"/>
      <c r="DT428" s="14"/>
      <c r="DU428" s="14"/>
      <c r="DV428" s="14"/>
      <c r="DW428" s="14"/>
      <c r="DX428" s="14"/>
      <c r="DY428" s="14"/>
      <c r="DZ428" s="14"/>
      <c r="EA428" s="14"/>
      <c r="EB428" s="14"/>
      <c r="EC428" s="14"/>
    </row>
    <row r="429" spans="1:133" s="13" customFormat="1" ht="64.8" x14ac:dyDescent="0.25">
      <c r="A429" s="15" t="s">
        <v>94</v>
      </c>
      <c r="B429" s="25" t="s">
        <v>95</v>
      </c>
      <c r="C429" s="35" t="s">
        <v>96</v>
      </c>
      <c r="D429" s="35" t="s">
        <v>97</v>
      </c>
      <c r="E429" s="16">
        <v>0</v>
      </c>
      <c r="R429" s="14"/>
      <c r="S429" s="14"/>
      <c r="T429" s="14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F429" s="14"/>
      <c r="AG429" s="14"/>
      <c r="AH429" s="14"/>
      <c r="AI429" s="14"/>
      <c r="AJ429" s="14"/>
      <c r="AK429" s="14"/>
      <c r="AL429" s="14"/>
      <c r="AM429" s="14"/>
      <c r="AN429" s="14"/>
      <c r="AO429" s="14"/>
      <c r="AP429" s="14"/>
      <c r="AQ429" s="14"/>
      <c r="AR429" s="14"/>
      <c r="AS429" s="14"/>
      <c r="AT429" s="14"/>
      <c r="AU429" s="14"/>
      <c r="AV429" s="14"/>
      <c r="AW429" s="14"/>
      <c r="AX429" s="14"/>
      <c r="AY429" s="14"/>
      <c r="AZ429" s="14"/>
      <c r="BA429" s="14"/>
      <c r="BB429" s="14"/>
      <c r="BC429" s="14"/>
      <c r="BD429" s="14"/>
      <c r="BE429" s="14"/>
      <c r="BF429" s="14"/>
      <c r="BG429" s="14"/>
      <c r="BH429" s="14"/>
      <c r="BI429" s="14"/>
      <c r="BJ429" s="14"/>
      <c r="BK429" s="14"/>
      <c r="BL429" s="14"/>
      <c r="BM429" s="14"/>
      <c r="BN429" s="14"/>
      <c r="BO429" s="14"/>
      <c r="BP429" s="14"/>
      <c r="BQ429" s="14"/>
      <c r="BR429" s="14"/>
      <c r="BS429" s="14"/>
      <c r="BT429" s="14"/>
      <c r="BU429" s="14"/>
      <c r="BV429" s="14"/>
      <c r="BW429" s="14"/>
      <c r="BX429" s="14"/>
      <c r="BY429" s="14"/>
      <c r="BZ429" s="14"/>
      <c r="CA429" s="14"/>
      <c r="CB429" s="14"/>
      <c r="CC429" s="14"/>
      <c r="CD429" s="14"/>
      <c r="CE429" s="14"/>
      <c r="CF429" s="14"/>
      <c r="CG429" s="14"/>
      <c r="CH429" s="14"/>
      <c r="CI429" s="14"/>
      <c r="CJ429" s="14"/>
      <c r="CK429" s="14"/>
      <c r="CL429" s="14"/>
      <c r="CM429" s="14"/>
      <c r="CN429" s="14"/>
      <c r="CO429" s="14"/>
      <c r="CP429" s="14"/>
      <c r="CQ429" s="14"/>
      <c r="CR429" s="14"/>
      <c r="CS429" s="14"/>
      <c r="CT429" s="14"/>
      <c r="CU429" s="14"/>
      <c r="CV429" s="14"/>
      <c r="CW429" s="14"/>
      <c r="CX429" s="14"/>
      <c r="CY429" s="14"/>
      <c r="CZ429" s="14"/>
      <c r="DA429" s="14"/>
      <c r="DB429" s="14"/>
      <c r="DC429" s="14"/>
      <c r="DD429" s="14"/>
      <c r="DE429" s="14"/>
      <c r="DF429" s="14"/>
      <c r="DG429" s="14"/>
      <c r="DH429" s="14"/>
      <c r="DI429" s="14"/>
      <c r="DJ429" s="14"/>
      <c r="DK429" s="14"/>
      <c r="DL429" s="14"/>
      <c r="DM429" s="14"/>
      <c r="DN429" s="14"/>
      <c r="DO429" s="14"/>
      <c r="DP429" s="14"/>
      <c r="DQ429" s="14"/>
      <c r="DR429" s="14"/>
      <c r="DS429" s="14"/>
      <c r="DT429" s="14"/>
      <c r="DU429" s="14"/>
      <c r="DV429" s="14"/>
      <c r="DW429" s="14"/>
      <c r="DX429" s="14"/>
      <c r="DY429" s="14"/>
      <c r="DZ429" s="14"/>
      <c r="EA429" s="14"/>
      <c r="EB429" s="14"/>
      <c r="EC429" s="14"/>
    </row>
    <row r="431" spans="1:133" s="13" customFormat="1" x14ac:dyDescent="0.25">
      <c r="A431" s="158" t="s">
        <v>98</v>
      </c>
      <c r="B431" s="158"/>
      <c r="C431" s="158"/>
      <c r="D431" s="158"/>
      <c r="E431" s="158"/>
      <c r="R431" s="14"/>
      <c r="S431" s="14"/>
      <c r="T431" s="14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F431" s="14"/>
      <c r="AG431" s="14"/>
      <c r="AH431" s="14"/>
      <c r="AI431" s="14"/>
      <c r="AJ431" s="14"/>
      <c r="AK431" s="14"/>
      <c r="AL431" s="14"/>
      <c r="AM431" s="14"/>
      <c r="AN431" s="14"/>
      <c r="AO431" s="14"/>
      <c r="AP431" s="14"/>
      <c r="AQ431" s="14"/>
      <c r="AR431" s="14"/>
      <c r="AS431" s="14"/>
      <c r="AT431" s="14"/>
      <c r="AU431" s="14"/>
      <c r="AV431" s="14"/>
      <c r="AW431" s="14"/>
      <c r="AX431" s="14"/>
      <c r="AY431" s="14"/>
      <c r="AZ431" s="14"/>
      <c r="BA431" s="14"/>
      <c r="BB431" s="14"/>
      <c r="BC431" s="14"/>
      <c r="BD431" s="14"/>
      <c r="BE431" s="14"/>
      <c r="BF431" s="14"/>
      <c r="BG431" s="14"/>
      <c r="BH431" s="14"/>
      <c r="BI431" s="14"/>
      <c r="BJ431" s="14"/>
      <c r="BK431" s="14"/>
      <c r="BL431" s="14"/>
      <c r="BM431" s="14"/>
      <c r="BN431" s="14"/>
      <c r="BO431" s="14"/>
      <c r="BP431" s="14"/>
      <c r="BQ431" s="14"/>
      <c r="BR431" s="14"/>
      <c r="BS431" s="14"/>
      <c r="BT431" s="14"/>
      <c r="BU431" s="14"/>
      <c r="BV431" s="14"/>
      <c r="BW431" s="14"/>
      <c r="BX431" s="14"/>
      <c r="BY431" s="14"/>
      <c r="BZ431" s="14"/>
      <c r="CA431" s="14"/>
      <c r="CB431" s="14"/>
      <c r="CC431" s="14"/>
      <c r="CD431" s="14"/>
      <c r="CE431" s="14"/>
      <c r="CF431" s="14"/>
      <c r="CG431" s="14"/>
      <c r="CH431" s="14"/>
      <c r="CI431" s="14"/>
      <c r="CJ431" s="14"/>
      <c r="CK431" s="14"/>
      <c r="CL431" s="14"/>
      <c r="CM431" s="14"/>
      <c r="CN431" s="14"/>
      <c r="CO431" s="14"/>
      <c r="CP431" s="14"/>
      <c r="CQ431" s="14"/>
      <c r="CR431" s="14"/>
      <c r="CS431" s="14"/>
      <c r="CT431" s="14"/>
      <c r="CU431" s="14"/>
      <c r="CV431" s="14"/>
      <c r="CW431" s="14"/>
      <c r="CX431" s="14"/>
      <c r="CY431" s="14"/>
      <c r="CZ431" s="14"/>
      <c r="DA431" s="14"/>
      <c r="DB431" s="14"/>
      <c r="DC431" s="14"/>
      <c r="DD431" s="14"/>
      <c r="DE431" s="14"/>
      <c r="DF431" s="14"/>
      <c r="DG431" s="14"/>
      <c r="DH431" s="14"/>
      <c r="DI431" s="14"/>
      <c r="DJ431" s="14"/>
      <c r="DK431" s="14"/>
      <c r="DL431" s="14"/>
      <c r="DM431" s="14"/>
      <c r="DN431" s="14"/>
      <c r="DO431" s="14"/>
      <c r="DP431" s="14"/>
      <c r="DQ431" s="14"/>
      <c r="DR431" s="14"/>
      <c r="DS431" s="14"/>
      <c r="DT431" s="14"/>
      <c r="DU431" s="14"/>
      <c r="DV431" s="14"/>
      <c r="DW431" s="14"/>
      <c r="DX431" s="14"/>
      <c r="DY431" s="14"/>
      <c r="DZ431" s="14"/>
      <c r="EA431" s="14"/>
      <c r="EB431" s="14"/>
      <c r="EC431" s="14"/>
    </row>
    <row r="432" spans="1:133" x14ac:dyDescent="0.25">
      <c r="A432" s="57" t="s">
        <v>8</v>
      </c>
      <c r="B432" s="58" t="s">
        <v>9</v>
      </c>
      <c r="C432" s="34" t="s">
        <v>10</v>
      </c>
      <c r="D432" s="34" t="s">
        <v>340</v>
      </c>
      <c r="E432" s="16" t="s">
        <v>65</v>
      </c>
    </row>
    <row r="433" spans="1:133" ht="49.2" x14ac:dyDescent="0.25">
      <c r="A433" s="15" t="s">
        <v>99</v>
      </c>
      <c r="B433" s="25" t="s">
        <v>95</v>
      </c>
      <c r="C433" s="35" t="s">
        <v>100</v>
      </c>
      <c r="D433" s="35" t="s">
        <v>101</v>
      </c>
      <c r="E433" s="16">
        <v>0</v>
      </c>
    </row>
    <row r="435" spans="1:133" x14ac:dyDescent="0.25">
      <c r="A435" s="57" t="s">
        <v>8</v>
      </c>
      <c r="B435" s="58" t="s">
        <v>9</v>
      </c>
      <c r="C435" s="34" t="s">
        <v>10</v>
      </c>
      <c r="D435" s="34" t="s">
        <v>340</v>
      </c>
      <c r="E435" s="16" t="s">
        <v>65</v>
      </c>
    </row>
    <row r="436" spans="1:133" ht="18" x14ac:dyDescent="0.25">
      <c r="A436" s="59" t="s">
        <v>102</v>
      </c>
      <c r="B436" s="25" t="s">
        <v>103</v>
      </c>
      <c r="C436" s="35" t="s">
        <v>104</v>
      </c>
      <c r="D436" s="53" t="s">
        <v>380</v>
      </c>
      <c r="E436" s="18">
        <f>ROUNDDOWN(E386+E417+E412+E429+E433,0)</f>
        <v>1563</v>
      </c>
    </row>
    <row r="437" spans="1:133" ht="15" customHeight="1" x14ac:dyDescent="0.25"/>
    <row r="438" spans="1:133" s="166" customFormat="1" ht="38.4" customHeight="1" x14ac:dyDescent="0.25">
      <c r="A438" s="165" t="s">
        <v>226</v>
      </c>
    </row>
    <row r="439" spans="1:133" s="56" customFormat="1" ht="31.2" x14ac:dyDescent="0.25">
      <c r="A439" s="92" t="s">
        <v>8</v>
      </c>
      <c r="B439" s="93" t="s">
        <v>9</v>
      </c>
      <c r="C439" s="94" t="s">
        <v>10</v>
      </c>
      <c r="D439" s="93" t="s">
        <v>341</v>
      </c>
      <c r="E439" s="93" t="s">
        <v>11</v>
      </c>
      <c r="F439" s="16" t="s">
        <v>322</v>
      </c>
      <c r="G439" s="16" t="s">
        <v>323</v>
      </c>
      <c r="H439" s="16" t="s">
        <v>324</v>
      </c>
      <c r="I439" s="16" t="s">
        <v>325</v>
      </c>
      <c r="J439" s="16" t="s">
        <v>326</v>
      </c>
      <c r="K439" s="16" t="s">
        <v>329</v>
      </c>
      <c r="L439" s="16" t="s">
        <v>292</v>
      </c>
      <c r="M439" s="16" t="s">
        <v>292</v>
      </c>
      <c r="N439" s="16" t="s">
        <v>292</v>
      </c>
      <c r="O439" s="16" t="s">
        <v>292</v>
      </c>
      <c r="P439" s="16" t="s">
        <v>292</v>
      </c>
      <c r="Q439" s="16" t="s">
        <v>292</v>
      </c>
      <c r="R439" s="54"/>
      <c r="S439" s="54"/>
      <c r="T439" s="54"/>
      <c r="U439" s="54"/>
      <c r="V439" s="54"/>
      <c r="W439" s="54"/>
      <c r="X439" s="54"/>
      <c r="Y439" s="54"/>
      <c r="Z439" s="54"/>
      <c r="AA439" s="54"/>
      <c r="AB439" s="54"/>
      <c r="AC439" s="54"/>
      <c r="AD439" s="54"/>
      <c r="AE439" s="54"/>
      <c r="AF439" s="54"/>
      <c r="AG439" s="54"/>
      <c r="AH439" s="54"/>
      <c r="AI439" s="54"/>
      <c r="AJ439" s="54"/>
      <c r="AK439" s="54"/>
      <c r="AL439" s="54"/>
      <c r="AM439" s="54"/>
      <c r="AN439" s="54"/>
      <c r="AO439" s="54"/>
      <c r="AP439" s="54"/>
      <c r="AQ439" s="54"/>
      <c r="AR439" s="54"/>
      <c r="AS439" s="54"/>
      <c r="AT439" s="54"/>
      <c r="AU439" s="54"/>
      <c r="AV439" s="54"/>
      <c r="AW439" s="54"/>
      <c r="AX439" s="54"/>
      <c r="AY439" s="54"/>
      <c r="AZ439" s="54"/>
      <c r="BA439" s="54"/>
      <c r="BB439" s="54"/>
      <c r="BC439" s="54"/>
      <c r="BD439" s="54"/>
      <c r="BE439" s="54"/>
      <c r="BF439" s="54"/>
      <c r="BG439" s="54"/>
      <c r="BH439" s="54"/>
      <c r="BI439" s="54"/>
      <c r="BJ439" s="54"/>
      <c r="BK439" s="54"/>
      <c r="BL439" s="54"/>
      <c r="BM439" s="54"/>
      <c r="BN439" s="54"/>
      <c r="BO439" s="54"/>
      <c r="BP439" s="54"/>
      <c r="BQ439" s="54"/>
      <c r="BR439" s="54"/>
      <c r="BS439" s="54"/>
      <c r="BT439" s="54"/>
      <c r="BU439" s="54"/>
      <c r="BV439" s="54"/>
      <c r="BW439" s="54"/>
      <c r="BX439" s="54"/>
      <c r="BY439" s="54"/>
      <c r="BZ439" s="54"/>
      <c r="CA439" s="54"/>
      <c r="CB439" s="54"/>
      <c r="CC439" s="54"/>
      <c r="CD439" s="54"/>
      <c r="CE439" s="54"/>
      <c r="CF439" s="54"/>
      <c r="CG439" s="54"/>
      <c r="CH439" s="54"/>
      <c r="CI439" s="54"/>
      <c r="CJ439" s="54"/>
      <c r="CK439" s="54"/>
      <c r="CL439" s="54"/>
      <c r="CM439" s="54"/>
      <c r="CN439" s="54"/>
      <c r="CO439" s="54"/>
      <c r="CP439" s="54"/>
      <c r="CQ439" s="54"/>
      <c r="CR439" s="54"/>
      <c r="CS439" s="54"/>
      <c r="CT439" s="54"/>
      <c r="CU439" s="54"/>
      <c r="CV439" s="54"/>
      <c r="CW439" s="54"/>
      <c r="CX439" s="54"/>
      <c r="CY439" s="54"/>
      <c r="CZ439" s="54"/>
      <c r="DA439" s="54"/>
      <c r="DB439" s="54"/>
      <c r="DC439" s="54"/>
      <c r="DD439" s="54"/>
      <c r="DE439" s="54"/>
      <c r="DF439" s="54"/>
      <c r="DG439" s="54"/>
      <c r="DH439" s="54"/>
      <c r="DI439" s="54"/>
      <c r="DJ439" s="54"/>
      <c r="DK439" s="54"/>
      <c r="DL439" s="54"/>
      <c r="DM439" s="54"/>
      <c r="DN439" s="54"/>
      <c r="DO439" s="54"/>
      <c r="DP439" s="54"/>
      <c r="DQ439" s="54"/>
      <c r="DR439" s="54"/>
      <c r="DS439" s="54"/>
      <c r="DT439" s="54"/>
      <c r="DU439" s="54"/>
      <c r="DV439" s="54"/>
      <c r="DW439" s="54"/>
      <c r="DX439" s="54"/>
      <c r="DY439" s="54"/>
      <c r="DZ439" s="54"/>
      <c r="EA439" s="54"/>
      <c r="EB439" s="54"/>
      <c r="EC439" s="54"/>
    </row>
    <row r="440" spans="1:133" s="56" customFormat="1" x14ac:dyDescent="0.25">
      <c r="A440" s="178" t="s">
        <v>12</v>
      </c>
      <c r="B440" s="178"/>
      <c r="C440" s="179"/>
      <c r="D440" s="179"/>
      <c r="E440" s="178"/>
      <c r="F440" s="16">
        <v>31</v>
      </c>
      <c r="G440" s="16">
        <v>28</v>
      </c>
      <c r="H440" s="16">
        <v>31</v>
      </c>
      <c r="I440" s="16">
        <v>30</v>
      </c>
      <c r="J440" s="16">
        <v>31</v>
      </c>
      <c r="K440" s="16">
        <v>30</v>
      </c>
      <c r="L440" s="16" t="s">
        <v>297</v>
      </c>
      <c r="M440" s="16" t="s">
        <v>297</v>
      </c>
      <c r="N440" s="16" t="s">
        <v>297</v>
      </c>
      <c r="O440" s="16" t="s">
        <v>297</v>
      </c>
      <c r="P440" s="16" t="s">
        <v>297</v>
      </c>
      <c r="Q440" s="16" t="s">
        <v>297</v>
      </c>
      <c r="R440" s="54"/>
      <c r="S440" s="54"/>
      <c r="T440" s="54"/>
      <c r="U440" s="54"/>
      <c r="V440" s="54"/>
      <c r="W440" s="54"/>
      <c r="X440" s="54"/>
      <c r="Y440" s="54"/>
      <c r="Z440" s="54"/>
      <c r="AA440" s="54"/>
      <c r="AB440" s="54"/>
      <c r="AC440" s="54"/>
      <c r="AD440" s="54"/>
      <c r="AE440" s="54"/>
      <c r="AF440" s="54"/>
      <c r="AG440" s="54"/>
      <c r="AH440" s="54"/>
      <c r="AI440" s="54"/>
      <c r="AJ440" s="54"/>
      <c r="AK440" s="54"/>
      <c r="AL440" s="54"/>
      <c r="AM440" s="54"/>
      <c r="AN440" s="54"/>
      <c r="AO440" s="54"/>
      <c r="AP440" s="54"/>
      <c r="AQ440" s="54"/>
      <c r="AR440" s="54"/>
      <c r="AS440" s="54"/>
      <c r="AT440" s="54"/>
      <c r="AU440" s="54"/>
      <c r="AV440" s="54"/>
      <c r="AW440" s="54"/>
      <c r="AX440" s="54"/>
      <c r="AY440" s="54"/>
      <c r="AZ440" s="54"/>
      <c r="BA440" s="54"/>
      <c r="BB440" s="54"/>
      <c r="BC440" s="54"/>
      <c r="BD440" s="54"/>
      <c r="BE440" s="54"/>
      <c r="BF440" s="54"/>
      <c r="BG440" s="54"/>
      <c r="BH440" s="54"/>
      <c r="BI440" s="54"/>
      <c r="BJ440" s="54"/>
      <c r="BK440" s="54"/>
      <c r="BL440" s="54"/>
      <c r="BM440" s="54"/>
      <c r="BN440" s="54"/>
      <c r="BO440" s="54"/>
      <c r="BP440" s="54"/>
      <c r="BQ440" s="54"/>
      <c r="BR440" s="54"/>
      <c r="BS440" s="54"/>
      <c r="BT440" s="54"/>
      <c r="BU440" s="54"/>
      <c r="BV440" s="54"/>
      <c r="BW440" s="54"/>
      <c r="BX440" s="54"/>
      <c r="BY440" s="54"/>
      <c r="BZ440" s="54"/>
      <c r="CA440" s="54"/>
      <c r="CB440" s="54"/>
      <c r="CC440" s="54"/>
      <c r="CD440" s="54"/>
      <c r="CE440" s="54"/>
      <c r="CF440" s="54"/>
      <c r="CG440" s="54"/>
      <c r="CH440" s="54"/>
      <c r="CI440" s="54"/>
      <c r="CJ440" s="54"/>
      <c r="CK440" s="54"/>
      <c r="CL440" s="54"/>
      <c r="CM440" s="54"/>
      <c r="CN440" s="54"/>
      <c r="CO440" s="54"/>
      <c r="CP440" s="54"/>
      <c r="CQ440" s="54"/>
      <c r="CR440" s="54"/>
      <c r="CS440" s="54"/>
      <c r="CT440" s="54"/>
      <c r="CU440" s="54"/>
      <c r="CV440" s="54"/>
      <c r="CW440" s="54"/>
      <c r="CX440" s="54"/>
      <c r="CY440" s="54"/>
      <c r="CZ440" s="54"/>
      <c r="DA440" s="54"/>
      <c r="DB440" s="54"/>
      <c r="DC440" s="54"/>
      <c r="DD440" s="54"/>
      <c r="DE440" s="54"/>
      <c r="DF440" s="54"/>
      <c r="DG440" s="54"/>
      <c r="DH440" s="54"/>
      <c r="DI440" s="54"/>
      <c r="DJ440" s="54"/>
      <c r="DK440" s="54"/>
      <c r="DL440" s="54"/>
      <c r="DM440" s="54"/>
      <c r="DN440" s="54"/>
      <c r="DO440" s="54"/>
      <c r="DP440" s="54"/>
      <c r="DQ440" s="54"/>
      <c r="DR440" s="54"/>
      <c r="DS440" s="54"/>
      <c r="DT440" s="54"/>
      <c r="DU440" s="54"/>
      <c r="DV440" s="54"/>
      <c r="DW440" s="54"/>
      <c r="DX440" s="54"/>
      <c r="DY440" s="54"/>
      <c r="DZ440" s="54"/>
      <c r="EA440" s="54"/>
      <c r="EB440" s="54"/>
      <c r="EC440" s="54"/>
    </row>
    <row r="441" spans="1:133" ht="46.8" x14ac:dyDescent="0.25">
      <c r="A441" s="59" t="s">
        <v>13</v>
      </c>
      <c r="B441" s="60" t="s">
        <v>14</v>
      </c>
      <c r="C441" s="53" t="s">
        <v>15</v>
      </c>
      <c r="D441" s="53" t="s">
        <v>369</v>
      </c>
      <c r="E441" s="61">
        <f>SUM(F441:K441)</f>
        <v>5667.3876300827887</v>
      </c>
      <c r="F441" s="62">
        <f>$E$442*$E$443*F444*$E$455</f>
        <v>973.44123487375487</v>
      </c>
      <c r="G441" s="62">
        <f t="shared" ref="G441:K441" si="56">$E$442*$E$443*G444*$E$455</f>
        <v>879.35293383184296</v>
      </c>
      <c r="H441" s="62">
        <f t="shared" si="56"/>
        <v>973.45277586151872</v>
      </c>
      <c r="I441" s="62">
        <f t="shared" si="56"/>
        <v>943.46287980119064</v>
      </c>
      <c r="J441" s="62">
        <f t="shared" si="56"/>
        <v>1017.9529920995645</v>
      </c>
      <c r="K441" s="62">
        <f t="shared" si="56"/>
        <v>879.72481361491725</v>
      </c>
      <c r="L441" s="62" t="s">
        <v>297</v>
      </c>
      <c r="M441" s="62" t="s">
        <v>297</v>
      </c>
      <c r="N441" s="62" t="s">
        <v>297</v>
      </c>
      <c r="O441" s="62" t="s">
        <v>297</v>
      </c>
      <c r="P441" s="62" t="s">
        <v>297</v>
      </c>
      <c r="Q441" s="62" t="s">
        <v>297</v>
      </c>
    </row>
    <row r="442" spans="1:133" ht="31.2" x14ac:dyDescent="0.25">
      <c r="A442" s="63" t="s">
        <v>16</v>
      </c>
      <c r="B442" s="60" t="s">
        <v>193</v>
      </c>
      <c r="C442" s="35" t="s">
        <v>17</v>
      </c>
      <c r="D442" s="35" t="s">
        <v>205</v>
      </c>
      <c r="E442" s="176">
        <v>28</v>
      </c>
      <c r="F442" s="176"/>
      <c r="G442" s="176"/>
      <c r="H442" s="176"/>
      <c r="I442" s="176"/>
      <c r="J442" s="176"/>
      <c r="K442" s="176"/>
      <c r="L442" s="176"/>
      <c r="M442" s="176"/>
      <c r="N442" s="176"/>
      <c r="O442" s="176"/>
      <c r="P442" s="176"/>
      <c r="Q442" s="176"/>
    </row>
    <row r="443" spans="1:133" ht="64.8" x14ac:dyDescent="0.25">
      <c r="A443" s="63" t="s">
        <v>18</v>
      </c>
      <c r="B443" s="25" t="s">
        <v>194</v>
      </c>
      <c r="C443" s="35" t="s">
        <v>20</v>
      </c>
      <c r="D443" s="35" t="s">
        <v>394</v>
      </c>
      <c r="E443" s="176">
        <v>0.21</v>
      </c>
      <c r="F443" s="176"/>
      <c r="G443" s="176"/>
      <c r="H443" s="176"/>
      <c r="I443" s="176"/>
      <c r="J443" s="176"/>
      <c r="K443" s="176"/>
      <c r="L443" s="176"/>
      <c r="M443" s="176"/>
      <c r="N443" s="176"/>
      <c r="O443" s="176"/>
      <c r="P443" s="176"/>
      <c r="Q443" s="176"/>
    </row>
    <row r="444" spans="1:133" ht="46.8" x14ac:dyDescent="0.25">
      <c r="A444" s="35" t="s">
        <v>21</v>
      </c>
      <c r="B444" s="25" t="s">
        <v>195</v>
      </c>
      <c r="C444" s="53" t="s">
        <v>22</v>
      </c>
      <c r="D444" s="53" t="s">
        <v>370</v>
      </c>
      <c r="E444" s="64">
        <f t="shared" ref="E444:K444" si="57">E452*E445</f>
        <v>1520.4991667963056</v>
      </c>
      <c r="F444" s="64">
        <f t="shared" si="57"/>
        <v>261.16381711640389</v>
      </c>
      <c r="G444" s="64">
        <f t="shared" si="57"/>
        <v>235.92093756108093</v>
      </c>
      <c r="H444" s="64">
        <f t="shared" si="57"/>
        <v>261.16691343933508</v>
      </c>
      <c r="I444" s="64">
        <f t="shared" si="57"/>
        <v>253.12094677031962</v>
      </c>
      <c r="J444" s="64">
        <f t="shared" si="57"/>
        <v>273.10584300064613</v>
      </c>
      <c r="K444" s="64">
        <f t="shared" si="57"/>
        <v>236.02070890851999</v>
      </c>
      <c r="L444" s="64" t="s">
        <v>297</v>
      </c>
      <c r="M444" s="64" t="s">
        <v>297</v>
      </c>
      <c r="N444" s="64" t="s">
        <v>297</v>
      </c>
      <c r="O444" s="64" t="s">
        <v>297</v>
      </c>
      <c r="P444" s="64" t="s">
        <v>297</v>
      </c>
      <c r="Q444" s="64" t="s">
        <v>297</v>
      </c>
    </row>
    <row r="445" spans="1:133" ht="46.8" x14ac:dyDescent="0.25">
      <c r="A445" s="35" t="s">
        <v>23</v>
      </c>
      <c r="B445" s="25" t="s">
        <v>197</v>
      </c>
      <c r="C445" s="35" t="s">
        <v>191</v>
      </c>
      <c r="D445" s="35" t="s">
        <v>371</v>
      </c>
      <c r="E445" s="20">
        <f>SUM(F445:K445)</f>
        <v>1600.4449911363981</v>
      </c>
      <c r="F445" s="20">
        <f>F447*F450</f>
        <v>274.89546334358869</v>
      </c>
      <c r="G445" s="20">
        <f t="shared" ref="G445:K445" si="58">G447*G450</f>
        <v>248.32534674740629</v>
      </c>
      <c r="H445" s="20">
        <f t="shared" si="58"/>
        <v>274.89872246706233</v>
      </c>
      <c r="I445" s="20">
        <f t="shared" si="58"/>
        <v>266.42970956953582</v>
      </c>
      <c r="J445" s="20">
        <f t="shared" si="58"/>
        <v>287.46538506918023</v>
      </c>
      <c r="K445" s="20">
        <f t="shared" si="58"/>
        <v>248.43036393962495</v>
      </c>
      <c r="L445" s="20" t="s">
        <v>297</v>
      </c>
      <c r="M445" s="20" t="s">
        <v>297</v>
      </c>
      <c r="N445" s="20" t="s">
        <v>297</v>
      </c>
      <c r="O445" s="20" t="s">
        <v>297</v>
      </c>
      <c r="P445" s="20" t="s">
        <v>297</v>
      </c>
      <c r="Q445" s="20" t="s">
        <v>297</v>
      </c>
    </row>
    <row r="446" spans="1:133" ht="62.4" x14ac:dyDescent="0.25">
      <c r="A446" s="17" t="s">
        <v>335</v>
      </c>
      <c r="B446" s="60" t="s">
        <v>192</v>
      </c>
      <c r="C446" s="35" t="s">
        <v>25</v>
      </c>
      <c r="D446" s="35" t="s">
        <v>333</v>
      </c>
      <c r="E446" s="121">
        <f>AVERAGE(F446:K446)</f>
        <v>19220.757605824372</v>
      </c>
      <c r="F446" s="121">
        <v>18926.600322580642</v>
      </c>
      <c r="G446" s="121">
        <v>18931.385249999999</v>
      </c>
      <c r="H446" s="121">
        <v>18931.028193548387</v>
      </c>
      <c r="I446" s="121">
        <v>18929.365099999995</v>
      </c>
      <c r="J446" s="121">
        <v>19798.686935483871</v>
      </c>
      <c r="K446" s="121">
        <v>19807.479833333331</v>
      </c>
      <c r="L446" s="20" t="s">
        <v>297</v>
      </c>
      <c r="M446" s="20" t="s">
        <v>297</v>
      </c>
      <c r="N446" s="20" t="s">
        <v>297</v>
      </c>
      <c r="O446" s="20" t="s">
        <v>297</v>
      </c>
      <c r="P446" s="20" t="s">
        <v>297</v>
      </c>
      <c r="Q446" s="20" t="s">
        <v>297</v>
      </c>
    </row>
    <row r="447" spans="1:133" ht="46.8" x14ac:dyDescent="0.25">
      <c r="A447" s="35" t="s">
        <v>26</v>
      </c>
      <c r="B447" s="60" t="s">
        <v>198</v>
      </c>
      <c r="C447" s="35" t="s">
        <v>27</v>
      </c>
      <c r="D447" s="35" t="s">
        <v>206</v>
      </c>
      <c r="E447" s="65">
        <f>SUM(F447:K447)</f>
        <v>3479529.9139999994</v>
      </c>
      <c r="F447" s="65">
        <f>F446*F440</f>
        <v>586724.60999999987</v>
      </c>
      <c r="G447" s="65">
        <f t="shared" ref="G447:K447" si="59">G446*G440</f>
        <v>530078.78700000001</v>
      </c>
      <c r="H447" s="65">
        <f t="shared" si="59"/>
        <v>586861.87399999995</v>
      </c>
      <c r="I447" s="65">
        <f t="shared" si="59"/>
        <v>567880.95299999986</v>
      </c>
      <c r="J447" s="65">
        <f t="shared" si="59"/>
        <v>613759.29500000004</v>
      </c>
      <c r="K447" s="65">
        <f t="shared" si="59"/>
        <v>594224.3949999999</v>
      </c>
      <c r="L447" s="65" t="s">
        <v>297</v>
      </c>
      <c r="M447" s="65" t="s">
        <v>297</v>
      </c>
      <c r="N447" s="65" t="s">
        <v>297</v>
      </c>
      <c r="O447" s="65" t="s">
        <v>297</v>
      </c>
      <c r="P447" s="65" t="s">
        <v>297</v>
      </c>
      <c r="Q447" s="65" t="s">
        <v>297</v>
      </c>
    </row>
    <row r="448" spans="1:133" ht="62.4" x14ac:dyDescent="0.25">
      <c r="A448" s="35" t="s">
        <v>28</v>
      </c>
      <c r="B448" s="60" t="s">
        <v>199</v>
      </c>
      <c r="C448" s="35" t="s">
        <v>29</v>
      </c>
      <c r="D448" s="35" t="s">
        <v>332</v>
      </c>
      <c r="E448" s="125">
        <f>AVERAGE(F448:K448)</f>
        <v>460.17063246714457</v>
      </c>
      <c r="F448" s="125">
        <v>468.52553763440864</v>
      </c>
      <c r="G448" s="125">
        <v>468.46875000000006</v>
      </c>
      <c r="H448" s="125">
        <v>468.42150537634404</v>
      </c>
      <c r="I448" s="125">
        <v>469.16472222222234</v>
      </c>
      <c r="J448" s="125">
        <v>468.36827956989265</v>
      </c>
      <c r="K448" s="137">
        <v>418.07499999999999</v>
      </c>
      <c r="L448" s="66" t="s">
        <v>297</v>
      </c>
      <c r="M448" s="66" t="s">
        <v>297</v>
      </c>
      <c r="N448" s="66" t="s">
        <v>297</v>
      </c>
      <c r="O448" s="66" t="s">
        <v>297</v>
      </c>
      <c r="P448" s="66" t="s">
        <v>297</v>
      </c>
      <c r="Q448" s="66" t="s">
        <v>297</v>
      </c>
    </row>
    <row r="449" spans="1:133" ht="62.4" x14ac:dyDescent="0.25">
      <c r="A449" s="35" t="s">
        <v>30</v>
      </c>
      <c r="B449" s="60" t="s">
        <v>199</v>
      </c>
      <c r="C449" s="35" t="s">
        <v>31</v>
      </c>
      <c r="D449" s="35" t="s">
        <v>331</v>
      </c>
      <c r="E449" s="125">
        <f>AVERAGE(F449:K449)</f>
        <v>21.715079365079362</v>
      </c>
      <c r="F449" s="125">
        <v>22.636559139784939</v>
      </c>
      <c r="G449" s="125">
        <v>21.886309523809526</v>
      </c>
      <c r="H449" s="125">
        <v>22.375537634408602</v>
      </c>
      <c r="I449" s="125">
        <v>22.280277777777773</v>
      </c>
      <c r="J449" s="125">
        <v>21.921236559139782</v>
      </c>
      <c r="K449" s="137">
        <v>19.190555555555555</v>
      </c>
      <c r="L449" s="65" t="s">
        <v>297</v>
      </c>
      <c r="M449" s="65" t="s">
        <v>297</v>
      </c>
      <c r="N449" s="65" t="s">
        <v>297</v>
      </c>
      <c r="O449" s="65" t="s">
        <v>297</v>
      </c>
      <c r="P449" s="65" t="s">
        <v>297</v>
      </c>
      <c r="Q449" s="65" t="s">
        <v>297</v>
      </c>
    </row>
    <row r="450" spans="1:133" ht="62.4" x14ac:dyDescent="0.25">
      <c r="A450" s="35" t="s">
        <v>32</v>
      </c>
      <c r="B450" s="60" t="s">
        <v>200</v>
      </c>
      <c r="C450" s="35" t="s">
        <v>34</v>
      </c>
      <c r="D450" s="35" t="s">
        <v>338</v>
      </c>
      <c r="E450" s="122">
        <f>E448/1000000</f>
        <v>4.6017063246714455E-4</v>
      </c>
      <c r="F450" s="120">
        <f>F448/1000000</f>
        <v>4.6852553763440864E-4</v>
      </c>
      <c r="G450" s="120">
        <f t="shared" ref="G450:K451" si="60">G448/1000000</f>
        <v>4.6846875000000008E-4</v>
      </c>
      <c r="H450" s="120">
        <f t="shared" si="60"/>
        <v>4.6842150537634402E-4</v>
      </c>
      <c r="I450" s="120">
        <f t="shared" si="60"/>
        <v>4.6916472222222234E-4</v>
      </c>
      <c r="J450" s="120">
        <f t="shared" si="60"/>
        <v>4.6836827956989267E-4</v>
      </c>
      <c r="K450" s="120">
        <f t="shared" si="60"/>
        <v>4.1807500000000001E-4</v>
      </c>
      <c r="L450" s="22" t="s">
        <v>297</v>
      </c>
      <c r="M450" s="22" t="s">
        <v>297</v>
      </c>
      <c r="N450" s="22" t="s">
        <v>297</v>
      </c>
      <c r="O450" s="22" t="s">
        <v>297</v>
      </c>
      <c r="P450" s="22" t="s">
        <v>297</v>
      </c>
      <c r="Q450" s="22" t="s">
        <v>297</v>
      </c>
    </row>
    <row r="451" spans="1:133" ht="62.4" x14ac:dyDescent="0.25">
      <c r="A451" s="35" t="s">
        <v>30</v>
      </c>
      <c r="B451" s="60" t="s">
        <v>33</v>
      </c>
      <c r="C451" s="35" t="s">
        <v>35</v>
      </c>
      <c r="D451" s="35" t="s">
        <v>339</v>
      </c>
      <c r="E451" s="122">
        <f>E449/1000000</f>
        <v>2.1715079365079363E-5</v>
      </c>
      <c r="F451" s="120">
        <f>F449/1000000</f>
        <v>2.263655913978494E-5</v>
      </c>
      <c r="G451" s="120">
        <f t="shared" si="60"/>
        <v>2.1886309523809527E-5</v>
      </c>
      <c r="H451" s="120">
        <f t="shared" si="60"/>
        <v>2.2375537634408603E-5</v>
      </c>
      <c r="I451" s="120">
        <f t="shared" si="60"/>
        <v>2.2280277777777773E-5</v>
      </c>
      <c r="J451" s="120">
        <f t="shared" si="60"/>
        <v>2.1921236559139782E-5</v>
      </c>
      <c r="K451" s="120">
        <f t="shared" si="60"/>
        <v>1.9190555555555557E-5</v>
      </c>
      <c r="L451" s="22" t="s">
        <v>297</v>
      </c>
      <c r="M451" s="22" t="s">
        <v>297</v>
      </c>
      <c r="N451" s="22" t="s">
        <v>297</v>
      </c>
      <c r="O451" s="22" t="s">
        <v>297</v>
      </c>
      <c r="P451" s="22" t="s">
        <v>297</v>
      </c>
      <c r="Q451" s="22" t="s">
        <v>297</v>
      </c>
    </row>
    <row r="452" spans="1:133" ht="46.8" x14ac:dyDescent="0.25">
      <c r="A452" s="63" t="s">
        <v>36</v>
      </c>
      <c r="B452" s="25" t="s">
        <v>201</v>
      </c>
      <c r="C452" s="35" t="s">
        <v>38</v>
      </c>
      <c r="D452" s="35" t="s">
        <v>368</v>
      </c>
      <c r="E452" s="68">
        <f>(1-(E453/E454))</f>
        <v>0.95004775247956075</v>
      </c>
      <c r="F452" s="68">
        <f>E452</f>
        <v>0.95004775247956075</v>
      </c>
      <c r="G452" s="68">
        <f>E452</f>
        <v>0.95004775247956075</v>
      </c>
      <c r="H452" s="68">
        <f>E452</f>
        <v>0.95004775247956075</v>
      </c>
      <c r="I452" s="68">
        <f>E452</f>
        <v>0.95004775247956075</v>
      </c>
      <c r="J452" s="68">
        <f>E452</f>
        <v>0.95004775247956075</v>
      </c>
      <c r="K452" s="68">
        <f>F452</f>
        <v>0.95004775247956075</v>
      </c>
      <c r="L452" s="68" t="s">
        <v>297</v>
      </c>
      <c r="M452" s="68" t="s">
        <v>297</v>
      </c>
      <c r="N452" s="68" t="s">
        <v>297</v>
      </c>
      <c r="O452" s="68" t="s">
        <v>297</v>
      </c>
      <c r="P452" s="68" t="s">
        <v>297</v>
      </c>
      <c r="Q452" s="68" t="s">
        <v>297</v>
      </c>
    </row>
    <row r="453" spans="1:133" ht="31.2" x14ac:dyDescent="0.25">
      <c r="A453" s="35" t="s">
        <v>39</v>
      </c>
      <c r="B453" s="25" t="s">
        <v>196</v>
      </c>
      <c r="C453" s="35" t="s">
        <v>40</v>
      </c>
      <c r="D453" s="35" t="s">
        <v>351</v>
      </c>
      <c r="E453" s="52">
        <f>SUM(F453:K453)</f>
        <v>79.31075332559999</v>
      </c>
      <c r="F453" s="52">
        <v>13.583609685599999</v>
      </c>
      <c r="G453" s="52">
        <v>12.2690668128</v>
      </c>
      <c r="H453" s="52">
        <v>13.583609685599999</v>
      </c>
      <c r="I453" s="52">
        <v>13.145428728000001</v>
      </c>
      <c r="J453" s="52">
        <v>13.583609685599999</v>
      </c>
      <c r="K453" s="52">
        <v>13.145428728000001</v>
      </c>
      <c r="L453" s="69" t="s">
        <v>297</v>
      </c>
      <c r="M453" s="69" t="s">
        <v>297</v>
      </c>
      <c r="N453" s="69" t="s">
        <v>297</v>
      </c>
      <c r="O453" s="69" t="s">
        <v>297</v>
      </c>
      <c r="P453" s="69" t="s">
        <v>297</v>
      </c>
      <c r="Q453" s="69" t="s">
        <v>297</v>
      </c>
    </row>
    <row r="454" spans="1:133" ht="31.2" x14ac:dyDescent="0.25">
      <c r="A454" s="63" t="s">
        <v>41</v>
      </c>
      <c r="B454" s="25" t="s">
        <v>24</v>
      </c>
      <c r="C454" s="35" t="s">
        <v>42</v>
      </c>
      <c r="D454" s="35" t="s">
        <v>351</v>
      </c>
      <c r="E454" s="52">
        <f>SUM(F454:K454)</f>
        <v>1587.7314287639997</v>
      </c>
      <c r="F454" s="52">
        <v>271.93190216399995</v>
      </c>
      <c r="G454" s="52">
        <v>245.61591163200001</v>
      </c>
      <c r="H454" s="52">
        <v>271.93190216399995</v>
      </c>
      <c r="I454" s="52">
        <v>263.15990532000001</v>
      </c>
      <c r="J454" s="52">
        <v>271.93190216399995</v>
      </c>
      <c r="K454" s="52">
        <v>263.15990532000001</v>
      </c>
      <c r="L454" s="69" t="s">
        <v>297</v>
      </c>
      <c r="M454" s="69" t="s">
        <v>297</v>
      </c>
      <c r="N454" s="69" t="s">
        <v>297</v>
      </c>
      <c r="O454" s="69" t="s">
        <v>297</v>
      </c>
      <c r="P454" s="69" t="s">
        <v>297</v>
      </c>
      <c r="Q454" s="69" t="s">
        <v>297</v>
      </c>
    </row>
    <row r="455" spans="1:133" ht="31.2" x14ac:dyDescent="0.25">
      <c r="A455" s="53" t="s">
        <v>43</v>
      </c>
      <c r="B455" s="25" t="s">
        <v>201</v>
      </c>
      <c r="C455" s="53" t="s">
        <v>44</v>
      </c>
      <c r="D455" s="35" t="s">
        <v>372</v>
      </c>
      <c r="E455" s="177">
        <f>E456*E457*0.89</f>
        <v>0.63389803476075868</v>
      </c>
      <c r="F455" s="177"/>
      <c r="G455" s="177"/>
      <c r="H455" s="177"/>
      <c r="I455" s="177"/>
      <c r="J455" s="177"/>
      <c r="K455" s="177"/>
      <c r="L455" s="177"/>
      <c r="M455" s="177"/>
      <c r="N455" s="177"/>
      <c r="O455" s="177"/>
      <c r="P455" s="177"/>
      <c r="Q455" s="177"/>
    </row>
    <row r="456" spans="1:133" ht="31.2" x14ac:dyDescent="0.25">
      <c r="A456" s="70" t="s">
        <v>45</v>
      </c>
      <c r="B456" s="25" t="s">
        <v>201</v>
      </c>
      <c r="C456" s="53" t="s">
        <v>46</v>
      </c>
      <c r="D456" s="35" t="s">
        <v>373</v>
      </c>
      <c r="E456" s="162">
        <v>0.7</v>
      </c>
      <c r="F456" s="163"/>
      <c r="G456" s="163"/>
      <c r="H456" s="163"/>
      <c r="I456" s="163"/>
      <c r="J456" s="163"/>
      <c r="K456" s="163"/>
      <c r="L456" s="163"/>
      <c r="M456" s="163"/>
      <c r="N456" s="163"/>
      <c r="O456" s="163"/>
      <c r="P456" s="163"/>
      <c r="Q456" s="164"/>
    </row>
    <row r="457" spans="1:133" ht="36" customHeight="1" x14ac:dyDescent="0.25">
      <c r="A457" s="70" t="s">
        <v>47</v>
      </c>
      <c r="B457" s="25" t="s">
        <v>37</v>
      </c>
      <c r="C457" s="53" t="s">
        <v>48</v>
      </c>
      <c r="D457" s="35" t="s">
        <v>374</v>
      </c>
      <c r="E457" s="159">
        <f>(F458*F463+G458*G463+H458*H463+I458*I463+J458*J463+K458*K463)/(F452*F447*F450+G452*G450*G447+H452*H447*H450+I452*I450*I447+J452*J450*J447+K452*K450*K447)</f>
        <v>1.0174928326817956</v>
      </c>
      <c r="F457" s="160"/>
      <c r="G457" s="160"/>
      <c r="H457" s="160"/>
      <c r="I457" s="160"/>
      <c r="J457" s="160"/>
      <c r="K457" s="160"/>
      <c r="L457" s="160"/>
      <c r="M457" s="160"/>
      <c r="N457" s="160"/>
      <c r="O457" s="160"/>
      <c r="P457" s="160"/>
      <c r="Q457" s="161"/>
    </row>
    <row r="458" spans="1:133" s="9" customFormat="1" ht="46.8" x14ac:dyDescent="0.4">
      <c r="A458" s="71" t="s">
        <v>49</v>
      </c>
      <c r="B458" s="25" t="s">
        <v>37</v>
      </c>
      <c r="C458" s="53" t="s">
        <v>50</v>
      </c>
      <c r="D458" s="53" t="s">
        <v>375</v>
      </c>
      <c r="E458" s="72">
        <f>AVERAGE(F458:K458)</f>
        <v>0.51692418859489864</v>
      </c>
      <c r="F458" s="72">
        <f>IF(F462&lt;283,0,IF(F462&gt;303,1,EXP(($E$459*(F462-$E$460))/($E$461*$E$460*F462))))</f>
        <v>0.28185768352625201</v>
      </c>
      <c r="G458" s="72">
        <f t="shared" ref="G458:K458" si="61">IF(G462&lt;283,0,IF(G462&gt;303,1,EXP(($E$459*(G462-$E$460))/($E$461*$E$460*G462))))</f>
        <v>0.21347704492026076</v>
      </c>
      <c r="H458" s="72">
        <f t="shared" si="61"/>
        <v>0.50475941545474445</v>
      </c>
      <c r="I458" s="72">
        <f t="shared" si="61"/>
        <v>0.52733825786216582</v>
      </c>
      <c r="J458" s="72">
        <f t="shared" si="61"/>
        <v>0.65487347206548807</v>
      </c>
      <c r="K458" s="72">
        <f t="shared" si="61"/>
        <v>0.91923925774048054</v>
      </c>
      <c r="L458" s="72" t="s">
        <v>297</v>
      </c>
      <c r="M458" s="72" t="s">
        <v>297</v>
      </c>
      <c r="N458" s="72" t="s">
        <v>297</v>
      </c>
      <c r="O458" s="72" t="s">
        <v>297</v>
      </c>
      <c r="P458" s="72" t="s">
        <v>297</v>
      </c>
      <c r="Q458" s="72" t="s">
        <v>297</v>
      </c>
      <c r="R458" s="78"/>
      <c r="S458" s="78"/>
      <c r="T458" s="78"/>
      <c r="U458" s="78"/>
      <c r="V458" s="78"/>
      <c r="W458" s="78"/>
      <c r="X458" s="78"/>
      <c r="Y458" s="78"/>
      <c r="Z458" s="78"/>
      <c r="AA458" s="78"/>
      <c r="AB458" s="78"/>
      <c r="AC458" s="78"/>
      <c r="AD458" s="78"/>
      <c r="AE458" s="78"/>
      <c r="AF458" s="78"/>
      <c r="AG458" s="78"/>
      <c r="AH458" s="78"/>
      <c r="AI458" s="78"/>
      <c r="AJ458" s="78"/>
      <c r="AK458" s="78"/>
      <c r="AL458" s="78"/>
      <c r="AM458" s="78"/>
      <c r="AN458" s="78"/>
      <c r="AO458" s="78"/>
      <c r="AP458" s="78"/>
      <c r="AQ458" s="78"/>
      <c r="AR458" s="78"/>
      <c r="AS458" s="78"/>
      <c r="AT458" s="78"/>
      <c r="AU458" s="78"/>
      <c r="AV458" s="78"/>
      <c r="AW458" s="78"/>
      <c r="AX458" s="78"/>
      <c r="AY458" s="78"/>
      <c r="AZ458" s="78"/>
      <c r="BA458" s="78"/>
      <c r="BB458" s="78"/>
      <c r="BC458" s="78"/>
      <c r="BD458" s="78"/>
      <c r="BE458" s="78"/>
      <c r="BF458" s="78"/>
      <c r="BG458" s="78"/>
      <c r="BH458" s="78"/>
      <c r="BI458" s="78"/>
      <c r="BJ458" s="78"/>
      <c r="BK458" s="78"/>
      <c r="BL458" s="78"/>
      <c r="BM458" s="78"/>
      <c r="BN458" s="78"/>
      <c r="BO458" s="78"/>
      <c r="BP458" s="78"/>
      <c r="BQ458" s="78"/>
      <c r="BR458" s="78"/>
      <c r="BS458" s="78"/>
      <c r="BT458" s="78"/>
      <c r="BU458" s="78"/>
      <c r="BV458" s="78"/>
      <c r="BW458" s="78"/>
      <c r="BX458" s="78"/>
      <c r="BY458" s="78"/>
      <c r="BZ458" s="78"/>
      <c r="CA458" s="78"/>
      <c r="CB458" s="78"/>
      <c r="CC458" s="78"/>
      <c r="CD458" s="78"/>
      <c r="CE458" s="78"/>
      <c r="CF458" s="78"/>
      <c r="CG458" s="78"/>
      <c r="CH458" s="78"/>
      <c r="CI458" s="78"/>
      <c r="CJ458" s="78"/>
      <c r="CK458" s="78"/>
      <c r="CL458" s="78"/>
      <c r="CM458" s="78"/>
      <c r="CN458" s="78"/>
      <c r="CO458" s="78"/>
      <c r="CP458" s="78"/>
      <c r="CQ458" s="78"/>
      <c r="CR458" s="78"/>
      <c r="CS458" s="78"/>
      <c r="CT458" s="78"/>
      <c r="CU458" s="78"/>
      <c r="CV458" s="78"/>
      <c r="CW458" s="78"/>
      <c r="CX458" s="78"/>
      <c r="CY458" s="78"/>
      <c r="CZ458" s="78"/>
      <c r="DA458" s="78"/>
      <c r="DB458" s="78"/>
      <c r="DC458" s="78"/>
      <c r="DD458" s="78"/>
      <c r="DE458" s="78"/>
      <c r="DF458" s="78"/>
      <c r="DG458" s="78"/>
      <c r="DH458" s="78"/>
      <c r="DI458" s="78"/>
      <c r="DJ458" s="78"/>
      <c r="DK458" s="78"/>
      <c r="DL458" s="78"/>
      <c r="DM458" s="78"/>
      <c r="DN458" s="78"/>
      <c r="DO458" s="78"/>
      <c r="DP458" s="78"/>
      <c r="DQ458" s="78"/>
      <c r="DR458" s="78"/>
      <c r="DS458" s="78"/>
      <c r="DT458" s="78"/>
      <c r="DU458" s="78"/>
      <c r="DV458" s="78"/>
      <c r="DW458" s="78"/>
      <c r="DX458" s="78"/>
      <c r="DY458" s="78"/>
      <c r="DZ458" s="78"/>
      <c r="EA458" s="78"/>
      <c r="EB458" s="78"/>
      <c r="EC458" s="78"/>
    </row>
    <row r="459" spans="1:133" s="9" customFormat="1" x14ac:dyDescent="0.25">
      <c r="A459" s="73" t="s">
        <v>51</v>
      </c>
      <c r="B459" s="60" t="s">
        <v>202</v>
      </c>
      <c r="C459" s="53" t="s">
        <v>53</v>
      </c>
      <c r="D459" s="53" t="s">
        <v>376</v>
      </c>
      <c r="E459" s="162">
        <v>15175</v>
      </c>
      <c r="F459" s="163"/>
      <c r="G459" s="163"/>
      <c r="H459" s="163"/>
      <c r="I459" s="163"/>
      <c r="J459" s="163"/>
      <c r="K459" s="163"/>
      <c r="L459" s="163"/>
      <c r="M459" s="163"/>
      <c r="N459" s="163"/>
      <c r="O459" s="163"/>
      <c r="P459" s="163"/>
      <c r="Q459" s="164"/>
      <c r="R459" s="78"/>
      <c r="S459" s="78"/>
      <c r="T459" s="78"/>
      <c r="U459" s="78"/>
      <c r="V459" s="78"/>
      <c r="W459" s="78"/>
      <c r="X459" s="78"/>
      <c r="Y459" s="78"/>
      <c r="Z459" s="78"/>
      <c r="AA459" s="78"/>
      <c r="AB459" s="78"/>
      <c r="AC459" s="78"/>
      <c r="AD459" s="78"/>
      <c r="AE459" s="78"/>
      <c r="AF459" s="78"/>
      <c r="AG459" s="78"/>
      <c r="AH459" s="78"/>
      <c r="AI459" s="78"/>
      <c r="AJ459" s="78"/>
      <c r="AK459" s="78"/>
      <c r="AL459" s="78"/>
      <c r="AM459" s="78"/>
      <c r="AN459" s="78"/>
      <c r="AO459" s="78"/>
      <c r="AP459" s="78"/>
      <c r="AQ459" s="78"/>
      <c r="AR459" s="78"/>
      <c r="AS459" s="78"/>
      <c r="AT459" s="78"/>
      <c r="AU459" s="78"/>
      <c r="AV459" s="78"/>
      <c r="AW459" s="78"/>
      <c r="AX459" s="78"/>
      <c r="AY459" s="78"/>
      <c r="AZ459" s="78"/>
      <c r="BA459" s="78"/>
      <c r="BB459" s="78"/>
      <c r="BC459" s="78"/>
      <c r="BD459" s="78"/>
      <c r="BE459" s="78"/>
      <c r="BF459" s="78"/>
      <c r="BG459" s="78"/>
      <c r="BH459" s="78"/>
      <c r="BI459" s="78"/>
      <c r="BJ459" s="78"/>
      <c r="BK459" s="78"/>
      <c r="BL459" s="78"/>
      <c r="BM459" s="78"/>
      <c r="BN459" s="78"/>
      <c r="BO459" s="78"/>
      <c r="BP459" s="78"/>
      <c r="BQ459" s="78"/>
      <c r="BR459" s="78"/>
      <c r="BS459" s="78"/>
      <c r="BT459" s="78"/>
      <c r="BU459" s="78"/>
      <c r="BV459" s="78"/>
      <c r="BW459" s="78"/>
      <c r="BX459" s="78"/>
      <c r="BY459" s="78"/>
      <c r="BZ459" s="78"/>
      <c r="CA459" s="78"/>
      <c r="CB459" s="78"/>
      <c r="CC459" s="78"/>
      <c r="CD459" s="78"/>
      <c r="CE459" s="78"/>
      <c r="CF459" s="78"/>
      <c r="CG459" s="78"/>
      <c r="CH459" s="78"/>
      <c r="CI459" s="78"/>
      <c r="CJ459" s="78"/>
      <c r="CK459" s="78"/>
      <c r="CL459" s="78"/>
      <c r="CM459" s="78"/>
      <c r="CN459" s="78"/>
      <c r="CO459" s="78"/>
      <c r="CP459" s="78"/>
      <c r="CQ459" s="78"/>
      <c r="CR459" s="78"/>
      <c r="CS459" s="78"/>
      <c r="CT459" s="78"/>
      <c r="CU459" s="78"/>
      <c r="CV459" s="78"/>
      <c r="CW459" s="78"/>
      <c r="CX459" s="78"/>
      <c r="CY459" s="78"/>
      <c r="CZ459" s="78"/>
      <c r="DA459" s="78"/>
      <c r="DB459" s="78"/>
      <c r="DC459" s="78"/>
      <c r="DD459" s="78"/>
      <c r="DE459" s="78"/>
      <c r="DF459" s="78"/>
      <c r="DG459" s="78"/>
      <c r="DH459" s="78"/>
      <c r="DI459" s="78"/>
      <c r="DJ459" s="78"/>
      <c r="DK459" s="78"/>
      <c r="DL459" s="78"/>
      <c r="DM459" s="78"/>
      <c r="DN459" s="78"/>
      <c r="DO459" s="78"/>
      <c r="DP459" s="78"/>
      <c r="DQ459" s="78"/>
      <c r="DR459" s="78"/>
      <c r="DS459" s="78"/>
      <c r="DT459" s="78"/>
      <c r="DU459" s="78"/>
      <c r="DV459" s="78"/>
      <c r="DW459" s="78"/>
      <c r="DX459" s="78"/>
      <c r="DY459" s="78"/>
      <c r="DZ459" s="78"/>
      <c r="EA459" s="78"/>
      <c r="EB459" s="78"/>
      <c r="EC459" s="78"/>
    </row>
    <row r="460" spans="1:133" s="9" customFormat="1" ht="18" x14ac:dyDescent="0.25">
      <c r="A460" s="73" t="s">
        <v>54</v>
      </c>
      <c r="B460" s="60" t="s">
        <v>203</v>
      </c>
      <c r="C460" s="53" t="s">
        <v>56</v>
      </c>
      <c r="D460" s="53" t="s">
        <v>376</v>
      </c>
      <c r="E460" s="162">
        <v>303.16000000000003</v>
      </c>
      <c r="F460" s="163"/>
      <c r="G460" s="163"/>
      <c r="H460" s="163"/>
      <c r="I460" s="163"/>
      <c r="J460" s="163"/>
      <c r="K460" s="163"/>
      <c r="L460" s="163"/>
      <c r="M460" s="163"/>
      <c r="N460" s="163"/>
      <c r="O460" s="163"/>
      <c r="P460" s="163"/>
      <c r="Q460" s="164"/>
      <c r="R460" s="78"/>
      <c r="S460" s="78"/>
      <c r="T460" s="78"/>
      <c r="U460" s="78"/>
      <c r="V460" s="78"/>
      <c r="W460" s="78"/>
      <c r="X460" s="78"/>
      <c r="Y460" s="78"/>
      <c r="Z460" s="78"/>
      <c r="AA460" s="78"/>
      <c r="AB460" s="78"/>
      <c r="AC460" s="78"/>
      <c r="AD460" s="78"/>
      <c r="AE460" s="78"/>
      <c r="AF460" s="78"/>
      <c r="AG460" s="78"/>
      <c r="AH460" s="78"/>
      <c r="AI460" s="78"/>
      <c r="AJ460" s="78"/>
      <c r="AK460" s="78"/>
      <c r="AL460" s="78"/>
      <c r="AM460" s="78"/>
      <c r="AN460" s="78"/>
      <c r="AO460" s="78"/>
      <c r="AP460" s="78"/>
      <c r="AQ460" s="78"/>
      <c r="AR460" s="78"/>
      <c r="AS460" s="78"/>
      <c r="AT460" s="78"/>
      <c r="AU460" s="78"/>
      <c r="AV460" s="78"/>
      <c r="AW460" s="78"/>
      <c r="AX460" s="78"/>
      <c r="AY460" s="78"/>
      <c r="AZ460" s="78"/>
      <c r="BA460" s="78"/>
      <c r="BB460" s="78"/>
      <c r="BC460" s="78"/>
      <c r="BD460" s="78"/>
      <c r="BE460" s="78"/>
      <c r="BF460" s="78"/>
      <c r="BG460" s="78"/>
      <c r="BH460" s="78"/>
      <c r="BI460" s="78"/>
      <c r="BJ460" s="78"/>
      <c r="BK460" s="78"/>
      <c r="BL460" s="78"/>
      <c r="BM460" s="78"/>
      <c r="BN460" s="78"/>
      <c r="BO460" s="78"/>
      <c r="BP460" s="78"/>
      <c r="BQ460" s="78"/>
      <c r="BR460" s="78"/>
      <c r="BS460" s="78"/>
      <c r="BT460" s="78"/>
      <c r="BU460" s="78"/>
      <c r="BV460" s="78"/>
      <c r="BW460" s="78"/>
      <c r="BX460" s="78"/>
      <c r="BY460" s="78"/>
      <c r="BZ460" s="78"/>
      <c r="CA460" s="78"/>
      <c r="CB460" s="78"/>
      <c r="CC460" s="78"/>
      <c r="CD460" s="78"/>
      <c r="CE460" s="78"/>
      <c r="CF460" s="78"/>
      <c r="CG460" s="78"/>
      <c r="CH460" s="78"/>
      <c r="CI460" s="78"/>
      <c r="CJ460" s="78"/>
      <c r="CK460" s="78"/>
      <c r="CL460" s="78"/>
      <c r="CM460" s="78"/>
      <c r="CN460" s="78"/>
      <c r="CO460" s="78"/>
      <c r="CP460" s="78"/>
      <c r="CQ460" s="78"/>
      <c r="CR460" s="78"/>
      <c r="CS460" s="78"/>
      <c r="CT460" s="78"/>
      <c r="CU460" s="78"/>
      <c r="CV460" s="78"/>
      <c r="CW460" s="78"/>
      <c r="CX460" s="78"/>
      <c r="CY460" s="78"/>
      <c r="CZ460" s="78"/>
      <c r="DA460" s="78"/>
      <c r="DB460" s="78"/>
      <c r="DC460" s="78"/>
      <c r="DD460" s="78"/>
      <c r="DE460" s="78"/>
      <c r="DF460" s="78"/>
      <c r="DG460" s="78"/>
      <c r="DH460" s="78"/>
      <c r="DI460" s="78"/>
      <c r="DJ460" s="78"/>
      <c r="DK460" s="78"/>
      <c r="DL460" s="78"/>
      <c r="DM460" s="78"/>
      <c r="DN460" s="78"/>
      <c r="DO460" s="78"/>
      <c r="DP460" s="78"/>
      <c r="DQ460" s="78"/>
      <c r="DR460" s="78"/>
      <c r="DS460" s="78"/>
      <c r="DT460" s="78"/>
      <c r="DU460" s="78"/>
      <c r="DV460" s="78"/>
      <c r="DW460" s="78"/>
      <c r="DX460" s="78"/>
      <c r="DY460" s="78"/>
      <c r="DZ460" s="78"/>
      <c r="EA460" s="78"/>
      <c r="EB460" s="78"/>
      <c r="EC460" s="78"/>
    </row>
    <row r="461" spans="1:133" s="9" customFormat="1" x14ac:dyDescent="0.25">
      <c r="A461" s="73" t="s">
        <v>57</v>
      </c>
      <c r="B461" s="60" t="s">
        <v>204</v>
      </c>
      <c r="C461" s="53" t="s">
        <v>59</v>
      </c>
      <c r="D461" s="53" t="s">
        <v>376</v>
      </c>
      <c r="E461" s="162">
        <v>1.9870000000000001</v>
      </c>
      <c r="F461" s="163"/>
      <c r="G461" s="163"/>
      <c r="H461" s="163"/>
      <c r="I461" s="163"/>
      <c r="J461" s="163"/>
      <c r="K461" s="163"/>
      <c r="L461" s="163"/>
      <c r="M461" s="163"/>
      <c r="N461" s="163"/>
      <c r="O461" s="163"/>
      <c r="P461" s="163"/>
      <c r="Q461" s="164"/>
      <c r="R461" s="78"/>
      <c r="S461" s="78"/>
      <c r="T461" s="78"/>
      <c r="U461" s="78"/>
      <c r="V461" s="78"/>
      <c r="W461" s="78"/>
      <c r="X461" s="78"/>
      <c r="Y461" s="78"/>
      <c r="Z461" s="78"/>
      <c r="AA461" s="78"/>
      <c r="AB461" s="78"/>
      <c r="AC461" s="78"/>
      <c r="AD461" s="78"/>
      <c r="AE461" s="78"/>
      <c r="AF461" s="78"/>
      <c r="AG461" s="78"/>
      <c r="AH461" s="78"/>
      <c r="AI461" s="78"/>
      <c r="AJ461" s="78"/>
      <c r="AK461" s="78"/>
      <c r="AL461" s="78"/>
      <c r="AM461" s="78"/>
      <c r="AN461" s="78"/>
      <c r="AO461" s="78"/>
      <c r="AP461" s="78"/>
      <c r="AQ461" s="78"/>
      <c r="AR461" s="78"/>
      <c r="AS461" s="78"/>
      <c r="AT461" s="78"/>
      <c r="AU461" s="78"/>
      <c r="AV461" s="78"/>
      <c r="AW461" s="78"/>
      <c r="AX461" s="78"/>
      <c r="AY461" s="78"/>
      <c r="AZ461" s="78"/>
      <c r="BA461" s="78"/>
      <c r="BB461" s="78"/>
      <c r="BC461" s="78"/>
      <c r="BD461" s="78"/>
      <c r="BE461" s="78"/>
      <c r="BF461" s="78"/>
      <c r="BG461" s="78"/>
      <c r="BH461" s="78"/>
      <c r="BI461" s="78"/>
      <c r="BJ461" s="78"/>
      <c r="BK461" s="78"/>
      <c r="BL461" s="78"/>
      <c r="BM461" s="78"/>
      <c r="BN461" s="78"/>
      <c r="BO461" s="78"/>
      <c r="BP461" s="78"/>
      <c r="BQ461" s="78"/>
      <c r="BR461" s="78"/>
      <c r="BS461" s="78"/>
      <c r="BT461" s="78"/>
      <c r="BU461" s="78"/>
      <c r="BV461" s="78"/>
      <c r="BW461" s="78"/>
      <c r="BX461" s="78"/>
      <c r="BY461" s="78"/>
      <c r="BZ461" s="78"/>
      <c r="CA461" s="78"/>
      <c r="CB461" s="78"/>
      <c r="CC461" s="78"/>
      <c r="CD461" s="78"/>
      <c r="CE461" s="78"/>
      <c r="CF461" s="78"/>
      <c r="CG461" s="78"/>
      <c r="CH461" s="78"/>
      <c r="CI461" s="78"/>
      <c r="CJ461" s="78"/>
      <c r="CK461" s="78"/>
      <c r="CL461" s="78"/>
      <c r="CM461" s="78"/>
      <c r="CN461" s="78"/>
      <c r="CO461" s="78"/>
      <c r="CP461" s="78"/>
      <c r="CQ461" s="78"/>
      <c r="CR461" s="78"/>
      <c r="CS461" s="78"/>
      <c r="CT461" s="78"/>
      <c r="CU461" s="78"/>
      <c r="CV461" s="78"/>
      <c r="CW461" s="78"/>
      <c r="CX461" s="78"/>
      <c r="CY461" s="78"/>
      <c r="CZ461" s="78"/>
      <c r="DA461" s="78"/>
      <c r="DB461" s="78"/>
      <c r="DC461" s="78"/>
      <c r="DD461" s="78"/>
      <c r="DE461" s="78"/>
      <c r="DF461" s="78"/>
      <c r="DG461" s="78"/>
      <c r="DH461" s="78"/>
      <c r="DI461" s="78"/>
      <c r="DJ461" s="78"/>
      <c r="DK461" s="78"/>
      <c r="DL461" s="78"/>
      <c r="DM461" s="78"/>
      <c r="DN461" s="78"/>
      <c r="DO461" s="78"/>
      <c r="DP461" s="78"/>
      <c r="DQ461" s="78"/>
      <c r="DR461" s="78"/>
      <c r="DS461" s="78"/>
      <c r="DT461" s="78"/>
      <c r="DU461" s="78"/>
      <c r="DV461" s="78"/>
      <c r="DW461" s="78"/>
      <c r="DX461" s="78"/>
      <c r="DY461" s="78"/>
      <c r="DZ461" s="78"/>
      <c r="EA461" s="78"/>
      <c r="EB461" s="78"/>
      <c r="EC461" s="78"/>
    </row>
    <row r="462" spans="1:133" s="9" customFormat="1" ht="31.2" x14ac:dyDescent="0.25">
      <c r="A462" s="73" t="s">
        <v>60</v>
      </c>
      <c r="B462" s="60" t="s">
        <v>203</v>
      </c>
      <c r="C462" s="53" t="s">
        <v>61</v>
      </c>
      <c r="D462" s="143" t="s">
        <v>363</v>
      </c>
      <c r="E462" s="98">
        <f>AVERAGE(F462:K462)</f>
        <v>294.23333333333335</v>
      </c>
      <c r="F462" s="60">
        <v>288.64999999999998</v>
      </c>
      <c r="G462" s="60">
        <v>285.64999999999998</v>
      </c>
      <c r="H462" s="60">
        <v>295.14999999999998</v>
      </c>
      <c r="I462" s="60">
        <v>295.64999999999998</v>
      </c>
      <c r="J462" s="60">
        <v>298.14999999999998</v>
      </c>
      <c r="K462" s="60">
        <v>302.14999999999998</v>
      </c>
      <c r="L462" s="60" t="s">
        <v>297</v>
      </c>
      <c r="M462" s="60" t="s">
        <v>297</v>
      </c>
      <c r="N462" s="60" t="s">
        <v>297</v>
      </c>
      <c r="O462" s="60" t="s">
        <v>297</v>
      </c>
      <c r="P462" s="60" t="s">
        <v>297</v>
      </c>
      <c r="Q462" s="60" t="s">
        <v>297</v>
      </c>
      <c r="R462" s="78"/>
      <c r="S462" s="78"/>
      <c r="T462" s="78"/>
      <c r="U462" s="78"/>
      <c r="V462" s="78"/>
      <c r="W462" s="78"/>
      <c r="X462" s="78"/>
      <c r="Y462" s="78"/>
      <c r="Z462" s="78"/>
      <c r="AA462" s="78"/>
      <c r="AB462" s="78"/>
      <c r="AC462" s="78"/>
      <c r="AD462" s="78"/>
      <c r="AE462" s="78"/>
      <c r="AF462" s="78"/>
      <c r="AG462" s="78"/>
      <c r="AH462" s="78"/>
      <c r="AI462" s="78"/>
      <c r="AJ462" s="78"/>
      <c r="AK462" s="78"/>
      <c r="AL462" s="78"/>
      <c r="AM462" s="78"/>
      <c r="AN462" s="78"/>
      <c r="AO462" s="78"/>
      <c r="AP462" s="78"/>
      <c r="AQ462" s="78"/>
      <c r="AR462" s="78"/>
      <c r="AS462" s="78"/>
      <c r="AT462" s="78"/>
      <c r="AU462" s="78"/>
      <c r="AV462" s="78"/>
      <c r="AW462" s="78"/>
      <c r="AX462" s="78"/>
      <c r="AY462" s="78"/>
      <c r="AZ462" s="78"/>
      <c r="BA462" s="78"/>
      <c r="BB462" s="78"/>
      <c r="BC462" s="78"/>
      <c r="BD462" s="78"/>
      <c r="BE462" s="78"/>
      <c r="BF462" s="78"/>
      <c r="BG462" s="78"/>
      <c r="BH462" s="78"/>
      <c r="BI462" s="78"/>
      <c r="BJ462" s="78"/>
      <c r="BK462" s="78"/>
      <c r="BL462" s="78"/>
      <c r="BM462" s="78"/>
      <c r="BN462" s="78"/>
      <c r="BO462" s="78"/>
      <c r="BP462" s="78"/>
      <c r="BQ462" s="78"/>
      <c r="BR462" s="78"/>
      <c r="BS462" s="78"/>
      <c r="BT462" s="78"/>
      <c r="BU462" s="78"/>
      <c r="BV462" s="78"/>
      <c r="BW462" s="78"/>
      <c r="BX462" s="78"/>
      <c r="BY462" s="78"/>
      <c r="BZ462" s="78"/>
      <c r="CA462" s="78"/>
      <c r="CB462" s="78"/>
      <c r="CC462" s="78"/>
      <c r="CD462" s="78"/>
      <c r="CE462" s="78"/>
      <c r="CF462" s="78"/>
      <c r="CG462" s="78"/>
      <c r="CH462" s="78"/>
      <c r="CI462" s="78"/>
      <c r="CJ462" s="78"/>
      <c r="CK462" s="78"/>
      <c r="CL462" s="78"/>
      <c r="CM462" s="78"/>
      <c r="CN462" s="78"/>
      <c r="CO462" s="78"/>
      <c r="CP462" s="78"/>
      <c r="CQ462" s="78"/>
      <c r="CR462" s="78"/>
      <c r="CS462" s="78"/>
      <c r="CT462" s="78"/>
      <c r="CU462" s="78"/>
      <c r="CV462" s="78"/>
      <c r="CW462" s="78"/>
      <c r="CX462" s="78"/>
      <c r="CY462" s="78"/>
      <c r="CZ462" s="78"/>
      <c r="DA462" s="78"/>
      <c r="DB462" s="78"/>
      <c r="DC462" s="78"/>
      <c r="DD462" s="78"/>
      <c r="DE462" s="78"/>
      <c r="DF462" s="78"/>
      <c r="DG462" s="78"/>
      <c r="DH462" s="78"/>
      <c r="DI462" s="78"/>
      <c r="DJ462" s="78"/>
      <c r="DK462" s="78"/>
      <c r="DL462" s="78"/>
      <c r="DM462" s="78"/>
      <c r="DN462" s="78"/>
      <c r="DO462" s="78"/>
      <c r="DP462" s="78"/>
      <c r="DQ462" s="78"/>
      <c r="DR462" s="78"/>
      <c r="DS462" s="78"/>
      <c r="DT462" s="78"/>
      <c r="DU462" s="78"/>
      <c r="DV462" s="78"/>
      <c r="DW462" s="78"/>
      <c r="DX462" s="78"/>
      <c r="DY462" s="78"/>
      <c r="DZ462" s="78"/>
      <c r="EA462" s="78"/>
      <c r="EB462" s="78"/>
      <c r="EC462" s="78"/>
    </row>
    <row r="463" spans="1:133" s="9" customFormat="1" ht="31.2" x14ac:dyDescent="0.4">
      <c r="A463" s="71" t="s">
        <v>62</v>
      </c>
      <c r="B463" s="60" t="s">
        <v>196</v>
      </c>
      <c r="C463" s="53" t="s">
        <v>63</v>
      </c>
      <c r="D463" s="53" t="s">
        <v>377</v>
      </c>
      <c r="E463" s="74">
        <f>SUM(F463:K463)</f>
        <v>3440.101075158424</v>
      </c>
      <c r="F463" s="74">
        <f>F452*F447*F450+(1-F458)*'Baseline Emissions 2021'!Q463</f>
        <v>700.81089272037616</v>
      </c>
      <c r="G463" s="74">
        <f t="shared" ref="G463:K463" si="62">G452*G447*G450+(1-G458)*F463</f>
        <v>787.12479185558141</v>
      </c>
      <c r="H463" s="74">
        <f t="shared" si="62"/>
        <v>650.98305546795586</v>
      </c>
      <c r="I463" s="74">
        <f t="shared" si="62"/>
        <v>560.81573187001402</v>
      </c>
      <c r="J463" s="74">
        <f t="shared" si="62"/>
        <v>466.65822935199634</v>
      </c>
      <c r="K463" s="74">
        <f t="shared" si="62"/>
        <v>273.70837389250033</v>
      </c>
      <c r="L463" s="74" t="s">
        <v>297</v>
      </c>
      <c r="M463" s="74" t="s">
        <v>297</v>
      </c>
      <c r="N463" s="74" t="s">
        <v>297</v>
      </c>
      <c r="O463" s="74" t="s">
        <v>297</v>
      </c>
      <c r="P463" s="74" t="s">
        <v>297</v>
      </c>
      <c r="Q463" s="74" t="s">
        <v>297</v>
      </c>
      <c r="R463" s="78"/>
      <c r="S463" s="78"/>
      <c r="T463" s="78"/>
      <c r="U463" s="78"/>
      <c r="V463" s="78"/>
      <c r="W463" s="78"/>
      <c r="X463" s="78"/>
      <c r="Y463" s="78"/>
      <c r="Z463" s="78"/>
      <c r="AA463" s="78"/>
      <c r="AB463" s="78"/>
      <c r="AC463" s="78"/>
      <c r="AD463" s="78"/>
      <c r="AE463" s="78"/>
      <c r="AF463" s="78"/>
      <c r="AG463" s="78"/>
      <c r="AH463" s="78"/>
      <c r="AI463" s="78"/>
      <c r="AJ463" s="78"/>
      <c r="AK463" s="78"/>
      <c r="AL463" s="78"/>
      <c r="AM463" s="78"/>
      <c r="AN463" s="78"/>
      <c r="AO463" s="78"/>
      <c r="AP463" s="78"/>
      <c r="AQ463" s="78"/>
      <c r="AR463" s="78"/>
      <c r="AS463" s="78"/>
      <c r="AT463" s="78"/>
      <c r="AU463" s="78"/>
      <c r="AV463" s="78"/>
      <c r="AW463" s="78"/>
      <c r="AX463" s="78"/>
      <c r="AY463" s="78"/>
      <c r="AZ463" s="78"/>
      <c r="BA463" s="78"/>
      <c r="BB463" s="78"/>
      <c r="BC463" s="78"/>
      <c r="BD463" s="78"/>
      <c r="BE463" s="78"/>
      <c r="BF463" s="78"/>
      <c r="BG463" s="78"/>
      <c r="BH463" s="78"/>
      <c r="BI463" s="78"/>
      <c r="BJ463" s="78"/>
      <c r="BK463" s="78"/>
      <c r="BL463" s="78"/>
      <c r="BM463" s="78"/>
      <c r="BN463" s="78"/>
      <c r="BO463" s="78"/>
      <c r="BP463" s="78"/>
      <c r="BQ463" s="78"/>
      <c r="BR463" s="78"/>
      <c r="BS463" s="78"/>
      <c r="BT463" s="78"/>
      <c r="BU463" s="78"/>
      <c r="BV463" s="78"/>
      <c r="BW463" s="78"/>
      <c r="BX463" s="78"/>
      <c r="BY463" s="78"/>
      <c r="BZ463" s="78"/>
      <c r="CA463" s="78"/>
      <c r="CB463" s="78"/>
      <c r="CC463" s="78"/>
      <c r="CD463" s="78"/>
      <c r="CE463" s="78"/>
      <c r="CF463" s="78"/>
      <c r="CG463" s="78"/>
      <c r="CH463" s="78"/>
      <c r="CI463" s="78"/>
      <c r="CJ463" s="78"/>
      <c r="CK463" s="78"/>
      <c r="CL463" s="78"/>
      <c r="CM463" s="78"/>
      <c r="CN463" s="78"/>
      <c r="CO463" s="78"/>
      <c r="CP463" s="78"/>
      <c r="CQ463" s="78"/>
      <c r="CR463" s="78"/>
      <c r="CS463" s="78"/>
      <c r="CT463" s="78"/>
      <c r="CU463" s="78"/>
      <c r="CV463" s="78"/>
      <c r="CW463" s="78"/>
      <c r="CX463" s="78"/>
      <c r="CY463" s="78"/>
      <c r="CZ463" s="78"/>
      <c r="DA463" s="78"/>
      <c r="DB463" s="78"/>
      <c r="DC463" s="78"/>
      <c r="DD463" s="78"/>
      <c r="DE463" s="78"/>
      <c r="DF463" s="78"/>
      <c r="DG463" s="78"/>
      <c r="DH463" s="78"/>
      <c r="DI463" s="78"/>
      <c r="DJ463" s="78"/>
      <c r="DK463" s="78"/>
      <c r="DL463" s="78"/>
      <c r="DM463" s="78"/>
      <c r="DN463" s="78"/>
      <c r="DO463" s="78"/>
      <c r="DP463" s="78"/>
      <c r="DQ463" s="78"/>
      <c r="DR463" s="78"/>
      <c r="DS463" s="78"/>
      <c r="DT463" s="78"/>
      <c r="DU463" s="78"/>
      <c r="DV463" s="78"/>
      <c r="DW463" s="78"/>
      <c r="DX463" s="78"/>
      <c r="DY463" s="78"/>
      <c r="DZ463" s="78"/>
      <c r="EA463" s="78"/>
      <c r="EB463" s="78"/>
      <c r="EC463" s="78"/>
    </row>
    <row r="465" spans="1:133" s="13" customFormat="1" x14ac:dyDescent="0.25">
      <c r="A465" s="158" t="s">
        <v>64</v>
      </c>
      <c r="B465" s="158"/>
      <c r="C465" s="158"/>
      <c r="D465" s="158"/>
      <c r="E465" s="158"/>
      <c r="R465" s="14"/>
      <c r="S465" s="14"/>
      <c r="T465" s="14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4"/>
      <c r="AF465" s="14"/>
      <c r="AG465" s="14"/>
      <c r="AH465" s="14"/>
      <c r="AI465" s="14"/>
      <c r="AJ465" s="14"/>
      <c r="AK465" s="14"/>
      <c r="AL465" s="14"/>
      <c r="AM465" s="14"/>
      <c r="AN465" s="14"/>
      <c r="AO465" s="14"/>
      <c r="AP465" s="14"/>
      <c r="AQ465" s="14"/>
      <c r="AR465" s="14"/>
      <c r="AS465" s="14"/>
      <c r="AT465" s="14"/>
      <c r="AU465" s="14"/>
      <c r="AV465" s="14"/>
      <c r="AW465" s="14"/>
      <c r="AX465" s="14"/>
      <c r="AY465" s="14"/>
      <c r="AZ465" s="14"/>
      <c r="BA465" s="14"/>
      <c r="BB465" s="14"/>
      <c r="BC465" s="14"/>
      <c r="BD465" s="14"/>
      <c r="BE465" s="14"/>
      <c r="BF465" s="14"/>
      <c r="BG465" s="14"/>
      <c r="BH465" s="14"/>
      <c r="BI465" s="14"/>
      <c r="BJ465" s="14"/>
      <c r="BK465" s="14"/>
      <c r="BL465" s="14"/>
      <c r="BM465" s="14"/>
      <c r="BN465" s="14"/>
      <c r="BO465" s="14"/>
      <c r="BP465" s="14"/>
      <c r="BQ465" s="14"/>
      <c r="BR465" s="14"/>
      <c r="BS465" s="14"/>
      <c r="BT465" s="14"/>
      <c r="BU465" s="14"/>
      <c r="BV465" s="14"/>
      <c r="BW465" s="14"/>
      <c r="BX465" s="14"/>
      <c r="BY465" s="14"/>
      <c r="BZ465" s="14"/>
      <c r="CA465" s="14"/>
      <c r="CB465" s="14"/>
      <c r="CC465" s="14"/>
      <c r="CD465" s="14"/>
      <c r="CE465" s="14"/>
      <c r="CF465" s="14"/>
      <c r="CG465" s="14"/>
      <c r="CH465" s="14"/>
      <c r="CI465" s="14"/>
      <c r="CJ465" s="14"/>
      <c r="CK465" s="14"/>
      <c r="CL465" s="14"/>
      <c r="CM465" s="14"/>
      <c r="CN465" s="14"/>
      <c r="CO465" s="14"/>
      <c r="CP465" s="14"/>
      <c r="CQ465" s="14"/>
      <c r="CR465" s="14"/>
      <c r="CS465" s="14"/>
      <c r="CT465" s="14"/>
      <c r="CU465" s="14"/>
      <c r="CV465" s="14"/>
      <c r="CW465" s="14"/>
      <c r="CX465" s="14"/>
      <c r="CY465" s="14"/>
      <c r="CZ465" s="14"/>
      <c r="DA465" s="14"/>
      <c r="DB465" s="14"/>
      <c r="DC465" s="14"/>
      <c r="DD465" s="14"/>
      <c r="DE465" s="14"/>
      <c r="DF465" s="14"/>
      <c r="DG465" s="14"/>
      <c r="DH465" s="14"/>
      <c r="DI465" s="14"/>
      <c r="DJ465" s="14"/>
      <c r="DK465" s="14"/>
      <c r="DL465" s="14"/>
      <c r="DM465" s="14"/>
      <c r="DN465" s="14"/>
      <c r="DO465" s="14"/>
      <c r="DP465" s="14"/>
      <c r="DQ465" s="14"/>
      <c r="DR465" s="14"/>
      <c r="DS465" s="14"/>
      <c r="DT465" s="14"/>
      <c r="DU465" s="14"/>
      <c r="DV465" s="14"/>
      <c r="DW465" s="14"/>
      <c r="DX465" s="14"/>
      <c r="DY465" s="14"/>
      <c r="DZ465" s="14"/>
      <c r="EA465" s="14"/>
      <c r="EB465" s="14"/>
      <c r="EC465" s="14"/>
    </row>
    <row r="466" spans="1:133" s="13" customFormat="1" x14ac:dyDescent="0.25">
      <c r="A466" s="57" t="s">
        <v>8</v>
      </c>
      <c r="B466" s="58" t="s">
        <v>9</v>
      </c>
      <c r="C466" s="34" t="s">
        <v>10</v>
      </c>
      <c r="D466" s="34" t="s">
        <v>340</v>
      </c>
      <c r="E466" s="16" t="s">
        <v>65</v>
      </c>
      <c r="R466" s="14"/>
      <c r="S466" s="14"/>
      <c r="T466" s="14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F466" s="14"/>
      <c r="AG466" s="14"/>
      <c r="AH466" s="14"/>
      <c r="AI466" s="14"/>
      <c r="AJ466" s="14"/>
      <c r="AK466" s="14"/>
      <c r="AL466" s="14"/>
      <c r="AM466" s="14"/>
      <c r="AN466" s="14"/>
      <c r="AO466" s="14"/>
      <c r="AP466" s="14"/>
      <c r="AQ466" s="14"/>
      <c r="AR466" s="14"/>
      <c r="AS466" s="14"/>
      <c r="AT466" s="14"/>
      <c r="AU466" s="14"/>
      <c r="AV466" s="14"/>
      <c r="AW466" s="14"/>
      <c r="AX466" s="14"/>
      <c r="AY466" s="14"/>
      <c r="AZ466" s="14"/>
      <c r="BA466" s="14"/>
      <c r="BB466" s="14"/>
      <c r="BC466" s="14"/>
      <c r="BD466" s="14"/>
      <c r="BE466" s="14"/>
      <c r="BF466" s="14"/>
      <c r="BG466" s="14"/>
      <c r="BH466" s="14"/>
      <c r="BI466" s="14"/>
      <c r="BJ466" s="14"/>
      <c r="BK466" s="14"/>
      <c r="BL466" s="14"/>
      <c r="BM466" s="14"/>
      <c r="BN466" s="14"/>
      <c r="BO466" s="14"/>
      <c r="BP466" s="14"/>
      <c r="BQ466" s="14"/>
      <c r="BR466" s="14"/>
      <c r="BS466" s="14"/>
      <c r="BT466" s="14"/>
      <c r="BU466" s="14"/>
      <c r="BV466" s="14"/>
      <c r="BW466" s="14"/>
      <c r="BX466" s="14"/>
      <c r="BY466" s="14"/>
      <c r="BZ466" s="14"/>
      <c r="CA466" s="14"/>
      <c r="CB466" s="14"/>
      <c r="CC466" s="14"/>
      <c r="CD466" s="14"/>
      <c r="CE466" s="14"/>
      <c r="CF466" s="14"/>
      <c r="CG466" s="14"/>
      <c r="CH466" s="14"/>
      <c r="CI466" s="14"/>
      <c r="CJ466" s="14"/>
      <c r="CK466" s="14"/>
      <c r="CL466" s="14"/>
      <c r="CM466" s="14"/>
      <c r="CN466" s="14"/>
      <c r="CO466" s="14"/>
      <c r="CP466" s="14"/>
      <c r="CQ466" s="14"/>
      <c r="CR466" s="14"/>
      <c r="CS466" s="14"/>
      <c r="CT466" s="14"/>
      <c r="CU466" s="14"/>
      <c r="CV466" s="14"/>
      <c r="CW466" s="14"/>
      <c r="CX466" s="14"/>
      <c r="CY466" s="14"/>
      <c r="CZ466" s="14"/>
      <c r="DA466" s="14"/>
      <c r="DB466" s="14"/>
      <c r="DC466" s="14"/>
      <c r="DD466" s="14"/>
      <c r="DE466" s="14"/>
      <c r="DF466" s="14"/>
      <c r="DG466" s="14"/>
      <c r="DH466" s="14"/>
      <c r="DI466" s="14"/>
      <c r="DJ466" s="14"/>
      <c r="DK466" s="14"/>
      <c r="DL466" s="14"/>
      <c r="DM466" s="14"/>
      <c r="DN466" s="14"/>
      <c r="DO466" s="14"/>
      <c r="DP466" s="14"/>
      <c r="DQ466" s="14"/>
      <c r="DR466" s="14"/>
      <c r="DS466" s="14"/>
      <c r="DT466" s="14"/>
      <c r="DU466" s="14"/>
      <c r="DV466" s="14"/>
      <c r="DW466" s="14"/>
      <c r="DX466" s="14"/>
      <c r="DY466" s="14"/>
      <c r="DZ466" s="14"/>
      <c r="EA466" s="14"/>
      <c r="EB466" s="14"/>
      <c r="EC466" s="14"/>
    </row>
    <row r="467" spans="1:133" s="13" customFormat="1" ht="62.4" x14ac:dyDescent="0.25">
      <c r="A467" s="59" t="s">
        <v>66</v>
      </c>
      <c r="B467" s="60" t="s">
        <v>14</v>
      </c>
      <c r="C467" s="53" t="s">
        <v>67</v>
      </c>
      <c r="D467" s="53" t="s">
        <v>68</v>
      </c>
      <c r="E467" s="75">
        <v>0</v>
      </c>
      <c r="R467" s="14"/>
      <c r="S467" s="14"/>
      <c r="T467" s="14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F467" s="14"/>
      <c r="AG467" s="14"/>
      <c r="AH467" s="14"/>
      <c r="AI467" s="14"/>
      <c r="AJ467" s="14"/>
      <c r="AK467" s="14"/>
      <c r="AL467" s="14"/>
      <c r="AM467" s="14"/>
      <c r="AN467" s="14"/>
      <c r="AO467" s="14"/>
      <c r="AP467" s="14"/>
      <c r="AQ467" s="14"/>
      <c r="AR467" s="14"/>
      <c r="AS467" s="14"/>
      <c r="AT467" s="14"/>
      <c r="AU467" s="14"/>
      <c r="AV467" s="14"/>
      <c r="AW467" s="14"/>
      <c r="AX467" s="14"/>
      <c r="AY467" s="14"/>
      <c r="AZ467" s="14"/>
      <c r="BA467" s="14"/>
      <c r="BB467" s="14"/>
      <c r="BC467" s="14"/>
      <c r="BD467" s="14"/>
      <c r="BE467" s="14"/>
      <c r="BF467" s="14"/>
      <c r="BG467" s="14"/>
      <c r="BH467" s="14"/>
      <c r="BI467" s="14"/>
      <c r="BJ467" s="14"/>
      <c r="BK467" s="14"/>
      <c r="BL467" s="14"/>
      <c r="BM467" s="14"/>
      <c r="BN467" s="14"/>
      <c r="BO467" s="14"/>
      <c r="BP467" s="14"/>
      <c r="BQ467" s="14"/>
      <c r="BR467" s="14"/>
      <c r="BS467" s="14"/>
      <c r="BT467" s="14"/>
      <c r="BU467" s="14"/>
      <c r="BV467" s="14"/>
      <c r="BW467" s="14"/>
      <c r="BX467" s="14"/>
      <c r="BY467" s="14"/>
      <c r="BZ467" s="14"/>
      <c r="CA467" s="14"/>
      <c r="CB467" s="14"/>
      <c r="CC467" s="14"/>
      <c r="CD467" s="14"/>
      <c r="CE467" s="14"/>
      <c r="CF467" s="14"/>
      <c r="CG467" s="14"/>
      <c r="CH467" s="14"/>
      <c r="CI467" s="14"/>
      <c r="CJ467" s="14"/>
      <c r="CK467" s="14"/>
      <c r="CL467" s="14"/>
      <c r="CM467" s="14"/>
      <c r="CN467" s="14"/>
      <c r="CO467" s="14"/>
      <c r="CP467" s="14"/>
      <c r="CQ467" s="14"/>
      <c r="CR467" s="14"/>
      <c r="CS467" s="14"/>
      <c r="CT467" s="14"/>
      <c r="CU467" s="14"/>
      <c r="CV467" s="14"/>
      <c r="CW467" s="14"/>
      <c r="CX467" s="14"/>
      <c r="CY467" s="14"/>
      <c r="CZ467" s="14"/>
      <c r="DA467" s="14"/>
      <c r="DB467" s="14"/>
      <c r="DC467" s="14"/>
      <c r="DD467" s="14"/>
      <c r="DE467" s="14"/>
      <c r="DF467" s="14"/>
      <c r="DG467" s="14"/>
      <c r="DH467" s="14"/>
      <c r="DI467" s="14"/>
      <c r="DJ467" s="14"/>
      <c r="DK467" s="14"/>
      <c r="DL467" s="14"/>
      <c r="DM467" s="14"/>
      <c r="DN467" s="14"/>
      <c r="DO467" s="14"/>
      <c r="DP467" s="14"/>
      <c r="DQ467" s="14"/>
      <c r="DR467" s="14"/>
      <c r="DS467" s="14"/>
      <c r="DT467" s="14"/>
      <c r="DU467" s="14"/>
      <c r="DV467" s="14"/>
      <c r="DW467" s="14"/>
      <c r="DX467" s="14"/>
      <c r="DY467" s="14"/>
      <c r="DZ467" s="14"/>
      <c r="EA467" s="14"/>
      <c r="EB467" s="14"/>
      <c r="EC467" s="14"/>
    </row>
    <row r="468" spans="1:133" s="13" customFormat="1" ht="46.8" x14ac:dyDescent="0.25">
      <c r="A468" s="63" t="s">
        <v>69</v>
      </c>
      <c r="B468" s="25" t="s">
        <v>70</v>
      </c>
      <c r="C468" s="35" t="s">
        <v>71</v>
      </c>
      <c r="D468" s="53" t="str">
        <f>D474</f>
        <v>Historical data on site in the FSR (It was calculated with conservative value)</v>
      </c>
      <c r="E468" s="74">
        <f>E474</f>
        <v>645.60266293207508</v>
      </c>
      <c r="R468" s="14"/>
      <c r="S468" s="14"/>
      <c r="T468" s="14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F468" s="14"/>
      <c r="AG468" s="14"/>
      <c r="AH468" s="14"/>
      <c r="AI468" s="14"/>
      <c r="AJ468" s="14"/>
      <c r="AK468" s="14"/>
      <c r="AL468" s="14"/>
      <c r="AM468" s="14"/>
      <c r="AN468" s="14"/>
      <c r="AO468" s="14"/>
      <c r="AP468" s="14"/>
      <c r="AQ468" s="14"/>
      <c r="AR468" s="14"/>
      <c r="AS468" s="14"/>
      <c r="AT468" s="14"/>
      <c r="AU468" s="14"/>
      <c r="AV468" s="14"/>
      <c r="AW468" s="14"/>
      <c r="AX468" s="14"/>
      <c r="AY468" s="14"/>
      <c r="AZ468" s="14"/>
      <c r="BA468" s="14"/>
      <c r="BB468" s="14"/>
      <c r="BC468" s="14"/>
      <c r="BD468" s="14"/>
      <c r="BE468" s="14"/>
      <c r="BF468" s="14"/>
      <c r="BG468" s="14"/>
      <c r="BH468" s="14"/>
      <c r="BI468" s="14"/>
      <c r="BJ468" s="14"/>
      <c r="BK468" s="14"/>
      <c r="BL468" s="14"/>
      <c r="BM468" s="14"/>
      <c r="BN468" s="14"/>
      <c r="BO468" s="14"/>
      <c r="BP468" s="14"/>
      <c r="BQ468" s="14"/>
      <c r="BR468" s="14"/>
      <c r="BS468" s="14"/>
      <c r="BT468" s="14"/>
      <c r="BU468" s="14"/>
      <c r="BV468" s="14"/>
      <c r="BW468" s="14"/>
      <c r="BX468" s="14"/>
      <c r="BY468" s="14"/>
      <c r="BZ468" s="14"/>
      <c r="CA468" s="14"/>
      <c r="CB468" s="14"/>
      <c r="CC468" s="14"/>
      <c r="CD468" s="14"/>
      <c r="CE468" s="14"/>
      <c r="CF468" s="14"/>
      <c r="CG468" s="14"/>
      <c r="CH468" s="14"/>
      <c r="CI468" s="14"/>
      <c r="CJ468" s="14"/>
      <c r="CK468" s="14"/>
      <c r="CL468" s="14"/>
      <c r="CM468" s="14"/>
      <c r="CN468" s="14"/>
      <c r="CO468" s="14"/>
      <c r="CP468" s="14"/>
      <c r="CQ468" s="14"/>
      <c r="CR468" s="14"/>
      <c r="CS468" s="14"/>
      <c r="CT468" s="14"/>
      <c r="CU468" s="14"/>
      <c r="CV468" s="14"/>
      <c r="CW468" s="14"/>
      <c r="CX468" s="14"/>
      <c r="CY468" s="14"/>
      <c r="CZ468" s="14"/>
      <c r="DA468" s="14"/>
      <c r="DB468" s="14"/>
      <c r="DC468" s="14"/>
      <c r="DD468" s="14"/>
      <c r="DE468" s="14"/>
      <c r="DF468" s="14"/>
      <c r="DG468" s="14"/>
      <c r="DH468" s="14"/>
      <c r="DI468" s="14"/>
      <c r="DJ468" s="14"/>
      <c r="DK468" s="14"/>
      <c r="DL468" s="14"/>
      <c r="DM468" s="14"/>
      <c r="DN468" s="14"/>
      <c r="DO468" s="14"/>
      <c r="DP468" s="14"/>
      <c r="DQ468" s="14"/>
      <c r="DR468" s="14"/>
      <c r="DS468" s="14"/>
      <c r="DT468" s="14"/>
      <c r="DU468" s="14"/>
      <c r="DV468" s="14"/>
      <c r="DW468" s="14"/>
      <c r="DX468" s="14"/>
      <c r="DY468" s="14"/>
      <c r="DZ468" s="14"/>
      <c r="EA468" s="14"/>
      <c r="EB468" s="14"/>
      <c r="EC468" s="14"/>
    </row>
    <row r="469" spans="1:133" s="13" customFormat="1" x14ac:dyDescent="0.25">
      <c r="A469" s="14"/>
      <c r="C469" s="12"/>
      <c r="D469" s="12"/>
      <c r="R469" s="14"/>
      <c r="S469" s="14"/>
      <c r="T469" s="14"/>
      <c r="U469" s="14"/>
      <c r="V469" s="14"/>
      <c r="W469" s="14"/>
      <c r="X469" s="14"/>
      <c r="Y469" s="14"/>
      <c r="Z469" s="14"/>
      <c r="AA469" s="14"/>
      <c r="AB469" s="14"/>
      <c r="AC469" s="14"/>
      <c r="AD469" s="14"/>
      <c r="AE469" s="14"/>
      <c r="AF469" s="14"/>
      <c r="AG469" s="14"/>
      <c r="AH469" s="14"/>
      <c r="AI469" s="14"/>
      <c r="AJ469" s="14"/>
      <c r="AK469" s="14"/>
      <c r="AL469" s="14"/>
      <c r="AM469" s="14"/>
      <c r="AN469" s="14"/>
      <c r="AO469" s="14"/>
      <c r="AP469" s="14"/>
      <c r="AQ469" s="14"/>
      <c r="AR469" s="14"/>
      <c r="AS469" s="14"/>
      <c r="AT469" s="14"/>
      <c r="AU469" s="14"/>
      <c r="AV469" s="14"/>
      <c r="AW469" s="14"/>
      <c r="AX469" s="14"/>
      <c r="AY469" s="14"/>
      <c r="AZ469" s="14"/>
      <c r="BA469" s="14"/>
      <c r="BB469" s="14"/>
      <c r="BC469" s="14"/>
      <c r="BD469" s="14"/>
      <c r="BE469" s="14"/>
      <c r="BF469" s="14"/>
      <c r="BG469" s="14"/>
      <c r="BH469" s="14"/>
      <c r="BI469" s="14"/>
      <c r="BJ469" s="14"/>
      <c r="BK469" s="14"/>
      <c r="BL469" s="14"/>
      <c r="BM469" s="14"/>
      <c r="BN469" s="14"/>
      <c r="BO469" s="14"/>
      <c r="BP469" s="14"/>
      <c r="BQ469" s="14"/>
      <c r="BR469" s="14"/>
      <c r="BS469" s="14"/>
      <c r="BT469" s="14"/>
      <c r="BU469" s="14"/>
      <c r="BV469" s="14"/>
      <c r="BW469" s="14"/>
      <c r="BX469" s="14"/>
      <c r="BY469" s="14"/>
      <c r="BZ469" s="14"/>
      <c r="CA469" s="14"/>
      <c r="CB469" s="14"/>
      <c r="CC469" s="14"/>
      <c r="CD469" s="14"/>
      <c r="CE469" s="14"/>
      <c r="CF469" s="14"/>
      <c r="CG469" s="14"/>
      <c r="CH469" s="14"/>
      <c r="CI469" s="14"/>
      <c r="CJ469" s="14"/>
      <c r="CK469" s="14"/>
      <c r="CL469" s="14"/>
      <c r="CM469" s="14"/>
      <c r="CN469" s="14"/>
      <c r="CO469" s="14"/>
      <c r="CP469" s="14"/>
      <c r="CQ469" s="14"/>
      <c r="CR469" s="14"/>
      <c r="CS469" s="14"/>
      <c r="CT469" s="14"/>
      <c r="CU469" s="14"/>
      <c r="CV469" s="14"/>
      <c r="CW469" s="14"/>
      <c r="CX469" s="14"/>
      <c r="CY469" s="14"/>
      <c r="CZ469" s="14"/>
      <c r="DA469" s="14"/>
      <c r="DB469" s="14"/>
      <c r="DC469" s="14"/>
      <c r="DD469" s="14"/>
      <c r="DE469" s="14"/>
      <c r="DF469" s="14"/>
      <c r="DG469" s="14"/>
      <c r="DH469" s="14"/>
      <c r="DI469" s="14"/>
      <c r="DJ469" s="14"/>
      <c r="DK469" s="14"/>
      <c r="DL469" s="14"/>
      <c r="DM469" s="14"/>
      <c r="DN469" s="14"/>
      <c r="DO469" s="14"/>
      <c r="DP469" s="14"/>
      <c r="DQ469" s="14"/>
      <c r="DR469" s="14"/>
      <c r="DS469" s="14"/>
      <c r="DT469" s="14"/>
      <c r="DU469" s="14"/>
      <c r="DV469" s="14"/>
      <c r="DW469" s="14"/>
      <c r="DX469" s="14"/>
      <c r="DY469" s="14"/>
      <c r="DZ469" s="14"/>
      <c r="EA469" s="14"/>
      <c r="EB469" s="14"/>
      <c r="EC469" s="14"/>
    </row>
    <row r="470" spans="1:133" s="13" customFormat="1" x14ac:dyDescent="0.25">
      <c r="A470" s="174" t="s">
        <v>72</v>
      </c>
      <c r="B470" s="174"/>
      <c r="C470" s="175"/>
      <c r="D470" s="175"/>
      <c r="E470" s="174"/>
      <c r="R470" s="14"/>
      <c r="S470" s="14"/>
      <c r="T470" s="14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  <c r="AE470" s="14"/>
      <c r="AF470" s="14"/>
      <c r="AG470" s="14"/>
      <c r="AH470" s="14"/>
      <c r="AI470" s="14"/>
      <c r="AJ470" s="14"/>
      <c r="AK470" s="14"/>
      <c r="AL470" s="14"/>
      <c r="AM470" s="14"/>
      <c r="AN470" s="14"/>
      <c r="AO470" s="14"/>
      <c r="AP470" s="14"/>
      <c r="AQ470" s="14"/>
      <c r="AR470" s="14"/>
      <c r="AS470" s="14"/>
      <c r="AT470" s="14"/>
      <c r="AU470" s="14"/>
      <c r="AV470" s="14"/>
      <c r="AW470" s="14"/>
      <c r="AX470" s="14"/>
      <c r="AY470" s="14"/>
      <c r="AZ470" s="14"/>
      <c r="BA470" s="14"/>
      <c r="BB470" s="14"/>
      <c r="BC470" s="14"/>
      <c r="BD470" s="14"/>
      <c r="BE470" s="14"/>
      <c r="BF470" s="14"/>
      <c r="BG470" s="14"/>
      <c r="BH470" s="14"/>
      <c r="BI470" s="14"/>
      <c r="BJ470" s="14"/>
      <c r="BK470" s="14"/>
      <c r="BL470" s="14"/>
      <c r="BM470" s="14"/>
      <c r="BN470" s="14"/>
      <c r="BO470" s="14"/>
      <c r="BP470" s="14"/>
      <c r="BQ470" s="14"/>
      <c r="BR470" s="14"/>
      <c r="BS470" s="14"/>
      <c r="BT470" s="14"/>
      <c r="BU470" s="14"/>
      <c r="BV470" s="14"/>
      <c r="BW470" s="14"/>
      <c r="BX470" s="14"/>
      <c r="BY470" s="14"/>
      <c r="BZ470" s="14"/>
      <c r="CA470" s="14"/>
      <c r="CB470" s="14"/>
      <c r="CC470" s="14"/>
      <c r="CD470" s="14"/>
      <c r="CE470" s="14"/>
      <c r="CF470" s="14"/>
      <c r="CG470" s="14"/>
      <c r="CH470" s="14"/>
      <c r="CI470" s="14"/>
      <c r="CJ470" s="14"/>
      <c r="CK470" s="14"/>
      <c r="CL470" s="14"/>
      <c r="CM470" s="14"/>
      <c r="CN470" s="14"/>
      <c r="CO470" s="14"/>
      <c r="CP470" s="14"/>
      <c r="CQ470" s="14"/>
      <c r="CR470" s="14"/>
      <c r="CS470" s="14"/>
      <c r="CT470" s="14"/>
      <c r="CU470" s="14"/>
      <c r="CV470" s="14"/>
      <c r="CW470" s="14"/>
      <c r="CX470" s="14"/>
      <c r="CY470" s="14"/>
      <c r="CZ470" s="14"/>
      <c r="DA470" s="14"/>
      <c r="DB470" s="14"/>
      <c r="DC470" s="14"/>
      <c r="DD470" s="14"/>
      <c r="DE470" s="14"/>
      <c r="DF470" s="14"/>
      <c r="DG470" s="14"/>
      <c r="DH470" s="14"/>
      <c r="DI470" s="14"/>
      <c r="DJ470" s="14"/>
      <c r="DK470" s="14"/>
      <c r="DL470" s="14"/>
      <c r="DM470" s="14"/>
      <c r="DN470" s="14"/>
      <c r="DO470" s="14"/>
      <c r="DP470" s="14"/>
      <c r="DQ470" s="14"/>
      <c r="DR470" s="14"/>
      <c r="DS470" s="14"/>
      <c r="DT470" s="14"/>
      <c r="DU470" s="14"/>
      <c r="DV470" s="14"/>
      <c r="DW470" s="14"/>
      <c r="DX470" s="14"/>
      <c r="DY470" s="14"/>
      <c r="DZ470" s="14"/>
      <c r="EA470" s="14"/>
      <c r="EB470" s="14"/>
      <c r="EC470" s="14"/>
    </row>
    <row r="471" spans="1:133" s="13" customFormat="1" x14ac:dyDescent="0.25">
      <c r="A471" s="59" t="s">
        <v>8</v>
      </c>
      <c r="B471" s="16" t="s">
        <v>9</v>
      </c>
      <c r="C471" s="38" t="s">
        <v>10</v>
      </c>
      <c r="D471" s="38" t="s">
        <v>340</v>
      </c>
      <c r="E471" s="16" t="s">
        <v>65</v>
      </c>
      <c r="R471" s="14"/>
      <c r="S471" s="14"/>
      <c r="T471" s="14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  <c r="AE471" s="14"/>
      <c r="AF471" s="14"/>
      <c r="AG471" s="14"/>
      <c r="AH471" s="14"/>
      <c r="AI471" s="14"/>
      <c r="AJ471" s="14"/>
      <c r="AK471" s="14"/>
      <c r="AL471" s="14"/>
      <c r="AM471" s="14"/>
      <c r="AN471" s="14"/>
      <c r="AO471" s="14"/>
      <c r="AP471" s="14"/>
      <c r="AQ471" s="14"/>
      <c r="AR471" s="14"/>
      <c r="AS471" s="14"/>
      <c r="AT471" s="14"/>
      <c r="AU471" s="14"/>
      <c r="AV471" s="14"/>
      <c r="AW471" s="14"/>
      <c r="AX471" s="14"/>
      <c r="AY471" s="14"/>
      <c r="AZ471" s="14"/>
      <c r="BA471" s="14"/>
      <c r="BB471" s="14"/>
      <c r="BC471" s="14"/>
      <c r="BD471" s="14"/>
      <c r="BE471" s="14"/>
      <c r="BF471" s="14"/>
      <c r="BG471" s="14"/>
      <c r="BH471" s="14"/>
      <c r="BI471" s="14"/>
      <c r="BJ471" s="14"/>
      <c r="BK471" s="14"/>
      <c r="BL471" s="14"/>
      <c r="BM471" s="14"/>
      <c r="BN471" s="14"/>
      <c r="BO471" s="14"/>
      <c r="BP471" s="14"/>
      <c r="BQ471" s="14"/>
      <c r="BR471" s="14"/>
      <c r="BS471" s="14"/>
      <c r="BT471" s="14"/>
      <c r="BU471" s="14"/>
      <c r="BV471" s="14"/>
      <c r="BW471" s="14"/>
      <c r="BX471" s="14"/>
      <c r="BY471" s="14"/>
      <c r="BZ471" s="14"/>
      <c r="CA471" s="14"/>
      <c r="CB471" s="14"/>
      <c r="CC471" s="14"/>
      <c r="CD471" s="14"/>
      <c r="CE471" s="14"/>
      <c r="CF471" s="14"/>
      <c r="CG471" s="14"/>
      <c r="CH471" s="14"/>
      <c r="CI471" s="14"/>
      <c r="CJ471" s="14"/>
      <c r="CK471" s="14"/>
      <c r="CL471" s="14"/>
      <c r="CM471" s="14"/>
      <c r="CN471" s="14"/>
      <c r="CO471" s="14"/>
      <c r="CP471" s="14"/>
      <c r="CQ471" s="14"/>
      <c r="CR471" s="14"/>
      <c r="CS471" s="14"/>
      <c r="CT471" s="14"/>
      <c r="CU471" s="14"/>
      <c r="CV471" s="14"/>
      <c r="CW471" s="14"/>
      <c r="CX471" s="14"/>
      <c r="CY471" s="14"/>
      <c r="CZ471" s="14"/>
      <c r="DA471" s="14"/>
      <c r="DB471" s="14"/>
      <c r="DC471" s="14"/>
      <c r="DD471" s="14"/>
      <c r="DE471" s="14"/>
      <c r="DF471" s="14"/>
      <c r="DG471" s="14"/>
      <c r="DH471" s="14"/>
      <c r="DI471" s="14"/>
      <c r="DJ471" s="14"/>
      <c r="DK471" s="14"/>
      <c r="DL471" s="14"/>
      <c r="DM471" s="14"/>
      <c r="DN471" s="14"/>
      <c r="DO471" s="14"/>
      <c r="DP471" s="14"/>
      <c r="DQ471" s="14"/>
      <c r="DR471" s="14"/>
      <c r="DS471" s="14"/>
      <c r="DT471" s="14"/>
      <c r="DU471" s="14"/>
      <c r="DV471" s="14"/>
      <c r="DW471" s="14"/>
      <c r="DX471" s="14"/>
      <c r="DY471" s="14"/>
      <c r="DZ471" s="14"/>
      <c r="EA471" s="14"/>
      <c r="EB471" s="14"/>
      <c r="EC471" s="14"/>
    </row>
    <row r="472" spans="1:133" s="13" customFormat="1" ht="33.6" x14ac:dyDescent="0.4">
      <c r="A472" s="76" t="s">
        <v>73</v>
      </c>
      <c r="B472" s="25" t="s">
        <v>74</v>
      </c>
      <c r="C472" s="35" t="s">
        <v>75</v>
      </c>
      <c r="D472" s="35" t="s">
        <v>378</v>
      </c>
      <c r="E472" s="50">
        <f>E473*E476*E477*E478*E479*E480</f>
        <v>2.6222643336511653</v>
      </c>
      <c r="R472" s="14"/>
      <c r="S472" s="14"/>
      <c r="T472" s="14"/>
      <c r="U472" s="14"/>
      <c r="V472" s="14"/>
      <c r="W472" s="14"/>
      <c r="X472" s="14"/>
      <c r="Y472" s="14"/>
      <c r="Z472" s="14"/>
      <c r="AA472" s="14"/>
      <c r="AB472" s="14"/>
      <c r="AC472" s="14"/>
      <c r="AD472" s="14"/>
      <c r="AE472" s="14"/>
      <c r="AF472" s="14"/>
      <c r="AG472" s="14"/>
      <c r="AH472" s="14"/>
      <c r="AI472" s="14"/>
      <c r="AJ472" s="14"/>
      <c r="AK472" s="14"/>
      <c r="AL472" s="14"/>
      <c r="AM472" s="14"/>
      <c r="AN472" s="14"/>
      <c r="AO472" s="14"/>
      <c r="AP472" s="14"/>
      <c r="AQ472" s="14"/>
      <c r="AR472" s="14"/>
      <c r="AS472" s="14"/>
      <c r="AT472" s="14"/>
      <c r="AU472" s="14"/>
      <c r="AV472" s="14"/>
      <c r="AW472" s="14"/>
      <c r="AX472" s="14"/>
      <c r="AY472" s="14"/>
      <c r="AZ472" s="14"/>
      <c r="BA472" s="14"/>
      <c r="BB472" s="14"/>
      <c r="BC472" s="14"/>
      <c r="BD472" s="14"/>
      <c r="BE472" s="14"/>
      <c r="BF472" s="14"/>
      <c r="BG472" s="14"/>
      <c r="BH472" s="14"/>
      <c r="BI472" s="14"/>
      <c r="BJ472" s="14"/>
      <c r="BK472" s="14"/>
      <c r="BL472" s="14"/>
      <c r="BM472" s="14"/>
      <c r="BN472" s="14"/>
      <c r="BO472" s="14"/>
      <c r="BP472" s="14"/>
      <c r="BQ472" s="14"/>
      <c r="BR472" s="14"/>
      <c r="BS472" s="14"/>
      <c r="BT472" s="14"/>
      <c r="BU472" s="14"/>
      <c r="BV472" s="14"/>
      <c r="BW472" s="14"/>
      <c r="BX472" s="14"/>
      <c r="BY472" s="14"/>
      <c r="BZ472" s="14"/>
      <c r="CA472" s="14"/>
      <c r="CB472" s="14"/>
      <c r="CC472" s="14"/>
      <c r="CD472" s="14"/>
      <c r="CE472" s="14"/>
      <c r="CF472" s="14"/>
      <c r="CG472" s="14"/>
      <c r="CH472" s="14"/>
      <c r="CI472" s="14"/>
      <c r="CJ472" s="14"/>
      <c r="CK472" s="14"/>
      <c r="CL472" s="14"/>
      <c r="CM472" s="14"/>
      <c r="CN472" s="14"/>
      <c r="CO472" s="14"/>
      <c r="CP472" s="14"/>
      <c r="CQ472" s="14"/>
      <c r="CR472" s="14"/>
      <c r="CS472" s="14"/>
      <c r="CT472" s="14"/>
      <c r="CU472" s="14"/>
      <c r="CV472" s="14"/>
      <c r="CW472" s="14"/>
      <c r="CX472" s="14"/>
      <c r="CY472" s="14"/>
      <c r="CZ472" s="14"/>
      <c r="DA472" s="14"/>
      <c r="DB472" s="14"/>
      <c r="DC472" s="14"/>
      <c r="DD472" s="14"/>
      <c r="DE472" s="14"/>
      <c r="DF472" s="14"/>
      <c r="DG472" s="14"/>
      <c r="DH472" s="14"/>
      <c r="DI472" s="14"/>
      <c r="DJ472" s="14"/>
      <c r="DK472" s="14"/>
      <c r="DL472" s="14"/>
      <c r="DM472" s="14"/>
      <c r="DN472" s="14"/>
      <c r="DO472" s="14"/>
      <c r="DP472" s="14"/>
      <c r="DQ472" s="14"/>
      <c r="DR472" s="14"/>
      <c r="DS472" s="14"/>
      <c r="DT472" s="14"/>
      <c r="DU472" s="14"/>
      <c r="DV472" s="14"/>
      <c r="DW472" s="14"/>
      <c r="DX472" s="14"/>
      <c r="DY472" s="14"/>
      <c r="DZ472" s="14"/>
      <c r="EA472" s="14"/>
      <c r="EB472" s="14"/>
      <c r="EC472" s="14"/>
    </row>
    <row r="473" spans="1:133" s="13" customFormat="1" ht="46.8" x14ac:dyDescent="0.4">
      <c r="A473" s="77" t="s">
        <v>207</v>
      </c>
      <c r="B473" s="25" t="s">
        <v>76</v>
      </c>
      <c r="C473" s="35" t="s">
        <v>77</v>
      </c>
      <c r="D473" s="35" t="s">
        <v>379</v>
      </c>
      <c r="E473" s="52">
        <f>E474/E475</f>
        <v>129.12053258641501</v>
      </c>
      <c r="R473" s="14"/>
      <c r="S473" s="14"/>
      <c r="T473" s="14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F473" s="14"/>
      <c r="AG473" s="14"/>
      <c r="AH473" s="14"/>
      <c r="AI473" s="14"/>
      <c r="AJ473" s="14"/>
      <c r="AK473" s="14"/>
      <c r="AL473" s="14"/>
      <c r="AM473" s="14"/>
      <c r="AN473" s="14"/>
      <c r="AO473" s="14"/>
      <c r="AP473" s="14"/>
      <c r="AQ473" s="14"/>
      <c r="AR473" s="14"/>
      <c r="AS473" s="14"/>
      <c r="AT473" s="14"/>
      <c r="AU473" s="14"/>
      <c r="AV473" s="14"/>
      <c r="AW473" s="14"/>
      <c r="AX473" s="14"/>
      <c r="AY473" s="14"/>
      <c r="AZ473" s="14"/>
      <c r="BA473" s="14"/>
      <c r="BB473" s="14"/>
      <c r="BC473" s="14"/>
      <c r="BD473" s="14"/>
      <c r="BE473" s="14"/>
      <c r="BF473" s="14"/>
      <c r="BG473" s="14"/>
      <c r="BH473" s="14"/>
      <c r="BI473" s="14"/>
      <c r="BJ473" s="14"/>
      <c r="BK473" s="14"/>
      <c r="BL473" s="14"/>
      <c r="BM473" s="14"/>
      <c r="BN473" s="14"/>
      <c r="BO473" s="14"/>
      <c r="BP473" s="14"/>
      <c r="BQ473" s="14"/>
      <c r="BR473" s="14"/>
      <c r="BS473" s="14"/>
      <c r="BT473" s="14"/>
      <c r="BU473" s="14"/>
      <c r="BV473" s="14"/>
      <c r="BW473" s="14"/>
      <c r="BX473" s="14"/>
      <c r="BY473" s="14"/>
      <c r="BZ473" s="14"/>
      <c r="CA473" s="14"/>
      <c r="CB473" s="14"/>
      <c r="CC473" s="14"/>
      <c r="CD473" s="14"/>
      <c r="CE473" s="14"/>
      <c r="CF473" s="14"/>
      <c r="CG473" s="14"/>
      <c r="CH473" s="14"/>
      <c r="CI473" s="14"/>
      <c r="CJ473" s="14"/>
      <c r="CK473" s="14"/>
      <c r="CL473" s="14"/>
      <c r="CM473" s="14"/>
      <c r="CN473" s="14"/>
      <c r="CO473" s="14"/>
      <c r="CP473" s="14"/>
      <c r="CQ473" s="14"/>
      <c r="CR473" s="14"/>
      <c r="CS473" s="14"/>
      <c r="CT473" s="14"/>
      <c r="CU473" s="14"/>
      <c r="CV473" s="14"/>
      <c r="CW473" s="14"/>
      <c r="CX473" s="14"/>
      <c r="CY473" s="14"/>
      <c r="CZ473" s="14"/>
      <c r="DA473" s="14"/>
      <c r="DB473" s="14"/>
      <c r="DC473" s="14"/>
      <c r="DD473" s="14"/>
      <c r="DE473" s="14"/>
      <c r="DF473" s="14"/>
      <c r="DG473" s="14"/>
      <c r="DH473" s="14"/>
      <c r="DI473" s="14"/>
      <c r="DJ473" s="14"/>
      <c r="DK473" s="14"/>
      <c r="DL473" s="14"/>
      <c r="DM473" s="14"/>
      <c r="DN473" s="14"/>
      <c r="DO473" s="14"/>
      <c r="DP473" s="14"/>
      <c r="DQ473" s="14"/>
      <c r="DR473" s="14"/>
      <c r="DS473" s="14"/>
      <c r="DT473" s="14"/>
      <c r="DU473" s="14"/>
      <c r="DV473" s="14"/>
      <c r="DW473" s="14"/>
      <c r="DX473" s="14"/>
      <c r="DY473" s="14"/>
      <c r="DZ473" s="14"/>
      <c r="EA473" s="14"/>
      <c r="EB473" s="14"/>
      <c r="EC473" s="14"/>
    </row>
    <row r="474" spans="1:133" s="13" customFormat="1" ht="46.8" x14ac:dyDescent="0.25">
      <c r="A474" s="63" t="s">
        <v>208</v>
      </c>
      <c r="B474" s="25" t="s">
        <v>78</v>
      </c>
      <c r="C474" s="35" t="s">
        <v>79</v>
      </c>
      <c r="D474" s="53" t="s">
        <v>352</v>
      </c>
      <c r="E474" s="52">
        <f>0.000185543070152802*E447</f>
        <v>645.60266293207508</v>
      </c>
      <c r="R474" s="14"/>
      <c r="S474" s="14"/>
      <c r="T474" s="14"/>
      <c r="U474" s="14"/>
      <c r="V474" s="14"/>
      <c r="W474" s="14"/>
      <c r="X474" s="14"/>
      <c r="Y474" s="14"/>
      <c r="Z474" s="14"/>
      <c r="AA474" s="14"/>
      <c r="AB474" s="14"/>
      <c r="AC474" s="14"/>
      <c r="AD474" s="14"/>
      <c r="AE474" s="14"/>
      <c r="AF474" s="14"/>
      <c r="AG474" s="14"/>
      <c r="AH474" s="14"/>
      <c r="AI474" s="14"/>
      <c r="AJ474" s="14"/>
      <c r="AK474" s="14"/>
      <c r="AL474" s="14"/>
      <c r="AM474" s="14"/>
      <c r="AN474" s="14"/>
      <c r="AO474" s="14"/>
      <c r="AP474" s="14"/>
      <c r="AQ474" s="14"/>
      <c r="AR474" s="14"/>
      <c r="AS474" s="14"/>
      <c r="AT474" s="14"/>
      <c r="AU474" s="14"/>
      <c r="AV474" s="14"/>
      <c r="AW474" s="14"/>
      <c r="AX474" s="14"/>
      <c r="AY474" s="14"/>
      <c r="AZ474" s="14"/>
      <c r="BA474" s="14"/>
      <c r="BB474" s="14"/>
      <c r="BC474" s="14"/>
      <c r="BD474" s="14"/>
      <c r="BE474" s="14"/>
      <c r="BF474" s="14"/>
      <c r="BG474" s="14"/>
      <c r="BH474" s="14"/>
      <c r="BI474" s="14"/>
      <c r="BJ474" s="14"/>
      <c r="BK474" s="14"/>
      <c r="BL474" s="14"/>
      <c r="BM474" s="14"/>
      <c r="BN474" s="14"/>
      <c r="BO474" s="14"/>
      <c r="BP474" s="14"/>
      <c r="BQ474" s="14"/>
      <c r="BR474" s="14"/>
      <c r="BS474" s="14"/>
      <c r="BT474" s="14"/>
      <c r="BU474" s="14"/>
      <c r="BV474" s="14"/>
      <c r="BW474" s="14"/>
      <c r="BX474" s="14"/>
      <c r="BY474" s="14"/>
      <c r="BZ474" s="14"/>
      <c r="CA474" s="14"/>
      <c r="CB474" s="14"/>
      <c r="CC474" s="14"/>
      <c r="CD474" s="14"/>
      <c r="CE474" s="14"/>
      <c r="CF474" s="14"/>
      <c r="CG474" s="14"/>
      <c r="CH474" s="14"/>
      <c r="CI474" s="14"/>
      <c r="CJ474" s="14"/>
      <c r="CK474" s="14"/>
      <c r="CL474" s="14"/>
      <c r="CM474" s="14"/>
      <c r="CN474" s="14"/>
      <c r="CO474" s="14"/>
      <c r="CP474" s="14"/>
      <c r="CQ474" s="14"/>
      <c r="CR474" s="14"/>
      <c r="CS474" s="14"/>
      <c r="CT474" s="14"/>
      <c r="CU474" s="14"/>
      <c r="CV474" s="14"/>
      <c r="CW474" s="14"/>
      <c r="CX474" s="14"/>
      <c r="CY474" s="14"/>
      <c r="CZ474" s="14"/>
      <c r="DA474" s="14"/>
      <c r="DB474" s="14"/>
      <c r="DC474" s="14"/>
      <c r="DD474" s="14"/>
      <c r="DE474" s="14"/>
      <c r="DF474" s="14"/>
      <c r="DG474" s="14"/>
      <c r="DH474" s="14"/>
      <c r="DI474" s="14"/>
      <c r="DJ474" s="14"/>
      <c r="DK474" s="14"/>
      <c r="DL474" s="14"/>
      <c r="DM474" s="14"/>
      <c r="DN474" s="14"/>
      <c r="DO474" s="14"/>
      <c r="DP474" s="14"/>
      <c r="DQ474" s="14"/>
      <c r="DR474" s="14"/>
      <c r="DS474" s="14"/>
      <c r="DT474" s="14"/>
      <c r="DU474" s="14"/>
      <c r="DV474" s="14"/>
      <c r="DW474" s="14"/>
      <c r="DX474" s="14"/>
      <c r="DY474" s="14"/>
      <c r="DZ474" s="14"/>
      <c r="EA474" s="14"/>
      <c r="EB474" s="14"/>
      <c r="EC474" s="14"/>
    </row>
    <row r="475" spans="1:133" s="13" customFormat="1" ht="31.2" x14ac:dyDescent="0.25">
      <c r="A475" s="63" t="s">
        <v>209</v>
      </c>
      <c r="B475" s="25" t="s">
        <v>80</v>
      </c>
      <c r="C475" s="35" t="s">
        <v>81</v>
      </c>
      <c r="D475" s="35" t="s">
        <v>353</v>
      </c>
      <c r="E475" s="25">
        <f>5</f>
        <v>5</v>
      </c>
      <c r="R475" s="14"/>
      <c r="S475" s="14"/>
      <c r="T475" s="14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  <c r="AF475" s="14"/>
      <c r="AG475" s="14"/>
      <c r="AH475" s="14"/>
      <c r="AI475" s="14"/>
      <c r="AJ475" s="14"/>
      <c r="AK475" s="14"/>
      <c r="AL475" s="14"/>
      <c r="AM475" s="14"/>
      <c r="AN475" s="14"/>
      <c r="AO475" s="14"/>
      <c r="AP475" s="14"/>
      <c r="AQ475" s="14"/>
      <c r="AR475" s="14"/>
      <c r="AS475" s="14"/>
      <c r="AT475" s="14"/>
      <c r="AU475" s="14"/>
      <c r="AV475" s="14"/>
      <c r="AW475" s="14"/>
      <c r="AX475" s="14"/>
      <c r="AY475" s="14"/>
      <c r="AZ475" s="14"/>
      <c r="BA475" s="14"/>
      <c r="BB475" s="14"/>
      <c r="BC475" s="14"/>
      <c r="BD475" s="14"/>
      <c r="BE475" s="14"/>
      <c r="BF475" s="14"/>
      <c r="BG475" s="14"/>
      <c r="BH475" s="14"/>
      <c r="BI475" s="14"/>
      <c r="BJ475" s="14"/>
      <c r="BK475" s="14"/>
      <c r="BL475" s="14"/>
      <c r="BM475" s="14"/>
      <c r="BN475" s="14"/>
      <c r="BO475" s="14"/>
      <c r="BP475" s="14"/>
      <c r="BQ475" s="14"/>
      <c r="BR475" s="14"/>
      <c r="BS475" s="14"/>
      <c r="BT475" s="14"/>
      <c r="BU475" s="14"/>
      <c r="BV475" s="14"/>
      <c r="BW475" s="14"/>
      <c r="BX475" s="14"/>
      <c r="BY475" s="14"/>
      <c r="BZ475" s="14"/>
      <c r="CA475" s="14"/>
      <c r="CB475" s="14"/>
      <c r="CC475" s="14"/>
      <c r="CD475" s="14"/>
      <c r="CE475" s="14"/>
      <c r="CF475" s="14"/>
      <c r="CG475" s="14"/>
      <c r="CH475" s="14"/>
      <c r="CI475" s="14"/>
      <c r="CJ475" s="14"/>
      <c r="CK475" s="14"/>
      <c r="CL475" s="14"/>
      <c r="CM475" s="14"/>
      <c r="CN475" s="14"/>
      <c r="CO475" s="14"/>
      <c r="CP475" s="14"/>
      <c r="CQ475" s="14"/>
      <c r="CR475" s="14"/>
      <c r="CS475" s="14"/>
      <c r="CT475" s="14"/>
      <c r="CU475" s="14"/>
      <c r="CV475" s="14"/>
      <c r="CW475" s="14"/>
      <c r="CX475" s="14"/>
      <c r="CY475" s="14"/>
      <c r="CZ475" s="14"/>
      <c r="DA475" s="14"/>
      <c r="DB475" s="14"/>
      <c r="DC475" s="14"/>
      <c r="DD475" s="14"/>
      <c r="DE475" s="14"/>
      <c r="DF475" s="14"/>
      <c r="DG475" s="14"/>
      <c r="DH475" s="14"/>
      <c r="DI475" s="14"/>
      <c r="DJ475" s="14"/>
      <c r="DK475" s="14"/>
      <c r="DL475" s="14"/>
      <c r="DM475" s="14"/>
      <c r="DN475" s="14"/>
      <c r="DO475" s="14"/>
      <c r="DP475" s="14"/>
      <c r="DQ475" s="14"/>
      <c r="DR475" s="14"/>
      <c r="DS475" s="14"/>
      <c r="DT475" s="14"/>
      <c r="DU475" s="14"/>
      <c r="DV475" s="14"/>
      <c r="DW475" s="14"/>
      <c r="DX475" s="14"/>
      <c r="DY475" s="14"/>
      <c r="DZ475" s="14"/>
      <c r="EA475" s="14"/>
      <c r="EB475" s="14"/>
      <c r="EC475" s="14"/>
    </row>
    <row r="476" spans="1:133" s="13" customFormat="1" ht="62.4" x14ac:dyDescent="0.25">
      <c r="A476" s="63" t="s">
        <v>210</v>
      </c>
      <c r="B476" s="25" t="s">
        <v>82</v>
      </c>
      <c r="C476" s="35" t="s">
        <v>83</v>
      </c>
      <c r="D476" s="53" t="s">
        <v>354</v>
      </c>
      <c r="E476" s="25">
        <f>15*2</f>
        <v>30</v>
      </c>
      <c r="R476" s="14"/>
      <c r="S476" s="14"/>
      <c r="T476" s="14"/>
      <c r="U476" s="14"/>
      <c r="V476" s="14"/>
      <c r="W476" s="14"/>
      <c r="X476" s="14"/>
      <c r="Y476" s="14"/>
      <c r="Z476" s="14"/>
      <c r="AA476" s="14"/>
      <c r="AB476" s="14"/>
      <c r="AC476" s="14"/>
      <c r="AD476" s="14"/>
      <c r="AE476" s="14"/>
      <c r="AF476" s="14"/>
      <c r="AG476" s="14"/>
      <c r="AH476" s="14"/>
      <c r="AI476" s="14"/>
      <c r="AJ476" s="14"/>
      <c r="AK476" s="14"/>
      <c r="AL476" s="14"/>
      <c r="AM476" s="14"/>
      <c r="AN476" s="14"/>
      <c r="AO476" s="14"/>
      <c r="AP476" s="14"/>
      <c r="AQ476" s="14"/>
      <c r="AR476" s="14"/>
      <c r="AS476" s="14"/>
      <c r="AT476" s="14"/>
      <c r="AU476" s="14"/>
      <c r="AV476" s="14"/>
      <c r="AW476" s="14"/>
      <c r="AX476" s="14"/>
      <c r="AY476" s="14"/>
      <c r="AZ476" s="14"/>
      <c r="BA476" s="14"/>
      <c r="BB476" s="14"/>
      <c r="BC476" s="14"/>
      <c r="BD476" s="14"/>
      <c r="BE476" s="14"/>
      <c r="BF476" s="14"/>
      <c r="BG476" s="14"/>
      <c r="BH476" s="14"/>
      <c r="BI476" s="14"/>
      <c r="BJ476" s="14"/>
      <c r="BK476" s="14"/>
      <c r="BL476" s="14"/>
      <c r="BM476" s="14"/>
      <c r="BN476" s="14"/>
      <c r="BO476" s="14"/>
      <c r="BP476" s="14"/>
      <c r="BQ476" s="14"/>
      <c r="BR476" s="14"/>
      <c r="BS476" s="14"/>
      <c r="BT476" s="14"/>
      <c r="BU476" s="14"/>
      <c r="BV476" s="14"/>
      <c r="BW476" s="14"/>
      <c r="BX476" s="14"/>
      <c r="BY476" s="14"/>
      <c r="BZ476" s="14"/>
      <c r="CA476" s="14"/>
      <c r="CB476" s="14"/>
      <c r="CC476" s="14"/>
      <c r="CD476" s="14"/>
      <c r="CE476" s="14"/>
      <c r="CF476" s="14"/>
      <c r="CG476" s="14"/>
      <c r="CH476" s="14"/>
      <c r="CI476" s="14"/>
      <c r="CJ476" s="14"/>
      <c r="CK476" s="14"/>
      <c r="CL476" s="14"/>
      <c r="CM476" s="14"/>
      <c r="CN476" s="14"/>
      <c r="CO476" s="14"/>
      <c r="CP476" s="14"/>
      <c r="CQ476" s="14"/>
      <c r="CR476" s="14"/>
      <c r="CS476" s="14"/>
      <c r="CT476" s="14"/>
      <c r="CU476" s="14"/>
      <c r="CV476" s="14"/>
      <c r="CW476" s="14"/>
      <c r="CX476" s="14"/>
      <c r="CY476" s="14"/>
      <c r="CZ476" s="14"/>
      <c r="DA476" s="14"/>
      <c r="DB476" s="14"/>
      <c r="DC476" s="14"/>
      <c r="DD476" s="14"/>
      <c r="DE476" s="14"/>
      <c r="DF476" s="14"/>
      <c r="DG476" s="14"/>
      <c r="DH476" s="14"/>
      <c r="DI476" s="14"/>
      <c r="DJ476" s="14"/>
      <c r="DK476" s="14"/>
      <c r="DL476" s="14"/>
      <c r="DM476" s="14"/>
      <c r="DN476" s="14"/>
      <c r="DO476" s="14"/>
      <c r="DP476" s="14"/>
      <c r="DQ476" s="14"/>
      <c r="DR476" s="14"/>
      <c r="DS476" s="14"/>
      <c r="DT476" s="14"/>
      <c r="DU476" s="14"/>
      <c r="DV476" s="14"/>
      <c r="DW476" s="14"/>
      <c r="DX476" s="14"/>
      <c r="DY476" s="14"/>
      <c r="DZ476" s="14"/>
      <c r="EA476" s="14"/>
      <c r="EB476" s="14"/>
      <c r="EC476" s="14"/>
    </row>
    <row r="477" spans="1:133" s="13" customFormat="1" ht="172.2" x14ac:dyDescent="0.25">
      <c r="A477" s="63" t="s">
        <v>211</v>
      </c>
      <c r="B477" s="25" t="s">
        <v>84</v>
      </c>
      <c r="C477" s="35" t="s">
        <v>85</v>
      </c>
      <c r="D477" s="35" t="s">
        <v>355</v>
      </c>
      <c r="E477" s="25">
        <f>25.1/100</f>
        <v>0.251</v>
      </c>
      <c r="R477" s="14"/>
      <c r="S477" s="14"/>
      <c r="T477" s="14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F477" s="14"/>
      <c r="AG477" s="14"/>
      <c r="AH477" s="14"/>
      <c r="AI477" s="14"/>
      <c r="AJ477" s="14"/>
      <c r="AK477" s="14"/>
      <c r="AL477" s="14"/>
      <c r="AM477" s="14"/>
      <c r="AN477" s="14"/>
      <c r="AO477" s="14"/>
      <c r="AP477" s="14"/>
      <c r="AQ477" s="14"/>
      <c r="AR477" s="14"/>
      <c r="AS477" s="14"/>
      <c r="AT477" s="14"/>
      <c r="AU477" s="14"/>
      <c r="AV477" s="14"/>
      <c r="AW477" s="14"/>
      <c r="AX477" s="14"/>
      <c r="AY477" s="14"/>
      <c r="AZ477" s="14"/>
      <c r="BA477" s="14"/>
      <c r="BB477" s="14"/>
      <c r="BC477" s="14"/>
      <c r="BD477" s="14"/>
      <c r="BE477" s="14"/>
      <c r="BF477" s="14"/>
      <c r="BG477" s="14"/>
      <c r="BH477" s="14"/>
      <c r="BI477" s="14"/>
      <c r="BJ477" s="14"/>
      <c r="BK477" s="14"/>
      <c r="BL477" s="14"/>
      <c r="BM477" s="14"/>
      <c r="BN477" s="14"/>
      <c r="BO477" s="14"/>
      <c r="BP477" s="14"/>
      <c r="BQ477" s="14"/>
      <c r="BR477" s="14"/>
      <c r="BS477" s="14"/>
      <c r="BT477" s="14"/>
      <c r="BU477" s="14"/>
      <c r="BV477" s="14"/>
      <c r="BW477" s="14"/>
      <c r="BX477" s="14"/>
      <c r="BY477" s="14"/>
      <c r="BZ477" s="14"/>
      <c r="CA477" s="14"/>
      <c r="CB477" s="14"/>
      <c r="CC477" s="14"/>
      <c r="CD477" s="14"/>
      <c r="CE477" s="14"/>
      <c r="CF477" s="14"/>
      <c r="CG477" s="14"/>
      <c r="CH477" s="14"/>
      <c r="CI477" s="14"/>
      <c r="CJ477" s="14"/>
      <c r="CK477" s="14"/>
      <c r="CL477" s="14"/>
      <c r="CM477" s="14"/>
      <c r="CN477" s="14"/>
      <c r="CO477" s="14"/>
      <c r="CP477" s="14"/>
      <c r="CQ477" s="14"/>
      <c r="CR477" s="14"/>
      <c r="CS477" s="14"/>
      <c r="CT477" s="14"/>
      <c r="CU477" s="14"/>
      <c r="CV477" s="14"/>
      <c r="CW477" s="14"/>
      <c r="CX477" s="14"/>
      <c r="CY477" s="14"/>
      <c r="CZ477" s="14"/>
      <c r="DA477" s="14"/>
      <c r="DB477" s="14"/>
      <c r="DC477" s="14"/>
      <c r="DD477" s="14"/>
      <c r="DE477" s="14"/>
      <c r="DF477" s="14"/>
      <c r="DG477" s="14"/>
      <c r="DH477" s="14"/>
      <c r="DI477" s="14"/>
      <c r="DJ477" s="14"/>
      <c r="DK477" s="14"/>
      <c r="DL477" s="14"/>
      <c r="DM477" s="14"/>
      <c r="DN477" s="14"/>
      <c r="DO477" s="14"/>
      <c r="DP477" s="14"/>
      <c r="DQ477" s="14"/>
      <c r="DR477" s="14"/>
      <c r="DS477" s="14"/>
      <c r="DT477" s="14"/>
      <c r="DU477" s="14"/>
      <c r="DV477" s="14"/>
      <c r="DW477" s="14"/>
      <c r="DX477" s="14"/>
      <c r="DY477" s="14"/>
      <c r="DZ477" s="14"/>
      <c r="EA477" s="14"/>
      <c r="EB477" s="14"/>
      <c r="EC477" s="14"/>
    </row>
    <row r="478" spans="1:133" s="13" customFormat="1" ht="156" x14ac:dyDescent="0.25">
      <c r="A478" s="63" t="s">
        <v>212</v>
      </c>
      <c r="B478" s="25" t="s">
        <v>87</v>
      </c>
      <c r="C478" s="35" t="s">
        <v>86</v>
      </c>
      <c r="D478" s="35" t="s">
        <v>356</v>
      </c>
      <c r="E478" s="25">
        <f>0.84/1000</f>
        <v>8.3999999999999993E-4</v>
      </c>
      <c r="R478" s="14"/>
      <c r="S478" s="14"/>
      <c r="T478" s="14"/>
      <c r="U478" s="14"/>
      <c r="V478" s="14"/>
      <c r="W478" s="14"/>
      <c r="X478" s="14"/>
      <c r="Y478" s="14"/>
      <c r="Z478" s="14"/>
      <c r="AA478" s="14"/>
      <c r="AB478" s="14"/>
      <c r="AC478" s="14"/>
      <c r="AD478" s="14"/>
      <c r="AE478" s="14"/>
      <c r="AF478" s="14"/>
      <c r="AG478" s="14"/>
      <c r="AH478" s="14"/>
      <c r="AI478" s="14"/>
      <c r="AJ478" s="14"/>
      <c r="AK478" s="14"/>
      <c r="AL478" s="14"/>
      <c r="AM478" s="14"/>
      <c r="AN478" s="14"/>
      <c r="AO478" s="14"/>
      <c r="AP478" s="14"/>
      <c r="AQ478" s="14"/>
      <c r="AR478" s="14"/>
      <c r="AS478" s="14"/>
      <c r="AT478" s="14"/>
      <c r="AU478" s="14"/>
      <c r="AV478" s="14"/>
      <c r="AW478" s="14"/>
      <c r="AX478" s="14"/>
      <c r="AY478" s="14"/>
      <c r="AZ478" s="14"/>
      <c r="BA478" s="14"/>
      <c r="BB478" s="14"/>
      <c r="BC478" s="14"/>
      <c r="BD478" s="14"/>
      <c r="BE478" s="14"/>
      <c r="BF478" s="14"/>
      <c r="BG478" s="14"/>
      <c r="BH478" s="14"/>
      <c r="BI478" s="14"/>
      <c r="BJ478" s="14"/>
      <c r="BK478" s="14"/>
      <c r="BL478" s="14"/>
      <c r="BM478" s="14"/>
      <c r="BN478" s="14"/>
      <c r="BO478" s="14"/>
      <c r="BP478" s="14"/>
      <c r="BQ478" s="14"/>
      <c r="BR478" s="14"/>
      <c r="BS478" s="14"/>
      <c r="BT478" s="14"/>
      <c r="BU478" s="14"/>
      <c r="BV478" s="14"/>
      <c r="BW478" s="14"/>
      <c r="BX478" s="14"/>
      <c r="BY478" s="14"/>
      <c r="BZ478" s="14"/>
      <c r="CA478" s="14"/>
      <c r="CB478" s="14"/>
      <c r="CC478" s="14"/>
      <c r="CD478" s="14"/>
      <c r="CE478" s="14"/>
      <c r="CF478" s="14"/>
      <c r="CG478" s="14"/>
      <c r="CH478" s="14"/>
      <c r="CI478" s="14"/>
      <c r="CJ478" s="14"/>
      <c r="CK478" s="14"/>
      <c r="CL478" s="14"/>
      <c r="CM478" s="14"/>
      <c r="CN478" s="14"/>
      <c r="CO478" s="14"/>
      <c r="CP478" s="14"/>
      <c r="CQ478" s="14"/>
      <c r="CR478" s="14"/>
      <c r="CS478" s="14"/>
      <c r="CT478" s="14"/>
      <c r="CU478" s="14"/>
      <c r="CV478" s="14"/>
      <c r="CW478" s="14"/>
      <c r="CX478" s="14"/>
      <c r="CY478" s="14"/>
      <c r="CZ478" s="14"/>
      <c r="DA478" s="14"/>
      <c r="DB478" s="14"/>
      <c r="DC478" s="14"/>
      <c r="DD478" s="14"/>
      <c r="DE478" s="14"/>
      <c r="DF478" s="14"/>
      <c r="DG478" s="14"/>
      <c r="DH478" s="14"/>
      <c r="DI478" s="14"/>
      <c r="DJ478" s="14"/>
      <c r="DK478" s="14"/>
      <c r="DL478" s="14"/>
      <c r="DM478" s="14"/>
      <c r="DN478" s="14"/>
      <c r="DO478" s="14"/>
      <c r="DP478" s="14"/>
      <c r="DQ478" s="14"/>
      <c r="DR478" s="14"/>
      <c r="DS478" s="14"/>
      <c r="DT478" s="14"/>
      <c r="DU478" s="14"/>
      <c r="DV478" s="14"/>
      <c r="DW478" s="14"/>
      <c r="DX478" s="14"/>
      <c r="DY478" s="14"/>
      <c r="DZ478" s="14"/>
      <c r="EA478" s="14"/>
      <c r="EB478" s="14"/>
      <c r="EC478" s="14"/>
    </row>
    <row r="479" spans="1:133" s="13" customFormat="1" ht="171.6" x14ac:dyDescent="0.25">
      <c r="A479" s="63" t="s">
        <v>213</v>
      </c>
      <c r="B479" s="25" t="s">
        <v>88</v>
      </c>
      <c r="C479" s="35" t="s">
        <v>89</v>
      </c>
      <c r="D479" s="35" t="s">
        <v>357</v>
      </c>
      <c r="E479" s="25">
        <f>43.33/1000</f>
        <v>4.333E-2</v>
      </c>
      <c r="R479" s="14"/>
      <c r="S479" s="14"/>
      <c r="T479" s="14"/>
      <c r="U479" s="14"/>
      <c r="V479" s="14"/>
      <c r="W479" s="14"/>
      <c r="X479" s="14"/>
      <c r="Y479" s="14"/>
      <c r="Z479" s="14"/>
      <c r="AA479" s="14"/>
      <c r="AB479" s="14"/>
      <c r="AC479" s="14"/>
      <c r="AD479" s="14"/>
      <c r="AE479" s="14"/>
      <c r="AF479" s="14"/>
      <c r="AG479" s="14"/>
      <c r="AH479" s="14"/>
      <c r="AI479" s="14"/>
      <c r="AJ479" s="14"/>
      <c r="AK479" s="14"/>
      <c r="AL479" s="14"/>
      <c r="AM479" s="14"/>
      <c r="AN479" s="14"/>
      <c r="AO479" s="14"/>
      <c r="AP479" s="14"/>
      <c r="AQ479" s="14"/>
      <c r="AR479" s="14"/>
      <c r="AS479" s="14"/>
      <c r="AT479" s="14"/>
      <c r="AU479" s="14"/>
      <c r="AV479" s="14"/>
      <c r="AW479" s="14"/>
      <c r="AX479" s="14"/>
      <c r="AY479" s="14"/>
      <c r="AZ479" s="14"/>
      <c r="BA479" s="14"/>
      <c r="BB479" s="14"/>
      <c r="BC479" s="14"/>
      <c r="BD479" s="14"/>
      <c r="BE479" s="14"/>
      <c r="BF479" s="14"/>
      <c r="BG479" s="14"/>
      <c r="BH479" s="14"/>
      <c r="BI479" s="14"/>
      <c r="BJ479" s="14"/>
      <c r="BK479" s="14"/>
      <c r="BL479" s="14"/>
      <c r="BM479" s="14"/>
      <c r="BN479" s="14"/>
      <c r="BO479" s="14"/>
      <c r="BP479" s="14"/>
      <c r="BQ479" s="14"/>
      <c r="BR479" s="14"/>
      <c r="BS479" s="14"/>
      <c r="BT479" s="14"/>
      <c r="BU479" s="14"/>
      <c r="BV479" s="14"/>
      <c r="BW479" s="14"/>
      <c r="BX479" s="14"/>
      <c r="BY479" s="14"/>
      <c r="BZ479" s="14"/>
      <c r="CA479" s="14"/>
      <c r="CB479" s="14"/>
      <c r="CC479" s="14"/>
      <c r="CD479" s="14"/>
      <c r="CE479" s="14"/>
      <c r="CF479" s="14"/>
      <c r="CG479" s="14"/>
      <c r="CH479" s="14"/>
      <c r="CI479" s="14"/>
      <c r="CJ479" s="14"/>
      <c r="CK479" s="14"/>
      <c r="CL479" s="14"/>
      <c r="CM479" s="14"/>
      <c r="CN479" s="14"/>
      <c r="CO479" s="14"/>
      <c r="CP479" s="14"/>
      <c r="CQ479" s="14"/>
      <c r="CR479" s="14"/>
      <c r="CS479" s="14"/>
      <c r="CT479" s="14"/>
      <c r="CU479" s="14"/>
      <c r="CV479" s="14"/>
      <c r="CW479" s="14"/>
      <c r="CX479" s="14"/>
      <c r="CY479" s="14"/>
      <c r="CZ479" s="14"/>
      <c r="DA479" s="14"/>
      <c r="DB479" s="14"/>
      <c r="DC479" s="14"/>
      <c r="DD479" s="14"/>
      <c r="DE479" s="14"/>
      <c r="DF479" s="14"/>
      <c r="DG479" s="14"/>
      <c r="DH479" s="14"/>
      <c r="DI479" s="14"/>
      <c r="DJ479" s="14"/>
      <c r="DK479" s="14"/>
      <c r="DL479" s="14"/>
      <c r="DM479" s="14"/>
      <c r="DN479" s="14"/>
      <c r="DO479" s="14"/>
      <c r="DP479" s="14"/>
      <c r="DQ479" s="14"/>
      <c r="DR479" s="14"/>
      <c r="DS479" s="14"/>
      <c r="DT479" s="14"/>
      <c r="DU479" s="14"/>
      <c r="DV479" s="14"/>
      <c r="DW479" s="14"/>
      <c r="DX479" s="14"/>
      <c r="DY479" s="14"/>
      <c r="DZ479" s="14"/>
      <c r="EA479" s="14"/>
      <c r="EB479" s="14"/>
      <c r="EC479" s="14"/>
    </row>
    <row r="480" spans="1:133" ht="62.4" x14ac:dyDescent="0.25">
      <c r="A480" s="63" t="s">
        <v>214</v>
      </c>
      <c r="B480" s="25" t="s">
        <v>90</v>
      </c>
      <c r="C480" s="35" t="s">
        <v>91</v>
      </c>
      <c r="D480" s="35" t="s">
        <v>358</v>
      </c>
      <c r="E480" s="25">
        <v>74.099999999999994</v>
      </c>
    </row>
    <row r="482" spans="1:133" x14ac:dyDescent="0.25">
      <c r="A482" s="158" t="s">
        <v>93</v>
      </c>
      <c r="B482" s="158"/>
      <c r="C482" s="158"/>
      <c r="D482" s="158"/>
      <c r="E482" s="158"/>
    </row>
    <row r="483" spans="1:133" x14ac:dyDescent="0.25">
      <c r="A483" s="57" t="s">
        <v>8</v>
      </c>
      <c r="B483" s="58" t="s">
        <v>9</v>
      </c>
      <c r="C483" s="34" t="s">
        <v>10</v>
      </c>
      <c r="D483" s="34" t="s">
        <v>340</v>
      </c>
      <c r="E483" s="16" t="s">
        <v>65</v>
      </c>
    </row>
    <row r="484" spans="1:133" ht="64.8" x14ac:dyDescent="0.25">
      <c r="A484" s="15" t="s">
        <v>94</v>
      </c>
      <c r="B484" s="25" t="s">
        <v>95</v>
      </c>
      <c r="C484" s="35" t="s">
        <v>96</v>
      </c>
      <c r="D484" s="35" t="s">
        <v>97</v>
      </c>
      <c r="E484" s="16">
        <v>0</v>
      </c>
    </row>
    <row r="486" spans="1:133" x14ac:dyDescent="0.25">
      <c r="A486" s="158" t="s">
        <v>98</v>
      </c>
      <c r="B486" s="158"/>
      <c r="C486" s="158"/>
      <c r="D486" s="158"/>
      <c r="E486" s="158"/>
    </row>
    <row r="487" spans="1:133" x14ac:dyDescent="0.25">
      <c r="A487" s="57" t="s">
        <v>8</v>
      </c>
      <c r="B487" s="58" t="s">
        <v>9</v>
      </c>
      <c r="C487" s="34" t="s">
        <v>10</v>
      </c>
      <c r="D487" s="34" t="s">
        <v>340</v>
      </c>
      <c r="E487" s="16" t="s">
        <v>65</v>
      </c>
    </row>
    <row r="488" spans="1:133" ht="49.2" x14ac:dyDescent="0.25">
      <c r="A488" s="15" t="s">
        <v>99</v>
      </c>
      <c r="B488" s="25" t="s">
        <v>95</v>
      </c>
      <c r="C488" s="35" t="s">
        <v>100</v>
      </c>
      <c r="D488" s="35" t="s">
        <v>101</v>
      </c>
      <c r="E488" s="16">
        <v>0</v>
      </c>
    </row>
    <row r="490" spans="1:133" x14ac:dyDescent="0.25">
      <c r="A490" s="57" t="s">
        <v>8</v>
      </c>
      <c r="B490" s="58" t="s">
        <v>9</v>
      </c>
      <c r="C490" s="34" t="s">
        <v>10</v>
      </c>
      <c r="D490" s="34" t="s">
        <v>340</v>
      </c>
      <c r="E490" s="16" t="s">
        <v>65</v>
      </c>
    </row>
    <row r="491" spans="1:133" ht="18" x14ac:dyDescent="0.25">
      <c r="A491" s="59" t="s">
        <v>102</v>
      </c>
      <c r="B491" s="25" t="s">
        <v>103</v>
      </c>
      <c r="C491" s="35" t="s">
        <v>104</v>
      </c>
      <c r="D491" s="53" t="s">
        <v>380</v>
      </c>
      <c r="E491" s="18">
        <f>ROUNDDOWN(E441+E472+E467+E484+E488,0)</f>
        <v>5670</v>
      </c>
    </row>
    <row r="492" spans="1:133" s="166" customFormat="1" ht="38.4" customHeight="1" x14ac:dyDescent="0.25">
      <c r="A492" s="165" t="s">
        <v>227</v>
      </c>
    </row>
    <row r="493" spans="1:133" s="167" customFormat="1" ht="43.2" customHeight="1" x14ac:dyDescent="0.25">
      <c r="A493" s="167" t="s">
        <v>228</v>
      </c>
    </row>
    <row r="494" spans="1:133" s="56" customFormat="1" ht="31.2" x14ac:dyDescent="0.25">
      <c r="A494" s="92" t="s">
        <v>8</v>
      </c>
      <c r="B494" s="93" t="s">
        <v>9</v>
      </c>
      <c r="C494" s="94" t="s">
        <v>10</v>
      </c>
      <c r="D494" s="93" t="s">
        <v>341</v>
      </c>
      <c r="E494" s="93" t="s">
        <v>11</v>
      </c>
      <c r="F494" s="16" t="s">
        <v>322</v>
      </c>
      <c r="G494" s="16" t="s">
        <v>323</v>
      </c>
      <c r="H494" s="16" t="s">
        <v>324</v>
      </c>
      <c r="I494" s="16" t="s">
        <v>325</v>
      </c>
      <c r="J494" s="16" t="s">
        <v>326</v>
      </c>
      <c r="K494" s="16" t="s">
        <v>329</v>
      </c>
      <c r="L494" s="16" t="s">
        <v>292</v>
      </c>
      <c r="M494" s="16" t="s">
        <v>292</v>
      </c>
      <c r="N494" s="16" t="s">
        <v>292</v>
      </c>
      <c r="O494" s="16" t="s">
        <v>292</v>
      </c>
      <c r="P494" s="16" t="s">
        <v>292</v>
      </c>
      <c r="Q494" s="16" t="s">
        <v>292</v>
      </c>
      <c r="R494" s="54"/>
      <c r="S494" s="54"/>
      <c r="T494" s="54"/>
      <c r="U494" s="54"/>
      <c r="V494" s="54"/>
      <c r="W494" s="54"/>
      <c r="X494" s="54"/>
      <c r="Y494" s="54"/>
      <c r="Z494" s="54"/>
      <c r="AA494" s="54"/>
      <c r="AB494" s="54"/>
      <c r="AC494" s="54"/>
      <c r="AD494" s="54"/>
      <c r="AE494" s="54"/>
      <c r="AF494" s="54"/>
      <c r="AG494" s="54"/>
      <c r="AH494" s="54"/>
      <c r="AI494" s="54"/>
      <c r="AJ494" s="54"/>
      <c r="AK494" s="54"/>
      <c r="AL494" s="54"/>
      <c r="AM494" s="54"/>
      <c r="AN494" s="54"/>
      <c r="AO494" s="54"/>
      <c r="AP494" s="54"/>
      <c r="AQ494" s="54"/>
      <c r="AR494" s="54"/>
      <c r="AS494" s="54"/>
      <c r="AT494" s="54"/>
      <c r="AU494" s="54"/>
      <c r="AV494" s="54"/>
      <c r="AW494" s="54"/>
      <c r="AX494" s="54"/>
      <c r="AY494" s="54"/>
      <c r="AZ494" s="54"/>
      <c r="BA494" s="54"/>
      <c r="BB494" s="54"/>
      <c r="BC494" s="54"/>
      <c r="BD494" s="54"/>
      <c r="BE494" s="54"/>
      <c r="BF494" s="54"/>
      <c r="BG494" s="54"/>
      <c r="BH494" s="54"/>
      <c r="BI494" s="54"/>
      <c r="BJ494" s="54"/>
      <c r="BK494" s="54"/>
      <c r="BL494" s="54"/>
      <c r="BM494" s="54"/>
      <c r="BN494" s="54"/>
      <c r="BO494" s="54"/>
      <c r="BP494" s="54"/>
      <c r="BQ494" s="54"/>
      <c r="BR494" s="54"/>
      <c r="BS494" s="54"/>
      <c r="BT494" s="54"/>
      <c r="BU494" s="54"/>
      <c r="BV494" s="54"/>
      <c r="BW494" s="54"/>
      <c r="BX494" s="54"/>
      <c r="BY494" s="54"/>
      <c r="BZ494" s="54"/>
      <c r="CA494" s="54"/>
      <c r="CB494" s="54"/>
      <c r="CC494" s="54"/>
      <c r="CD494" s="54"/>
      <c r="CE494" s="54"/>
      <c r="CF494" s="54"/>
      <c r="CG494" s="54"/>
      <c r="CH494" s="54"/>
      <c r="CI494" s="54"/>
      <c r="CJ494" s="54"/>
      <c r="CK494" s="54"/>
      <c r="CL494" s="54"/>
      <c r="CM494" s="54"/>
      <c r="CN494" s="54"/>
      <c r="CO494" s="54"/>
      <c r="CP494" s="54"/>
      <c r="CQ494" s="54"/>
      <c r="CR494" s="54"/>
      <c r="CS494" s="54"/>
      <c r="CT494" s="54"/>
      <c r="CU494" s="54"/>
      <c r="CV494" s="54"/>
      <c r="CW494" s="54"/>
      <c r="CX494" s="54"/>
      <c r="CY494" s="54"/>
      <c r="CZ494" s="54"/>
      <c r="DA494" s="54"/>
      <c r="DB494" s="54"/>
      <c r="DC494" s="54"/>
      <c r="DD494" s="54"/>
      <c r="DE494" s="54"/>
      <c r="DF494" s="54"/>
      <c r="DG494" s="54"/>
      <c r="DH494" s="54"/>
      <c r="DI494" s="54"/>
      <c r="DJ494" s="54"/>
      <c r="DK494" s="54"/>
      <c r="DL494" s="54"/>
      <c r="DM494" s="54"/>
      <c r="DN494" s="54"/>
      <c r="DO494" s="54"/>
      <c r="DP494" s="54"/>
      <c r="DQ494" s="54"/>
      <c r="DR494" s="54"/>
      <c r="DS494" s="54"/>
      <c r="DT494" s="54"/>
      <c r="DU494" s="54"/>
      <c r="DV494" s="54"/>
      <c r="DW494" s="54"/>
      <c r="DX494" s="54"/>
      <c r="DY494" s="54"/>
      <c r="DZ494" s="54"/>
      <c r="EA494" s="54"/>
      <c r="EB494" s="54"/>
      <c r="EC494" s="54"/>
    </row>
    <row r="495" spans="1:133" s="56" customFormat="1" x14ac:dyDescent="0.25">
      <c r="A495" s="58" t="s">
        <v>12</v>
      </c>
      <c r="B495" s="58"/>
      <c r="C495" s="34"/>
      <c r="D495" s="34"/>
      <c r="E495" s="58"/>
      <c r="F495" s="16">
        <v>31</v>
      </c>
      <c r="G495" s="16">
        <v>28</v>
      </c>
      <c r="H495" s="16">
        <v>31</v>
      </c>
      <c r="I495" s="16">
        <v>30</v>
      </c>
      <c r="J495" s="16">
        <v>31</v>
      </c>
      <c r="K495" s="16">
        <v>30</v>
      </c>
      <c r="L495" s="16" t="s">
        <v>297</v>
      </c>
      <c r="M495" s="16" t="s">
        <v>297</v>
      </c>
      <c r="N495" s="16" t="s">
        <v>297</v>
      </c>
      <c r="O495" s="16" t="s">
        <v>297</v>
      </c>
      <c r="P495" s="16" t="s">
        <v>297</v>
      </c>
      <c r="Q495" s="16" t="s">
        <v>297</v>
      </c>
      <c r="R495" s="54"/>
      <c r="S495" s="54"/>
      <c r="T495" s="54"/>
      <c r="U495" s="54"/>
      <c r="V495" s="54"/>
      <c r="W495" s="54"/>
      <c r="X495" s="54"/>
      <c r="Y495" s="54"/>
      <c r="Z495" s="54"/>
      <c r="AA495" s="54"/>
      <c r="AB495" s="54"/>
      <c r="AC495" s="54"/>
      <c r="AD495" s="54"/>
      <c r="AE495" s="54"/>
      <c r="AF495" s="54"/>
      <c r="AG495" s="54"/>
      <c r="AH495" s="54"/>
      <c r="AI495" s="54"/>
      <c r="AJ495" s="54"/>
      <c r="AK495" s="54"/>
      <c r="AL495" s="54"/>
      <c r="AM495" s="54"/>
      <c r="AN495" s="54"/>
      <c r="AO495" s="54"/>
      <c r="AP495" s="54"/>
      <c r="AQ495" s="54"/>
      <c r="AR495" s="54"/>
      <c r="AS495" s="54"/>
      <c r="AT495" s="54"/>
      <c r="AU495" s="54"/>
      <c r="AV495" s="54"/>
      <c r="AW495" s="54"/>
      <c r="AX495" s="54"/>
      <c r="AY495" s="54"/>
      <c r="AZ495" s="54"/>
      <c r="BA495" s="54"/>
      <c r="BB495" s="54"/>
      <c r="BC495" s="54"/>
      <c r="BD495" s="54"/>
      <c r="BE495" s="54"/>
      <c r="BF495" s="54"/>
      <c r="BG495" s="54"/>
      <c r="BH495" s="54"/>
      <c r="BI495" s="54"/>
      <c r="BJ495" s="54"/>
      <c r="BK495" s="54"/>
      <c r="BL495" s="54"/>
      <c r="BM495" s="54"/>
      <c r="BN495" s="54"/>
      <c r="BO495" s="54"/>
      <c r="BP495" s="54"/>
      <c r="BQ495" s="54"/>
      <c r="BR495" s="54"/>
      <c r="BS495" s="54"/>
      <c r="BT495" s="54"/>
      <c r="BU495" s="54"/>
      <c r="BV495" s="54"/>
      <c r="BW495" s="54"/>
      <c r="BX495" s="54"/>
      <c r="BY495" s="54"/>
      <c r="BZ495" s="54"/>
      <c r="CA495" s="54"/>
      <c r="CB495" s="54"/>
      <c r="CC495" s="54"/>
      <c r="CD495" s="54"/>
      <c r="CE495" s="54"/>
      <c r="CF495" s="54"/>
      <c r="CG495" s="54"/>
      <c r="CH495" s="54"/>
      <c r="CI495" s="54"/>
      <c r="CJ495" s="54"/>
      <c r="CK495" s="54"/>
      <c r="CL495" s="54"/>
      <c r="CM495" s="54"/>
      <c r="CN495" s="54"/>
      <c r="CO495" s="54"/>
      <c r="CP495" s="54"/>
      <c r="CQ495" s="54"/>
      <c r="CR495" s="54"/>
      <c r="CS495" s="54"/>
      <c r="CT495" s="54"/>
      <c r="CU495" s="54"/>
      <c r="CV495" s="54"/>
      <c r="CW495" s="54"/>
      <c r="CX495" s="54"/>
      <c r="CY495" s="54"/>
      <c r="CZ495" s="54"/>
      <c r="DA495" s="54"/>
      <c r="DB495" s="54"/>
      <c r="DC495" s="54"/>
      <c r="DD495" s="54"/>
      <c r="DE495" s="54"/>
      <c r="DF495" s="54"/>
      <c r="DG495" s="54"/>
      <c r="DH495" s="54"/>
      <c r="DI495" s="54"/>
      <c r="DJ495" s="54"/>
      <c r="DK495" s="54"/>
      <c r="DL495" s="54"/>
      <c r="DM495" s="54"/>
      <c r="DN495" s="54"/>
      <c r="DO495" s="54"/>
      <c r="DP495" s="54"/>
      <c r="DQ495" s="54"/>
      <c r="DR495" s="54"/>
      <c r="DS495" s="54"/>
      <c r="DT495" s="54"/>
      <c r="DU495" s="54"/>
      <c r="DV495" s="54"/>
      <c r="DW495" s="54"/>
      <c r="DX495" s="54"/>
      <c r="DY495" s="54"/>
      <c r="DZ495" s="54"/>
      <c r="EA495" s="54"/>
      <c r="EB495" s="54"/>
      <c r="EC495" s="54"/>
    </row>
    <row r="496" spans="1:133" ht="46.8" x14ac:dyDescent="0.25">
      <c r="A496" s="59" t="s">
        <v>13</v>
      </c>
      <c r="B496" s="60" t="s">
        <v>14</v>
      </c>
      <c r="C496" s="53" t="s">
        <v>15</v>
      </c>
      <c r="D496" s="53" t="s">
        <v>369</v>
      </c>
      <c r="E496" s="61">
        <f>SUM(F496:K496)</f>
        <v>1351.9548632596907</v>
      </c>
      <c r="F496" s="62">
        <f>$E$497*$E$498*F499*$E$510</f>
        <v>225.94823639075912</v>
      </c>
      <c r="G496" s="62">
        <f t="shared" ref="G496:K496" si="63">$E$497*$E$498*G499*$E$510</f>
        <v>203.94774515543594</v>
      </c>
      <c r="H496" s="62">
        <f t="shared" si="63"/>
        <v>225.81632090687344</v>
      </c>
      <c r="I496" s="62">
        <f t="shared" si="63"/>
        <v>218.58347724644756</v>
      </c>
      <c r="J496" s="62">
        <f t="shared" si="63"/>
        <v>248.18931200207194</v>
      </c>
      <c r="K496" s="62">
        <f t="shared" si="63"/>
        <v>229.46977155810265</v>
      </c>
      <c r="L496" s="62" t="s">
        <v>297</v>
      </c>
      <c r="M496" s="62" t="s">
        <v>297</v>
      </c>
      <c r="N496" s="62" t="s">
        <v>297</v>
      </c>
      <c r="O496" s="62" t="s">
        <v>297</v>
      </c>
      <c r="P496" s="62" t="s">
        <v>297</v>
      </c>
      <c r="Q496" s="62" t="s">
        <v>297</v>
      </c>
    </row>
    <row r="497" spans="1:17" ht="31.2" x14ac:dyDescent="0.25">
      <c r="A497" s="63" t="s">
        <v>16</v>
      </c>
      <c r="B497" s="60" t="s">
        <v>193</v>
      </c>
      <c r="C497" s="35" t="s">
        <v>17</v>
      </c>
      <c r="D497" s="35" t="s">
        <v>205</v>
      </c>
      <c r="E497" s="168">
        <v>28</v>
      </c>
      <c r="F497" s="169"/>
      <c r="G497" s="169"/>
      <c r="H497" s="169"/>
      <c r="I497" s="169"/>
      <c r="J497" s="169"/>
      <c r="K497" s="169"/>
      <c r="L497" s="169"/>
      <c r="M497" s="169"/>
      <c r="N497" s="169"/>
      <c r="O497" s="169"/>
      <c r="P497" s="169"/>
      <c r="Q497" s="170"/>
    </row>
    <row r="498" spans="1:17" ht="64.8" x14ac:dyDescent="0.25">
      <c r="A498" s="63" t="s">
        <v>18</v>
      </c>
      <c r="B498" s="25" t="s">
        <v>194</v>
      </c>
      <c r="C498" s="35" t="s">
        <v>20</v>
      </c>
      <c r="D498" s="35" t="s">
        <v>394</v>
      </c>
      <c r="E498" s="168">
        <v>0.21</v>
      </c>
      <c r="F498" s="169"/>
      <c r="G498" s="169"/>
      <c r="H498" s="169"/>
      <c r="I498" s="169"/>
      <c r="J498" s="169"/>
      <c r="K498" s="169"/>
      <c r="L498" s="169"/>
      <c r="M498" s="169"/>
      <c r="N498" s="169"/>
      <c r="O498" s="169"/>
      <c r="P498" s="169"/>
      <c r="Q498" s="170"/>
    </row>
    <row r="499" spans="1:17" ht="46.8" x14ac:dyDescent="0.25">
      <c r="A499" s="35" t="s">
        <v>21</v>
      </c>
      <c r="B499" s="25" t="s">
        <v>195</v>
      </c>
      <c r="C499" s="53" t="s">
        <v>22</v>
      </c>
      <c r="D499" s="53" t="s">
        <v>370</v>
      </c>
      <c r="E499" s="64">
        <f t="shared" ref="E499:K499" si="64">E507*E500</f>
        <v>364.5213904134049</v>
      </c>
      <c r="F499" s="64">
        <f t="shared" si="64"/>
        <v>60.921386896032416</v>
      </c>
      <c r="G499" s="64">
        <f t="shared" si="64"/>
        <v>54.989495327151332</v>
      </c>
      <c r="H499" s="64">
        <f t="shared" si="64"/>
        <v>60.885819129008652</v>
      </c>
      <c r="I499" s="64">
        <f t="shared" si="64"/>
        <v>58.935660658936428</v>
      </c>
      <c r="J499" s="64">
        <f t="shared" si="64"/>
        <v>66.918146127015788</v>
      </c>
      <c r="K499" s="64">
        <f t="shared" si="64"/>
        <v>61.870882275260321</v>
      </c>
      <c r="L499" s="64" t="s">
        <v>297</v>
      </c>
      <c r="M499" s="64" t="s">
        <v>297</v>
      </c>
      <c r="N499" s="64" t="s">
        <v>297</v>
      </c>
      <c r="O499" s="64" t="s">
        <v>297</v>
      </c>
      <c r="P499" s="64" t="s">
        <v>297</v>
      </c>
      <c r="Q499" s="64" t="s">
        <v>297</v>
      </c>
    </row>
    <row r="500" spans="1:17" ht="46.8" x14ac:dyDescent="0.25">
      <c r="A500" s="35" t="s">
        <v>23</v>
      </c>
      <c r="B500" s="25" t="s">
        <v>197</v>
      </c>
      <c r="C500" s="35" t="s">
        <v>191</v>
      </c>
      <c r="D500" s="35" t="s">
        <v>371</v>
      </c>
      <c r="E500" s="20">
        <f>SUM(F500:K500)</f>
        <v>383.63320980361021</v>
      </c>
      <c r="F500" s="20">
        <f>F502*F505</f>
        <v>64.115489009045135</v>
      </c>
      <c r="G500" s="20">
        <f t="shared" ref="G500:K500" si="65">G502*G505</f>
        <v>57.872588969088689</v>
      </c>
      <c r="H500" s="20">
        <f t="shared" si="65"/>
        <v>64.078056427617199</v>
      </c>
      <c r="I500" s="20">
        <f t="shared" si="65"/>
        <v>62.02565134748999</v>
      </c>
      <c r="J500" s="20">
        <f t="shared" si="65"/>
        <v>70.426657716024195</v>
      </c>
      <c r="K500" s="20">
        <f t="shared" si="65"/>
        <v>65.114766334345006</v>
      </c>
      <c r="L500" s="20" t="s">
        <v>297</v>
      </c>
      <c r="M500" s="20" t="s">
        <v>297</v>
      </c>
      <c r="N500" s="20" t="s">
        <v>297</v>
      </c>
      <c r="O500" s="20" t="s">
        <v>297</v>
      </c>
      <c r="P500" s="20" t="s">
        <v>297</v>
      </c>
      <c r="Q500" s="20" t="s">
        <v>297</v>
      </c>
    </row>
    <row r="501" spans="1:17" ht="62.4" x14ac:dyDescent="0.25">
      <c r="A501" s="17" t="s">
        <v>335</v>
      </c>
      <c r="B501" s="60" t="s">
        <v>192</v>
      </c>
      <c r="C501" s="35" t="s">
        <v>25</v>
      </c>
      <c r="D501" s="35" t="s">
        <v>333</v>
      </c>
      <c r="E501" s="121">
        <f>AVERAGE(F501:K501)</f>
        <v>5010.1237340629805</v>
      </c>
      <c r="F501" s="121">
        <v>4850.9131290322566</v>
      </c>
      <c r="G501" s="121">
        <v>4849.8411785714288</v>
      </c>
      <c r="H501" s="121">
        <v>4850.4725161290326</v>
      </c>
      <c r="I501" s="121">
        <v>4850.5572000000002</v>
      </c>
      <c r="J501" s="121">
        <v>5329.992580645162</v>
      </c>
      <c r="K501" s="121">
        <v>5328.9658000000009</v>
      </c>
      <c r="L501" s="20" t="s">
        <v>297</v>
      </c>
      <c r="M501" s="20" t="s">
        <v>297</v>
      </c>
      <c r="N501" s="20" t="s">
        <v>297</v>
      </c>
      <c r="O501" s="20" t="s">
        <v>297</v>
      </c>
      <c r="P501" s="20" t="s">
        <v>297</v>
      </c>
      <c r="Q501" s="20" t="s">
        <v>297</v>
      </c>
    </row>
    <row r="502" spans="1:17" ht="46.8" x14ac:dyDescent="0.25">
      <c r="A502" s="35" t="s">
        <v>26</v>
      </c>
      <c r="B502" s="60" t="s">
        <v>198</v>
      </c>
      <c r="C502" s="35" t="s">
        <v>27</v>
      </c>
      <c r="D502" s="35" t="s">
        <v>206</v>
      </c>
      <c r="E502" s="65">
        <f>SUM(F502:K502)</f>
        <v>907153.96800000011</v>
      </c>
      <c r="F502" s="65">
        <f>F501*F495</f>
        <v>150378.30699999994</v>
      </c>
      <c r="G502" s="65">
        <f t="shared" ref="G502:K502" si="66">G501*G495</f>
        <v>135795.55300000001</v>
      </c>
      <c r="H502" s="65">
        <f t="shared" si="66"/>
        <v>150364.64800000002</v>
      </c>
      <c r="I502" s="65">
        <f t="shared" si="66"/>
        <v>145516.71600000001</v>
      </c>
      <c r="J502" s="65">
        <f t="shared" si="66"/>
        <v>165229.77000000002</v>
      </c>
      <c r="K502" s="65">
        <f t="shared" si="66"/>
        <v>159868.97400000002</v>
      </c>
      <c r="L502" s="65" t="s">
        <v>297</v>
      </c>
      <c r="M502" s="65" t="s">
        <v>297</v>
      </c>
      <c r="N502" s="65" t="s">
        <v>297</v>
      </c>
      <c r="O502" s="65" t="s">
        <v>297</v>
      </c>
      <c r="P502" s="65" t="s">
        <v>297</v>
      </c>
      <c r="Q502" s="65" t="s">
        <v>297</v>
      </c>
    </row>
    <row r="503" spans="1:17" ht="62.4" x14ac:dyDescent="0.25">
      <c r="A503" s="35" t="s">
        <v>28</v>
      </c>
      <c r="B503" s="60" t="s">
        <v>199</v>
      </c>
      <c r="C503" s="35" t="s">
        <v>29</v>
      </c>
      <c r="D503" s="35" t="s">
        <v>332</v>
      </c>
      <c r="E503" s="125">
        <f>AVERAGE(F503:K503)</f>
        <v>423.07774129544288</v>
      </c>
      <c r="F503" s="125">
        <v>426.36129032258066</v>
      </c>
      <c r="G503" s="125">
        <v>426.17440476190467</v>
      </c>
      <c r="H503" s="125">
        <v>426.15107526881718</v>
      </c>
      <c r="I503" s="125">
        <v>426.24416666666656</v>
      </c>
      <c r="J503" s="125">
        <v>426.2346774193548</v>
      </c>
      <c r="K503" s="137">
        <v>407.30083333333334</v>
      </c>
      <c r="L503" s="66" t="s">
        <v>297</v>
      </c>
      <c r="M503" s="66" t="s">
        <v>297</v>
      </c>
      <c r="N503" s="66" t="s">
        <v>297</v>
      </c>
      <c r="O503" s="66" t="s">
        <v>297</v>
      </c>
      <c r="P503" s="66" t="s">
        <v>297</v>
      </c>
      <c r="Q503" s="66" t="s">
        <v>297</v>
      </c>
    </row>
    <row r="504" spans="1:17" ht="62.4" x14ac:dyDescent="0.25">
      <c r="A504" s="35" t="s">
        <v>30</v>
      </c>
      <c r="B504" s="60" t="s">
        <v>199</v>
      </c>
      <c r="C504" s="35" t="s">
        <v>31</v>
      </c>
      <c r="D504" s="35" t="s">
        <v>331</v>
      </c>
      <c r="E504" s="125">
        <f>AVERAGE(F504:K504)</f>
        <v>19.811462813620071</v>
      </c>
      <c r="F504" s="125">
        <v>20.346505376344087</v>
      </c>
      <c r="G504" s="125">
        <v>19.802083333333339</v>
      </c>
      <c r="H504" s="125">
        <v>19.949462365591401</v>
      </c>
      <c r="I504" s="125">
        <v>19.71833333333333</v>
      </c>
      <c r="J504" s="125">
        <v>19.50322580645161</v>
      </c>
      <c r="K504" s="137">
        <v>19.549166666666665</v>
      </c>
      <c r="L504" s="65" t="s">
        <v>297</v>
      </c>
      <c r="M504" s="65" t="s">
        <v>297</v>
      </c>
      <c r="N504" s="65" t="s">
        <v>297</v>
      </c>
      <c r="O504" s="65" t="s">
        <v>297</v>
      </c>
      <c r="P504" s="65" t="s">
        <v>297</v>
      </c>
      <c r="Q504" s="65" t="s">
        <v>297</v>
      </c>
    </row>
    <row r="505" spans="1:17" ht="62.4" x14ac:dyDescent="0.25">
      <c r="A505" s="35" t="s">
        <v>32</v>
      </c>
      <c r="B505" s="60" t="s">
        <v>200</v>
      </c>
      <c r="C505" s="35" t="s">
        <v>34</v>
      </c>
      <c r="D505" s="35" t="s">
        <v>338</v>
      </c>
      <c r="E505" s="122">
        <f>E503/1000000</f>
        <v>4.2307774129544289E-4</v>
      </c>
      <c r="F505" s="120">
        <f>F503/1000000</f>
        <v>4.2636129032258064E-4</v>
      </c>
      <c r="G505" s="120">
        <f t="shared" ref="G505:K506" si="67">G503/1000000</f>
        <v>4.2617440476190469E-4</v>
      </c>
      <c r="H505" s="120">
        <f t="shared" si="67"/>
        <v>4.2615107526881716E-4</v>
      </c>
      <c r="I505" s="120">
        <f t="shared" si="67"/>
        <v>4.2624416666666657E-4</v>
      </c>
      <c r="J505" s="120">
        <f t="shared" si="67"/>
        <v>4.2623467741935482E-4</v>
      </c>
      <c r="K505" s="120">
        <f t="shared" si="67"/>
        <v>4.0730083333333336E-4</v>
      </c>
      <c r="L505" s="22" t="s">
        <v>297</v>
      </c>
      <c r="M505" s="22" t="s">
        <v>297</v>
      </c>
      <c r="N505" s="22" t="s">
        <v>297</v>
      </c>
      <c r="O505" s="22" t="s">
        <v>297</v>
      </c>
      <c r="P505" s="22" t="s">
        <v>297</v>
      </c>
      <c r="Q505" s="22" t="s">
        <v>297</v>
      </c>
    </row>
    <row r="506" spans="1:17" ht="62.4" x14ac:dyDescent="0.25">
      <c r="A506" s="35" t="s">
        <v>30</v>
      </c>
      <c r="B506" s="60" t="s">
        <v>33</v>
      </c>
      <c r="C506" s="35" t="s">
        <v>35</v>
      </c>
      <c r="D506" s="35" t="s">
        <v>339</v>
      </c>
      <c r="E506" s="122">
        <f>E504/1000000</f>
        <v>1.981146281362007E-5</v>
      </c>
      <c r="F506" s="120">
        <f>F504/1000000</f>
        <v>2.0346505376344087E-5</v>
      </c>
      <c r="G506" s="120">
        <f t="shared" si="67"/>
        <v>1.9802083333333338E-5</v>
      </c>
      <c r="H506" s="120">
        <f t="shared" si="67"/>
        <v>1.9949462365591403E-5</v>
      </c>
      <c r="I506" s="120">
        <f t="shared" si="67"/>
        <v>1.9718333333333331E-5</v>
      </c>
      <c r="J506" s="120">
        <f t="shared" si="67"/>
        <v>1.9503225806451611E-5</v>
      </c>
      <c r="K506" s="120">
        <f t="shared" si="67"/>
        <v>1.9549166666666666E-5</v>
      </c>
      <c r="L506" s="22" t="s">
        <v>297</v>
      </c>
      <c r="M506" s="22" t="s">
        <v>297</v>
      </c>
      <c r="N506" s="22" t="s">
        <v>297</v>
      </c>
      <c r="O506" s="22" t="s">
        <v>297</v>
      </c>
      <c r="P506" s="22" t="s">
        <v>297</v>
      </c>
      <c r="Q506" s="22" t="s">
        <v>297</v>
      </c>
    </row>
    <row r="507" spans="1:17" ht="46.8" x14ac:dyDescent="0.25">
      <c r="A507" s="63" t="s">
        <v>36</v>
      </c>
      <c r="B507" s="25" t="s">
        <v>201</v>
      </c>
      <c r="C507" s="35" t="s">
        <v>38</v>
      </c>
      <c r="D507" s="35" t="s">
        <v>368</v>
      </c>
      <c r="E507" s="68">
        <f>(1-(E508/E509))</f>
        <v>0.95018205175722659</v>
      </c>
      <c r="F507" s="68">
        <f>E507</f>
        <v>0.95018205175722659</v>
      </c>
      <c r="G507" s="68">
        <f>E507</f>
        <v>0.95018205175722659</v>
      </c>
      <c r="H507" s="68">
        <f>E507</f>
        <v>0.95018205175722659</v>
      </c>
      <c r="I507" s="68">
        <f>E507</f>
        <v>0.95018205175722659</v>
      </c>
      <c r="J507" s="68">
        <f>E507</f>
        <v>0.95018205175722659</v>
      </c>
      <c r="K507" s="68">
        <f>F507</f>
        <v>0.95018205175722659</v>
      </c>
      <c r="L507" s="68" t="s">
        <v>297</v>
      </c>
      <c r="M507" s="68" t="s">
        <v>297</v>
      </c>
      <c r="N507" s="68" t="s">
        <v>297</v>
      </c>
      <c r="O507" s="68" t="s">
        <v>297</v>
      </c>
      <c r="P507" s="68" t="s">
        <v>297</v>
      </c>
      <c r="Q507" s="68" t="s">
        <v>297</v>
      </c>
    </row>
    <row r="508" spans="1:17" ht="31.2" x14ac:dyDescent="0.25">
      <c r="A508" s="35" t="s">
        <v>39</v>
      </c>
      <c r="B508" s="25" t="s">
        <v>196</v>
      </c>
      <c r="C508" s="35" t="s">
        <v>40</v>
      </c>
      <c r="D508" s="35" t="s">
        <v>351</v>
      </c>
      <c r="E508" s="52">
        <f>SUM(F508:K508)</f>
        <v>18.4256144569</v>
      </c>
      <c r="F508" s="52">
        <v>3.1557682219000003</v>
      </c>
      <c r="G508" s="52">
        <v>2.8503712971999997</v>
      </c>
      <c r="H508" s="52">
        <v>3.1557682219000003</v>
      </c>
      <c r="I508" s="52">
        <v>3.0539692469999999</v>
      </c>
      <c r="J508" s="52">
        <v>3.1557682219000003</v>
      </c>
      <c r="K508" s="52">
        <v>3.0539692469999999</v>
      </c>
      <c r="L508" s="69" t="s">
        <v>297</v>
      </c>
      <c r="M508" s="69" t="s">
        <v>297</v>
      </c>
      <c r="N508" s="69" t="s">
        <v>297</v>
      </c>
      <c r="O508" s="69" t="s">
        <v>297</v>
      </c>
      <c r="P508" s="69" t="s">
        <v>297</v>
      </c>
      <c r="Q508" s="69" t="s">
        <v>297</v>
      </c>
    </row>
    <row r="509" spans="1:17" ht="31.2" x14ac:dyDescent="0.25">
      <c r="A509" s="63" t="s">
        <v>41</v>
      </c>
      <c r="B509" s="25" t="s">
        <v>24</v>
      </c>
      <c r="C509" s="35" t="s">
        <v>42</v>
      </c>
      <c r="D509" s="35" t="s">
        <v>351</v>
      </c>
      <c r="E509" s="52">
        <f>SUM(F509:K509)</f>
        <v>369.85895860479997</v>
      </c>
      <c r="F509" s="52">
        <v>63.346009484799993</v>
      </c>
      <c r="G509" s="52">
        <v>57.215750502400013</v>
      </c>
      <c r="H509" s="52">
        <v>63.346009484799993</v>
      </c>
      <c r="I509" s="52">
        <v>61.302589824000009</v>
      </c>
      <c r="J509" s="52">
        <v>63.346009484799993</v>
      </c>
      <c r="K509" s="52">
        <v>61.302589824000009</v>
      </c>
      <c r="L509" s="69" t="s">
        <v>297</v>
      </c>
      <c r="M509" s="69" t="s">
        <v>297</v>
      </c>
      <c r="N509" s="69" t="s">
        <v>297</v>
      </c>
      <c r="O509" s="69" t="s">
        <v>297</v>
      </c>
      <c r="P509" s="69" t="s">
        <v>297</v>
      </c>
      <c r="Q509" s="69" t="s">
        <v>297</v>
      </c>
    </row>
    <row r="510" spans="1:17" ht="31.2" x14ac:dyDescent="0.25">
      <c r="A510" s="53" t="s">
        <v>43</v>
      </c>
      <c r="B510" s="25" t="s">
        <v>201</v>
      </c>
      <c r="C510" s="53" t="s">
        <v>44</v>
      </c>
      <c r="D510" s="35" t="s">
        <v>372</v>
      </c>
      <c r="E510" s="159">
        <f>E511*E512*0.89</f>
        <v>0.63075666482007708</v>
      </c>
      <c r="F510" s="160"/>
      <c r="G510" s="160"/>
      <c r="H510" s="160"/>
      <c r="I510" s="160"/>
      <c r="J510" s="160"/>
      <c r="K510" s="160"/>
      <c r="L510" s="160"/>
      <c r="M510" s="160"/>
      <c r="N510" s="160"/>
      <c r="O510" s="160"/>
      <c r="P510" s="160"/>
      <c r="Q510" s="161"/>
    </row>
    <row r="511" spans="1:17" ht="31.2" x14ac:dyDescent="0.25">
      <c r="A511" s="70" t="s">
        <v>45</v>
      </c>
      <c r="B511" s="25" t="s">
        <v>201</v>
      </c>
      <c r="C511" s="53" t="s">
        <v>46</v>
      </c>
      <c r="D511" s="35" t="s">
        <v>373</v>
      </c>
      <c r="E511" s="162">
        <v>0.7</v>
      </c>
      <c r="F511" s="163"/>
      <c r="G511" s="163"/>
      <c r="H511" s="163"/>
      <c r="I511" s="163"/>
      <c r="J511" s="163"/>
      <c r="K511" s="163"/>
      <c r="L511" s="163"/>
      <c r="M511" s="163"/>
      <c r="N511" s="163"/>
      <c r="O511" s="163"/>
      <c r="P511" s="163"/>
      <c r="Q511" s="164"/>
    </row>
    <row r="512" spans="1:17" ht="36" customHeight="1" x14ac:dyDescent="0.25">
      <c r="A512" s="70" t="s">
        <v>47</v>
      </c>
      <c r="B512" s="25" t="s">
        <v>37</v>
      </c>
      <c r="C512" s="53" t="s">
        <v>48</v>
      </c>
      <c r="D512" s="35" t="s">
        <v>374</v>
      </c>
      <c r="E512" s="159">
        <f>(F513*F518+G513*G518+H513*H518+I513*I518+J513*J518+K513*K518)/(F507*F502*F505+G507*G505*G502+H507*H502*H505+I507*I505*I502+J507*J505*J502+K507*K505*K502)</f>
        <v>1.0124505053291768</v>
      </c>
      <c r="F512" s="160"/>
      <c r="G512" s="160"/>
      <c r="H512" s="160"/>
      <c r="I512" s="160"/>
      <c r="J512" s="160"/>
      <c r="K512" s="160"/>
      <c r="L512" s="160"/>
      <c r="M512" s="160"/>
      <c r="N512" s="160"/>
      <c r="O512" s="160"/>
      <c r="P512" s="160"/>
      <c r="Q512" s="161"/>
    </row>
    <row r="513" spans="1:133" s="9" customFormat="1" ht="46.8" x14ac:dyDescent="0.4">
      <c r="A513" s="71" t="s">
        <v>49</v>
      </c>
      <c r="B513" s="25" t="s">
        <v>37</v>
      </c>
      <c r="C513" s="53" t="s">
        <v>50</v>
      </c>
      <c r="D513" s="53" t="s">
        <v>375</v>
      </c>
      <c r="E513" s="72">
        <f>AVERAGE(F513:K513)</f>
        <v>0.4842798201038388</v>
      </c>
      <c r="F513" s="72">
        <f>IF(F517&lt;283,0,IF(F517&gt;303,1,EXP(($E$514*(F517-$E$515))/($E$516*$E$515*F517))))</f>
        <v>0.26921004737855481</v>
      </c>
      <c r="G513" s="72">
        <f t="shared" ref="G513:K513" si="68">IF(G517&lt;283,0,IF(G517&gt;303,1,EXP(($E$514*(G517-$E$515))/($E$516*$E$515*G517))))</f>
        <v>0.19433887196192873</v>
      </c>
      <c r="H513" s="72">
        <f t="shared" si="68"/>
        <v>0.44226396815696317</v>
      </c>
      <c r="I513" s="72">
        <f t="shared" si="68"/>
        <v>0.52733825786216582</v>
      </c>
      <c r="J513" s="72">
        <f t="shared" si="68"/>
        <v>0.62729263560178183</v>
      </c>
      <c r="K513" s="72">
        <f t="shared" si="68"/>
        <v>0.84523513966163832</v>
      </c>
      <c r="L513" s="72" t="s">
        <v>297</v>
      </c>
      <c r="M513" s="72" t="s">
        <v>297</v>
      </c>
      <c r="N513" s="72" t="s">
        <v>297</v>
      </c>
      <c r="O513" s="72" t="s">
        <v>297</v>
      </c>
      <c r="P513" s="72" t="s">
        <v>297</v>
      </c>
      <c r="Q513" s="72" t="s">
        <v>297</v>
      </c>
      <c r="R513" s="78"/>
      <c r="S513" s="78"/>
      <c r="T513" s="78"/>
      <c r="U513" s="78"/>
      <c r="V513" s="78"/>
      <c r="W513" s="78"/>
      <c r="X513" s="78"/>
      <c r="Y513" s="78"/>
      <c r="Z513" s="78"/>
      <c r="AA513" s="78"/>
      <c r="AB513" s="78"/>
      <c r="AC513" s="78"/>
      <c r="AD513" s="78"/>
      <c r="AE513" s="78"/>
      <c r="AF513" s="78"/>
      <c r="AG513" s="78"/>
      <c r="AH513" s="78"/>
      <c r="AI513" s="78"/>
      <c r="AJ513" s="78"/>
      <c r="AK513" s="78"/>
      <c r="AL513" s="78"/>
      <c r="AM513" s="78"/>
      <c r="AN513" s="78"/>
      <c r="AO513" s="78"/>
      <c r="AP513" s="78"/>
      <c r="AQ513" s="78"/>
      <c r="AR513" s="78"/>
      <c r="AS513" s="78"/>
      <c r="AT513" s="78"/>
      <c r="AU513" s="78"/>
      <c r="AV513" s="78"/>
      <c r="AW513" s="78"/>
      <c r="AX513" s="78"/>
      <c r="AY513" s="78"/>
      <c r="AZ513" s="78"/>
      <c r="BA513" s="78"/>
      <c r="BB513" s="78"/>
      <c r="BC513" s="78"/>
      <c r="BD513" s="78"/>
      <c r="BE513" s="78"/>
      <c r="BF513" s="78"/>
      <c r="BG513" s="78"/>
      <c r="BH513" s="78"/>
      <c r="BI513" s="78"/>
      <c r="BJ513" s="78"/>
      <c r="BK513" s="78"/>
      <c r="BL513" s="78"/>
      <c r="BM513" s="78"/>
      <c r="BN513" s="78"/>
      <c r="BO513" s="78"/>
      <c r="BP513" s="78"/>
      <c r="BQ513" s="78"/>
      <c r="BR513" s="78"/>
      <c r="BS513" s="78"/>
      <c r="BT513" s="78"/>
      <c r="BU513" s="78"/>
      <c r="BV513" s="78"/>
      <c r="BW513" s="78"/>
      <c r="BX513" s="78"/>
      <c r="BY513" s="78"/>
      <c r="BZ513" s="78"/>
      <c r="CA513" s="78"/>
      <c r="CB513" s="78"/>
      <c r="CC513" s="78"/>
      <c r="CD513" s="78"/>
      <c r="CE513" s="78"/>
      <c r="CF513" s="78"/>
      <c r="CG513" s="78"/>
      <c r="CH513" s="78"/>
      <c r="CI513" s="78"/>
      <c r="CJ513" s="78"/>
      <c r="CK513" s="78"/>
      <c r="CL513" s="78"/>
      <c r="CM513" s="78"/>
      <c r="CN513" s="78"/>
      <c r="CO513" s="78"/>
      <c r="CP513" s="78"/>
      <c r="CQ513" s="78"/>
      <c r="CR513" s="78"/>
      <c r="CS513" s="78"/>
      <c r="CT513" s="78"/>
      <c r="CU513" s="78"/>
      <c r="CV513" s="78"/>
      <c r="CW513" s="78"/>
      <c r="CX513" s="78"/>
      <c r="CY513" s="78"/>
      <c r="CZ513" s="78"/>
      <c r="DA513" s="78"/>
      <c r="DB513" s="78"/>
      <c r="DC513" s="78"/>
      <c r="DD513" s="78"/>
      <c r="DE513" s="78"/>
      <c r="DF513" s="78"/>
      <c r="DG513" s="78"/>
      <c r="DH513" s="78"/>
      <c r="DI513" s="78"/>
      <c r="DJ513" s="78"/>
      <c r="DK513" s="78"/>
      <c r="DL513" s="78"/>
      <c r="DM513" s="78"/>
      <c r="DN513" s="78"/>
      <c r="DO513" s="78"/>
      <c r="DP513" s="78"/>
      <c r="DQ513" s="78"/>
      <c r="DR513" s="78"/>
      <c r="DS513" s="78"/>
      <c r="DT513" s="78"/>
      <c r="DU513" s="78"/>
      <c r="DV513" s="78"/>
      <c r="DW513" s="78"/>
      <c r="DX513" s="78"/>
      <c r="DY513" s="78"/>
      <c r="DZ513" s="78"/>
      <c r="EA513" s="78"/>
      <c r="EB513" s="78"/>
      <c r="EC513" s="78"/>
    </row>
    <row r="514" spans="1:133" s="9" customFormat="1" x14ac:dyDescent="0.25">
      <c r="A514" s="73" t="s">
        <v>51</v>
      </c>
      <c r="B514" s="60" t="s">
        <v>202</v>
      </c>
      <c r="C514" s="53" t="s">
        <v>53</v>
      </c>
      <c r="D514" s="53" t="s">
        <v>376</v>
      </c>
      <c r="E514" s="162">
        <v>15175</v>
      </c>
      <c r="F514" s="163"/>
      <c r="G514" s="163"/>
      <c r="H514" s="163"/>
      <c r="I514" s="163"/>
      <c r="J514" s="163"/>
      <c r="K514" s="163"/>
      <c r="L514" s="163"/>
      <c r="M514" s="163"/>
      <c r="N514" s="163"/>
      <c r="O514" s="163"/>
      <c r="P514" s="163"/>
      <c r="Q514" s="164"/>
      <c r="R514" s="78"/>
      <c r="S514" s="78"/>
      <c r="T514" s="78"/>
      <c r="U514" s="78"/>
      <c r="V514" s="78"/>
      <c r="W514" s="78"/>
      <c r="X514" s="78"/>
      <c r="Y514" s="78"/>
      <c r="Z514" s="78"/>
      <c r="AA514" s="78"/>
      <c r="AB514" s="78"/>
      <c r="AC514" s="78"/>
      <c r="AD514" s="78"/>
      <c r="AE514" s="78"/>
      <c r="AF514" s="78"/>
      <c r="AG514" s="78"/>
      <c r="AH514" s="78"/>
      <c r="AI514" s="78"/>
      <c r="AJ514" s="78"/>
      <c r="AK514" s="78"/>
      <c r="AL514" s="78"/>
      <c r="AM514" s="78"/>
      <c r="AN514" s="78"/>
      <c r="AO514" s="78"/>
      <c r="AP514" s="78"/>
      <c r="AQ514" s="78"/>
      <c r="AR514" s="78"/>
      <c r="AS514" s="78"/>
      <c r="AT514" s="78"/>
      <c r="AU514" s="78"/>
      <c r="AV514" s="78"/>
      <c r="AW514" s="78"/>
      <c r="AX514" s="78"/>
      <c r="AY514" s="78"/>
      <c r="AZ514" s="78"/>
      <c r="BA514" s="78"/>
      <c r="BB514" s="78"/>
      <c r="BC514" s="78"/>
      <c r="BD514" s="78"/>
      <c r="BE514" s="78"/>
      <c r="BF514" s="78"/>
      <c r="BG514" s="78"/>
      <c r="BH514" s="78"/>
      <c r="BI514" s="78"/>
      <c r="BJ514" s="78"/>
      <c r="BK514" s="78"/>
      <c r="BL514" s="78"/>
      <c r="BM514" s="78"/>
      <c r="BN514" s="78"/>
      <c r="BO514" s="78"/>
      <c r="BP514" s="78"/>
      <c r="BQ514" s="78"/>
      <c r="BR514" s="78"/>
      <c r="BS514" s="78"/>
      <c r="BT514" s="78"/>
      <c r="BU514" s="78"/>
      <c r="BV514" s="78"/>
      <c r="BW514" s="78"/>
      <c r="BX514" s="78"/>
      <c r="BY514" s="78"/>
      <c r="BZ514" s="78"/>
      <c r="CA514" s="78"/>
      <c r="CB514" s="78"/>
      <c r="CC514" s="78"/>
      <c r="CD514" s="78"/>
      <c r="CE514" s="78"/>
      <c r="CF514" s="78"/>
      <c r="CG514" s="78"/>
      <c r="CH514" s="78"/>
      <c r="CI514" s="78"/>
      <c r="CJ514" s="78"/>
      <c r="CK514" s="78"/>
      <c r="CL514" s="78"/>
      <c r="CM514" s="78"/>
      <c r="CN514" s="78"/>
      <c r="CO514" s="78"/>
      <c r="CP514" s="78"/>
      <c r="CQ514" s="78"/>
      <c r="CR514" s="78"/>
      <c r="CS514" s="78"/>
      <c r="CT514" s="78"/>
      <c r="CU514" s="78"/>
      <c r="CV514" s="78"/>
      <c r="CW514" s="78"/>
      <c r="CX514" s="78"/>
      <c r="CY514" s="78"/>
      <c r="CZ514" s="78"/>
      <c r="DA514" s="78"/>
      <c r="DB514" s="78"/>
      <c r="DC514" s="78"/>
      <c r="DD514" s="78"/>
      <c r="DE514" s="78"/>
      <c r="DF514" s="78"/>
      <c r="DG514" s="78"/>
      <c r="DH514" s="78"/>
      <c r="DI514" s="78"/>
      <c r="DJ514" s="78"/>
      <c r="DK514" s="78"/>
      <c r="DL514" s="78"/>
      <c r="DM514" s="78"/>
      <c r="DN514" s="78"/>
      <c r="DO514" s="78"/>
      <c r="DP514" s="78"/>
      <c r="DQ514" s="78"/>
      <c r="DR514" s="78"/>
      <c r="DS514" s="78"/>
      <c r="DT514" s="78"/>
      <c r="DU514" s="78"/>
      <c r="DV514" s="78"/>
      <c r="DW514" s="78"/>
      <c r="DX514" s="78"/>
      <c r="DY514" s="78"/>
      <c r="DZ514" s="78"/>
      <c r="EA514" s="78"/>
      <c r="EB514" s="78"/>
      <c r="EC514" s="78"/>
    </row>
    <row r="515" spans="1:133" s="9" customFormat="1" ht="18" x14ac:dyDescent="0.25">
      <c r="A515" s="73" t="s">
        <v>54</v>
      </c>
      <c r="B515" s="60" t="s">
        <v>203</v>
      </c>
      <c r="C515" s="53" t="s">
        <v>56</v>
      </c>
      <c r="D515" s="53" t="s">
        <v>376</v>
      </c>
      <c r="E515" s="162">
        <v>303.16000000000003</v>
      </c>
      <c r="F515" s="163"/>
      <c r="G515" s="163"/>
      <c r="H515" s="163"/>
      <c r="I515" s="163"/>
      <c r="J515" s="163"/>
      <c r="K515" s="163"/>
      <c r="L515" s="163"/>
      <c r="M515" s="163"/>
      <c r="N515" s="163"/>
      <c r="O515" s="163"/>
      <c r="P515" s="163"/>
      <c r="Q515" s="164"/>
      <c r="R515" s="78"/>
      <c r="S515" s="78"/>
      <c r="T515" s="78"/>
      <c r="U515" s="78"/>
      <c r="V515" s="78"/>
      <c r="W515" s="78"/>
      <c r="X515" s="78"/>
      <c r="Y515" s="78"/>
      <c r="Z515" s="78"/>
      <c r="AA515" s="78"/>
      <c r="AB515" s="78"/>
      <c r="AC515" s="78"/>
      <c r="AD515" s="78"/>
      <c r="AE515" s="78"/>
      <c r="AF515" s="78"/>
      <c r="AG515" s="78"/>
      <c r="AH515" s="78"/>
      <c r="AI515" s="78"/>
      <c r="AJ515" s="78"/>
      <c r="AK515" s="78"/>
      <c r="AL515" s="78"/>
      <c r="AM515" s="78"/>
      <c r="AN515" s="78"/>
      <c r="AO515" s="78"/>
      <c r="AP515" s="78"/>
      <c r="AQ515" s="78"/>
      <c r="AR515" s="78"/>
      <c r="AS515" s="78"/>
      <c r="AT515" s="78"/>
      <c r="AU515" s="78"/>
      <c r="AV515" s="78"/>
      <c r="AW515" s="78"/>
      <c r="AX515" s="78"/>
      <c r="AY515" s="78"/>
      <c r="AZ515" s="78"/>
      <c r="BA515" s="78"/>
      <c r="BB515" s="78"/>
      <c r="BC515" s="78"/>
      <c r="BD515" s="78"/>
      <c r="BE515" s="78"/>
      <c r="BF515" s="78"/>
      <c r="BG515" s="78"/>
      <c r="BH515" s="78"/>
      <c r="BI515" s="78"/>
      <c r="BJ515" s="78"/>
      <c r="BK515" s="78"/>
      <c r="BL515" s="78"/>
      <c r="BM515" s="78"/>
      <c r="BN515" s="78"/>
      <c r="BO515" s="78"/>
      <c r="BP515" s="78"/>
      <c r="BQ515" s="78"/>
      <c r="BR515" s="78"/>
      <c r="BS515" s="78"/>
      <c r="BT515" s="78"/>
      <c r="BU515" s="78"/>
      <c r="BV515" s="78"/>
      <c r="BW515" s="78"/>
      <c r="BX515" s="78"/>
      <c r="BY515" s="78"/>
      <c r="BZ515" s="78"/>
      <c r="CA515" s="78"/>
      <c r="CB515" s="78"/>
      <c r="CC515" s="78"/>
      <c r="CD515" s="78"/>
      <c r="CE515" s="78"/>
      <c r="CF515" s="78"/>
      <c r="CG515" s="78"/>
      <c r="CH515" s="78"/>
      <c r="CI515" s="78"/>
      <c r="CJ515" s="78"/>
      <c r="CK515" s="78"/>
      <c r="CL515" s="78"/>
      <c r="CM515" s="78"/>
      <c r="CN515" s="78"/>
      <c r="CO515" s="78"/>
      <c r="CP515" s="78"/>
      <c r="CQ515" s="78"/>
      <c r="CR515" s="78"/>
      <c r="CS515" s="78"/>
      <c r="CT515" s="78"/>
      <c r="CU515" s="78"/>
      <c r="CV515" s="78"/>
      <c r="CW515" s="78"/>
      <c r="CX515" s="78"/>
      <c r="CY515" s="78"/>
      <c r="CZ515" s="78"/>
      <c r="DA515" s="78"/>
      <c r="DB515" s="78"/>
      <c r="DC515" s="78"/>
      <c r="DD515" s="78"/>
      <c r="DE515" s="78"/>
      <c r="DF515" s="78"/>
      <c r="DG515" s="78"/>
      <c r="DH515" s="78"/>
      <c r="DI515" s="78"/>
      <c r="DJ515" s="78"/>
      <c r="DK515" s="78"/>
      <c r="DL515" s="78"/>
      <c r="DM515" s="78"/>
      <c r="DN515" s="78"/>
      <c r="DO515" s="78"/>
      <c r="DP515" s="78"/>
      <c r="DQ515" s="78"/>
      <c r="DR515" s="78"/>
      <c r="DS515" s="78"/>
      <c r="DT515" s="78"/>
      <c r="DU515" s="78"/>
      <c r="DV515" s="78"/>
      <c r="DW515" s="78"/>
      <c r="DX515" s="78"/>
      <c r="DY515" s="78"/>
      <c r="DZ515" s="78"/>
      <c r="EA515" s="78"/>
      <c r="EB515" s="78"/>
      <c r="EC515" s="78"/>
    </row>
    <row r="516" spans="1:133" s="9" customFormat="1" x14ac:dyDescent="0.25">
      <c r="A516" s="73" t="s">
        <v>57</v>
      </c>
      <c r="B516" s="60" t="s">
        <v>204</v>
      </c>
      <c r="C516" s="53" t="s">
        <v>59</v>
      </c>
      <c r="D516" s="53" t="s">
        <v>376</v>
      </c>
      <c r="E516" s="162">
        <v>1.9870000000000001</v>
      </c>
      <c r="F516" s="163"/>
      <c r="G516" s="163"/>
      <c r="H516" s="163"/>
      <c r="I516" s="163"/>
      <c r="J516" s="163"/>
      <c r="K516" s="163"/>
      <c r="L516" s="163"/>
      <c r="M516" s="163"/>
      <c r="N516" s="163"/>
      <c r="O516" s="163"/>
      <c r="P516" s="163"/>
      <c r="Q516" s="164"/>
      <c r="R516" s="78"/>
      <c r="S516" s="78"/>
      <c r="T516" s="78"/>
      <c r="U516" s="78"/>
      <c r="V516" s="78"/>
      <c r="W516" s="78"/>
      <c r="X516" s="78"/>
      <c r="Y516" s="78"/>
      <c r="Z516" s="78"/>
      <c r="AA516" s="78"/>
      <c r="AB516" s="78"/>
      <c r="AC516" s="78"/>
      <c r="AD516" s="78"/>
      <c r="AE516" s="78"/>
      <c r="AF516" s="78"/>
      <c r="AG516" s="78"/>
      <c r="AH516" s="78"/>
      <c r="AI516" s="78"/>
      <c r="AJ516" s="78"/>
      <c r="AK516" s="78"/>
      <c r="AL516" s="78"/>
      <c r="AM516" s="78"/>
      <c r="AN516" s="78"/>
      <c r="AO516" s="78"/>
      <c r="AP516" s="78"/>
      <c r="AQ516" s="78"/>
      <c r="AR516" s="78"/>
      <c r="AS516" s="78"/>
      <c r="AT516" s="78"/>
      <c r="AU516" s="78"/>
      <c r="AV516" s="78"/>
      <c r="AW516" s="78"/>
      <c r="AX516" s="78"/>
      <c r="AY516" s="78"/>
      <c r="AZ516" s="78"/>
      <c r="BA516" s="78"/>
      <c r="BB516" s="78"/>
      <c r="BC516" s="78"/>
      <c r="BD516" s="78"/>
      <c r="BE516" s="78"/>
      <c r="BF516" s="78"/>
      <c r="BG516" s="78"/>
      <c r="BH516" s="78"/>
      <c r="BI516" s="78"/>
      <c r="BJ516" s="78"/>
      <c r="BK516" s="78"/>
      <c r="BL516" s="78"/>
      <c r="BM516" s="78"/>
      <c r="BN516" s="78"/>
      <c r="BO516" s="78"/>
      <c r="BP516" s="78"/>
      <c r="BQ516" s="78"/>
      <c r="BR516" s="78"/>
      <c r="BS516" s="78"/>
      <c r="BT516" s="78"/>
      <c r="BU516" s="78"/>
      <c r="BV516" s="78"/>
      <c r="BW516" s="78"/>
      <c r="BX516" s="78"/>
      <c r="BY516" s="78"/>
      <c r="BZ516" s="78"/>
      <c r="CA516" s="78"/>
      <c r="CB516" s="78"/>
      <c r="CC516" s="78"/>
      <c r="CD516" s="78"/>
      <c r="CE516" s="78"/>
      <c r="CF516" s="78"/>
      <c r="CG516" s="78"/>
      <c r="CH516" s="78"/>
      <c r="CI516" s="78"/>
      <c r="CJ516" s="78"/>
      <c r="CK516" s="78"/>
      <c r="CL516" s="78"/>
      <c r="CM516" s="78"/>
      <c r="CN516" s="78"/>
      <c r="CO516" s="78"/>
      <c r="CP516" s="78"/>
      <c r="CQ516" s="78"/>
      <c r="CR516" s="78"/>
      <c r="CS516" s="78"/>
      <c r="CT516" s="78"/>
      <c r="CU516" s="78"/>
      <c r="CV516" s="78"/>
      <c r="CW516" s="78"/>
      <c r="CX516" s="78"/>
      <c r="CY516" s="78"/>
      <c r="CZ516" s="78"/>
      <c r="DA516" s="78"/>
      <c r="DB516" s="78"/>
      <c r="DC516" s="78"/>
      <c r="DD516" s="78"/>
      <c r="DE516" s="78"/>
      <c r="DF516" s="78"/>
      <c r="DG516" s="78"/>
      <c r="DH516" s="78"/>
      <c r="DI516" s="78"/>
      <c r="DJ516" s="78"/>
      <c r="DK516" s="78"/>
      <c r="DL516" s="78"/>
      <c r="DM516" s="78"/>
      <c r="DN516" s="78"/>
      <c r="DO516" s="78"/>
      <c r="DP516" s="78"/>
      <c r="DQ516" s="78"/>
      <c r="DR516" s="78"/>
      <c r="DS516" s="78"/>
      <c r="DT516" s="78"/>
      <c r="DU516" s="78"/>
      <c r="DV516" s="78"/>
      <c r="DW516" s="78"/>
      <c r="DX516" s="78"/>
      <c r="DY516" s="78"/>
      <c r="DZ516" s="78"/>
      <c r="EA516" s="78"/>
      <c r="EB516" s="78"/>
      <c r="EC516" s="78"/>
    </row>
    <row r="517" spans="1:133" s="9" customFormat="1" ht="31.2" x14ac:dyDescent="0.25">
      <c r="A517" s="73" t="s">
        <v>60</v>
      </c>
      <c r="B517" s="60" t="s">
        <v>203</v>
      </c>
      <c r="C517" s="53" t="s">
        <v>61</v>
      </c>
      <c r="D517" s="143" t="s">
        <v>363</v>
      </c>
      <c r="E517" s="98">
        <f>AVERAGE(F517:K517)</f>
        <v>293.48333333333335</v>
      </c>
      <c r="F517" s="60">
        <v>288.14999999999998</v>
      </c>
      <c r="G517" s="60">
        <v>284.64999999999998</v>
      </c>
      <c r="H517" s="60">
        <v>293.64999999999998</v>
      </c>
      <c r="I517" s="60">
        <v>295.64999999999998</v>
      </c>
      <c r="J517" s="60">
        <v>297.64999999999998</v>
      </c>
      <c r="K517" s="60">
        <v>301.14999999999998</v>
      </c>
      <c r="L517" s="60" t="s">
        <v>297</v>
      </c>
      <c r="M517" s="60" t="s">
        <v>297</v>
      </c>
      <c r="N517" s="60" t="s">
        <v>297</v>
      </c>
      <c r="O517" s="60" t="s">
        <v>297</v>
      </c>
      <c r="P517" s="60" t="s">
        <v>297</v>
      </c>
      <c r="Q517" s="60" t="s">
        <v>297</v>
      </c>
      <c r="R517" s="78"/>
      <c r="S517" s="78"/>
      <c r="T517" s="78"/>
      <c r="U517" s="78"/>
      <c r="V517" s="78"/>
      <c r="W517" s="78"/>
      <c r="X517" s="78"/>
      <c r="Y517" s="78"/>
      <c r="Z517" s="78"/>
      <c r="AA517" s="78"/>
      <c r="AB517" s="78"/>
      <c r="AC517" s="78"/>
      <c r="AD517" s="78"/>
      <c r="AE517" s="78"/>
      <c r="AF517" s="78"/>
      <c r="AG517" s="78"/>
      <c r="AH517" s="78"/>
      <c r="AI517" s="78"/>
      <c r="AJ517" s="78"/>
      <c r="AK517" s="78"/>
      <c r="AL517" s="78"/>
      <c r="AM517" s="78"/>
      <c r="AN517" s="78"/>
      <c r="AO517" s="78"/>
      <c r="AP517" s="78"/>
      <c r="AQ517" s="78"/>
      <c r="AR517" s="78"/>
      <c r="AS517" s="78"/>
      <c r="AT517" s="78"/>
      <c r="AU517" s="78"/>
      <c r="AV517" s="78"/>
      <c r="AW517" s="78"/>
      <c r="AX517" s="78"/>
      <c r="AY517" s="78"/>
      <c r="AZ517" s="78"/>
      <c r="BA517" s="78"/>
      <c r="BB517" s="78"/>
      <c r="BC517" s="78"/>
      <c r="BD517" s="78"/>
      <c r="BE517" s="78"/>
      <c r="BF517" s="78"/>
      <c r="BG517" s="78"/>
      <c r="BH517" s="78"/>
      <c r="BI517" s="78"/>
      <c r="BJ517" s="78"/>
      <c r="BK517" s="78"/>
      <c r="BL517" s="78"/>
      <c r="BM517" s="78"/>
      <c r="BN517" s="78"/>
      <c r="BO517" s="78"/>
      <c r="BP517" s="78"/>
      <c r="BQ517" s="78"/>
      <c r="BR517" s="78"/>
      <c r="BS517" s="78"/>
      <c r="BT517" s="78"/>
      <c r="BU517" s="78"/>
      <c r="BV517" s="78"/>
      <c r="BW517" s="78"/>
      <c r="BX517" s="78"/>
      <c r="BY517" s="78"/>
      <c r="BZ517" s="78"/>
      <c r="CA517" s="78"/>
      <c r="CB517" s="78"/>
      <c r="CC517" s="78"/>
      <c r="CD517" s="78"/>
      <c r="CE517" s="78"/>
      <c r="CF517" s="78"/>
      <c r="CG517" s="78"/>
      <c r="CH517" s="78"/>
      <c r="CI517" s="78"/>
      <c r="CJ517" s="78"/>
      <c r="CK517" s="78"/>
      <c r="CL517" s="78"/>
      <c r="CM517" s="78"/>
      <c r="CN517" s="78"/>
      <c r="CO517" s="78"/>
      <c r="CP517" s="78"/>
      <c r="CQ517" s="78"/>
      <c r="CR517" s="78"/>
      <c r="CS517" s="78"/>
      <c r="CT517" s="78"/>
      <c r="CU517" s="78"/>
      <c r="CV517" s="78"/>
      <c r="CW517" s="78"/>
      <c r="CX517" s="78"/>
      <c r="CY517" s="78"/>
      <c r="CZ517" s="78"/>
      <c r="DA517" s="78"/>
      <c r="DB517" s="78"/>
      <c r="DC517" s="78"/>
      <c r="DD517" s="78"/>
      <c r="DE517" s="78"/>
      <c r="DF517" s="78"/>
      <c r="DG517" s="78"/>
      <c r="DH517" s="78"/>
      <c r="DI517" s="78"/>
      <c r="DJ517" s="78"/>
      <c r="DK517" s="78"/>
      <c r="DL517" s="78"/>
      <c r="DM517" s="78"/>
      <c r="DN517" s="78"/>
      <c r="DO517" s="78"/>
      <c r="DP517" s="78"/>
      <c r="DQ517" s="78"/>
      <c r="DR517" s="78"/>
      <c r="DS517" s="78"/>
      <c r="DT517" s="78"/>
      <c r="DU517" s="78"/>
      <c r="DV517" s="78"/>
      <c r="DW517" s="78"/>
      <c r="DX517" s="78"/>
      <c r="DY517" s="78"/>
      <c r="DZ517" s="78"/>
      <c r="EA517" s="78"/>
      <c r="EB517" s="78"/>
      <c r="EC517" s="78"/>
    </row>
    <row r="518" spans="1:133" s="9" customFormat="1" ht="31.2" x14ac:dyDescent="0.4">
      <c r="A518" s="71" t="s">
        <v>62</v>
      </c>
      <c r="B518" s="60" t="s">
        <v>196</v>
      </c>
      <c r="C518" s="53" t="s">
        <v>63</v>
      </c>
      <c r="D518" s="53" t="s">
        <v>377</v>
      </c>
      <c r="E518" s="74">
        <f>SUM(F518:K518)</f>
        <v>856.18163134198358</v>
      </c>
      <c r="F518" s="74">
        <f>F507*F502*F505+(1-F513)*'Baseline Emissions 2021'!Q518</f>
        <v>165.81577258634306</v>
      </c>
      <c r="G518" s="74">
        <f t="shared" ref="G518:K518" si="69">G507*G502*G505+(1-G513)*F518</f>
        <v>188.58081771556877</v>
      </c>
      <c r="H518" s="74">
        <f t="shared" si="69"/>
        <v>166.06413608340506</v>
      </c>
      <c r="I518" s="74">
        <f t="shared" si="69"/>
        <v>137.42782452673305</v>
      </c>
      <c r="J518" s="74">
        <f t="shared" si="69"/>
        <v>118.13850840135527</v>
      </c>
      <c r="K518" s="74">
        <f t="shared" si="69"/>
        <v>80.154572028578428</v>
      </c>
      <c r="L518" s="74" t="s">
        <v>297</v>
      </c>
      <c r="M518" s="74" t="s">
        <v>297</v>
      </c>
      <c r="N518" s="74" t="s">
        <v>297</v>
      </c>
      <c r="O518" s="74" t="s">
        <v>297</v>
      </c>
      <c r="P518" s="74" t="s">
        <v>297</v>
      </c>
      <c r="Q518" s="74" t="s">
        <v>297</v>
      </c>
      <c r="R518" s="78"/>
      <c r="S518" s="78"/>
      <c r="T518" s="78"/>
      <c r="U518" s="78"/>
      <c r="V518" s="78"/>
      <c r="W518" s="78"/>
      <c r="X518" s="78"/>
      <c r="Y518" s="78"/>
      <c r="Z518" s="78"/>
      <c r="AA518" s="78"/>
      <c r="AB518" s="78"/>
      <c r="AC518" s="78"/>
      <c r="AD518" s="78"/>
      <c r="AE518" s="78"/>
      <c r="AF518" s="78"/>
      <c r="AG518" s="78"/>
      <c r="AH518" s="78"/>
      <c r="AI518" s="78"/>
      <c r="AJ518" s="78"/>
      <c r="AK518" s="78"/>
      <c r="AL518" s="78"/>
      <c r="AM518" s="78"/>
      <c r="AN518" s="78"/>
      <c r="AO518" s="78"/>
      <c r="AP518" s="78"/>
      <c r="AQ518" s="78"/>
      <c r="AR518" s="78"/>
      <c r="AS518" s="78"/>
      <c r="AT518" s="78"/>
      <c r="AU518" s="78"/>
      <c r="AV518" s="78"/>
      <c r="AW518" s="78"/>
      <c r="AX518" s="78"/>
      <c r="AY518" s="78"/>
      <c r="AZ518" s="78"/>
      <c r="BA518" s="78"/>
      <c r="BB518" s="78"/>
      <c r="BC518" s="78"/>
      <c r="BD518" s="78"/>
      <c r="BE518" s="78"/>
      <c r="BF518" s="78"/>
      <c r="BG518" s="78"/>
      <c r="BH518" s="78"/>
      <c r="BI518" s="78"/>
      <c r="BJ518" s="78"/>
      <c r="BK518" s="78"/>
      <c r="BL518" s="78"/>
      <c r="BM518" s="78"/>
      <c r="BN518" s="78"/>
      <c r="BO518" s="78"/>
      <c r="BP518" s="78"/>
      <c r="BQ518" s="78"/>
      <c r="BR518" s="78"/>
      <c r="BS518" s="78"/>
      <c r="BT518" s="78"/>
      <c r="BU518" s="78"/>
      <c r="BV518" s="78"/>
      <c r="BW518" s="78"/>
      <c r="BX518" s="78"/>
      <c r="BY518" s="78"/>
      <c r="BZ518" s="78"/>
      <c r="CA518" s="78"/>
      <c r="CB518" s="78"/>
      <c r="CC518" s="78"/>
      <c r="CD518" s="78"/>
      <c r="CE518" s="78"/>
      <c r="CF518" s="78"/>
      <c r="CG518" s="78"/>
      <c r="CH518" s="78"/>
      <c r="CI518" s="78"/>
      <c r="CJ518" s="78"/>
      <c r="CK518" s="78"/>
      <c r="CL518" s="78"/>
      <c r="CM518" s="78"/>
      <c r="CN518" s="78"/>
      <c r="CO518" s="78"/>
      <c r="CP518" s="78"/>
      <c r="CQ518" s="78"/>
      <c r="CR518" s="78"/>
      <c r="CS518" s="78"/>
      <c r="CT518" s="78"/>
      <c r="CU518" s="78"/>
      <c r="CV518" s="78"/>
      <c r="CW518" s="78"/>
      <c r="CX518" s="78"/>
      <c r="CY518" s="78"/>
      <c r="CZ518" s="78"/>
      <c r="DA518" s="78"/>
      <c r="DB518" s="78"/>
      <c r="DC518" s="78"/>
      <c r="DD518" s="78"/>
      <c r="DE518" s="78"/>
      <c r="DF518" s="78"/>
      <c r="DG518" s="78"/>
      <c r="DH518" s="78"/>
      <c r="DI518" s="78"/>
      <c r="DJ518" s="78"/>
      <c r="DK518" s="78"/>
      <c r="DL518" s="78"/>
      <c r="DM518" s="78"/>
      <c r="DN518" s="78"/>
      <c r="DO518" s="78"/>
      <c r="DP518" s="78"/>
      <c r="DQ518" s="78"/>
      <c r="DR518" s="78"/>
      <c r="DS518" s="78"/>
      <c r="DT518" s="78"/>
      <c r="DU518" s="78"/>
      <c r="DV518" s="78"/>
      <c r="DW518" s="78"/>
      <c r="DX518" s="78"/>
      <c r="DY518" s="78"/>
      <c r="DZ518" s="78"/>
      <c r="EA518" s="78"/>
      <c r="EB518" s="78"/>
      <c r="EC518" s="78"/>
    </row>
    <row r="520" spans="1:133" ht="15.6" customHeight="1" x14ac:dyDescent="0.25">
      <c r="A520" s="36" t="s">
        <v>64</v>
      </c>
      <c r="B520" s="36"/>
      <c r="C520" s="36"/>
      <c r="D520" s="36"/>
      <c r="E520" s="36"/>
    </row>
    <row r="521" spans="1:133" x14ac:dyDescent="0.25">
      <c r="A521" s="57" t="s">
        <v>8</v>
      </c>
      <c r="B521" s="58" t="s">
        <v>9</v>
      </c>
      <c r="C521" s="34" t="s">
        <v>10</v>
      </c>
      <c r="D521" s="34" t="s">
        <v>340</v>
      </c>
      <c r="E521" s="16" t="s">
        <v>65</v>
      </c>
    </row>
    <row r="522" spans="1:133" ht="62.4" x14ac:dyDescent="0.25">
      <c r="A522" s="59" t="s">
        <v>66</v>
      </c>
      <c r="B522" s="60" t="s">
        <v>14</v>
      </c>
      <c r="C522" s="53" t="s">
        <v>67</v>
      </c>
      <c r="D522" s="53" t="s">
        <v>68</v>
      </c>
      <c r="E522" s="75">
        <v>0</v>
      </c>
    </row>
    <row r="523" spans="1:133" ht="46.8" x14ac:dyDescent="0.25">
      <c r="A523" s="63" t="s">
        <v>69</v>
      </c>
      <c r="B523" s="25" t="s">
        <v>70</v>
      </c>
      <c r="C523" s="35" t="s">
        <v>71</v>
      </c>
      <c r="D523" s="53" t="str">
        <f>D529</f>
        <v>Historical data on site in the FSR (It was calculated with conservative value)</v>
      </c>
      <c r="E523" s="74">
        <f>E529</f>
        <v>168.64463179686339</v>
      </c>
    </row>
    <row r="525" spans="1:133" ht="15.6" customHeight="1" x14ac:dyDescent="0.25">
      <c r="A525" s="90" t="s">
        <v>72</v>
      </c>
      <c r="B525" s="90"/>
      <c r="C525" s="91"/>
      <c r="D525" s="91"/>
      <c r="E525" s="90"/>
    </row>
    <row r="526" spans="1:133" x14ac:dyDescent="0.25">
      <c r="A526" s="59" t="s">
        <v>8</v>
      </c>
      <c r="B526" s="16" t="s">
        <v>9</v>
      </c>
      <c r="C526" s="38" t="s">
        <v>10</v>
      </c>
      <c r="D526" s="38" t="s">
        <v>340</v>
      </c>
      <c r="E526" s="16" t="s">
        <v>65</v>
      </c>
    </row>
    <row r="527" spans="1:133" ht="33.6" x14ac:dyDescent="0.4">
      <c r="A527" s="76" t="s">
        <v>73</v>
      </c>
      <c r="B527" s="25" t="s">
        <v>74</v>
      </c>
      <c r="C527" s="35" t="s">
        <v>75</v>
      </c>
      <c r="D527" s="35" t="s">
        <v>378</v>
      </c>
      <c r="E527" s="50">
        <f>E528*E531*E532*E533*E534*E535</f>
        <v>0.68498912475702711</v>
      </c>
    </row>
    <row r="528" spans="1:133" s="13" customFormat="1" ht="46.8" x14ac:dyDescent="0.4">
      <c r="A528" s="77" t="s">
        <v>207</v>
      </c>
      <c r="B528" s="25" t="s">
        <v>76</v>
      </c>
      <c r="C528" s="35" t="s">
        <v>77</v>
      </c>
      <c r="D528" s="35" t="s">
        <v>379</v>
      </c>
      <c r="E528" s="52">
        <f>E529/E530</f>
        <v>33.728926359372679</v>
      </c>
      <c r="R528" s="14"/>
      <c r="S528" s="14"/>
      <c r="T528" s="14"/>
      <c r="U528" s="14"/>
      <c r="V528" s="14"/>
      <c r="W528" s="14"/>
      <c r="X528" s="14"/>
      <c r="Y528" s="14"/>
      <c r="Z528" s="14"/>
      <c r="AA528" s="14"/>
      <c r="AB528" s="14"/>
      <c r="AC528" s="14"/>
      <c r="AD528" s="14"/>
      <c r="AE528" s="14"/>
      <c r="AF528" s="14"/>
      <c r="AG528" s="14"/>
      <c r="AH528" s="14"/>
      <c r="AI528" s="14"/>
      <c r="AJ528" s="14"/>
      <c r="AK528" s="14"/>
      <c r="AL528" s="14"/>
      <c r="AM528" s="14"/>
      <c r="AN528" s="14"/>
      <c r="AO528" s="14"/>
      <c r="AP528" s="14"/>
      <c r="AQ528" s="14"/>
      <c r="AR528" s="14"/>
      <c r="AS528" s="14"/>
      <c r="AT528" s="14"/>
      <c r="AU528" s="14"/>
      <c r="AV528" s="14"/>
      <c r="AW528" s="14"/>
      <c r="AX528" s="14"/>
      <c r="AY528" s="14"/>
      <c r="AZ528" s="14"/>
      <c r="BA528" s="14"/>
      <c r="BB528" s="14"/>
      <c r="BC528" s="14"/>
      <c r="BD528" s="14"/>
      <c r="BE528" s="14"/>
      <c r="BF528" s="14"/>
      <c r="BG528" s="14"/>
      <c r="BH528" s="14"/>
      <c r="BI528" s="14"/>
      <c r="BJ528" s="14"/>
      <c r="BK528" s="14"/>
      <c r="BL528" s="14"/>
      <c r="BM528" s="14"/>
      <c r="BN528" s="14"/>
      <c r="BO528" s="14"/>
      <c r="BP528" s="14"/>
      <c r="BQ528" s="14"/>
      <c r="BR528" s="14"/>
      <c r="BS528" s="14"/>
      <c r="BT528" s="14"/>
      <c r="BU528" s="14"/>
      <c r="BV528" s="14"/>
      <c r="BW528" s="14"/>
      <c r="BX528" s="14"/>
      <c r="BY528" s="14"/>
      <c r="BZ528" s="14"/>
      <c r="CA528" s="14"/>
      <c r="CB528" s="14"/>
      <c r="CC528" s="14"/>
      <c r="CD528" s="14"/>
      <c r="CE528" s="14"/>
      <c r="CF528" s="14"/>
      <c r="CG528" s="14"/>
      <c r="CH528" s="14"/>
      <c r="CI528" s="14"/>
      <c r="CJ528" s="14"/>
      <c r="CK528" s="14"/>
      <c r="CL528" s="14"/>
      <c r="CM528" s="14"/>
      <c r="CN528" s="14"/>
      <c r="CO528" s="14"/>
      <c r="CP528" s="14"/>
      <c r="CQ528" s="14"/>
      <c r="CR528" s="14"/>
      <c r="CS528" s="14"/>
      <c r="CT528" s="14"/>
      <c r="CU528" s="14"/>
      <c r="CV528" s="14"/>
      <c r="CW528" s="14"/>
      <c r="CX528" s="14"/>
      <c r="CY528" s="14"/>
      <c r="CZ528" s="14"/>
      <c r="DA528" s="14"/>
      <c r="DB528" s="14"/>
      <c r="DC528" s="14"/>
      <c r="DD528" s="14"/>
      <c r="DE528" s="14"/>
      <c r="DF528" s="14"/>
      <c r="DG528" s="14"/>
      <c r="DH528" s="14"/>
      <c r="DI528" s="14"/>
      <c r="DJ528" s="14"/>
      <c r="DK528" s="14"/>
      <c r="DL528" s="14"/>
      <c r="DM528" s="14"/>
      <c r="DN528" s="14"/>
      <c r="DO528" s="14"/>
      <c r="DP528" s="14"/>
      <c r="DQ528" s="14"/>
      <c r="DR528" s="14"/>
      <c r="DS528" s="14"/>
      <c r="DT528" s="14"/>
      <c r="DU528" s="14"/>
      <c r="DV528" s="14"/>
      <c r="DW528" s="14"/>
      <c r="DX528" s="14"/>
      <c r="DY528" s="14"/>
      <c r="DZ528" s="14"/>
      <c r="EA528" s="14"/>
      <c r="EB528" s="14"/>
      <c r="EC528" s="14"/>
    </row>
    <row r="529" spans="1:133" s="13" customFormat="1" ht="46.8" x14ac:dyDescent="0.25">
      <c r="A529" s="63" t="s">
        <v>208</v>
      </c>
      <c r="B529" s="25" t="s">
        <v>78</v>
      </c>
      <c r="C529" s="35" t="s">
        <v>79</v>
      </c>
      <c r="D529" s="53" t="s">
        <v>352</v>
      </c>
      <c r="E529" s="52">
        <f>0.000185905191120614*E502</f>
        <v>168.64463179686339</v>
      </c>
      <c r="R529" s="14"/>
      <c r="S529" s="14"/>
      <c r="T529" s="14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4"/>
      <c r="AF529" s="14"/>
      <c r="AG529" s="14"/>
      <c r="AH529" s="14"/>
      <c r="AI529" s="14"/>
      <c r="AJ529" s="14"/>
      <c r="AK529" s="14"/>
      <c r="AL529" s="14"/>
      <c r="AM529" s="14"/>
      <c r="AN529" s="14"/>
      <c r="AO529" s="14"/>
      <c r="AP529" s="14"/>
      <c r="AQ529" s="14"/>
      <c r="AR529" s="14"/>
      <c r="AS529" s="14"/>
      <c r="AT529" s="14"/>
      <c r="AU529" s="14"/>
      <c r="AV529" s="14"/>
      <c r="AW529" s="14"/>
      <c r="AX529" s="14"/>
      <c r="AY529" s="14"/>
      <c r="AZ529" s="14"/>
      <c r="BA529" s="14"/>
      <c r="BB529" s="14"/>
      <c r="BC529" s="14"/>
      <c r="BD529" s="14"/>
      <c r="BE529" s="14"/>
      <c r="BF529" s="14"/>
      <c r="BG529" s="14"/>
      <c r="BH529" s="14"/>
      <c r="BI529" s="14"/>
      <c r="BJ529" s="14"/>
      <c r="BK529" s="14"/>
      <c r="BL529" s="14"/>
      <c r="BM529" s="14"/>
      <c r="BN529" s="14"/>
      <c r="BO529" s="14"/>
      <c r="BP529" s="14"/>
      <c r="BQ529" s="14"/>
      <c r="BR529" s="14"/>
      <c r="BS529" s="14"/>
      <c r="BT529" s="14"/>
      <c r="BU529" s="14"/>
      <c r="BV529" s="14"/>
      <c r="BW529" s="14"/>
      <c r="BX529" s="14"/>
      <c r="BY529" s="14"/>
      <c r="BZ529" s="14"/>
      <c r="CA529" s="14"/>
      <c r="CB529" s="14"/>
      <c r="CC529" s="14"/>
      <c r="CD529" s="14"/>
      <c r="CE529" s="14"/>
      <c r="CF529" s="14"/>
      <c r="CG529" s="14"/>
      <c r="CH529" s="14"/>
      <c r="CI529" s="14"/>
      <c r="CJ529" s="14"/>
      <c r="CK529" s="14"/>
      <c r="CL529" s="14"/>
      <c r="CM529" s="14"/>
      <c r="CN529" s="14"/>
      <c r="CO529" s="14"/>
      <c r="CP529" s="14"/>
      <c r="CQ529" s="14"/>
      <c r="CR529" s="14"/>
      <c r="CS529" s="14"/>
      <c r="CT529" s="14"/>
      <c r="CU529" s="14"/>
      <c r="CV529" s="14"/>
      <c r="CW529" s="14"/>
      <c r="CX529" s="14"/>
      <c r="CY529" s="14"/>
      <c r="CZ529" s="14"/>
      <c r="DA529" s="14"/>
      <c r="DB529" s="14"/>
      <c r="DC529" s="14"/>
      <c r="DD529" s="14"/>
      <c r="DE529" s="14"/>
      <c r="DF529" s="14"/>
      <c r="DG529" s="14"/>
      <c r="DH529" s="14"/>
      <c r="DI529" s="14"/>
      <c r="DJ529" s="14"/>
      <c r="DK529" s="14"/>
      <c r="DL529" s="14"/>
      <c r="DM529" s="14"/>
      <c r="DN529" s="14"/>
      <c r="DO529" s="14"/>
      <c r="DP529" s="14"/>
      <c r="DQ529" s="14"/>
      <c r="DR529" s="14"/>
      <c r="DS529" s="14"/>
      <c r="DT529" s="14"/>
      <c r="DU529" s="14"/>
      <c r="DV529" s="14"/>
      <c r="DW529" s="14"/>
      <c r="DX529" s="14"/>
      <c r="DY529" s="14"/>
      <c r="DZ529" s="14"/>
      <c r="EA529" s="14"/>
      <c r="EB529" s="14"/>
      <c r="EC529" s="14"/>
    </row>
    <row r="530" spans="1:133" s="13" customFormat="1" ht="31.2" x14ac:dyDescent="0.25">
      <c r="A530" s="63" t="s">
        <v>209</v>
      </c>
      <c r="B530" s="25" t="s">
        <v>80</v>
      </c>
      <c r="C530" s="35" t="s">
        <v>81</v>
      </c>
      <c r="D530" s="35" t="s">
        <v>353</v>
      </c>
      <c r="E530" s="25">
        <f>5</f>
        <v>5</v>
      </c>
      <c r="R530" s="14"/>
      <c r="S530" s="14"/>
      <c r="T530" s="14"/>
      <c r="U530" s="14"/>
      <c r="V530" s="14"/>
      <c r="W530" s="14"/>
      <c r="X530" s="14"/>
      <c r="Y530" s="14"/>
      <c r="Z530" s="14"/>
      <c r="AA530" s="14"/>
      <c r="AB530" s="14"/>
      <c r="AC530" s="14"/>
      <c r="AD530" s="14"/>
      <c r="AE530" s="14"/>
      <c r="AF530" s="14"/>
      <c r="AG530" s="14"/>
      <c r="AH530" s="14"/>
      <c r="AI530" s="14"/>
      <c r="AJ530" s="14"/>
      <c r="AK530" s="14"/>
      <c r="AL530" s="14"/>
      <c r="AM530" s="14"/>
      <c r="AN530" s="14"/>
      <c r="AO530" s="14"/>
      <c r="AP530" s="14"/>
      <c r="AQ530" s="14"/>
      <c r="AR530" s="14"/>
      <c r="AS530" s="14"/>
      <c r="AT530" s="14"/>
      <c r="AU530" s="14"/>
      <c r="AV530" s="14"/>
      <c r="AW530" s="14"/>
      <c r="AX530" s="14"/>
      <c r="AY530" s="14"/>
      <c r="AZ530" s="14"/>
      <c r="BA530" s="14"/>
      <c r="BB530" s="14"/>
      <c r="BC530" s="14"/>
      <c r="BD530" s="14"/>
      <c r="BE530" s="14"/>
      <c r="BF530" s="14"/>
      <c r="BG530" s="14"/>
      <c r="BH530" s="14"/>
      <c r="BI530" s="14"/>
      <c r="BJ530" s="14"/>
      <c r="BK530" s="14"/>
      <c r="BL530" s="14"/>
      <c r="BM530" s="14"/>
      <c r="BN530" s="14"/>
      <c r="BO530" s="14"/>
      <c r="BP530" s="14"/>
      <c r="BQ530" s="14"/>
      <c r="BR530" s="14"/>
      <c r="BS530" s="14"/>
      <c r="BT530" s="14"/>
      <c r="BU530" s="14"/>
      <c r="BV530" s="14"/>
      <c r="BW530" s="14"/>
      <c r="BX530" s="14"/>
      <c r="BY530" s="14"/>
      <c r="BZ530" s="14"/>
      <c r="CA530" s="14"/>
      <c r="CB530" s="14"/>
      <c r="CC530" s="14"/>
      <c r="CD530" s="14"/>
      <c r="CE530" s="14"/>
      <c r="CF530" s="14"/>
      <c r="CG530" s="14"/>
      <c r="CH530" s="14"/>
      <c r="CI530" s="14"/>
      <c r="CJ530" s="14"/>
      <c r="CK530" s="14"/>
      <c r="CL530" s="14"/>
      <c r="CM530" s="14"/>
      <c r="CN530" s="14"/>
      <c r="CO530" s="14"/>
      <c r="CP530" s="14"/>
      <c r="CQ530" s="14"/>
      <c r="CR530" s="14"/>
      <c r="CS530" s="14"/>
      <c r="CT530" s="14"/>
      <c r="CU530" s="14"/>
      <c r="CV530" s="14"/>
      <c r="CW530" s="14"/>
      <c r="CX530" s="14"/>
      <c r="CY530" s="14"/>
      <c r="CZ530" s="14"/>
      <c r="DA530" s="14"/>
      <c r="DB530" s="14"/>
      <c r="DC530" s="14"/>
      <c r="DD530" s="14"/>
      <c r="DE530" s="14"/>
      <c r="DF530" s="14"/>
      <c r="DG530" s="14"/>
      <c r="DH530" s="14"/>
      <c r="DI530" s="14"/>
      <c r="DJ530" s="14"/>
      <c r="DK530" s="14"/>
      <c r="DL530" s="14"/>
      <c r="DM530" s="14"/>
      <c r="DN530" s="14"/>
      <c r="DO530" s="14"/>
      <c r="DP530" s="14"/>
      <c r="DQ530" s="14"/>
      <c r="DR530" s="14"/>
      <c r="DS530" s="14"/>
      <c r="DT530" s="14"/>
      <c r="DU530" s="14"/>
      <c r="DV530" s="14"/>
      <c r="DW530" s="14"/>
      <c r="DX530" s="14"/>
      <c r="DY530" s="14"/>
      <c r="DZ530" s="14"/>
      <c r="EA530" s="14"/>
      <c r="EB530" s="14"/>
      <c r="EC530" s="14"/>
    </row>
    <row r="531" spans="1:133" s="13" customFormat="1" ht="62.4" x14ac:dyDescent="0.25">
      <c r="A531" s="63" t="s">
        <v>210</v>
      </c>
      <c r="B531" s="25" t="s">
        <v>82</v>
      </c>
      <c r="C531" s="35" t="s">
        <v>83</v>
      </c>
      <c r="D531" s="53" t="s">
        <v>354</v>
      </c>
      <c r="E531" s="25">
        <f>15*2</f>
        <v>30</v>
      </c>
      <c r="R531" s="14"/>
      <c r="S531" s="14"/>
      <c r="T531" s="14"/>
      <c r="U531" s="14"/>
      <c r="V531" s="14"/>
      <c r="W531" s="14"/>
      <c r="X531" s="14"/>
      <c r="Y531" s="14"/>
      <c r="Z531" s="14"/>
      <c r="AA531" s="14"/>
      <c r="AB531" s="14"/>
      <c r="AC531" s="14"/>
      <c r="AD531" s="14"/>
      <c r="AE531" s="14"/>
      <c r="AF531" s="14"/>
      <c r="AG531" s="14"/>
      <c r="AH531" s="14"/>
      <c r="AI531" s="14"/>
      <c r="AJ531" s="14"/>
      <c r="AK531" s="14"/>
      <c r="AL531" s="14"/>
      <c r="AM531" s="14"/>
      <c r="AN531" s="14"/>
      <c r="AO531" s="14"/>
      <c r="AP531" s="14"/>
      <c r="AQ531" s="14"/>
      <c r="AR531" s="14"/>
      <c r="AS531" s="14"/>
      <c r="AT531" s="14"/>
      <c r="AU531" s="14"/>
      <c r="AV531" s="14"/>
      <c r="AW531" s="14"/>
      <c r="AX531" s="14"/>
      <c r="AY531" s="14"/>
      <c r="AZ531" s="14"/>
      <c r="BA531" s="14"/>
      <c r="BB531" s="14"/>
      <c r="BC531" s="14"/>
      <c r="BD531" s="14"/>
      <c r="BE531" s="14"/>
      <c r="BF531" s="14"/>
      <c r="BG531" s="14"/>
      <c r="BH531" s="14"/>
      <c r="BI531" s="14"/>
      <c r="BJ531" s="14"/>
      <c r="BK531" s="14"/>
      <c r="BL531" s="14"/>
      <c r="BM531" s="14"/>
      <c r="BN531" s="14"/>
      <c r="BO531" s="14"/>
      <c r="BP531" s="14"/>
      <c r="BQ531" s="14"/>
      <c r="BR531" s="14"/>
      <c r="BS531" s="14"/>
      <c r="BT531" s="14"/>
      <c r="BU531" s="14"/>
      <c r="BV531" s="14"/>
      <c r="BW531" s="14"/>
      <c r="BX531" s="14"/>
      <c r="BY531" s="14"/>
      <c r="BZ531" s="14"/>
      <c r="CA531" s="14"/>
      <c r="CB531" s="14"/>
      <c r="CC531" s="14"/>
      <c r="CD531" s="14"/>
      <c r="CE531" s="14"/>
      <c r="CF531" s="14"/>
      <c r="CG531" s="14"/>
      <c r="CH531" s="14"/>
      <c r="CI531" s="14"/>
      <c r="CJ531" s="14"/>
      <c r="CK531" s="14"/>
      <c r="CL531" s="14"/>
      <c r="CM531" s="14"/>
      <c r="CN531" s="14"/>
      <c r="CO531" s="14"/>
      <c r="CP531" s="14"/>
      <c r="CQ531" s="14"/>
      <c r="CR531" s="14"/>
      <c r="CS531" s="14"/>
      <c r="CT531" s="14"/>
      <c r="CU531" s="14"/>
      <c r="CV531" s="14"/>
      <c r="CW531" s="14"/>
      <c r="CX531" s="14"/>
      <c r="CY531" s="14"/>
      <c r="CZ531" s="14"/>
      <c r="DA531" s="14"/>
      <c r="DB531" s="14"/>
      <c r="DC531" s="14"/>
      <c r="DD531" s="14"/>
      <c r="DE531" s="14"/>
      <c r="DF531" s="14"/>
      <c r="DG531" s="14"/>
      <c r="DH531" s="14"/>
      <c r="DI531" s="14"/>
      <c r="DJ531" s="14"/>
      <c r="DK531" s="14"/>
      <c r="DL531" s="14"/>
      <c r="DM531" s="14"/>
      <c r="DN531" s="14"/>
      <c r="DO531" s="14"/>
      <c r="DP531" s="14"/>
      <c r="DQ531" s="14"/>
      <c r="DR531" s="14"/>
      <c r="DS531" s="14"/>
      <c r="DT531" s="14"/>
      <c r="DU531" s="14"/>
      <c r="DV531" s="14"/>
      <c r="DW531" s="14"/>
      <c r="DX531" s="14"/>
      <c r="DY531" s="14"/>
      <c r="DZ531" s="14"/>
      <c r="EA531" s="14"/>
      <c r="EB531" s="14"/>
      <c r="EC531" s="14"/>
    </row>
    <row r="532" spans="1:133" s="13" customFormat="1" ht="172.2" x14ac:dyDescent="0.25">
      <c r="A532" s="63" t="s">
        <v>211</v>
      </c>
      <c r="B532" s="25" t="s">
        <v>84</v>
      </c>
      <c r="C532" s="35" t="s">
        <v>85</v>
      </c>
      <c r="D532" s="35" t="s">
        <v>355</v>
      </c>
      <c r="E532" s="25">
        <f>25.1/100</f>
        <v>0.251</v>
      </c>
      <c r="R532" s="14"/>
      <c r="S532" s="14"/>
      <c r="T532" s="14"/>
      <c r="U532" s="14"/>
      <c r="V532" s="14"/>
      <c r="W532" s="14"/>
      <c r="X532" s="14"/>
      <c r="Y532" s="14"/>
      <c r="Z532" s="14"/>
      <c r="AA532" s="14"/>
      <c r="AB532" s="14"/>
      <c r="AC532" s="14"/>
      <c r="AD532" s="14"/>
      <c r="AE532" s="14"/>
      <c r="AF532" s="14"/>
      <c r="AG532" s="14"/>
      <c r="AH532" s="14"/>
      <c r="AI532" s="14"/>
      <c r="AJ532" s="14"/>
      <c r="AK532" s="14"/>
      <c r="AL532" s="14"/>
      <c r="AM532" s="14"/>
      <c r="AN532" s="14"/>
      <c r="AO532" s="14"/>
      <c r="AP532" s="14"/>
      <c r="AQ532" s="14"/>
      <c r="AR532" s="14"/>
      <c r="AS532" s="14"/>
      <c r="AT532" s="14"/>
      <c r="AU532" s="14"/>
      <c r="AV532" s="14"/>
      <c r="AW532" s="14"/>
      <c r="AX532" s="14"/>
      <c r="AY532" s="14"/>
      <c r="AZ532" s="14"/>
      <c r="BA532" s="14"/>
      <c r="BB532" s="14"/>
      <c r="BC532" s="14"/>
      <c r="BD532" s="14"/>
      <c r="BE532" s="14"/>
      <c r="BF532" s="14"/>
      <c r="BG532" s="14"/>
      <c r="BH532" s="14"/>
      <c r="BI532" s="14"/>
      <c r="BJ532" s="14"/>
      <c r="BK532" s="14"/>
      <c r="BL532" s="14"/>
      <c r="BM532" s="14"/>
      <c r="BN532" s="14"/>
      <c r="BO532" s="14"/>
      <c r="BP532" s="14"/>
      <c r="BQ532" s="14"/>
      <c r="BR532" s="14"/>
      <c r="BS532" s="14"/>
      <c r="BT532" s="14"/>
      <c r="BU532" s="14"/>
      <c r="BV532" s="14"/>
      <c r="BW532" s="14"/>
      <c r="BX532" s="14"/>
      <c r="BY532" s="14"/>
      <c r="BZ532" s="14"/>
      <c r="CA532" s="14"/>
      <c r="CB532" s="14"/>
      <c r="CC532" s="14"/>
      <c r="CD532" s="14"/>
      <c r="CE532" s="14"/>
      <c r="CF532" s="14"/>
      <c r="CG532" s="14"/>
      <c r="CH532" s="14"/>
      <c r="CI532" s="14"/>
      <c r="CJ532" s="14"/>
      <c r="CK532" s="14"/>
      <c r="CL532" s="14"/>
      <c r="CM532" s="14"/>
      <c r="CN532" s="14"/>
      <c r="CO532" s="14"/>
      <c r="CP532" s="14"/>
      <c r="CQ532" s="14"/>
      <c r="CR532" s="14"/>
      <c r="CS532" s="14"/>
      <c r="CT532" s="14"/>
      <c r="CU532" s="14"/>
      <c r="CV532" s="14"/>
      <c r="CW532" s="14"/>
      <c r="CX532" s="14"/>
      <c r="CY532" s="14"/>
      <c r="CZ532" s="14"/>
      <c r="DA532" s="14"/>
      <c r="DB532" s="14"/>
      <c r="DC532" s="14"/>
      <c r="DD532" s="14"/>
      <c r="DE532" s="14"/>
      <c r="DF532" s="14"/>
      <c r="DG532" s="14"/>
      <c r="DH532" s="14"/>
      <c r="DI532" s="14"/>
      <c r="DJ532" s="14"/>
      <c r="DK532" s="14"/>
      <c r="DL532" s="14"/>
      <c r="DM532" s="14"/>
      <c r="DN532" s="14"/>
      <c r="DO532" s="14"/>
      <c r="DP532" s="14"/>
      <c r="DQ532" s="14"/>
      <c r="DR532" s="14"/>
      <c r="DS532" s="14"/>
      <c r="DT532" s="14"/>
      <c r="DU532" s="14"/>
      <c r="DV532" s="14"/>
      <c r="DW532" s="14"/>
      <c r="DX532" s="14"/>
      <c r="DY532" s="14"/>
      <c r="DZ532" s="14"/>
      <c r="EA532" s="14"/>
      <c r="EB532" s="14"/>
      <c r="EC532" s="14"/>
    </row>
    <row r="533" spans="1:133" s="13" customFormat="1" ht="156" x14ac:dyDescent="0.25">
      <c r="A533" s="63" t="s">
        <v>212</v>
      </c>
      <c r="B533" s="25" t="s">
        <v>87</v>
      </c>
      <c r="C533" s="35" t="s">
        <v>86</v>
      </c>
      <c r="D533" s="35" t="s">
        <v>356</v>
      </c>
      <c r="E533" s="25">
        <f>0.84/1000</f>
        <v>8.3999999999999993E-4</v>
      </c>
      <c r="R533" s="14"/>
      <c r="S533" s="14"/>
      <c r="T533" s="14"/>
      <c r="U533" s="14"/>
      <c r="V533" s="14"/>
      <c r="W533" s="14"/>
      <c r="X533" s="14"/>
      <c r="Y533" s="14"/>
      <c r="Z533" s="14"/>
      <c r="AA533" s="14"/>
      <c r="AB533" s="14"/>
      <c r="AC533" s="14"/>
      <c r="AD533" s="14"/>
      <c r="AE533" s="14"/>
      <c r="AF533" s="14"/>
      <c r="AG533" s="14"/>
      <c r="AH533" s="14"/>
      <c r="AI533" s="14"/>
      <c r="AJ533" s="14"/>
      <c r="AK533" s="14"/>
      <c r="AL533" s="14"/>
      <c r="AM533" s="14"/>
      <c r="AN533" s="14"/>
      <c r="AO533" s="14"/>
      <c r="AP533" s="14"/>
      <c r="AQ533" s="14"/>
      <c r="AR533" s="14"/>
      <c r="AS533" s="14"/>
      <c r="AT533" s="14"/>
      <c r="AU533" s="14"/>
      <c r="AV533" s="14"/>
      <c r="AW533" s="14"/>
      <c r="AX533" s="14"/>
      <c r="AY533" s="14"/>
      <c r="AZ533" s="14"/>
      <c r="BA533" s="14"/>
      <c r="BB533" s="14"/>
      <c r="BC533" s="14"/>
      <c r="BD533" s="14"/>
      <c r="BE533" s="14"/>
      <c r="BF533" s="14"/>
      <c r="BG533" s="14"/>
      <c r="BH533" s="14"/>
      <c r="BI533" s="14"/>
      <c r="BJ533" s="14"/>
      <c r="BK533" s="14"/>
      <c r="BL533" s="14"/>
      <c r="BM533" s="14"/>
      <c r="BN533" s="14"/>
      <c r="BO533" s="14"/>
      <c r="BP533" s="14"/>
      <c r="BQ533" s="14"/>
      <c r="BR533" s="14"/>
      <c r="BS533" s="14"/>
      <c r="BT533" s="14"/>
      <c r="BU533" s="14"/>
      <c r="BV533" s="14"/>
      <c r="BW533" s="14"/>
      <c r="BX533" s="14"/>
      <c r="BY533" s="14"/>
      <c r="BZ533" s="14"/>
      <c r="CA533" s="14"/>
      <c r="CB533" s="14"/>
      <c r="CC533" s="14"/>
      <c r="CD533" s="14"/>
      <c r="CE533" s="14"/>
      <c r="CF533" s="14"/>
      <c r="CG533" s="14"/>
      <c r="CH533" s="14"/>
      <c r="CI533" s="14"/>
      <c r="CJ533" s="14"/>
      <c r="CK533" s="14"/>
      <c r="CL533" s="14"/>
      <c r="CM533" s="14"/>
      <c r="CN533" s="14"/>
      <c r="CO533" s="14"/>
      <c r="CP533" s="14"/>
      <c r="CQ533" s="14"/>
      <c r="CR533" s="14"/>
      <c r="CS533" s="14"/>
      <c r="CT533" s="14"/>
      <c r="CU533" s="14"/>
      <c r="CV533" s="14"/>
      <c r="CW533" s="14"/>
      <c r="CX533" s="14"/>
      <c r="CY533" s="14"/>
      <c r="CZ533" s="14"/>
      <c r="DA533" s="14"/>
      <c r="DB533" s="14"/>
      <c r="DC533" s="14"/>
      <c r="DD533" s="14"/>
      <c r="DE533" s="14"/>
      <c r="DF533" s="14"/>
      <c r="DG533" s="14"/>
      <c r="DH533" s="14"/>
      <c r="DI533" s="14"/>
      <c r="DJ533" s="14"/>
      <c r="DK533" s="14"/>
      <c r="DL533" s="14"/>
      <c r="DM533" s="14"/>
      <c r="DN533" s="14"/>
      <c r="DO533" s="14"/>
      <c r="DP533" s="14"/>
      <c r="DQ533" s="14"/>
      <c r="DR533" s="14"/>
      <c r="DS533" s="14"/>
      <c r="DT533" s="14"/>
      <c r="DU533" s="14"/>
      <c r="DV533" s="14"/>
      <c r="DW533" s="14"/>
      <c r="DX533" s="14"/>
      <c r="DY533" s="14"/>
      <c r="DZ533" s="14"/>
      <c r="EA533" s="14"/>
      <c r="EB533" s="14"/>
      <c r="EC533" s="14"/>
    </row>
    <row r="534" spans="1:133" s="13" customFormat="1" ht="171.6" x14ac:dyDescent="0.25">
      <c r="A534" s="63" t="s">
        <v>213</v>
      </c>
      <c r="B534" s="25" t="s">
        <v>88</v>
      </c>
      <c r="C534" s="35" t="s">
        <v>89</v>
      </c>
      <c r="D534" s="35" t="s">
        <v>357</v>
      </c>
      <c r="E534" s="25">
        <f>43.33/1000</f>
        <v>4.333E-2</v>
      </c>
      <c r="R534" s="14"/>
      <c r="S534" s="14"/>
      <c r="T534" s="14"/>
      <c r="U534" s="14"/>
      <c r="V534" s="14"/>
      <c r="W534" s="14"/>
      <c r="X534" s="14"/>
      <c r="Y534" s="14"/>
      <c r="Z534" s="14"/>
      <c r="AA534" s="14"/>
      <c r="AB534" s="14"/>
      <c r="AC534" s="14"/>
      <c r="AD534" s="14"/>
      <c r="AE534" s="14"/>
      <c r="AF534" s="14"/>
      <c r="AG534" s="14"/>
      <c r="AH534" s="14"/>
      <c r="AI534" s="14"/>
      <c r="AJ534" s="14"/>
      <c r="AK534" s="14"/>
      <c r="AL534" s="14"/>
      <c r="AM534" s="14"/>
      <c r="AN534" s="14"/>
      <c r="AO534" s="14"/>
      <c r="AP534" s="14"/>
      <c r="AQ534" s="14"/>
      <c r="AR534" s="14"/>
      <c r="AS534" s="14"/>
      <c r="AT534" s="14"/>
      <c r="AU534" s="14"/>
      <c r="AV534" s="14"/>
      <c r="AW534" s="14"/>
      <c r="AX534" s="14"/>
      <c r="AY534" s="14"/>
      <c r="AZ534" s="14"/>
      <c r="BA534" s="14"/>
      <c r="BB534" s="14"/>
      <c r="BC534" s="14"/>
      <c r="BD534" s="14"/>
      <c r="BE534" s="14"/>
      <c r="BF534" s="14"/>
      <c r="BG534" s="14"/>
      <c r="BH534" s="14"/>
      <c r="BI534" s="14"/>
      <c r="BJ534" s="14"/>
      <c r="BK534" s="14"/>
      <c r="BL534" s="14"/>
      <c r="BM534" s="14"/>
      <c r="BN534" s="14"/>
      <c r="BO534" s="14"/>
      <c r="BP534" s="14"/>
      <c r="BQ534" s="14"/>
      <c r="BR534" s="14"/>
      <c r="BS534" s="14"/>
      <c r="BT534" s="14"/>
      <c r="BU534" s="14"/>
      <c r="BV534" s="14"/>
      <c r="BW534" s="14"/>
      <c r="BX534" s="14"/>
      <c r="BY534" s="14"/>
      <c r="BZ534" s="14"/>
      <c r="CA534" s="14"/>
      <c r="CB534" s="14"/>
      <c r="CC534" s="14"/>
      <c r="CD534" s="14"/>
      <c r="CE534" s="14"/>
      <c r="CF534" s="14"/>
      <c r="CG534" s="14"/>
      <c r="CH534" s="14"/>
      <c r="CI534" s="14"/>
      <c r="CJ534" s="14"/>
      <c r="CK534" s="14"/>
      <c r="CL534" s="14"/>
      <c r="CM534" s="14"/>
      <c r="CN534" s="14"/>
      <c r="CO534" s="14"/>
      <c r="CP534" s="14"/>
      <c r="CQ534" s="14"/>
      <c r="CR534" s="14"/>
      <c r="CS534" s="14"/>
      <c r="CT534" s="14"/>
      <c r="CU534" s="14"/>
      <c r="CV534" s="14"/>
      <c r="CW534" s="14"/>
      <c r="CX534" s="14"/>
      <c r="CY534" s="14"/>
      <c r="CZ534" s="14"/>
      <c r="DA534" s="14"/>
      <c r="DB534" s="14"/>
      <c r="DC534" s="14"/>
      <c r="DD534" s="14"/>
      <c r="DE534" s="14"/>
      <c r="DF534" s="14"/>
      <c r="DG534" s="14"/>
      <c r="DH534" s="14"/>
      <c r="DI534" s="14"/>
      <c r="DJ534" s="14"/>
      <c r="DK534" s="14"/>
      <c r="DL534" s="14"/>
      <c r="DM534" s="14"/>
      <c r="DN534" s="14"/>
      <c r="DO534" s="14"/>
      <c r="DP534" s="14"/>
      <c r="DQ534" s="14"/>
      <c r="DR534" s="14"/>
      <c r="DS534" s="14"/>
      <c r="DT534" s="14"/>
      <c r="DU534" s="14"/>
      <c r="DV534" s="14"/>
      <c r="DW534" s="14"/>
      <c r="DX534" s="14"/>
      <c r="DY534" s="14"/>
      <c r="DZ534" s="14"/>
      <c r="EA534" s="14"/>
      <c r="EB534" s="14"/>
      <c r="EC534" s="14"/>
    </row>
    <row r="535" spans="1:133" s="13" customFormat="1" ht="62.4" x14ac:dyDescent="0.25">
      <c r="A535" s="63" t="s">
        <v>214</v>
      </c>
      <c r="B535" s="25" t="s">
        <v>90</v>
      </c>
      <c r="C535" s="35" t="s">
        <v>91</v>
      </c>
      <c r="D535" s="35" t="s">
        <v>358</v>
      </c>
      <c r="E535" s="25">
        <v>74.099999999999994</v>
      </c>
      <c r="R535" s="14"/>
      <c r="S535" s="14"/>
      <c r="T535" s="14"/>
      <c r="U535" s="14"/>
      <c r="V535" s="14"/>
      <c r="W535" s="14"/>
      <c r="X535" s="14"/>
      <c r="Y535" s="14"/>
      <c r="Z535" s="14"/>
      <c r="AA535" s="14"/>
      <c r="AB535" s="14"/>
      <c r="AC535" s="14"/>
      <c r="AD535" s="14"/>
      <c r="AE535" s="14"/>
      <c r="AF535" s="14"/>
      <c r="AG535" s="14"/>
      <c r="AH535" s="14"/>
      <c r="AI535" s="14"/>
      <c r="AJ535" s="14"/>
      <c r="AK535" s="14"/>
      <c r="AL535" s="14"/>
      <c r="AM535" s="14"/>
      <c r="AN535" s="14"/>
      <c r="AO535" s="14"/>
      <c r="AP535" s="14"/>
      <c r="AQ535" s="14"/>
      <c r="AR535" s="14"/>
      <c r="AS535" s="14"/>
      <c r="AT535" s="14"/>
      <c r="AU535" s="14"/>
      <c r="AV535" s="14"/>
      <c r="AW535" s="14"/>
      <c r="AX535" s="14"/>
      <c r="AY535" s="14"/>
      <c r="AZ535" s="14"/>
      <c r="BA535" s="14"/>
      <c r="BB535" s="14"/>
      <c r="BC535" s="14"/>
      <c r="BD535" s="14"/>
      <c r="BE535" s="14"/>
      <c r="BF535" s="14"/>
      <c r="BG535" s="14"/>
      <c r="BH535" s="14"/>
      <c r="BI535" s="14"/>
      <c r="BJ535" s="14"/>
      <c r="BK535" s="14"/>
      <c r="BL535" s="14"/>
      <c r="BM535" s="14"/>
      <c r="BN535" s="14"/>
      <c r="BO535" s="14"/>
      <c r="BP535" s="14"/>
      <c r="BQ535" s="14"/>
      <c r="BR535" s="14"/>
      <c r="BS535" s="14"/>
      <c r="BT535" s="14"/>
      <c r="BU535" s="14"/>
      <c r="BV535" s="14"/>
      <c r="BW535" s="14"/>
      <c r="BX535" s="14"/>
      <c r="BY535" s="14"/>
      <c r="BZ535" s="14"/>
      <c r="CA535" s="14"/>
      <c r="CB535" s="14"/>
      <c r="CC535" s="14"/>
      <c r="CD535" s="14"/>
      <c r="CE535" s="14"/>
      <c r="CF535" s="14"/>
      <c r="CG535" s="14"/>
      <c r="CH535" s="14"/>
      <c r="CI535" s="14"/>
      <c r="CJ535" s="14"/>
      <c r="CK535" s="14"/>
      <c r="CL535" s="14"/>
      <c r="CM535" s="14"/>
      <c r="CN535" s="14"/>
      <c r="CO535" s="14"/>
      <c r="CP535" s="14"/>
      <c r="CQ535" s="14"/>
      <c r="CR535" s="14"/>
      <c r="CS535" s="14"/>
      <c r="CT535" s="14"/>
      <c r="CU535" s="14"/>
      <c r="CV535" s="14"/>
      <c r="CW535" s="14"/>
      <c r="CX535" s="14"/>
      <c r="CY535" s="14"/>
      <c r="CZ535" s="14"/>
      <c r="DA535" s="14"/>
      <c r="DB535" s="14"/>
      <c r="DC535" s="14"/>
      <c r="DD535" s="14"/>
      <c r="DE535" s="14"/>
      <c r="DF535" s="14"/>
      <c r="DG535" s="14"/>
      <c r="DH535" s="14"/>
      <c r="DI535" s="14"/>
      <c r="DJ535" s="14"/>
      <c r="DK535" s="14"/>
      <c r="DL535" s="14"/>
      <c r="DM535" s="14"/>
      <c r="DN535" s="14"/>
      <c r="DO535" s="14"/>
      <c r="DP535" s="14"/>
      <c r="DQ535" s="14"/>
      <c r="DR535" s="14"/>
      <c r="DS535" s="14"/>
      <c r="DT535" s="14"/>
      <c r="DU535" s="14"/>
      <c r="DV535" s="14"/>
      <c r="DW535" s="14"/>
      <c r="DX535" s="14"/>
      <c r="DY535" s="14"/>
      <c r="DZ535" s="14"/>
      <c r="EA535" s="14"/>
      <c r="EB535" s="14"/>
      <c r="EC535" s="14"/>
    </row>
    <row r="537" spans="1:133" s="13" customFormat="1" ht="15.6" customHeight="1" x14ac:dyDescent="0.25">
      <c r="A537" s="36" t="s">
        <v>93</v>
      </c>
      <c r="B537" s="36"/>
      <c r="C537" s="36"/>
      <c r="D537" s="36"/>
      <c r="E537" s="36"/>
      <c r="R537" s="14"/>
      <c r="S537" s="14"/>
      <c r="T537" s="14"/>
      <c r="U537" s="14"/>
      <c r="V537" s="14"/>
      <c r="W537" s="14"/>
      <c r="X537" s="14"/>
      <c r="Y537" s="14"/>
      <c r="Z537" s="14"/>
      <c r="AA537" s="14"/>
      <c r="AB537" s="14"/>
      <c r="AC537" s="14"/>
      <c r="AD537" s="14"/>
      <c r="AE537" s="14"/>
      <c r="AF537" s="14"/>
      <c r="AG537" s="14"/>
      <c r="AH537" s="14"/>
      <c r="AI537" s="14"/>
      <c r="AJ537" s="14"/>
      <c r="AK537" s="14"/>
      <c r="AL537" s="14"/>
      <c r="AM537" s="14"/>
      <c r="AN537" s="14"/>
      <c r="AO537" s="14"/>
      <c r="AP537" s="14"/>
      <c r="AQ537" s="14"/>
      <c r="AR537" s="14"/>
      <c r="AS537" s="14"/>
      <c r="AT537" s="14"/>
      <c r="AU537" s="14"/>
      <c r="AV537" s="14"/>
      <c r="AW537" s="14"/>
      <c r="AX537" s="14"/>
      <c r="AY537" s="14"/>
      <c r="AZ537" s="14"/>
      <c r="BA537" s="14"/>
      <c r="BB537" s="14"/>
      <c r="BC537" s="14"/>
      <c r="BD537" s="14"/>
      <c r="BE537" s="14"/>
      <c r="BF537" s="14"/>
      <c r="BG537" s="14"/>
      <c r="BH537" s="14"/>
      <c r="BI537" s="14"/>
      <c r="BJ537" s="14"/>
      <c r="BK537" s="14"/>
      <c r="BL537" s="14"/>
      <c r="BM537" s="14"/>
      <c r="BN537" s="14"/>
      <c r="BO537" s="14"/>
      <c r="BP537" s="14"/>
      <c r="BQ537" s="14"/>
      <c r="BR537" s="14"/>
      <c r="BS537" s="14"/>
      <c r="BT537" s="14"/>
      <c r="BU537" s="14"/>
      <c r="BV537" s="14"/>
      <c r="BW537" s="14"/>
      <c r="BX537" s="14"/>
      <c r="BY537" s="14"/>
      <c r="BZ537" s="14"/>
      <c r="CA537" s="14"/>
      <c r="CB537" s="14"/>
      <c r="CC537" s="14"/>
      <c r="CD537" s="14"/>
      <c r="CE537" s="14"/>
      <c r="CF537" s="14"/>
      <c r="CG537" s="14"/>
      <c r="CH537" s="14"/>
      <c r="CI537" s="14"/>
      <c r="CJ537" s="14"/>
      <c r="CK537" s="14"/>
      <c r="CL537" s="14"/>
      <c r="CM537" s="14"/>
      <c r="CN537" s="14"/>
      <c r="CO537" s="14"/>
      <c r="CP537" s="14"/>
      <c r="CQ537" s="14"/>
      <c r="CR537" s="14"/>
      <c r="CS537" s="14"/>
      <c r="CT537" s="14"/>
      <c r="CU537" s="14"/>
      <c r="CV537" s="14"/>
      <c r="CW537" s="14"/>
      <c r="CX537" s="14"/>
      <c r="CY537" s="14"/>
      <c r="CZ537" s="14"/>
      <c r="DA537" s="14"/>
      <c r="DB537" s="14"/>
      <c r="DC537" s="14"/>
      <c r="DD537" s="14"/>
      <c r="DE537" s="14"/>
      <c r="DF537" s="14"/>
      <c r="DG537" s="14"/>
      <c r="DH537" s="14"/>
      <c r="DI537" s="14"/>
      <c r="DJ537" s="14"/>
      <c r="DK537" s="14"/>
      <c r="DL537" s="14"/>
      <c r="DM537" s="14"/>
      <c r="DN537" s="14"/>
      <c r="DO537" s="14"/>
      <c r="DP537" s="14"/>
      <c r="DQ537" s="14"/>
      <c r="DR537" s="14"/>
      <c r="DS537" s="14"/>
      <c r="DT537" s="14"/>
      <c r="DU537" s="14"/>
      <c r="DV537" s="14"/>
      <c r="DW537" s="14"/>
      <c r="DX537" s="14"/>
      <c r="DY537" s="14"/>
      <c r="DZ537" s="14"/>
      <c r="EA537" s="14"/>
      <c r="EB537" s="14"/>
      <c r="EC537" s="14"/>
    </row>
    <row r="538" spans="1:133" s="13" customFormat="1" x14ac:dyDescent="0.25">
      <c r="A538" s="57" t="s">
        <v>8</v>
      </c>
      <c r="B538" s="58" t="s">
        <v>9</v>
      </c>
      <c r="C538" s="34" t="s">
        <v>10</v>
      </c>
      <c r="D538" s="34" t="s">
        <v>340</v>
      </c>
      <c r="E538" s="16" t="s">
        <v>65</v>
      </c>
      <c r="R538" s="14"/>
      <c r="S538" s="14"/>
      <c r="T538" s="14"/>
      <c r="U538" s="14"/>
      <c r="V538" s="14"/>
      <c r="W538" s="14"/>
      <c r="X538" s="14"/>
      <c r="Y538" s="14"/>
      <c r="Z538" s="14"/>
      <c r="AA538" s="14"/>
      <c r="AB538" s="14"/>
      <c r="AC538" s="14"/>
      <c r="AD538" s="14"/>
      <c r="AE538" s="14"/>
      <c r="AF538" s="14"/>
      <c r="AG538" s="14"/>
      <c r="AH538" s="14"/>
      <c r="AI538" s="14"/>
      <c r="AJ538" s="14"/>
      <c r="AK538" s="14"/>
      <c r="AL538" s="14"/>
      <c r="AM538" s="14"/>
      <c r="AN538" s="14"/>
      <c r="AO538" s="14"/>
      <c r="AP538" s="14"/>
      <c r="AQ538" s="14"/>
      <c r="AR538" s="14"/>
      <c r="AS538" s="14"/>
      <c r="AT538" s="14"/>
      <c r="AU538" s="14"/>
      <c r="AV538" s="14"/>
      <c r="AW538" s="14"/>
      <c r="AX538" s="14"/>
      <c r="AY538" s="14"/>
      <c r="AZ538" s="14"/>
      <c r="BA538" s="14"/>
      <c r="BB538" s="14"/>
      <c r="BC538" s="14"/>
      <c r="BD538" s="14"/>
      <c r="BE538" s="14"/>
      <c r="BF538" s="14"/>
      <c r="BG538" s="14"/>
      <c r="BH538" s="14"/>
      <c r="BI538" s="14"/>
      <c r="BJ538" s="14"/>
      <c r="BK538" s="14"/>
      <c r="BL538" s="14"/>
      <c r="BM538" s="14"/>
      <c r="BN538" s="14"/>
      <c r="BO538" s="14"/>
      <c r="BP538" s="14"/>
      <c r="BQ538" s="14"/>
      <c r="BR538" s="14"/>
      <c r="BS538" s="14"/>
      <c r="BT538" s="14"/>
      <c r="BU538" s="14"/>
      <c r="BV538" s="14"/>
      <c r="BW538" s="14"/>
      <c r="BX538" s="14"/>
      <c r="BY538" s="14"/>
      <c r="BZ538" s="14"/>
      <c r="CA538" s="14"/>
      <c r="CB538" s="14"/>
      <c r="CC538" s="14"/>
      <c r="CD538" s="14"/>
      <c r="CE538" s="14"/>
      <c r="CF538" s="14"/>
      <c r="CG538" s="14"/>
      <c r="CH538" s="14"/>
      <c r="CI538" s="14"/>
      <c r="CJ538" s="14"/>
      <c r="CK538" s="14"/>
      <c r="CL538" s="14"/>
      <c r="CM538" s="14"/>
      <c r="CN538" s="14"/>
      <c r="CO538" s="14"/>
      <c r="CP538" s="14"/>
      <c r="CQ538" s="14"/>
      <c r="CR538" s="14"/>
      <c r="CS538" s="14"/>
      <c r="CT538" s="14"/>
      <c r="CU538" s="14"/>
      <c r="CV538" s="14"/>
      <c r="CW538" s="14"/>
      <c r="CX538" s="14"/>
      <c r="CY538" s="14"/>
      <c r="CZ538" s="14"/>
      <c r="DA538" s="14"/>
      <c r="DB538" s="14"/>
      <c r="DC538" s="14"/>
      <c r="DD538" s="14"/>
      <c r="DE538" s="14"/>
      <c r="DF538" s="14"/>
      <c r="DG538" s="14"/>
      <c r="DH538" s="14"/>
      <c r="DI538" s="14"/>
      <c r="DJ538" s="14"/>
      <c r="DK538" s="14"/>
      <c r="DL538" s="14"/>
      <c r="DM538" s="14"/>
      <c r="DN538" s="14"/>
      <c r="DO538" s="14"/>
      <c r="DP538" s="14"/>
      <c r="DQ538" s="14"/>
      <c r="DR538" s="14"/>
      <c r="DS538" s="14"/>
      <c r="DT538" s="14"/>
      <c r="DU538" s="14"/>
      <c r="DV538" s="14"/>
      <c r="DW538" s="14"/>
      <c r="DX538" s="14"/>
      <c r="DY538" s="14"/>
      <c r="DZ538" s="14"/>
      <c r="EA538" s="14"/>
      <c r="EB538" s="14"/>
      <c r="EC538" s="14"/>
    </row>
    <row r="539" spans="1:133" s="13" customFormat="1" ht="64.8" x14ac:dyDescent="0.25">
      <c r="A539" s="15" t="s">
        <v>94</v>
      </c>
      <c r="B539" s="25" t="s">
        <v>95</v>
      </c>
      <c r="C539" s="35" t="s">
        <v>96</v>
      </c>
      <c r="D539" s="35" t="s">
        <v>97</v>
      </c>
      <c r="E539" s="16">
        <v>0</v>
      </c>
      <c r="R539" s="14"/>
      <c r="S539" s="14"/>
      <c r="T539" s="14"/>
      <c r="U539" s="14"/>
      <c r="V539" s="14"/>
      <c r="W539" s="14"/>
      <c r="X539" s="14"/>
      <c r="Y539" s="14"/>
      <c r="Z539" s="14"/>
      <c r="AA539" s="14"/>
      <c r="AB539" s="14"/>
      <c r="AC539" s="14"/>
      <c r="AD539" s="14"/>
      <c r="AE539" s="14"/>
      <c r="AF539" s="14"/>
      <c r="AG539" s="14"/>
      <c r="AH539" s="14"/>
      <c r="AI539" s="14"/>
      <c r="AJ539" s="14"/>
      <c r="AK539" s="14"/>
      <c r="AL539" s="14"/>
      <c r="AM539" s="14"/>
      <c r="AN539" s="14"/>
      <c r="AO539" s="14"/>
      <c r="AP539" s="14"/>
      <c r="AQ539" s="14"/>
      <c r="AR539" s="14"/>
      <c r="AS539" s="14"/>
      <c r="AT539" s="14"/>
      <c r="AU539" s="14"/>
      <c r="AV539" s="14"/>
      <c r="AW539" s="14"/>
      <c r="AX539" s="14"/>
      <c r="AY539" s="14"/>
      <c r="AZ539" s="14"/>
      <c r="BA539" s="14"/>
      <c r="BB539" s="14"/>
      <c r="BC539" s="14"/>
      <c r="BD539" s="14"/>
      <c r="BE539" s="14"/>
      <c r="BF539" s="14"/>
      <c r="BG539" s="14"/>
      <c r="BH539" s="14"/>
      <c r="BI539" s="14"/>
      <c r="BJ539" s="14"/>
      <c r="BK539" s="14"/>
      <c r="BL539" s="14"/>
      <c r="BM539" s="14"/>
      <c r="BN539" s="14"/>
      <c r="BO539" s="14"/>
      <c r="BP539" s="14"/>
      <c r="BQ539" s="14"/>
      <c r="BR539" s="14"/>
      <c r="BS539" s="14"/>
      <c r="BT539" s="14"/>
      <c r="BU539" s="14"/>
      <c r="BV539" s="14"/>
      <c r="BW539" s="14"/>
      <c r="BX539" s="14"/>
      <c r="BY539" s="14"/>
      <c r="BZ539" s="14"/>
      <c r="CA539" s="14"/>
      <c r="CB539" s="14"/>
      <c r="CC539" s="14"/>
      <c r="CD539" s="14"/>
      <c r="CE539" s="14"/>
      <c r="CF539" s="14"/>
      <c r="CG539" s="14"/>
      <c r="CH539" s="14"/>
      <c r="CI539" s="14"/>
      <c r="CJ539" s="14"/>
      <c r="CK539" s="14"/>
      <c r="CL539" s="14"/>
      <c r="CM539" s="14"/>
      <c r="CN539" s="14"/>
      <c r="CO539" s="14"/>
      <c r="CP539" s="14"/>
      <c r="CQ539" s="14"/>
      <c r="CR539" s="14"/>
      <c r="CS539" s="14"/>
      <c r="CT539" s="14"/>
      <c r="CU539" s="14"/>
      <c r="CV539" s="14"/>
      <c r="CW539" s="14"/>
      <c r="CX539" s="14"/>
      <c r="CY539" s="14"/>
      <c r="CZ539" s="14"/>
      <c r="DA539" s="14"/>
      <c r="DB539" s="14"/>
      <c r="DC539" s="14"/>
      <c r="DD539" s="14"/>
      <c r="DE539" s="14"/>
      <c r="DF539" s="14"/>
      <c r="DG539" s="14"/>
      <c r="DH539" s="14"/>
      <c r="DI539" s="14"/>
      <c r="DJ539" s="14"/>
      <c r="DK539" s="14"/>
      <c r="DL539" s="14"/>
      <c r="DM539" s="14"/>
      <c r="DN539" s="14"/>
      <c r="DO539" s="14"/>
      <c r="DP539" s="14"/>
      <c r="DQ539" s="14"/>
      <c r="DR539" s="14"/>
      <c r="DS539" s="14"/>
      <c r="DT539" s="14"/>
      <c r="DU539" s="14"/>
      <c r="DV539" s="14"/>
      <c r="DW539" s="14"/>
      <c r="DX539" s="14"/>
      <c r="DY539" s="14"/>
      <c r="DZ539" s="14"/>
      <c r="EA539" s="14"/>
      <c r="EB539" s="14"/>
      <c r="EC539" s="14"/>
    </row>
    <row r="541" spans="1:133" s="13" customFormat="1" ht="15.6" customHeight="1" x14ac:dyDescent="0.25">
      <c r="A541" s="36" t="s">
        <v>98</v>
      </c>
      <c r="B541" s="36"/>
      <c r="C541" s="36"/>
      <c r="D541" s="36"/>
      <c r="E541" s="36"/>
      <c r="R541" s="14"/>
      <c r="S541" s="14"/>
      <c r="T541" s="14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4"/>
      <c r="AF541" s="14"/>
      <c r="AG541" s="14"/>
      <c r="AH541" s="14"/>
      <c r="AI541" s="14"/>
      <c r="AJ541" s="14"/>
      <c r="AK541" s="14"/>
      <c r="AL541" s="14"/>
      <c r="AM541" s="14"/>
      <c r="AN541" s="14"/>
      <c r="AO541" s="14"/>
      <c r="AP541" s="14"/>
      <c r="AQ541" s="14"/>
      <c r="AR541" s="14"/>
      <c r="AS541" s="14"/>
      <c r="AT541" s="14"/>
      <c r="AU541" s="14"/>
      <c r="AV541" s="14"/>
      <c r="AW541" s="14"/>
      <c r="AX541" s="14"/>
      <c r="AY541" s="14"/>
      <c r="AZ541" s="14"/>
      <c r="BA541" s="14"/>
      <c r="BB541" s="14"/>
      <c r="BC541" s="14"/>
      <c r="BD541" s="14"/>
      <c r="BE541" s="14"/>
      <c r="BF541" s="14"/>
      <c r="BG541" s="14"/>
      <c r="BH541" s="14"/>
      <c r="BI541" s="14"/>
      <c r="BJ541" s="14"/>
      <c r="BK541" s="14"/>
      <c r="BL541" s="14"/>
      <c r="BM541" s="14"/>
      <c r="BN541" s="14"/>
      <c r="BO541" s="14"/>
      <c r="BP541" s="14"/>
      <c r="BQ541" s="14"/>
      <c r="BR541" s="14"/>
      <c r="BS541" s="14"/>
      <c r="BT541" s="14"/>
      <c r="BU541" s="14"/>
      <c r="BV541" s="14"/>
      <c r="BW541" s="14"/>
      <c r="BX541" s="14"/>
      <c r="BY541" s="14"/>
      <c r="BZ541" s="14"/>
      <c r="CA541" s="14"/>
      <c r="CB541" s="14"/>
      <c r="CC541" s="14"/>
      <c r="CD541" s="14"/>
      <c r="CE541" s="14"/>
      <c r="CF541" s="14"/>
      <c r="CG541" s="14"/>
      <c r="CH541" s="14"/>
      <c r="CI541" s="14"/>
      <c r="CJ541" s="14"/>
      <c r="CK541" s="14"/>
      <c r="CL541" s="14"/>
      <c r="CM541" s="14"/>
      <c r="CN541" s="14"/>
      <c r="CO541" s="14"/>
      <c r="CP541" s="14"/>
      <c r="CQ541" s="14"/>
      <c r="CR541" s="14"/>
      <c r="CS541" s="14"/>
      <c r="CT541" s="14"/>
      <c r="CU541" s="14"/>
      <c r="CV541" s="14"/>
      <c r="CW541" s="14"/>
      <c r="CX541" s="14"/>
      <c r="CY541" s="14"/>
      <c r="CZ541" s="14"/>
      <c r="DA541" s="14"/>
      <c r="DB541" s="14"/>
      <c r="DC541" s="14"/>
      <c r="DD541" s="14"/>
      <c r="DE541" s="14"/>
      <c r="DF541" s="14"/>
      <c r="DG541" s="14"/>
      <c r="DH541" s="14"/>
      <c r="DI541" s="14"/>
      <c r="DJ541" s="14"/>
      <c r="DK541" s="14"/>
      <c r="DL541" s="14"/>
      <c r="DM541" s="14"/>
      <c r="DN541" s="14"/>
      <c r="DO541" s="14"/>
      <c r="DP541" s="14"/>
      <c r="DQ541" s="14"/>
      <c r="DR541" s="14"/>
      <c r="DS541" s="14"/>
      <c r="DT541" s="14"/>
      <c r="DU541" s="14"/>
      <c r="DV541" s="14"/>
      <c r="DW541" s="14"/>
      <c r="DX541" s="14"/>
      <c r="DY541" s="14"/>
      <c r="DZ541" s="14"/>
      <c r="EA541" s="14"/>
      <c r="EB541" s="14"/>
      <c r="EC541" s="14"/>
    </row>
    <row r="542" spans="1:133" s="13" customFormat="1" x14ac:dyDescent="0.25">
      <c r="A542" s="57" t="s">
        <v>8</v>
      </c>
      <c r="B542" s="58" t="s">
        <v>9</v>
      </c>
      <c r="C542" s="34" t="s">
        <v>10</v>
      </c>
      <c r="D542" s="34" t="s">
        <v>340</v>
      </c>
      <c r="E542" s="16" t="s">
        <v>65</v>
      </c>
      <c r="R542" s="14"/>
      <c r="S542" s="14"/>
      <c r="T542" s="14"/>
      <c r="U542" s="14"/>
      <c r="V542" s="14"/>
      <c r="W542" s="14"/>
      <c r="X542" s="14"/>
      <c r="Y542" s="14"/>
      <c r="Z542" s="14"/>
      <c r="AA542" s="14"/>
      <c r="AB542" s="14"/>
      <c r="AC542" s="14"/>
      <c r="AD542" s="14"/>
      <c r="AE542" s="14"/>
      <c r="AF542" s="14"/>
      <c r="AG542" s="14"/>
      <c r="AH542" s="14"/>
      <c r="AI542" s="14"/>
      <c r="AJ542" s="14"/>
      <c r="AK542" s="14"/>
      <c r="AL542" s="14"/>
      <c r="AM542" s="14"/>
      <c r="AN542" s="14"/>
      <c r="AO542" s="14"/>
      <c r="AP542" s="14"/>
      <c r="AQ542" s="14"/>
      <c r="AR542" s="14"/>
      <c r="AS542" s="14"/>
      <c r="AT542" s="14"/>
      <c r="AU542" s="14"/>
      <c r="AV542" s="14"/>
      <c r="AW542" s="14"/>
      <c r="AX542" s="14"/>
      <c r="AY542" s="14"/>
      <c r="AZ542" s="14"/>
      <c r="BA542" s="14"/>
      <c r="BB542" s="14"/>
      <c r="BC542" s="14"/>
      <c r="BD542" s="14"/>
      <c r="BE542" s="14"/>
      <c r="BF542" s="14"/>
      <c r="BG542" s="14"/>
      <c r="BH542" s="14"/>
      <c r="BI542" s="14"/>
      <c r="BJ542" s="14"/>
      <c r="BK542" s="14"/>
      <c r="BL542" s="14"/>
      <c r="BM542" s="14"/>
      <c r="BN542" s="14"/>
      <c r="BO542" s="14"/>
      <c r="BP542" s="14"/>
      <c r="BQ542" s="14"/>
      <c r="BR542" s="14"/>
      <c r="BS542" s="14"/>
      <c r="BT542" s="14"/>
      <c r="BU542" s="14"/>
      <c r="BV542" s="14"/>
      <c r="BW542" s="14"/>
      <c r="BX542" s="14"/>
      <c r="BY542" s="14"/>
      <c r="BZ542" s="14"/>
      <c r="CA542" s="14"/>
      <c r="CB542" s="14"/>
      <c r="CC542" s="14"/>
      <c r="CD542" s="14"/>
      <c r="CE542" s="14"/>
      <c r="CF542" s="14"/>
      <c r="CG542" s="14"/>
      <c r="CH542" s="14"/>
      <c r="CI542" s="14"/>
      <c r="CJ542" s="14"/>
      <c r="CK542" s="14"/>
      <c r="CL542" s="14"/>
      <c r="CM542" s="14"/>
      <c r="CN542" s="14"/>
      <c r="CO542" s="14"/>
      <c r="CP542" s="14"/>
      <c r="CQ542" s="14"/>
      <c r="CR542" s="14"/>
      <c r="CS542" s="14"/>
      <c r="CT542" s="14"/>
      <c r="CU542" s="14"/>
      <c r="CV542" s="14"/>
      <c r="CW542" s="14"/>
      <c r="CX542" s="14"/>
      <c r="CY542" s="14"/>
      <c r="CZ542" s="14"/>
      <c r="DA542" s="14"/>
      <c r="DB542" s="14"/>
      <c r="DC542" s="14"/>
      <c r="DD542" s="14"/>
      <c r="DE542" s="14"/>
      <c r="DF542" s="14"/>
      <c r="DG542" s="14"/>
      <c r="DH542" s="14"/>
      <c r="DI542" s="14"/>
      <c r="DJ542" s="14"/>
      <c r="DK542" s="14"/>
      <c r="DL542" s="14"/>
      <c r="DM542" s="14"/>
      <c r="DN542" s="14"/>
      <c r="DO542" s="14"/>
      <c r="DP542" s="14"/>
      <c r="DQ542" s="14"/>
      <c r="DR542" s="14"/>
      <c r="DS542" s="14"/>
      <c r="DT542" s="14"/>
      <c r="DU542" s="14"/>
      <c r="DV542" s="14"/>
      <c r="DW542" s="14"/>
      <c r="DX542" s="14"/>
      <c r="DY542" s="14"/>
      <c r="DZ542" s="14"/>
      <c r="EA542" s="14"/>
      <c r="EB542" s="14"/>
      <c r="EC542" s="14"/>
    </row>
    <row r="543" spans="1:133" s="13" customFormat="1" ht="49.2" x14ac:dyDescent="0.25">
      <c r="A543" s="15" t="s">
        <v>99</v>
      </c>
      <c r="B543" s="25" t="s">
        <v>95</v>
      </c>
      <c r="C543" s="35" t="s">
        <v>100</v>
      </c>
      <c r="D543" s="35" t="s">
        <v>101</v>
      </c>
      <c r="E543" s="16">
        <v>0</v>
      </c>
      <c r="R543" s="14"/>
      <c r="S543" s="14"/>
      <c r="T543" s="14"/>
      <c r="U543" s="14"/>
      <c r="V543" s="14"/>
      <c r="W543" s="14"/>
      <c r="X543" s="14"/>
      <c r="Y543" s="14"/>
      <c r="Z543" s="14"/>
      <c r="AA543" s="14"/>
      <c r="AB543" s="14"/>
      <c r="AC543" s="14"/>
      <c r="AD543" s="14"/>
      <c r="AE543" s="14"/>
      <c r="AF543" s="14"/>
      <c r="AG543" s="14"/>
      <c r="AH543" s="14"/>
      <c r="AI543" s="14"/>
      <c r="AJ543" s="14"/>
      <c r="AK543" s="14"/>
      <c r="AL543" s="14"/>
      <c r="AM543" s="14"/>
      <c r="AN543" s="14"/>
      <c r="AO543" s="14"/>
      <c r="AP543" s="14"/>
      <c r="AQ543" s="14"/>
      <c r="AR543" s="14"/>
      <c r="AS543" s="14"/>
      <c r="AT543" s="14"/>
      <c r="AU543" s="14"/>
      <c r="AV543" s="14"/>
      <c r="AW543" s="14"/>
      <c r="AX543" s="14"/>
      <c r="AY543" s="14"/>
      <c r="AZ543" s="14"/>
      <c r="BA543" s="14"/>
      <c r="BB543" s="14"/>
      <c r="BC543" s="14"/>
      <c r="BD543" s="14"/>
      <c r="BE543" s="14"/>
      <c r="BF543" s="14"/>
      <c r="BG543" s="14"/>
      <c r="BH543" s="14"/>
      <c r="BI543" s="14"/>
      <c r="BJ543" s="14"/>
      <c r="BK543" s="14"/>
      <c r="BL543" s="14"/>
      <c r="BM543" s="14"/>
      <c r="BN543" s="14"/>
      <c r="BO543" s="14"/>
      <c r="BP543" s="14"/>
      <c r="BQ543" s="14"/>
      <c r="BR543" s="14"/>
      <c r="BS543" s="14"/>
      <c r="BT543" s="14"/>
      <c r="BU543" s="14"/>
      <c r="BV543" s="14"/>
      <c r="BW543" s="14"/>
      <c r="BX543" s="14"/>
      <c r="BY543" s="14"/>
      <c r="BZ543" s="14"/>
      <c r="CA543" s="14"/>
      <c r="CB543" s="14"/>
      <c r="CC543" s="14"/>
      <c r="CD543" s="14"/>
      <c r="CE543" s="14"/>
      <c r="CF543" s="14"/>
      <c r="CG543" s="14"/>
      <c r="CH543" s="14"/>
      <c r="CI543" s="14"/>
      <c r="CJ543" s="14"/>
      <c r="CK543" s="14"/>
      <c r="CL543" s="14"/>
      <c r="CM543" s="14"/>
      <c r="CN543" s="14"/>
      <c r="CO543" s="14"/>
      <c r="CP543" s="14"/>
      <c r="CQ543" s="14"/>
      <c r="CR543" s="14"/>
      <c r="CS543" s="14"/>
      <c r="CT543" s="14"/>
      <c r="CU543" s="14"/>
      <c r="CV543" s="14"/>
      <c r="CW543" s="14"/>
      <c r="CX543" s="14"/>
      <c r="CY543" s="14"/>
      <c r="CZ543" s="14"/>
      <c r="DA543" s="14"/>
      <c r="DB543" s="14"/>
      <c r="DC543" s="14"/>
      <c r="DD543" s="14"/>
      <c r="DE543" s="14"/>
      <c r="DF543" s="14"/>
      <c r="DG543" s="14"/>
      <c r="DH543" s="14"/>
      <c r="DI543" s="14"/>
      <c r="DJ543" s="14"/>
      <c r="DK543" s="14"/>
      <c r="DL543" s="14"/>
      <c r="DM543" s="14"/>
      <c r="DN543" s="14"/>
      <c r="DO543" s="14"/>
      <c r="DP543" s="14"/>
      <c r="DQ543" s="14"/>
      <c r="DR543" s="14"/>
      <c r="DS543" s="14"/>
      <c r="DT543" s="14"/>
      <c r="DU543" s="14"/>
      <c r="DV543" s="14"/>
      <c r="DW543" s="14"/>
      <c r="DX543" s="14"/>
      <c r="DY543" s="14"/>
      <c r="DZ543" s="14"/>
      <c r="EA543" s="14"/>
      <c r="EB543" s="14"/>
      <c r="EC543" s="14"/>
    </row>
    <row r="545" spans="1:133" x14ac:dyDescent="0.25">
      <c r="A545" s="57" t="s">
        <v>8</v>
      </c>
      <c r="B545" s="58" t="s">
        <v>9</v>
      </c>
      <c r="C545" s="34" t="s">
        <v>10</v>
      </c>
      <c r="D545" s="34" t="s">
        <v>340</v>
      </c>
      <c r="E545" s="16" t="s">
        <v>65</v>
      </c>
    </row>
    <row r="546" spans="1:133" ht="18" x14ac:dyDescent="0.25">
      <c r="A546" s="59" t="s">
        <v>102</v>
      </c>
      <c r="B546" s="25" t="s">
        <v>103</v>
      </c>
      <c r="C546" s="35" t="s">
        <v>104</v>
      </c>
      <c r="D546" s="53" t="s">
        <v>380</v>
      </c>
      <c r="E546" s="18">
        <f>ROUNDDOWN(E496+E527+E522+E539+E543,0)</f>
        <v>1352</v>
      </c>
    </row>
    <row r="547" spans="1:133" s="167" customFormat="1" ht="43.2" customHeight="1" x14ac:dyDescent="0.25">
      <c r="A547" s="171" t="s">
        <v>229</v>
      </c>
      <c r="B547" s="172"/>
      <c r="C547" s="172"/>
      <c r="D547" s="172"/>
      <c r="E547" s="172"/>
      <c r="F547" s="172"/>
      <c r="G547" s="172"/>
      <c r="H547" s="172"/>
      <c r="I547" s="172"/>
      <c r="J547" s="172"/>
      <c r="K547" s="172"/>
      <c r="L547" s="172"/>
      <c r="M547" s="172"/>
      <c r="N547" s="172"/>
      <c r="O547" s="172"/>
      <c r="P547" s="172"/>
      <c r="Q547" s="172"/>
      <c r="R547" s="172"/>
      <c r="S547" s="172"/>
      <c r="T547" s="172"/>
      <c r="U547" s="172"/>
      <c r="V547" s="172"/>
      <c r="W547" s="172"/>
      <c r="X547" s="172"/>
      <c r="Y547" s="172"/>
      <c r="Z547" s="172"/>
      <c r="AA547" s="172"/>
      <c r="AB547" s="172"/>
      <c r="AC547" s="172"/>
      <c r="AD547" s="172"/>
      <c r="AE547" s="172"/>
      <c r="AF547" s="172"/>
      <c r="AG547" s="172"/>
      <c r="AH547" s="172"/>
      <c r="AI547" s="172"/>
      <c r="AJ547" s="172"/>
      <c r="AK547" s="172"/>
      <c r="AL547" s="172"/>
      <c r="AM547" s="172"/>
      <c r="AN547" s="172"/>
      <c r="AO547" s="172"/>
      <c r="AP547" s="172"/>
      <c r="AQ547" s="172"/>
      <c r="AR547" s="172"/>
      <c r="AS547" s="172"/>
      <c r="AT547" s="172"/>
      <c r="AU547" s="172"/>
      <c r="AV547" s="172"/>
      <c r="AW547" s="172"/>
      <c r="AX547" s="172"/>
      <c r="AY547" s="172"/>
      <c r="AZ547" s="172"/>
      <c r="BA547" s="172"/>
      <c r="BB547" s="172"/>
      <c r="BC547" s="172"/>
      <c r="BD547" s="172"/>
      <c r="BE547" s="172"/>
      <c r="BF547" s="172"/>
      <c r="BG547" s="172"/>
      <c r="BH547" s="172"/>
      <c r="BI547" s="172"/>
      <c r="BJ547" s="172"/>
      <c r="BK547" s="172"/>
      <c r="BL547" s="172"/>
      <c r="BM547" s="172"/>
      <c r="BN547" s="172"/>
      <c r="BO547" s="172"/>
      <c r="BP547" s="172"/>
      <c r="BQ547" s="172"/>
      <c r="BR547" s="172"/>
      <c r="BS547" s="172"/>
      <c r="BT547" s="172"/>
      <c r="BU547" s="172"/>
      <c r="BV547" s="172"/>
      <c r="BW547" s="172"/>
      <c r="BX547" s="172"/>
      <c r="BY547" s="172"/>
      <c r="BZ547" s="172"/>
      <c r="CA547" s="172"/>
      <c r="CB547" s="172"/>
      <c r="CC547" s="172"/>
      <c r="CD547" s="172"/>
      <c r="CE547" s="172"/>
      <c r="CF547" s="172"/>
      <c r="CG547" s="172"/>
      <c r="CH547" s="172"/>
      <c r="CI547" s="172"/>
      <c r="CJ547" s="172"/>
      <c r="CK547" s="172"/>
      <c r="CL547" s="172"/>
      <c r="CM547" s="172"/>
      <c r="CN547" s="172"/>
      <c r="CO547" s="172"/>
      <c r="CP547" s="172"/>
      <c r="CQ547" s="172"/>
      <c r="CR547" s="172"/>
      <c r="CS547" s="172"/>
      <c r="CT547" s="172"/>
      <c r="CU547" s="172"/>
      <c r="CV547" s="172"/>
      <c r="CW547" s="172"/>
      <c r="CX547" s="172"/>
      <c r="CY547" s="172"/>
      <c r="CZ547" s="172"/>
      <c r="DA547" s="172"/>
      <c r="DB547" s="172"/>
      <c r="DC547" s="172"/>
      <c r="DD547" s="172"/>
      <c r="DE547" s="172"/>
      <c r="DF547" s="172"/>
      <c r="DG547" s="172"/>
      <c r="DH547" s="172"/>
      <c r="DI547" s="172"/>
      <c r="DJ547" s="172"/>
      <c r="DK547" s="172"/>
      <c r="DL547" s="172"/>
      <c r="DM547" s="172"/>
      <c r="DN547" s="172"/>
      <c r="DO547" s="172"/>
      <c r="DP547" s="172"/>
      <c r="DQ547" s="172"/>
      <c r="DR547" s="172"/>
      <c r="DS547" s="172"/>
      <c r="DT547" s="172"/>
      <c r="DU547" s="172"/>
      <c r="DV547" s="172"/>
      <c r="DW547" s="172"/>
      <c r="DX547" s="172"/>
      <c r="DY547" s="172"/>
      <c r="DZ547" s="172"/>
      <c r="EA547" s="172"/>
      <c r="EB547" s="172"/>
      <c r="EC547" s="173"/>
    </row>
    <row r="548" spans="1:133" s="56" customFormat="1" ht="31.2" x14ac:dyDescent="0.25">
      <c r="A548" s="92" t="s">
        <v>8</v>
      </c>
      <c r="B548" s="93" t="s">
        <v>9</v>
      </c>
      <c r="C548" s="94" t="s">
        <v>10</v>
      </c>
      <c r="D548" s="93" t="s">
        <v>341</v>
      </c>
      <c r="E548" s="93" t="s">
        <v>11</v>
      </c>
      <c r="F548" s="16" t="s">
        <v>322</v>
      </c>
      <c r="G548" s="16" t="s">
        <v>323</v>
      </c>
      <c r="H548" s="16" t="s">
        <v>324</v>
      </c>
      <c r="I548" s="16" t="s">
        <v>325</v>
      </c>
      <c r="J548" s="16" t="s">
        <v>326</v>
      </c>
      <c r="K548" s="16" t="s">
        <v>329</v>
      </c>
      <c r="L548" s="16" t="s">
        <v>292</v>
      </c>
      <c r="M548" s="16" t="s">
        <v>292</v>
      </c>
      <c r="N548" s="16" t="s">
        <v>292</v>
      </c>
      <c r="O548" s="16" t="s">
        <v>292</v>
      </c>
      <c r="P548" s="16" t="s">
        <v>292</v>
      </c>
      <c r="Q548" s="16" t="s">
        <v>292</v>
      </c>
      <c r="R548" s="54"/>
      <c r="S548" s="54"/>
      <c r="T548" s="54"/>
      <c r="U548" s="54"/>
      <c r="V548" s="54"/>
      <c r="W548" s="54"/>
      <c r="X548" s="54"/>
      <c r="Y548" s="54"/>
      <c r="Z548" s="54"/>
      <c r="AA548" s="54"/>
      <c r="AB548" s="54"/>
      <c r="AC548" s="54"/>
      <c r="AD548" s="54"/>
      <c r="AE548" s="54"/>
      <c r="AF548" s="54"/>
      <c r="AG548" s="54"/>
      <c r="AH548" s="54"/>
      <c r="AI548" s="54"/>
      <c r="AJ548" s="54"/>
      <c r="AK548" s="54"/>
      <c r="AL548" s="54"/>
      <c r="AM548" s="54"/>
      <c r="AN548" s="54"/>
      <c r="AO548" s="54"/>
      <c r="AP548" s="54"/>
      <c r="AQ548" s="54"/>
      <c r="AR548" s="54"/>
      <c r="AS548" s="54"/>
      <c r="AT548" s="54"/>
      <c r="AU548" s="54"/>
      <c r="AV548" s="54"/>
      <c r="AW548" s="54"/>
      <c r="AX548" s="54"/>
      <c r="AY548" s="54"/>
      <c r="AZ548" s="54"/>
      <c r="BA548" s="54"/>
      <c r="BB548" s="54"/>
      <c r="BC548" s="54"/>
      <c r="BD548" s="54"/>
      <c r="BE548" s="54"/>
      <c r="BF548" s="54"/>
      <c r="BG548" s="54"/>
      <c r="BH548" s="54"/>
      <c r="BI548" s="54"/>
      <c r="BJ548" s="54"/>
      <c r="BK548" s="54"/>
      <c r="BL548" s="54"/>
      <c r="BM548" s="54"/>
      <c r="BN548" s="54"/>
      <c r="BO548" s="54"/>
      <c r="BP548" s="54"/>
      <c r="BQ548" s="54"/>
      <c r="BR548" s="54"/>
      <c r="BS548" s="54"/>
      <c r="BT548" s="54"/>
      <c r="BU548" s="54"/>
      <c r="BV548" s="54"/>
      <c r="BW548" s="54"/>
      <c r="BX548" s="54"/>
      <c r="BY548" s="54"/>
      <c r="BZ548" s="54"/>
      <c r="CA548" s="54"/>
      <c r="CB548" s="54"/>
      <c r="CC548" s="54"/>
      <c r="CD548" s="54"/>
      <c r="CE548" s="54"/>
      <c r="CF548" s="54"/>
      <c r="CG548" s="54"/>
      <c r="CH548" s="54"/>
      <c r="CI548" s="54"/>
      <c r="CJ548" s="54"/>
      <c r="CK548" s="54"/>
      <c r="CL548" s="54"/>
      <c r="CM548" s="54"/>
      <c r="CN548" s="54"/>
      <c r="CO548" s="54"/>
      <c r="CP548" s="54"/>
      <c r="CQ548" s="54"/>
      <c r="CR548" s="54"/>
      <c r="CS548" s="54"/>
      <c r="CT548" s="54"/>
      <c r="CU548" s="54"/>
      <c r="CV548" s="54"/>
      <c r="CW548" s="54"/>
      <c r="CX548" s="54"/>
      <c r="CY548" s="54"/>
      <c r="CZ548" s="54"/>
      <c r="DA548" s="54"/>
      <c r="DB548" s="54"/>
      <c r="DC548" s="54"/>
      <c r="DD548" s="54"/>
      <c r="DE548" s="54"/>
      <c r="DF548" s="54"/>
      <c r="DG548" s="54"/>
      <c r="DH548" s="54"/>
      <c r="DI548" s="54"/>
      <c r="DJ548" s="54"/>
      <c r="DK548" s="54"/>
      <c r="DL548" s="54"/>
      <c r="DM548" s="54"/>
      <c r="DN548" s="54"/>
      <c r="DO548" s="54"/>
      <c r="DP548" s="54"/>
      <c r="DQ548" s="54"/>
      <c r="DR548" s="54"/>
      <c r="DS548" s="54"/>
      <c r="DT548" s="54"/>
      <c r="DU548" s="54"/>
      <c r="DV548" s="54"/>
      <c r="DW548" s="54"/>
      <c r="DX548" s="54"/>
      <c r="DY548" s="54"/>
      <c r="DZ548" s="54"/>
      <c r="EA548" s="54"/>
      <c r="EB548" s="54"/>
      <c r="EC548" s="54"/>
    </row>
    <row r="549" spans="1:133" s="56" customFormat="1" x14ac:dyDescent="0.25">
      <c r="A549" s="58" t="s">
        <v>12</v>
      </c>
      <c r="B549" s="58"/>
      <c r="C549" s="34"/>
      <c r="D549" s="34"/>
      <c r="E549" s="58"/>
      <c r="F549" s="16">
        <v>31</v>
      </c>
      <c r="G549" s="16">
        <v>28</v>
      </c>
      <c r="H549" s="16">
        <v>31</v>
      </c>
      <c r="I549" s="16">
        <v>30</v>
      </c>
      <c r="J549" s="16">
        <v>31</v>
      </c>
      <c r="K549" s="16">
        <v>30</v>
      </c>
      <c r="L549" s="16" t="s">
        <v>297</v>
      </c>
      <c r="M549" s="16" t="s">
        <v>297</v>
      </c>
      <c r="N549" s="16" t="s">
        <v>297</v>
      </c>
      <c r="O549" s="16" t="s">
        <v>297</v>
      </c>
      <c r="P549" s="16" t="s">
        <v>297</v>
      </c>
      <c r="Q549" s="16" t="s">
        <v>297</v>
      </c>
      <c r="R549" s="54"/>
      <c r="S549" s="54"/>
      <c r="T549" s="54"/>
      <c r="U549" s="54"/>
      <c r="V549" s="54"/>
      <c r="W549" s="54"/>
      <c r="X549" s="54"/>
      <c r="Y549" s="54"/>
      <c r="Z549" s="54"/>
      <c r="AA549" s="54"/>
      <c r="AB549" s="54"/>
      <c r="AC549" s="54"/>
      <c r="AD549" s="54"/>
      <c r="AE549" s="54"/>
      <c r="AF549" s="54"/>
      <c r="AG549" s="54"/>
      <c r="AH549" s="54"/>
      <c r="AI549" s="54"/>
      <c r="AJ549" s="54"/>
      <c r="AK549" s="54"/>
      <c r="AL549" s="54"/>
      <c r="AM549" s="54"/>
      <c r="AN549" s="54"/>
      <c r="AO549" s="54"/>
      <c r="AP549" s="54"/>
      <c r="AQ549" s="54"/>
      <c r="AR549" s="54"/>
      <c r="AS549" s="54"/>
      <c r="AT549" s="54"/>
      <c r="AU549" s="54"/>
      <c r="AV549" s="54"/>
      <c r="AW549" s="54"/>
      <c r="AX549" s="54"/>
      <c r="AY549" s="54"/>
      <c r="AZ549" s="54"/>
      <c r="BA549" s="54"/>
      <c r="BB549" s="54"/>
      <c r="BC549" s="54"/>
      <c r="BD549" s="54"/>
      <c r="BE549" s="54"/>
      <c r="BF549" s="54"/>
      <c r="BG549" s="54"/>
      <c r="BH549" s="54"/>
      <c r="BI549" s="54"/>
      <c r="BJ549" s="54"/>
      <c r="BK549" s="54"/>
      <c r="BL549" s="54"/>
      <c r="BM549" s="54"/>
      <c r="BN549" s="54"/>
      <c r="BO549" s="54"/>
      <c r="BP549" s="54"/>
      <c r="BQ549" s="54"/>
      <c r="BR549" s="54"/>
      <c r="BS549" s="54"/>
      <c r="BT549" s="54"/>
      <c r="BU549" s="54"/>
      <c r="BV549" s="54"/>
      <c r="BW549" s="54"/>
      <c r="BX549" s="54"/>
      <c r="BY549" s="54"/>
      <c r="BZ549" s="54"/>
      <c r="CA549" s="54"/>
      <c r="CB549" s="54"/>
      <c r="CC549" s="54"/>
      <c r="CD549" s="54"/>
      <c r="CE549" s="54"/>
      <c r="CF549" s="54"/>
      <c r="CG549" s="54"/>
      <c r="CH549" s="54"/>
      <c r="CI549" s="54"/>
      <c r="CJ549" s="54"/>
      <c r="CK549" s="54"/>
      <c r="CL549" s="54"/>
      <c r="CM549" s="54"/>
      <c r="CN549" s="54"/>
      <c r="CO549" s="54"/>
      <c r="CP549" s="54"/>
      <c r="CQ549" s="54"/>
      <c r="CR549" s="54"/>
      <c r="CS549" s="54"/>
      <c r="CT549" s="54"/>
      <c r="CU549" s="54"/>
      <c r="CV549" s="54"/>
      <c r="CW549" s="54"/>
      <c r="CX549" s="54"/>
      <c r="CY549" s="54"/>
      <c r="CZ549" s="54"/>
      <c r="DA549" s="54"/>
      <c r="DB549" s="54"/>
      <c r="DC549" s="54"/>
      <c r="DD549" s="54"/>
      <c r="DE549" s="54"/>
      <c r="DF549" s="54"/>
      <c r="DG549" s="54"/>
      <c r="DH549" s="54"/>
      <c r="DI549" s="54"/>
      <c r="DJ549" s="54"/>
      <c r="DK549" s="54"/>
      <c r="DL549" s="54"/>
      <c r="DM549" s="54"/>
      <c r="DN549" s="54"/>
      <c r="DO549" s="54"/>
      <c r="DP549" s="54"/>
      <c r="DQ549" s="54"/>
      <c r="DR549" s="54"/>
      <c r="DS549" s="54"/>
      <c r="DT549" s="54"/>
      <c r="DU549" s="54"/>
      <c r="DV549" s="54"/>
      <c r="DW549" s="54"/>
      <c r="DX549" s="54"/>
      <c r="DY549" s="54"/>
      <c r="DZ549" s="54"/>
      <c r="EA549" s="54"/>
      <c r="EB549" s="54"/>
      <c r="EC549" s="54"/>
    </row>
    <row r="550" spans="1:133" ht="46.8" x14ac:dyDescent="0.25">
      <c r="A550" s="59" t="s">
        <v>13</v>
      </c>
      <c r="B550" s="60" t="s">
        <v>14</v>
      </c>
      <c r="C550" s="53" t="s">
        <v>15</v>
      </c>
      <c r="D550" s="53" t="s">
        <v>369</v>
      </c>
      <c r="E550" s="61">
        <f>SUM(F550:Q550)</f>
        <v>1570.9521314254944</v>
      </c>
      <c r="F550" s="62">
        <f>$E$551*$E$552*F553*$E$564</f>
        <v>262.30856980108928</v>
      </c>
      <c r="G550" s="62">
        <f t="shared" ref="G550:K550" si="70">$E$551*$E$552*G553*$E$564</f>
        <v>236.59366133262122</v>
      </c>
      <c r="H550" s="62">
        <f t="shared" si="70"/>
        <v>261.87847526621954</v>
      </c>
      <c r="I550" s="62">
        <f t="shared" si="70"/>
        <v>253.30271614139636</v>
      </c>
      <c r="J550" s="62">
        <f t="shared" si="70"/>
        <v>298.8029084968091</v>
      </c>
      <c r="K550" s="62">
        <f t="shared" si="70"/>
        <v>258.06580038735888</v>
      </c>
      <c r="L550" s="62" t="s">
        <v>297</v>
      </c>
      <c r="M550" s="62" t="s">
        <v>297</v>
      </c>
      <c r="N550" s="62" t="s">
        <v>297</v>
      </c>
      <c r="O550" s="62" t="s">
        <v>297</v>
      </c>
      <c r="P550" s="62" t="s">
        <v>297</v>
      </c>
      <c r="Q550" s="62" t="s">
        <v>297</v>
      </c>
    </row>
    <row r="551" spans="1:133" ht="31.2" x14ac:dyDescent="0.25">
      <c r="A551" s="63" t="s">
        <v>16</v>
      </c>
      <c r="B551" s="60" t="s">
        <v>193</v>
      </c>
      <c r="C551" s="35" t="s">
        <v>17</v>
      </c>
      <c r="D551" s="35" t="s">
        <v>205</v>
      </c>
      <c r="E551" s="168">
        <v>28</v>
      </c>
      <c r="F551" s="169"/>
      <c r="G551" s="169"/>
      <c r="H551" s="169"/>
      <c r="I551" s="169"/>
      <c r="J551" s="169"/>
      <c r="K551" s="169"/>
      <c r="L551" s="169"/>
      <c r="M551" s="169"/>
      <c r="N551" s="169"/>
      <c r="O551" s="169"/>
      <c r="P551" s="169"/>
      <c r="Q551" s="170"/>
    </row>
    <row r="552" spans="1:133" ht="64.8" x14ac:dyDescent="0.25">
      <c r="A552" s="63" t="s">
        <v>18</v>
      </c>
      <c r="B552" s="25" t="s">
        <v>194</v>
      </c>
      <c r="C552" s="35" t="s">
        <v>20</v>
      </c>
      <c r="D552" s="35" t="s">
        <v>394</v>
      </c>
      <c r="E552" s="168">
        <v>0.21</v>
      </c>
      <c r="F552" s="169"/>
      <c r="G552" s="169"/>
      <c r="H552" s="169"/>
      <c r="I552" s="169"/>
      <c r="J552" s="169"/>
      <c r="K552" s="169"/>
      <c r="L552" s="169"/>
      <c r="M552" s="169"/>
      <c r="N552" s="169"/>
      <c r="O552" s="169"/>
      <c r="P552" s="169"/>
      <c r="Q552" s="170"/>
    </row>
    <row r="553" spans="1:133" ht="46.8" x14ac:dyDescent="0.25">
      <c r="A553" s="35" t="s">
        <v>21</v>
      </c>
      <c r="B553" s="25" t="s">
        <v>195</v>
      </c>
      <c r="C553" s="53" t="s">
        <v>22</v>
      </c>
      <c r="D553" s="53" t="s">
        <v>370</v>
      </c>
      <c r="E553" s="64">
        <f t="shared" ref="E553:K553" si="71">E561*E554</f>
        <v>422.88855856158295</v>
      </c>
      <c r="F553" s="64">
        <f t="shared" si="71"/>
        <v>70.611504171598597</v>
      </c>
      <c r="G553" s="64">
        <f t="shared" si="71"/>
        <v>63.689243233000902</v>
      </c>
      <c r="H553" s="64">
        <f t="shared" si="71"/>
        <v>70.495725941149757</v>
      </c>
      <c r="I553" s="64">
        <f t="shared" si="71"/>
        <v>68.187195755970265</v>
      </c>
      <c r="J553" s="64">
        <f t="shared" si="71"/>
        <v>80.435507066382613</v>
      </c>
      <c r="K553" s="64">
        <f t="shared" si="71"/>
        <v>69.469382393480814</v>
      </c>
      <c r="L553" s="64" t="s">
        <v>297</v>
      </c>
      <c r="M553" s="64" t="s">
        <v>297</v>
      </c>
      <c r="N553" s="64" t="s">
        <v>297</v>
      </c>
      <c r="O553" s="64" t="s">
        <v>297</v>
      </c>
      <c r="P553" s="64" t="s">
        <v>297</v>
      </c>
      <c r="Q553" s="64" t="s">
        <v>297</v>
      </c>
    </row>
    <row r="554" spans="1:133" ht="46.8" x14ac:dyDescent="0.25">
      <c r="A554" s="35" t="s">
        <v>23</v>
      </c>
      <c r="B554" s="25" t="s">
        <v>197</v>
      </c>
      <c r="C554" s="35" t="s">
        <v>191</v>
      </c>
      <c r="D554" s="35" t="s">
        <v>371</v>
      </c>
      <c r="E554" s="20">
        <f>SUM(F554:K554)</f>
        <v>445.91109323066974</v>
      </c>
      <c r="F554" s="20">
        <f>F556*F559</f>
        <v>74.455674863651637</v>
      </c>
      <c r="G554" s="20">
        <f t="shared" ref="G554:K554" si="72">G556*G559</f>
        <v>67.156558157214292</v>
      </c>
      <c r="H554" s="20">
        <f t="shared" si="72"/>
        <v>74.333593534501105</v>
      </c>
      <c r="I554" s="20">
        <f t="shared" si="72"/>
        <v>71.899384337329167</v>
      </c>
      <c r="J554" s="20">
        <f t="shared" si="72"/>
        <v>84.814507662568516</v>
      </c>
      <c r="K554" s="20">
        <f t="shared" si="72"/>
        <v>73.251374675405017</v>
      </c>
      <c r="L554" s="20" t="s">
        <v>297</v>
      </c>
      <c r="M554" s="20" t="s">
        <v>297</v>
      </c>
      <c r="N554" s="20" t="s">
        <v>297</v>
      </c>
      <c r="O554" s="20" t="s">
        <v>297</v>
      </c>
      <c r="P554" s="20" t="s">
        <v>297</v>
      </c>
      <c r="Q554" s="20" t="s">
        <v>297</v>
      </c>
    </row>
    <row r="555" spans="1:133" ht="62.4" x14ac:dyDescent="0.25">
      <c r="A555" s="17" t="s">
        <v>335</v>
      </c>
      <c r="B555" s="60" t="s">
        <v>192</v>
      </c>
      <c r="C555" s="35" t="s">
        <v>25</v>
      </c>
      <c r="D555" s="35" t="s">
        <v>333</v>
      </c>
      <c r="E555" s="121">
        <f>AVERAGE(F555:K555)</f>
        <v>5362.4685184843838</v>
      </c>
      <c r="F555" s="121">
        <v>5125.148129032259</v>
      </c>
      <c r="G555" s="121">
        <v>5122.7398571428575</v>
      </c>
      <c r="H555" s="121">
        <v>5121.2510645161301</v>
      </c>
      <c r="I555" s="121">
        <v>5120.7864999999993</v>
      </c>
      <c r="J555" s="121">
        <v>5842.8391935483869</v>
      </c>
      <c r="K555" s="121">
        <v>5842.0463666666683</v>
      </c>
      <c r="L555" s="20" t="s">
        <v>297</v>
      </c>
      <c r="M555" s="20" t="s">
        <v>297</v>
      </c>
      <c r="N555" s="20" t="s">
        <v>297</v>
      </c>
      <c r="O555" s="20" t="s">
        <v>297</v>
      </c>
      <c r="P555" s="20" t="s">
        <v>297</v>
      </c>
      <c r="Q555" s="20" t="s">
        <v>297</v>
      </c>
    </row>
    <row r="556" spans="1:133" ht="46.8" x14ac:dyDescent="0.25">
      <c r="A556" s="35" t="s">
        <v>26</v>
      </c>
      <c r="B556" s="60" t="s">
        <v>198</v>
      </c>
      <c r="C556" s="35" t="s">
        <v>27</v>
      </c>
      <c r="D556" s="35" t="s">
        <v>206</v>
      </c>
      <c r="E556" s="65">
        <f>SUM(F556:K556)</f>
        <v>971088.09200000018</v>
      </c>
      <c r="F556" s="65">
        <f>F555*F549</f>
        <v>158879.59200000003</v>
      </c>
      <c r="G556" s="65">
        <f t="shared" ref="G556:K556" si="73">G555*G549</f>
        <v>143436.71600000001</v>
      </c>
      <c r="H556" s="65">
        <f t="shared" si="73"/>
        <v>158758.78300000002</v>
      </c>
      <c r="I556" s="65">
        <f t="shared" si="73"/>
        <v>153623.59499999997</v>
      </c>
      <c r="J556" s="65">
        <f t="shared" si="73"/>
        <v>181128.01499999998</v>
      </c>
      <c r="K556" s="65">
        <f t="shared" si="73"/>
        <v>175261.39100000006</v>
      </c>
      <c r="L556" s="65" t="s">
        <v>297</v>
      </c>
      <c r="M556" s="65" t="s">
        <v>297</v>
      </c>
      <c r="N556" s="65" t="s">
        <v>297</v>
      </c>
      <c r="O556" s="65" t="s">
        <v>297</v>
      </c>
      <c r="P556" s="65" t="s">
        <v>297</v>
      </c>
      <c r="Q556" s="65" t="s">
        <v>297</v>
      </c>
    </row>
    <row r="557" spans="1:133" ht="62.4" x14ac:dyDescent="0.25">
      <c r="A557" s="35" t="s">
        <v>28</v>
      </c>
      <c r="B557" s="60" t="s">
        <v>199</v>
      </c>
      <c r="C557" s="35" t="s">
        <v>29</v>
      </c>
      <c r="D557" s="35" t="s">
        <v>332</v>
      </c>
      <c r="E557" s="125">
        <f>AVERAGE(F557:K557)</f>
        <v>459.8797527308414</v>
      </c>
      <c r="F557" s="125">
        <v>468.62956989247317</v>
      </c>
      <c r="G557" s="125">
        <v>468.19642857142856</v>
      </c>
      <c r="H557" s="125">
        <v>468.21720430107541</v>
      </c>
      <c r="I557" s="125">
        <v>468.02305555555563</v>
      </c>
      <c r="J557" s="125">
        <v>468.25725806451601</v>
      </c>
      <c r="K557" s="137">
        <v>417.95499999999998</v>
      </c>
      <c r="L557" s="66" t="s">
        <v>297</v>
      </c>
      <c r="M557" s="66" t="s">
        <v>297</v>
      </c>
      <c r="N557" s="66" t="s">
        <v>297</v>
      </c>
      <c r="O557" s="66" t="s">
        <v>297</v>
      </c>
      <c r="P557" s="66" t="s">
        <v>297</v>
      </c>
      <c r="Q557" s="66" t="s">
        <v>297</v>
      </c>
    </row>
    <row r="558" spans="1:133" ht="62.4" x14ac:dyDescent="0.25">
      <c r="A558" s="35" t="s">
        <v>30</v>
      </c>
      <c r="B558" s="60" t="s">
        <v>199</v>
      </c>
      <c r="C558" s="35" t="s">
        <v>31</v>
      </c>
      <c r="D558" s="35" t="s">
        <v>331</v>
      </c>
      <c r="E558" s="125">
        <f>AVERAGE(F558:K558)</f>
        <v>21.836010197986003</v>
      </c>
      <c r="F558" s="125">
        <v>22.054569892473115</v>
      </c>
      <c r="G558" s="125">
        <v>22.171428571428571</v>
      </c>
      <c r="H558" s="125">
        <v>22.226344086021506</v>
      </c>
      <c r="I558" s="125">
        <v>22.104722222222222</v>
      </c>
      <c r="J558" s="125">
        <v>22.296774193548387</v>
      </c>
      <c r="K558" s="137">
        <v>20.162222222222226</v>
      </c>
      <c r="L558" s="65" t="s">
        <v>297</v>
      </c>
      <c r="M558" s="65" t="s">
        <v>297</v>
      </c>
      <c r="N558" s="65" t="s">
        <v>297</v>
      </c>
      <c r="O558" s="65" t="s">
        <v>297</v>
      </c>
      <c r="P558" s="65" t="s">
        <v>297</v>
      </c>
      <c r="Q558" s="65" t="s">
        <v>297</v>
      </c>
    </row>
    <row r="559" spans="1:133" ht="62.4" x14ac:dyDescent="0.25">
      <c r="A559" s="35" t="s">
        <v>32</v>
      </c>
      <c r="B559" s="60" t="s">
        <v>200</v>
      </c>
      <c r="C559" s="35" t="s">
        <v>34</v>
      </c>
      <c r="D559" s="35" t="s">
        <v>338</v>
      </c>
      <c r="E559" s="122">
        <f>E557/1000000</f>
        <v>4.5987975273084142E-4</v>
      </c>
      <c r="F559" s="120">
        <f>F557/1000000</f>
        <v>4.6862956989247319E-4</v>
      </c>
      <c r="G559" s="120">
        <f t="shared" ref="G559:K560" si="74">G557/1000000</f>
        <v>4.6819642857142855E-4</v>
      </c>
      <c r="H559" s="120">
        <f t="shared" si="74"/>
        <v>4.682172043010754E-4</v>
      </c>
      <c r="I559" s="120">
        <f t="shared" si="74"/>
        <v>4.6802305555555563E-4</v>
      </c>
      <c r="J559" s="120">
        <f t="shared" si="74"/>
        <v>4.6825725806451602E-4</v>
      </c>
      <c r="K559" s="120">
        <f t="shared" si="74"/>
        <v>4.1795499999999996E-4</v>
      </c>
      <c r="L559" s="22" t="s">
        <v>297</v>
      </c>
      <c r="M559" s="22" t="s">
        <v>297</v>
      </c>
      <c r="N559" s="22" t="s">
        <v>297</v>
      </c>
      <c r="O559" s="22" t="s">
        <v>297</v>
      </c>
      <c r="P559" s="22" t="s">
        <v>297</v>
      </c>
      <c r="Q559" s="22" t="s">
        <v>297</v>
      </c>
    </row>
    <row r="560" spans="1:133" ht="62.4" x14ac:dyDescent="0.25">
      <c r="A560" s="35" t="s">
        <v>30</v>
      </c>
      <c r="B560" s="60" t="s">
        <v>33</v>
      </c>
      <c r="C560" s="35" t="s">
        <v>35</v>
      </c>
      <c r="D560" s="35" t="s">
        <v>339</v>
      </c>
      <c r="E560" s="122">
        <f>E558/1000000</f>
        <v>2.1836010197986003E-5</v>
      </c>
      <c r="F560" s="120">
        <f>F558/1000000</f>
        <v>2.2054569892473116E-5</v>
      </c>
      <c r="G560" s="120">
        <f t="shared" si="74"/>
        <v>2.2171428571428571E-5</v>
      </c>
      <c r="H560" s="120">
        <f t="shared" si="74"/>
        <v>2.2226344086021506E-5</v>
      </c>
      <c r="I560" s="120">
        <f t="shared" si="74"/>
        <v>2.2104722222222223E-5</v>
      </c>
      <c r="J560" s="120">
        <f t="shared" si="74"/>
        <v>2.2296774193548386E-5</v>
      </c>
      <c r="K560" s="120">
        <f t="shared" si="74"/>
        <v>2.0162222222222226E-5</v>
      </c>
      <c r="L560" s="22" t="s">
        <v>297</v>
      </c>
      <c r="M560" s="22" t="s">
        <v>297</v>
      </c>
      <c r="N560" s="22" t="s">
        <v>297</v>
      </c>
      <c r="O560" s="22" t="s">
        <v>297</v>
      </c>
      <c r="P560" s="22" t="s">
        <v>297</v>
      </c>
      <c r="Q560" s="22" t="s">
        <v>297</v>
      </c>
    </row>
    <row r="561" spans="1:133" ht="46.8" x14ac:dyDescent="0.25">
      <c r="A561" s="63" t="s">
        <v>36</v>
      </c>
      <c r="B561" s="25" t="s">
        <v>201</v>
      </c>
      <c r="C561" s="35" t="s">
        <v>38</v>
      </c>
      <c r="D561" s="35" t="s">
        <v>368</v>
      </c>
      <c r="E561" s="68">
        <f>(1-(E562/E563))</f>
        <v>0.94836967498994862</v>
      </c>
      <c r="F561" s="68">
        <f>E561</f>
        <v>0.94836967498994862</v>
      </c>
      <c r="G561" s="68">
        <f>E561</f>
        <v>0.94836967498994862</v>
      </c>
      <c r="H561" s="68">
        <f>E561</f>
        <v>0.94836967498994862</v>
      </c>
      <c r="I561" s="68">
        <f>E561</f>
        <v>0.94836967498994862</v>
      </c>
      <c r="J561" s="68">
        <f>E561</f>
        <v>0.94836967498994862</v>
      </c>
      <c r="K561" s="68">
        <f>F561</f>
        <v>0.94836967498994862</v>
      </c>
      <c r="L561" s="68" t="s">
        <v>297</v>
      </c>
      <c r="M561" s="68" t="s">
        <v>297</v>
      </c>
      <c r="N561" s="68" t="s">
        <v>297</v>
      </c>
      <c r="O561" s="68" t="s">
        <v>297</v>
      </c>
      <c r="P561" s="68" t="s">
        <v>297</v>
      </c>
      <c r="Q561" s="68" t="s">
        <v>297</v>
      </c>
    </row>
    <row r="562" spans="1:133" ht="31.2" x14ac:dyDescent="0.25">
      <c r="A562" s="35" t="s">
        <v>39</v>
      </c>
      <c r="B562" s="25" t="s">
        <v>196</v>
      </c>
      <c r="C562" s="35" t="s">
        <v>40</v>
      </c>
      <c r="D562" s="35" t="s">
        <v>351</v>
      </c>
      <c r="E562" s="52">
        <f>SUM(F562:K562)</f>
        <v>22.170246007000003</v>
      </c>
      <c r="F562" s="52">
        <v>3.7971139570000001</v>
      </c>
      <c r="G562" s="52">
        <v>3.4296513159999997</v>
      </c>
      <c r="H562" s="52">
        <v>3.7971139570000001</v>
      </c>
      <c r="I562" s="52">
        <v>3.6746264100000001</v>
      </c>
      <c r="J562" s="52">
        <v>3.7971139570000001</v>
      </c>
      <c r="K562" s="52">
        <v>3.6746264100000001</v>
      </c>
      <c r="L562" s="69" t="s">
        <v>297</v>
      </c>
      <c r="M562" s="69" t="s">
        <v>297</v>
      </c>
      <c r="N562" s="69" t="s">
        <v>297</v>
      </c>
      <c r="O562" s="69" t="s">
        <v>297</v>
      </c>
      <c r="P562" s="69" t="s">
        <v>297</v>
      </c>
      <c r="Q562" s="69" t="s">
        <v>297</v>
      </c>
    </row>
    <row r="563" spans="1:133" ht="31.2" x14ac:dyDescent="0.25">
      <c r="A563" s="63" t="s">
        <v>41</v>
      </c>
      <c r="B563" s="25" t="s">
        <v>24</v>
      </c>
      <c r="C563" s="35" t="s">
        <v>42</v>
      </c>
      <c r="D563" s="35" t="s">
        <v>351</v>
      </c>
      <c r="E563" s="52">
        <f>SUM(F563:K563)</f>
        <v>429.40357246799999</v>
      </c>
      <c r="F563" s="52">
        <v>73.544258267999993</v>
      </c>
      <c r="G563" s="52">
        <v>66.427071983999994</v>
      </c>
      <c r="H563" s="52">
        <v>73.544258267999993</v>
      </c>
      <c r="I563" s="52">
        <v>71.171862839999989</v>
      </c>
      <c r="J563" s="52">
        <v>73.544258267999993</v>
      </c>
      <c r="K563" s="52">
        <v>71.171862839999989</v>
      </c>
      <c r="L563" s="69" t="s">
        <v>297</v>
      </c>
      <c r="M563" s="69" t="s">
        <v>297</v>
      </c>
      <c r="N563" s="69" t="s">
        <v>297</v>
      </c>
      <c r="O563" s="69" t="s">
        <v>297</v>
      </c>
      <c r="P563" s="69" t="s">
        <v>297</v>
      </c>
      <c r="Q563" s="69" t="s">
        <v>297</v>
      </c>
    </row>
    <row r="564" spans="1:133" ht="31.2" x14ac:dyDescent="0.25">
      <c r="A564" s="53" t="s">
        <v>43</v>
      </c>
      <c r="B564" s="25" t="s">
        <v>201</v>
      </c>
      <c r="C564" s="53" t="s">
        <v>44</v>
      </c>
      <c r="D564" s="35" t="s">
        <v>372</v>
      </c>
      <c r="E564" s="159">
        <f>E565*E566*0.89</f>
        <v>0.63177100544648912</v>
      </c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1"/>
    </row>
    <row r="565" spans="1:133" ht="31.2" x14ac:dyDescent="0.25">
      <c r="A565" s="70" t="s">
        <v>45</v>
      </c>
      <c r="B565" s="25" t="s">
        <v>201</v>
      </c>
      <c r="C565" s="53" t="s">
        <v>46</v>
      </c>
      <c r="D565" s="35" t="s">
        <v>373</v>
      </c>
      <c r="E565" s="162">
        <v>0.7</v>
      </c>
      <c r="F565" s="163"/>
      <c r="G565" s="163"/>
      <c r="H565" s="163"/>
      <c r="I565" s="163"/>
      <c r="J565" s="163"/>
      <c r="K565" s="163"/>
      <c r="L565" s="163"/>
      <c r="M565" s="163"/>
      <c r="N565" s="163"/>
      <c r="O565" s="163"/>
      <c r="P565" s="163"/>
      <c r="Q565" s="164"/>
    </row>
    <row r="566" spans="1:133" ht="36" customHeight="1" x14ac:dyDescent="0.25">
      <c r="A566" s="70" t="s">
        <v>47</v>
      </c>
      <c r="B566" s="25" t="s">
        <v>37</v>
      </c>
      <c r="C566" s="53" t="s">
        <v>48</v>
      </c>
      <c r="D566" s="35" t="s">
        <v>374</v>
      </c>
      <c r="E566" s="159">
        <f>(F567*F572+G567*G572+H567*H572+I567*I572+J567*J572+K567*K572)/(F561*F556*F559+G561*G559*G556+H561*H556*H559+I561*I559*I556+J561*J559*J556+K561*K559*K556)</f>
        <v>1.0140786604277514</v>
      </c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1"/>
    </row>
    <row r="567" spans="1:133" s="9" customFormat="1" ht="46.8" x14ac:dyDescent="0.4">
      <c r="A567" s="71" t="s">
        <v>49</v>
      </c>
      <c r="B567" s="25" t="s">
        <v>37</v>
      </c>
      <c r="C567" s="53" t="s">
        <v>50</v>
      </c>
      <c r="D567" s="53" t="s">
        <v>375</v>
      </c>
      <c r="E567" s="72">
        <f>AVERAGE(F567:K567)</f>
        <v>0.4842798201038388</v>
      </c>
      <c r="F567" s="72">
        <f>IF(F571&lt;283,0,IF(F571&gt;303,1,EXP(($E$568*(F571-$E$569))/($E$570*$E$569*F571))))</f>
        <v>0.26921004737855481</v>
      </c>
      <c r="G567" s="72">
        <f t="shared" ref="G567:K567" si="75">IF(G571&lt;283,0,IF(G571&gt;303,1,EXP(($E$568*(G571-$E$569))/($E$570*$E$569*G571))))</f>
        <v>0.19433887196192873</v>
      </c>
      <c r="H567" s="72">
        <f t="shared" si="75"/>
        <v>0.44226396815696317</v>
      </c>
      <c r="I567" s="72">
        <f t="shared" si="75"/>
        <v>0.52733825786216582</v>
      </c>
      <c r="J567" s="72">
        <f t="shared" si="75"/>
        <v>0.62729263560178183</v>
      </c>
      <c r="K567" s="72">
        <f t="shared" si="75"/>
        <v>0.84523513966163832</v>
      </c>
      <c r="L567" s="72" t="s">
        <v>297</v>
      </c>
      <c r="M567" s="72" t="s">
        <v>297</v>
      </c>
      <c r="N567" s="72" t="s">
        <v>297</v>
      </c>
      <c r="O567" s="72" t="s">
        <v>297</v>
      </c>
      <c r="P567" s="72" t="s">
        <v>297</v>
      </c>
      <c r="Q567" s="72" t="s">
        <v>297</v>
      </c>
      <c r="R567" s="78"/>
      <c r="S567" s="78"/>
      <c r="T567" s="78"/>
      <c r="U567" s="78"/>
      <c r="V567" s="78"/>
      <c r="W567" s="78"/>
      <c r="X567" s="78"/>
      <c r="Y567" s="78"/>
      <c r="Z567" s="78"/>
      <c r="AA567" s="78"/>
      <c r="AB567" s="78"/>
      <c r="AC567" s="78"/>
      <c r="AD567" s="78"/>
      <c r="AE567" s="78"/>
      <c r="AF567" s="78"/>
      <c r="AG567" s="78"/>
      <c r="AH567" s="78"/>
      <c r="AI567" s="78"/>
      <c r="AJ567" s="78"/>
      <c r="AK567" s="78"/>
      <c r="AL567" s="78"/>
      <c r="AM567" s="78"/>
      <c r="AN567" s="78"/>
      <c r="AO567" s="78"/>
      <c r="AP567" s="78"/>
      <c r="AQ567" s="78"/>
      <c r="AR567" s="78"/>
      <c r="AS567" s="78"/>
      <c r="AT567" s="78"/>
      <c r="AU567" s="78"/>
      <c r="AV567" s="78"/>
      <c r="AW567" s="78"/>
      <c r="AX567" s="78"/>
      <c r="AY567" s="78"/>
      <c r="AZ567" s="78"/>
      <c r="BA567" s="78"/>
      <c r="BB567" s="78"/>
      <c r="BC567" s="78"/>
      <c r="BD567" s="78"/>
      <c r="BE567" s="78"/>
      <c r="BF567" s="78"/>
      <c r="BG567" s="78"/>
      <c r="BH567" s="78"/>
      <c r="BI567" s="78"/>
      <c r="BJ567" s="78"/>
      <c r="BK567" s="78"/>
      <c r="BL567" s="78"/>
      <c r="BM567" s="78"/>
      <c r="BN567" s="78"/>
      <c r="BO567" s="78"/>
      <c r="BP567" s="78"/>
      <c r="BQ567" s="78"/>
      <c r="BR567" s="78"/>
      <c r="BS567" s="78"/>
      <c r="BT567" s="78"/>
      <c r="BU567" s="78"/>
      <c r="BV567" s="78"/>
      <c r="BW567" s="78"/>
      <c r="BX567" s="78"/>
      <c r="BY567" s="78"/>
      <c r="BZ567" s="78"/>
      <c r="CA567" s="78"/>
      <c r="CB567" s="78"/>
      <c r="CC567" s="78"/>
      <c r="CD567" s="78"/>
      <c r="CE567" s="78"/>
      <c r="CF567" s="78"/>
      <c r="CG567" s="78"/>
      <c r="CH567" s="78"/>
      <c r="CI567" s="78"/>
      <c r="CJ567" s="78"/>
      <c r="CK567" s="78"/>
      <c r="CL567" s="78"/>
      <c r="CM567" s="78"/>
      <c r="CN567" s="78"/>
      <c r="CO567" s="78"/>
      <c r="CP567" s="78"/>
      <c r="CQ567" s="78"/>
      <c r="CR567" s="78"/>
      <c r="CS567" s="78"/>
      <c r="CT567" s="78"/>
      <c r="CU567" s="78"/>
      <c r="CV567" s="78"/>
      <c r="CW567" s="78"/>
      <c r="CX567" s="78"/>
      <c r="CY567" s="78"/>
      <c r="CZ567" s="78"/>
      <c r="DA567" s="78"/>
      <c r="DB567" s="78"/>
      <c r="DC567" s="78"/>
      <c r="DD567" s="78"/>
      <c r="DE567" s="78"/>
      <c r="DF567" s="78"/>
      <c r="DG567" s="78"/>
      <c r="DH567" s="78"/>
      <c r="DI567" s="78"/>
      <c r="DJ567" s="78"/>
      <c r="DK567" s="78"/>
      <c r="DL567" s="78"/>
      <c r="DM567" s="78"/>
      <c r="DN567" s="78"/>
      <c r="DO567" s="78"/>
      <c r="DP567" s="78"/>
      <c r="DQ567" s="78"/>
      <c r="DR567" s="78"/>
      <c r="DS567" s="78"/>
      <c r="DT567" s="78"/>
      <c r="DU567" s="78"/>
      <c r="DV567" s="78"/>
      <c r="DW567" s="78"/>
      <c r="DX567" s="78"/>
      <c r="DY567" s="78"/>
      <c r="DZ567" s="78"/>
      <c r="EA567" s="78"/>
      <c r="EB567" s="78"/>
      <c r="EC567" s="78"/>
    </row>
    <row r="568" spans="1:133" s="9" customFormat="1" x14ac:dyDescent="0.25">
      <c r="A568" s="73" t="s">
        <v>51</v>
      </c>
      <c r="B568" s="60" t="s">
        <v>202</v>
      </c>
      <c r="C568" s="53" t="s">
        <v>53</v>
      </c>
      <c r="D568" s="53" t="s">
        <v>376</v>
      </c>
      <c r="E568" s="162">
        <v>15175</v>
      </c>
      <c r="F568" s="163"/>
      <c r="G568" s="163"/>
      <c r="H568" s="163"/>
      <c r="I568" s="163"/>
      <c r="J568" s="163"/>
      <c r="K568" s="163"/>
      <c r="L568" s="163"/>
      <c r="M568" s="163"/>
      <c r="N568" s="163"/>
      <c r="O568" s="163"/>
      <c r="P568" s="163"/>
      <c r="Q568" s="164"/>
      <c r="R568" s="78"/>
      <c r="S568" s="78"/>
      <c r="T568" s="78"/>
      <c r="U568" s="78"/>
      <c r="V568" s="78"/>
      <c r="W568" s="78"/>
      <c r="X568" s="78"/>
      <c r="Y568" s="78"/>
      <c r="Z568" s="78"/>
      <c r="AA568" s="78"/>
      <c r="AB568" s="78"/>
      <c r="AC568" s="78"/>
      <c r="AD568" s="78"/>
      <c r="AE568" s="78"/>
      <c r="AF568" s="78"/>
      <c r="AG568" s="78"/>
      <c r="AH568" s="78"/>
      <c r="AI568" s="78"/>
      <c r="AJ568" s="78"/>
      <c r="AK568" s="78"/>
      <c r="AL568" s="78"/>
      <c r="AM568" s="78"/>
      <c r="AN568" s="78"/>
      <c r="AO568" s="78"/>
      <c r="AP568" s="78"/>
      <c r="AQ568" s="78"/>
      <c r="AR568" s="78"/>
      <c r="AS568" s="78"/>
      <c r="AT568" s="78"/>
      <c r="AU568" s="78"/>
      <c r="AV568" s="78"/>
      <c r="AW568" s="78"/>
      <c r="AX568" s="78"/>
      <c r="AY568" s="78"/>
      <c r="AZ568" s="78"/>
      <c r="BA568" s="78"/>
      <c r="BB568" s="78"/>
      <c r="BC568" s="78"/>
      <c r="BD568" s="78"/>
      <c r="BE568" s="78"/>
      <c r="BF568" s="78"/>
      <c r="BG568" s="78"/>
      <c r="BH568" s="78"/>
      <c r="BI568" s="78"/>
      <c r="BJ568" s="78"/>
      <c r="BK568" s="78"/>
      <c r="BL568" s="78"/>
      <c r="BM568" s="78"/>
      <c r="BN568" s="78"/>
      <c r="BO568" s="78"/>
      <c r="BP568" s="78"/>
      <c r="BQ568" s="78"/>
      <c r="BR568" s="78"/>
      <c r="BS568" s="78"/>
      <c r="BT568" s="78"/>
      <c r="BU568" s="78"/>
      <c r="BV568" s="78"/>
      <c r="BW568" s="78"/>
      <c r="BX568" s="78"/>
      <c r="BY568" s="78"/>
      <c r="BZ568" s="78"/>
      <c r="CA568" s="78"/>
      <c r="CB568" s="78"/>
      <c r="CC568" s="78"/>
      <c r="CD568" s="78"/>
      <c r="CE568" s="78"/>
      <c r="CF568" s="78"/>
      <c r="CG568" s="78"/>
      <c r="CH568" s="78"/>
      <c r="CI568" s="78"/>
      <c r="CJ568" s="78"/>
      <c r="CK568" s="78"/>
      <c r="CL568" s="78"/>
      <c r="CM568" s="78"/>
      <c r="CN568" s="78"/>
      <c r="CO568" s="78"/>
      <c r="CP568" s="78"/>
      <c r="CQ568" s="78"/>
      <c r="CR568" s="78"/>
      <c r="CS568" s="78"/>
      <c r="CT568" s="78"/>
      <c r="CU568" s="78"/>
      <c r="CV568" s="78"/>
      <c r="CW568" s="78"/>
      <c r="CX568" s="78"/>
      <c r="CY568" s="78"/>
      <c r="CZ568" s="78"/>
      <c r="DA568" s="78"/>
      <c r="DB568" s="78"/>
      <c r="DC568" s="78"/>
      <c r="DD568" s="78"/>
      <c r="DE568" s="78"/>
      <c r="DF568" s="78"/>
      <c r="DG568" s="78"/>
      <c r="DH568" s="78"/>
      <c r="DI568" s="78"/>
      <c r="DJ568" s="78"/>
      <c r="DK568" s="78"/>
      <c r="DL568" s="78"/>
      <c r="DM568" s="78"/>
      <c r="DN568" s="78"/>
      <c r="DO568" s="78"/>
      <c r="DP568" s="78"/>
      <c r="DQ568" s="78"/>
      <c r="DR568" s="78"/>
      <c r="DS568" s="78"/>
      <c r="DT568" s="78"/>
      <c r="DU568" s="78"/>
      <c r="DV568" s="78"/>
      <c r="DW568" s="78"/>
      <c r="DX568" s="78"/>
      <c r="DY568" s="78"/>
      <c r="DZ568" s="78"/>
      <c r="EA568" s="78"/>
      <c r="EB568" s="78"/>
      <c r="EC568" s="78"/>
    </row>
    <row r="569" spans="1:133" s="9" customFormat="1" ht="18" x14ac:dyDescent="0.25">
      <c r="A569" s="73" t="s">
        <v>54</v>
      </c>
      <c r="B569" s="60" t="s">
        <v>203</v>
      </c>
      <c r="C569" s="53" t="s">
        <v>56</v>
      </c>
      <c r="D569" s="53" t="s">
        <v>376</v>
      </c>
      <c r="E569" s="162">
        <v>303.16000000000003</v>
      </c>
      <c r="F569" s="163"/>
      <c r="G569" s="163"/>
      <c r="H569" s="163"/>
      <c r="I569" s="163"/>
      <c r="J569" s="163"/>
      <c r="K569" s="163"/>
      <c r="L569" s="163"/>
      <c r="M569" s="163"/>
      <c r="N569" s="163"/>
      <c r="O569" s="163"/>
      <c r="P569" s="163"/>
      <c r="Q569" s="164"/>
      <c r="R569" s="78"/>
      <c r="S569" s="78"/>
      <c r="T569" s="78"/>
      <c r="U569" s="78"/>
      <c r="V569" s="78"/>
      <c r="W569" s="78"/>
      <c r="X569" s="78"/>
      <c r="Y569" s="78"/>
      <c r="Z569" s="78"/>
      <c r="AA569" s="78"/>
      <c r="AB569" s="78"/>
      <c r="AC569" s="78"/>
      <c r="AD569" s="78"/>
      <c r="AE569" s="78"/>
      <c r="AF569" s="78"/>
      <c r="AG569" s="78"/>
      <c r="AH569" s="78"/>
      <c r="AI569" s="78"/>
      <c r="AJ569" s="78"/>
      <c r="AK569" s="78"/>
      <c r="AL569" s="78"/>
      <c r="AM569" s="78"/>
      <c r="AN569" s="78"/>
      <c r="AO569" s="78"/>
      <c r="AP569" s="78"/>
      <c r="AQ569" s="78"/>
      <c r="AR569" s="78"/>
      <c r="AS569" s="78"/>
      <c r="AT569" s="78"/>
      <c r="AU569" s="78"/>
      <c r="AV569" s="78"/>
      <c r="AW569" s="78"/>
      <c r="AX569" s="78"/>
      <c r="AY569" s="78"/>
      <c r="AZ569" s="78"/>
      <c r="BA569" s="78"/>
      <c r="BB569" s="78"/>
      <c r="BC569" s="78"/>
      <c r="BD569" s="78"/>
      <c r="BE569" s="78"/>
      <c r="BF569" s="78"/>
      <c r="BG569" s="78"/>
      <c r="BH569" s="78"/>
      <c r="BI569" s="78"/>
      <c r="BJ569" s="78"/>
      <c r="BK569" s="78"/>
      <c r="BL569" s="78"/>
      <c r="BM569" s="78"/>
      <c r="BN569" s="78"/>
      <c r="BO569" s="78"/>
      <c r="BP569" s="78"/>
      <c r="BQ569" s="78"/>
      <c r="BR569" s="78"/>
      <c r="BS569" s="78"/>
      <c r="BT569" s="78"/>
      <c r="BU569" s="78"/>
      <c r="BV569" s="78"/>
      <c r="BW569" s="78"/>
      <c r="BX569" s="78"/>
      <c r="BY569" s="78"/>
      <c r="BZ569" s="78"/>
      <c r="CA569" s="78"/>
      <c r="CB569" s="78"/>
      <c r="CC569" s="78"/>
      <c r="CD569" s="78"/>
      <c r="CE569" s="78"/>
      <c r="CF569" s="78"/>
      <c r="CG569" s="78"/>
      <c r="CH569" s="78"/>
      <c r="CI569" s="78"/>
      <c r="CJ569" s="78"/>
      <c r="CK569" s="78"/>
      <c r="CL569" s="78"/>
      <c r="CM569" s="78"/>
      <c r="CN569" s="78"/>
      <c r="CO569" s="78"/>
      <c r="CP569" s="78"/>
      <c r="CQ569" s="78"/>
      <c r="CR569" s="78"/>
      <c r="CS569" s="78"/>
      <c r="CT569" s="78"/>
      <c r="CU569" s="78"/>
      <c r="CV569" s="78"/>
      <c r="CW569" s="78"/>
      <c r="CX569" s="78"/>
      <c r="CY569" s="78"/>
      <c r="CZ569" s="78"/>
      <c r="DA569" s="78"/>
      <c r="DB569" s="78"/>
      <c r="DC569" s="78"/>
      <c r="DD569" s="78"/>
      <c r="DE569" s="78"/>
      <c r="DF569" s="78"/>
      <c r="DG569" s="78"/>
      <c r="DH569" s="78"/>
      <c r="DI569" s="78"/>
      <c r="DJ569" s="78"/>
      <c r="DK569" s="78"/>
      <c r="DL569" s="78"/>
      <c r="DM569" s="78"/>
      <c r="DN569" s="78"/>
      <c r="DO569" s="78"/>
      <c r="DP569" s="78"/>
      <c r="DQ569" s="78"/>
      <c r="DR569" s="78"/>
      <c r="DS569" s="78"/>
      <c r="DT569" s="78"/>
      <c r="DU569" s="78"/>
      <c r="DV569" s="78"/>
      <c r="DW569" s="78"/>
      <c r="DX569" s="78"/>
      <c r="DY569" s="78"/>
      <c r="DZ569" s="78"/>
      <c r="EA569" s="78"/>
      <c r="EB569" s="78"/>
      <c r="EC569" s="78"/>
    </row>
    <row r="570" spans="1:133" s="9" customFormat="1" x14ac:dyDescent="0.25">
      <c r="A570" s="73" t="s">
        <v>57</v>
      </c>
      <c r="B570" s="60" t="s">
        <v>204</v>
      </c>
      <c r="C570" s="53" t="s">
        <v>59</v>
      </c>
      <c r="D570" s="53" t="s">
        <v>376</v>
      </c>
      <c r="E570" s="162">
        <v>1.9870000000000001</v>
      </c>
      <c r="F570" s="163"/>
      <c r="G570" s="163"/>
      <c r="H570" s="163"/>
      <c r="I570" s="163"/>
      <c r="J570" s="163"/>
      <c r="K570" s="163"/>
      <c r="L570" s="163"/>
      <c r="M570" s="163"/>
      <c r="N570" s="163"/>
      <c r="O570" s="163"/>
      <c r="P570" s="163"/>
      <c r="Q570" s="164"/>
      <c r="R570" s="78"/>
      <c r="S570" s="78"/>
      <c r="T570" s="78"/>
      <c r="U570" s="78"/>
      <c r="V570" s="78"/>
      <c r="W570" s="78"/>
      <c r="X570" s="78"/>
      <c r="Y570" s="78"/>
      <c r="Z570" s="78"/>
      <c r="AA570" s="78"/>
      <c r="AB570" s="78"/>
      <c r="AC570" s="78"/>
      <c r="AD570" s="78"/>
      <c r="AE570" s="78"/>
      <c r="AF570" s="78"/>
      <c r="AG570" s="78"/>
      <c r="AH570" s="78"/>
      <c r="AI570" s="78"/>
      <c r="AJ570" s="78"/>
      <c r="AK570" s="78"/>
      <c r="AL570" s="78"/>
      <c r="AM570" s="78"/>
      <c r="AN570" s="78"/>
      <c r="AO570" s="78"/>
      <c r="AP570" s="78"/>
      <c r="AQ570" s="78"/>
      <c r="AR570" s="78"/>
      <c r="AS570" s="78"/>
      <c r="AT570" s="78"/>
      <c r="AU570" s="78"/>
      <c r="AV570" s="78"/>
      <c r="AW570" s="78"/>
      <c r="AX570" s="78"/>
      <c r="AY570" s="78"/>
      <c r="AZ570" s="78"/>
      <c r="BA570" s="78"/>
      <c r="BB570" s="78"/>
      <c r="BC570" s="78"/>
      <c r="BD570" s="78"/>
      <c r="BE570" s="78"/>
      <c r="BF570" s="78"/>
      <c r="BG570" s="78"/>
      <c r="BH570" s="78"/>
      <c r="BI570" s="78"/>
      <c r="BJ570" s="78"/>
      <c r="BK570" s="78"/>
      <c r="BL570" s="78"/>
      <c r="BM570" s="78"/>
      <c r="BN570" s="78"/>
      <c r="BO570" s="78"/>
      <c r="BP570" s="78"/>
      <c r="BQ570" s="78"/>
      <c r="BR570" s="78"/>
      <c r="BS570" s="78"/>
      <c r="BT570" s="78"/>
      <c r="BU570" s="78"/>
      <c r="BV570" s="78"/>
      <c r="BW570" s="78"/>
      <c r="BX570" s="78"/>
      <c r="BY570" s="78"/>
      <c r="BZ570" s="78"/>
      <c r="CA570" s="78"/>
      <c r="CB570" s="78"/>
      <c r="CC570" s="78"/>
      <c r="CD570" s="78"/>
      <c r="CE570" s="78"/>
      <c r="CF570" s="78"/>
      <c r="CG570" s="78"/>
      <c r="CH570" s="78"/>
      <c r="CI570" s="78"/>
      <c r="CJ570" s="78"/>
      <c r="CK570" s="78"/>
      <c r="CL570" s="78"/>
      <c r="CM570" s="78"/>
      <c r="CN570" s="78"/>
      <c r="CO570" s="78"/>
      <c r="CP570" s="78"/>
      <c r="CQ570" s="78"/>
      <c r="CR570" s="78"/>
      <c r="CS570" s="78"/>
      <c r="CT570" s="78"/>
      <c r="CU570" s="78"/>
      <c r="CV570" s="78"/>
      <c r="CW570" s="78"/>
      <c r="CX570" s="78"/>
      <c r="CY570" s="78"/>
      <c r="CZ570" s="78"/>
      <c r="DA570" s="78"/>
      <c r="DB570" s="78"/>
      <c r="DC570" s="78"/>
      <c r="DD570" s="78"/>
      <c r="DE570" s="78"/>
      <c r="DF570" s="78"/>
      <c r="DG570" s="78"/>
      <c r="DH570" s="78"/>
      <c r="DI570" s="78"/>
      <c r="DJ570" s="78"/>
      <c r="DK570" s="78"/>
      <c r="DL570" s="78"/>
      <c r="DM570" s="78"/>
      <c r="DN570" s="78"/>
      <c r="DO570" s="78"/>
      <c r="DP570" s="78"/>
      <c r="DQ570" s="78"/>
      <c r="DR570" s="78"/>
      <c r="DS570" s="78"/>
      <c r="DT570" s="78"/>
      <c r="DU570" s="78"/>
      <c r="DV570" s="78"/>
      <c r="DW570" s="78"/>
      <c r="DX570" s="78"/>
      <c r="DY570" s="78"/>
      <c r="DZ570" s="78"/>
      <c r="EA570" s="78"/>
      <c r="EB570" s="78"/>
      <c r="EC570" s="78"/>
    </row>
    <row r="571" spans="1:133" s="9" customFormat="1" ht="31.2" x14ac:dyDescent="0.25">
      <c r="A571" s="73" t="s">
        <v>60</v>
      </c>
      <c r="B571" s="60" t="s">
        <v>203</v>
      </c>
      <c r="C571" s="53" t="s">
        <v>61</v>
      </c>
      <c r="D571" s="143" t="s">
        <v>363</v>
      </c>
      <c r="E571" s="98">
        <f>AVERAGE(F571:K571)</f>
        <v>293.48333333333335</v>
      </c>
      <c r="F571" s="60">
        <v>288.14999999999998</v>
      </c>
      <c r="G571" s="60">
        <v>284.64999999999998</v>
      </c>
      <c r="H571" s="60">
        <v>293.64999999999998</v>
      </c>
      <c r="I571" s="60">
        <v>295.64999999999998</v>
      </c>
      <c r="J571" s="60">
        <v>297.64999999999998</v>
      </c>
      <c r="K571" s="60">
        <v>301.14999999999998</v>
      </c>
      <c r="L571" s="60" t="s">
        <v>297</v>
      </c>
      <c r="M571" s="60" t="s">
        <v>297</v>
      </c>
      <c r="N571" s="60" t="s">
        <v>297</v>
      </c>
      <c r="O571" s="60" t="s">
        <v>297</v>
      </c>
      <c r="P571" s="60" t="s">
        <v>297</v>
      </c>
      <c r="Q571" s="60" t="s">
        <v>297</v>
      </c>
      <c r="R571" s="78"/>
      <c r="S571" s="78"/>
      <c r="T571" s="78"/>
      <c r="U571" s="78"/>
      <c r="V571" s="78"/>
      <c r="W571" s="78"/>
      <c r="X571" s="78"/>
      <c r="Y571" s="78"/>
      <c r="Z571" s="78"/>
      <c r="AA571" s="78"/>
      <c r="AB571" s="78"/>
      <c r="AC571" s="78"/>
      <c r="AD571" s="78"/>
      <c r="AE571" s="78"/>
      <c r="AF571" s="78"/>
      <c r="AG571" s="78"/>
      <c r="AH571" s="78"/>
      <c r="AI571" s="78"/>
      <c r="AJ571" s="78"/>
      <c r="AK571" s="78"/>
      <c r="AL571" s="78"/>
      <c r="AM571" s="78"/>
      <c r="AN571" s="78"/>
      <c r="AO571" s="78"/>
      <c r="AP571" s="78"/>
      <c r="AQ571" s="78"/>
      <c r="AR571" s="78"/>
      <c r="AS571" s="78"/>
      <c r="AT571" s="78"/>
      <c r="AU571" s="78"/>
      <c r="AV571" s="78"/>
      <c r="AW571" s="78"/>
      <c r="AX571" s="78"/>
      <c r="AY571" s="78"/>
      <c r="AZ571" s="78"/>
      <c r="BA571" s="78"/>
      <c r="BB571" s="78"/>
      <c r="BC571" s="78"/>
      <c r="BD571" s="78"/>
      <c r="BE571" s="78"/>
      <c r="BF571" s="78"/>
      <c r="BG571" s="78"/>
      <c r="BH571" s="78"/>
      <c r="BI571" s="78"/>
      <c r="BJ571" s="78"/>
      <c r="BK571" s="78"/>
      <c r="BL571" s="78"/>
      <c r="BM571" s="78"/>
      <c r="BN571" s="78"/>
      <c r="BO571" s="78"/>
      <c r="BP571" s="78"/>
      <c r="BQ571" s="78"/>
      <c r="BR571" s="78"/>
      <c r="BS571" s="78"/>
      <c r="BT571" s="78"/>
      <c r="BU571" s="78"/>
      <c r="BV571" s="78"/>
      <c r="BW571" s="78"/>
      <c r="BX571" s="78"/>
      <c r="BY571" s="78"/>
      <c r="BZ571" s="78"/>
      <c r="CA571" s="78"/>
      <c r="CB571" s="78"/>
      <c r="CC571" s="78"/>
      <c r="CD571" s="78"/>
      <c r="CE571" s="78"/>
      <c r="CF571" s="78"/>
      <c r="CG571" s="78"/>
      <c r="CH571" s="78"/>
      <c r="CI571" s="78"/>
      <c r="CJ571" s="78"/>
      <c r="CK571" s="78"/>
      <c r="CL571" s="78"/>
      <c r="CM571" s="78"/>
      <c r="CN571" s="78"/>
      <c r="CO571" s="78"/>
      <c r="CP571" s="78"/>
      <c r="CQ571" s="78"/>
      <c r="CR571" s="78"/>
      <c r="CS571" s="78"/>
      <c r="CT571" s="78"/>
      <c r="CU571" s="78"/>
      <c r="CV571" s="78"/>
      <c r="CW571" s="78"/>
      <c r="CX571" s="78"/>
      <c r="CY571" s="78"/>
      <c r="CZ571" s="78"/>
      <c r="DA571" s="78"/>
      <c r="DB571" s="78"/>
      <c r="DC571" s="78"/>
      <c r="DD571" s="78"/>
      <c r="DE571" s="78"/>
      <c r="DF571" s="78"/>
      <c r="DG571" s="78"/>
      <c r="DH571" s="78"/>
      <c r="DI571" s="78"/>
      <c r="DJ571" s="78"/>
      <c r="DK571" s="78"/>
      <c r="DL571" s="78"/>
      <c r="DM571" s="78"/>
      <c r="DN571" s="78"/>
      <c r="DO571" s="78"/>
      <c r="DP571" s="78"/>
      <c r="DQ571" s="78"/>
      <c r="DR571" s="78"/>
      <c r="DS571" s="78"/>
      <c r="DT571" s="78"/>
      <c r="DU571" s="78"/>
      <c r="DV571" s="78"/>
      <c r="DW571" s="78"/>
      <c r="DX571" s="78"/>
      <c r="DY571" s="78"/>
      <c r="DZ571" s="78"/>
      <c r="EA571" s="78"/>
      <c r="EB571" s="78"/>
      <c r="EC571" s="78"/>
    </row>
    <row r="572" spans="1:133" s="9" customFormat="1" ht="31.2" x14ac:dyDescent="0.4">
      <c r="A572" s="71" t="s">
        <v>62</v>
      </c>
      <c r="B572" s="60" t="s">
        <v>196</v>
      </c>
      <c r="C572" s="53" t="s">
        <v>63</v>
      </c>
      <c r="D572" s="53" t="s">
        <v>377</v>
      </c>
      <c r="E572" s="74">
        <f>SUM(F572:K572)</f>
        <v>996.22601321106708</v>
      </c>
      <c r="F572" s="74">
        <f>F561*F556*F559+(1-F567)*'Baseline Emissions 2021'!Q572</f>
        <v>193.43167131601348</v>
      </c>
      <c r="G572" s="74">
        <f t="shared" ref="G572:K572" si="76">G561*G556*G559+(1-G567)*F572</f>
        <v>219.52962174374974</v>
      </c>
      <c r="H572" s="74">
        <f t="shared" si="76"/>
        <v>192.93530604451161</v>
      </c>
      <c r="I572" s="74">
        <f t="shared" si="76"/>
        <v>159.38033363086532</v>
      </c>
      <c r="J572" s="74">
        <f t="shared" si="76"/>
        <v>139.83773115085111</v>
      </c>
      <c r="K572" s="74">
        <f t="shared" si="76"/>
        <v>91.111349325075651</v>
      </c>
      <c r="L572" s="74" t="s">
        <v>297</v>
      </c>
      <c r="M572" s="74" t="s">
        <v>297</v>
      </c>
      <c r="N572" s="74" t="s">
        <v>297</v>
      </c>
      <c r="O572" s="74" t="s">
        <v>297</v>
      </c>
      <c r="P572" s="74" t="s">
        <v>297</v>
      </c>
      <c r="Q572" s="74" t="s">
        <v>297</v>
      </c>
      <c r="R572" s="78"/>
      <c r="S572" s="78"/>
      <c r="T572" s="78"/>
      <c r="U572" s="78"/>
      <c r="V572" s="78"/>
      <c r="W572" s="78"/>
      <c r="X572" s="78"/>
      <c r="Y572" s="78"/>
      <c r="Z572" s="78"/>
      <c r="AA572" s="78"/>
      <c r="AB572" s="78"/>
      <c r="AC572" s="78"/>
      <c r="AD572" s="78"/>
      <c r="AE572" s="78"/>
      <c r="AF572" s="78"/>
      <c r="AG572" s="78"/>
      <c r="AH572" s="78"/>
      <c r="AI572" s="78"/>
      <c r="AJ572" s="78"/>
      <c r="AK572" s="78"/>
      <c r="AL572" s="78"/>
      <c r="AM572" s="78"/>
      <c r="AN572" s="78"/>
      <c r="AO572" s="78"/>
      <c r="AP572" s="78"/>
      <c r="AQ572" s="78"/>
      <c r="AR572" s="78"/>
      <c r="AS572" s="78"/>
      <c r="AT572" s="78"/>
      <c r="AU572" s="78"/>
      <c r="AV572" s="78"/>
      <c r="AW572" s="78"/>
      <c r="AX572" s="78"/>
      <c r="AY572" s="78"/>
      <c r="AZ572" s="78"/>
      <c r="BA572" s="78"/>
      <c r="BB572" s="78"/>
      <c r="BC572" s="78"/>
      <c r="BD572" s="78"/>
      <c r="BE572" s="78"/>
      <c r="BF572" s="78"/>
      <c r="BG572" s="78"/>
      <c r="BH572" s="78"/>
      <c r="BI572" s="78"/>
      <c r="BJ572" s="78"/>
      <c r="BK572" s="78"/>
      <c r="BL572" s="78"/>
      <c r="BM572" s="78"/>
      <c r="BN572" s="78"/>
      <c r="BO572" s="78"/>
      <c r="BP572" s="78"/>
      <c r="BQ572" s="78"/>
      <c r="BR572" s="78"/>
      <c r="BS572" s="78"/>
      <c r="BT572" s="78"/>
      <c r="BU572" s="78"/>
      <c r="BV572" s="78"/>
      <c r="BW572" s="78"/>
      <c r="BX572" s="78"/>
      <c r="BY572" s="78"/>
      <c r="BZ572" s="78"/>
      <c r="CA572" s="78"/>
      <c r="CB572" s="78"/>
      <c r="CC572" s="78"/>
      <c r="CD572" s="78"/>
      <c r="CE572" s="78"/>
      <c r="CF572" s="78"/>
      <c r="CG572" s="78"/>
      <c r="CH572" s="78"/>
      <c r="CI572" s="78"/>
      <c r="CJ572" s="78"/>
      <c r="CK572" s="78"/>
      <c r="CL572" s="78"/>
      <c r="CM572" s="78"/>
      <c r="CN572" s="78"/>
      <c r="CO572" s="78"/>
      <c r="CP572" s="78"/>
      <c r="CQ572" s="78"/>
      <c r="CR572" s="78"/>
      <c r="CS572" s="78"/>
      <c r="CT572" s="78"/>
      <c r="CU572" s="78"/>
      <c r="CV572" s="78"/>
      <c r="CW572" s="78"/>
      <c r="CX572" s="78"/>
      <c r="CY572" s="78"/>
      <c r="CZ572" s="78"/>
      <c r="DA572" s="78"/>
      <c r="DB572" s="78"/>
      <c r="DC572" s="78"/>
      <c r="DD572" s="78"/>
      <c r="DE572" s="78"/>
      <c r="DF572" s="78"/>
      <c r="DG572" s="78"/>
      <c r="DH572" s="78"/>
      <c r="DI572" s="78"/>
      <c r="DJ572" s="78"/>
      <c r="DK572" s="78"/>
      <c r="DL572" s="78"/>
      <c r="DM572" s="78"/>
      <c r="DN572" s="78"/>
      <c r="DO572" s="78"/>
      <c r="DP572" s="78"/>
      <c r="DQ572" s="78"/>
      <c r="DR572" s="78"/>
      <c r="DS572" s="78"/>
      <c r="DT572" s="78"/>
      <c r="DU572" s="78"/>
      <c r="DV572" s="78"/>
      <c r="DW572" s="78"/>
      <c r="DX572" s="78"/>
      <c r="DY572" s="78"/>
      <c r="DZ572" s="78"/>
      <c r="EA572" s="78"/>
      <c r="EB572" s="78"/>
      <c r="EC572" s="78"/>
    </row>
    <row r="574" spans="1:133" ht="15.6" customHeight="1" x14ac:dyDescent="0.25">
      <c r="A574" s="36" t="s">
        <v>64</v>
      </c>
      <c r="B574" s="36"/>
      <c r="C574" s="36"/>
      <c r="D574" s="36"/>
      <c r="E574" s="36"/>
    </row>
    <row r="575" spans="1:133" x14ac:dyDescent="0.25">
      <c r="A575" s="57" t="s">
        <v>8</v>
      </c>
      <c r="B575" s="58" t="s">
        <v>9</v>
      </c>
      <c r="C575" s="34" t="s">
        <v>10</v>
      </c>
      <c r="D575" s="34" t="s">
        <v>340</v>
      </c>
      <c r="E575" s="16" t="s">
        <v>65</v>
      </c>
    </row>
    <row r="576" spans="1:133" s="13" customFormat="1" ht="62.4" x14ac:dyDescent="0.25">
      <c r="A576" s="59" t="s">
        <v>66</v>
      </c>
      <c r="B576" s="60" t="s">
        <v>14</v>
      </c>
      <c r="C576" s="53" t="s">
        <v>67</v>
      </c>
      <c r="D576" s="53" t="s">
        <v>68</v>
      </c>
      <c r="E576" s="75">
        <v>0</v>
      </c>
      <c r="R576" s="14"/>
      <c r="S576" s="14"/>
      <c r="T576" s="14"/>
      <c r="U576" s="14"/>
      <c r="V576" s="14"/>
      <c r="W576" s="14"/>
      <c r="X576" s="14"/>
      <c r="Y576" s="14"/>
      <c r="Z576" s="14"/>
      <c r="AA576" s="14"/>
      <c r="AB576" s="14"/>
      <c r="AC576" s="14"/>
      <c r="AD576" s="14"/>
      <c r="AE576" s="14"/>
      <c r="AF576" s="14"/>
      <c r="AG576" s="14"/>
      <c r="AH576" s="14"/>
      <c r="AI576" s="14"/>
      <c r="AJ576" s="14"/>
      <c r="AK576" s="14"/>
      <c r="AL576" s="14"/>
      <c r="AM576" s="14"/>
      <c r="AN576" s="14"/>
      <c r="AO576" s="14"/>
      <c r="AP576" s="14"/>
      <c r="AQ576" s="14"/>
      <c r="AR576" s="14"/>
      <c r="AS576" s="14"/>
      <c r="AT576" s="14"/>
      <c r="AU576" s="14"/>
      <c r="AV576" s="14"/>
      <c r="AW576" s="14"/>
      <c r="AX576" s="14"/>
      <c r="AY576" s="14"/>
      <c r="AZ576" s="14"/>
      <c r="BA576" s="14"/>
      <c r="BB576" s="14"/>
      <c r="BC576" s="14"/>
      <c r="BD576" s="14"/>
      <c r="BE576" s="14"/>
      <c r="BF576" s="14"/>
      <c r="BG576" s="14"/>
      <c r="BH576" s="14"/>
      <c r="BI576" s="14"/>
      <c r="BJ576" s="14"/>
      <c r="BK576" s="14"/>
      <c r="BL576" s="14"/>
      <c r="BM576" s="14"/>
      <c r="BN576" s="14"/>
      <c r="BO576" s="14"/>
      <c r="BP576" s="14"/>
      <c r="BQ576" s="14"/>
      <c r="BR576" s="14"/>
      <c r="BS576" s="14"/>
      <c r="BT576" s="14"/>
      <c r="BU576" s="14"/>
      <c r="BV576" s="14"/>
      <c r="BW576" s="14"/>
      <c r="BX576" s="14"/>
      <c r="BY576" s="14"/>
      <c r="BZ576" s="14"/>
      <c r="CA576" s="14"/>
      <c r="CB576" s="14"/>
      <c r="CC576" s="14"/>
      <c r="CD576" s="14"/>
      <c r="CE576" s="14"/>
      <c r="CF576" s="14"/>
      <c r="CG576" s="14"/>
      <c r="CH576" s="14"/>
      <c r="CI576" s="14"/>
      <c r="CJ576" s="14"/>
      <c r="CK576" s="14"/>
      <c r="CL576" s="14"/>
      <c r="CM576" s="14"/>
      <c r="CN576" s="14"/>
      <c r="CO576" s="14"/>
      <c r="CP576" s="14"/>
      <c r="CQ576" s="14"/>
      <c r="CR576" s="14"/>
      <c r="CS576" s="14"/>
      <c r="CT576" s="14"/>
      <c r="CU576" s="14"/>
      <c r="CV576" s="14"/>
      <c r="CW576" s="14"/>
      <c r="CX576" s="14"/>
      <c r="CY576" s="14"/>
      <c r="CZ576" s="14"/>
      <c r="DA576" s="14"/>
      <c r="DB576" s="14"/>
      <c r="DC576" s="14"/>
      <c r="DD576" s="14"/>
      <c r="DE576" s="14"/>
      <c r="DF576" s="14"/>
      <c r="DG576" s="14"/>
      <c r="DH576" s="14"/>
      <c r="DI576" s="14"/>
      <c r="DJ576" s="14"/>
      <c r="DK576" s="14"/>
      <c r="DL576" s="14"/>
      <c r="DM576" s="14"/>
      <c r="DN576" s="14"/>
      <c r="DO576" s="14"/>
      <c r="DP576" s="14"/>
      <c r="DQ576" s="14"/>
      <c r="DR576" s="14"/>
      <c r="DS576" s="14"/>
      <c r="DT576" s="14"/>
      <c r="DU576" s="14"/>
      <c r="DV576" s="14"/>
      <c r="DW576" s="14"/>
      <c r="DX576" s="14"/>
      <c r="DY576" s="14"/>
      <c r="DZ576" s="14"/>
      <c r="EA576" s="14"/>
      <c r="EB576" s="14"/>
      <c r="EC576" s="14"/>
    </row>
    <row r="577" spans="1:133" s="13" customFormat="1" ht="46.8" x14ac:dyDescent="0.25">
      <c r="A577" s="63" t="s">
        <v>69</v>
      </c>
      <c r="B577" s="25" t="s">
        <v>70</v>
      </c>
      <c r="C577" s="35" t="s">
        <v>71</v>
      </c>
      <c r="D577" s="53" t="str">
        <f>D583</f>
        <v>Historical data on site in the FSR (It was calculated with conservative value)</v>
      </c>
      <c r="E577" s="74">
        <f>E583</f>
        <v>180.5659765604625</v>
      </c>
      <c r="R577" s="14"/>
      <c r="S577" s="14"/>
      <c r="T577" s="14"/>
      <c r="U577" s="14"/>
      <c r="V577" s="14"/>
      <c r="W577" s="14"/>
      <c r="X577" s="14"/>
      <c r="Y577" s="14"/>
      <c r="Z577" s="14"/>
      <c r="AA577" s="14"/>
      <c r="AB577" s="14"/>
      <c r="AC577" s="14"/>
      <c r="AD577" s="14"/>
      <c r="AE577" s="14"/>
      <c r="AF577" s="14"/>
      <c r="AG577" s="14"/>
      <c r="AH577" s="14"/>
      <c r="AI577" s="14"/>
      <c r="AJ577" s="14"/>
      <c r="AK577" s="14"/>
      <c r="AL577" s="14"/>
      <c r="AM577" s="14"/>
      <c r="AN577" s="14"/>
      <c r="AO577" s="14"/>
      <c r="AP577" s="14"/>
      <c r="AQ577" s="14"/>
      <c r="AR577" s="14"/>
      <c r="AS577" s="14"/>
      <c r="AT577" s="14"/>
      <c r="AU577" s="14"/>
      <c r="AV577" s="14"/>
      <c r="AW577" s="14"/>
      <c r="AX577" s="14"/>
      <c r="AY577" s="14"/>
      <c r="AZ577" s="14"/>
      <c r="BA577" s="14"/>
      <c r="BB577" s="14"/>
      <c r="BC577" s="14"/>
      <c r="BD577" s="14"/>
      <c r="BE577" s="14"/>
      <c r="BF577" s="14"/>
      <c r="BG577" s="14"/>
      <c r="BH577" s="14"/>
      <c r="BI577" s="14"/>
      <c r="BJ577" s="14"/>
      <c r="BK577" s="14"/>
      <c r="BL577" s="14"/>
      <c r="BM577" s="14"/>
      <c r="BN577" s="14"/>
      <c r="BO577" s="14"/>
      <c r="BP577" s="14"/>
      <c r="BQ577" s="14"/>
      <c r="BR577" s="14"/>
      <c r="BS577" s="14"/>
      <c r="BT577" s="14"/>
      <c r="BU577" s="14"/>
      <c r="BV577" s="14"/>
      <c r="BW577" s="14"/>
      <c r="BX577" s="14"/>
      <c r="BY577" s="14"/>
      <c r="BZ577" s="14"/>
      <c r="CA577" s="14"/>
      <c r="CB577" s="14"/>
      <c r="CC577" s="14"/>
      <c r="CD577" s="14"/>
      <c r="CE577" s="14"/>
      <c r="CF577" s="14"/>
      <c r="CG577" s="14"/>
      <c r="CH577" s="14"/>
      <c r="CI577" s="14"/>
      <c r="CJ577" s="14"/>
      <c r="CK577" s="14"/>
      <c r="CL577" s="14"/>
      <c r="CM577" s="14"/>
      <c r="CN577" s="14"/>
      <c r="CO577" s="14"/>
      <c r="CP577" s="14"/>
      <c r="CQ577" s="14"/>
      <c r="CR577" s="14"/>
      <c r="CS577" s="14"/>
      <c r="CT577" s="14"/>
      <c r="CU577" s="14"/>
      <c r="CV577" s="14"/>
      <c r="CW577" s="14"/>
      <c r="CX577" s="14"/>
      <c r="CY577" s="14"/>
      <c r="CZ577" s="14"/>
      <c r="DA577" s="14"/>
      <c r="DB577" s="14"/>
      <c r="DC577" s="14"/>
      <c r="DD577" s="14"/>
      <c r="DE577" s="14"/>
      <c r="DF577" s="14"/>
      <c r="DG577" s="14"/>
      <c r="DH577" s="14"/>
      <c r="DI577" s="14"/>
      <c r="DJ577" s="14"/>
      <c r="DK577" s="14"/>
      <c r="DL577" s="14"/>
      <c r="DM577" s="14"/>
      <c r="DN577" s="14"/>
      <c r="DO577" s="14"/>
      <c r="DP577" s="14"/>
      <c r="DQ577" s="14"/>
      <c r="DR577" s="14"/>
      <c r="DS577" s="14"/>
      <c r="DT577" s="14"/>
      <c r="DU577" s="14"/>
      <c r="DV577" s="14"/>
      <c r="DW577" s="14"/>
      <c r="DX577" s="14"/>
      <c r="DY577" s="14"/>
      <c r="DZ577" s="14"/>
      <c r="EA577" s="14"/>
      <c r="EB577" s="14"/>
      <c r="EC577" s="14"/>
    </row>
    <row r="578" spans="1:133" s="13" customFormat="1" x14ac:dyDescent="0.25">
      <c r="A578" s="14"/>
      <c r="C578" s="12"/>
      <c r="D578" s="12"/>
      <c r="R578" s="14"/>
      <c r="S578" s="14"/>
      <c r="T578" s="14"/>
      <c r="U578" s="14"/>
      <c r="V578" s="14"/>
      <c r="W578" s="14"/>
      <c r="X578" s="14"/>
      <c r="Y578" s="14"/>
      <c r="Z578" s="14"/>
      <c r="AA578" s="14"/>
      <c r="AB578" s="14"/>
      <c r="AC578" s="14"/>
      <c r="AD578" s="14"/>
      <c r="AE578" s="14"/>
      <c r="AF578" s="14"/>
      <c r="AG578" s="14"/>
      <c r="AH578" s="14"/>
      <c r="AI578" s="14"/>
      <c r="AJ578" s="14"/>
      <c r="AK578" s="14"/>
      <c r="AL578" s="14"/>
      <c r="AM578" s="14"/>
      <c r="AN578" s="14"/>
      <c r="AO578" s="14"/>
      <c r="AP578" s="14"/>
      <c r="AQ578" s="14"/>
      <c r="AR578" s="14"/>
      <c r="AS578" s="14"/>
      <c r="AT578" s="14"/>
      <c r="AU578" s="14"/>
      <c r="AV578" s="14"/>
      <c r="AW578" s="14"/>
      <c r="AX578" s="14"/>
      <c r="AY578" s="14"/>
      <c r="AZ578" s="14"/>
      <c r="BA578" s="14"/>
      <c r="BB578" s="14"/>
      <c r="BC578" s="14"/>
      <c r="BD578" s="14"/>
      <c r="BE578" s="14"/>
      <c r="BF578" s="14"/>
      <c r="BG578" s="14"/>
      <c r="BH578" s="14"/>
      <c r="BI578" s="14"/>
      <c r="BJ578" s="14"/>
      <c r="BK578" s="14"/>
      <c r="BL578" s="14"/>
      <c r="BM578" s="14"/>
      <c r="BN578" s="14"/>
      <c r="BO578" s="14"/>
      <c r="BP578" s="14"/>
      <c r="BQ578" s="14"/>
      <c r="BR578" s="14"/>
      <c r="BS578" s="14"/>
      <c r="BT578" s="14"/>
      <c r="BU578" s="14"/>
      <c r="BV578" s="14"/>
      <c r="BW578" s="14"/>
      <c r="BX578" s="14"/>
      <c r="BY578" s="14"/>
      <c r="BZ578" s="14"/>
      <c r="CA578" s="14"/>
      <c r="CB578" s="14"/>
      <c r="CC578" s="14"/>
      <c r="CD578" s="14"/>
      <c r="CE578" s="14"/>
      <c r="CF578" s="14"/>
      <c r="CG578" s="14"/>
      <c r="CH578" s="14"/>
      <c r="CI578" s="14"/>
      <c r="CJ578" s="14"/>
      <c r="CK578" s="14"/>
      <c r="CL578" s="14"/>
      <c r="CM578" s="14"/>
      <c r="CN578" s="14"/>
      <c r="CO578" s="14"/>
      <c r="CP578" s="14"/>
      <c r="CQ578" s="14"/>
      <c r="CR578" s="14"/>
      <c r="CS578" s="14"/>
      <c r="CT578" s="14"/>
      <c r="CU578" s="14"/>
      <c r="CV578" s="14"/>
      <c r="CW578" s="14"/>
      <c r="CX578" s="14"/>
      <c r="CY578" s="14"/>
      <c r="CZ578" s="14"/>
      <c r="DA578" s="14"/>
      <c r="DB578" s="14"/>
      <c r="DC578" s="14"/>
      <c r="DD578" s="14"/>
      <c r="DE578" s="14"/>
      <c r="DF578" s="14"/>
      <c r="DG578" s="14"/>
      <c r="DH578" s="14"/>
      <c r="DI578" s="14"/>
      <c r="DJ578" s="14"/>
      <c r="DK578" s="14"/>
      <c r="DL578" s="14"/>
      <c r="DM578" s="14"/>
      <c r="DN578" s="14"/>
      <c r="DO578" s="14"/>
      <c r="DP578" s="14"/>
      <c r="DQ578" s="14"/>
      <c r="DR578" s="14"/>
      <c r="DS578" s="14"/>
      <c r="DT578" s="14"/>
      <c r="DU578" s="14"/>
      <c r="DV578" s="14"/>
      <c r="DW578" s="14"/>
      <c r="DX578" s="14"/>
      <c r="DY578" s="14"/>
      <c r="DZ578" s="14"/>
      <c r="EA578" s="14"/>
      <c r="EB578" s="14"/>
      <c r="EC578" s="14"/>
    </row>
    <row r="579" spans="1:133" s="13" customFormat="1" ht="15.6" customHeight="1" x14ac:dyDescent="0.25">
      <c r="A579" s="90" t="s">
        <v>72</v>
      </c>
      <c r="B579" s="90"/>
      <c r="C579" s="91"/>
      <c r="D579" s="91"/>
      <c r="E579" s="90"/>
      <c r="R579" s="14"/>
      <c r="S579" s="14"/>
      <c r="T579" s="14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4"/>
      <c r="AF579" s="14"/>
      <c r="AG579" s="14"/>
      <c r="AH579" s="14"/>
      <c r="AI579" s="14"/>
      <c r="AJ579" s="14"/>
      <c r="AK579" s="14"/>
      <c r="AL579" s="14"/>
      <c r="AM579" s="14"/>
      <c r="AN579" s="14"/>
      <c r="AO579" s="14"/>
      <c r="AP579" s="14"/>
      <c r="AQ579" s="14"/>
      <c r="AR579" s="14"/>
      <c r="AS579" s="14"/>
      <c r="AT579" s="14"/>
      <c r="AU579" s="14"/>
      <c r="AV579" s="14"/>
      <c r="AW579" s="14"/>
      <c r="AX579" s="14"/>
      <c r="AY579" s="14"/>
      <c r="AZ579" s="14"/>
      <c r="BA579" s="14"/>
      <c r="BB579" s="14"/>
      <c r="BC579" s="14"/>
      <c r="BD579" s="14"/>
      <c r="BE579" s="14"/>
      <c r="BF579" s="14"/>
      <c r="BG579" s="14"/>
      <c r="BH579" s="14"/>
      <c r="BI579" s="14"/>
      <c r="BJ579" s="14"/>
      <c r="BK579" s="14"/>
      <c r="BL579" s="14"/>
      <c r="BM579" s="14"/>
      <c r="BN579" s="14"/>
      <c r="BO579" s="14"/>
      <c r="BP579" s="14"/>
      <c r="BQ579" s="14"/>
      <c r="BR579" s="14"/>
      <c r="BS579" s="14"/>
      <c r="BT579" s="14"/>
      <c r="BU579" s="14"/>
      <c r="BV579" s="14"/>
      <c r="BW579" s="14"/>
      <c r="BX579" s="14"/>
      <c r="BY579" s="14"/>
      <c r="BZ579" s="14"/>
      <c r="CA579" s="14"/>
      <c r="CB579" s="14"/>
      <c r="CC579" s="14"/>
      <c r="CD579" s="14"/>
      <c r="CE579" s="14"/>
      <c r="CF579" s="14"/>
      <c r="CG579" s="14"/>
      <c r="CH579" s="14"/>
      <c r="CI579" s="14"/>
      <c r="CJ579" s="14"/>
      <c r="CK579" s="14"/>
      <c r="CL579" s="14"/>
      <c r="CM579" s="14"/>
      <c r="CN579" s="14"/>
      <c r="CO579" s="14"/>
      <c r="CP579" s="14"/>
      <c r="CQ579" s="14"/>
      <c r="CR579" s="14"/>
      <c r="CS579" s="14"/>
      <c r="CT579" s="14"/>
      <c r="CU579" s="14"/>
      <c r="CV579" s="14"/>
      <c r="CW579" s="14"/>
      <c r="CX579" s="14"/>
      <c r="CY579" s="14"/>
      <c r="CZ579" s="14"/>
      <c r="DA579" s="14"/>
      <c r="DB579" s="14"/>
      <c r="DC579" s="14"/>
      <c r="DD579" s="14"/>
      <c r="DE579" s="14"/>
      <c r="DF579" s="14"/>
      <c r="DG579" s="14"/>
      <c r="DH579" s="14"/>
      <c r="DI579" s="14"/>
      <c r="DJ579" s="14"/>
      <c r="DK579" s="14"/>
      <c r="DL579" s="14"/>
      <c r="DM579" s="14"/>
      <c r="DN579" s="14"/>
      <c r="DO579" s="14"/>
      <c r="DP579" s="14"/>
      <c r="DQ579" s="14"/>
      <c r="DR579" s="14"/>
      <c r="DS579" s="14"/>
      <c r="DT579" s="14"/>
      <c r="DU579" s="14"/>
      <c r="DV579" s="14"/>
      <c r="DW579" s="14"/>
      <c r="DX579" s="14"/>
      <c r="DY579" s="14"/>
      <c r="DZ579" s="14"/>
      <c r="EA579" s="14"/>
      <c r="EB579" s="14"/>
      <c r="EC579" s="14"/>
    </row>
    <row r="580" spans="1:133" s="13" customFormat="1" x14ac:dyDescent="0.25">
      <c r="A580" s="59" t="s">
        <v>8</v>
      </c>
      <c r="B580" s="16" t="s">
        <v>9</v>
      </c>
      <c r="C580" s="38" t="s">
        <v>10</v>
      </c>
      <c r="D580" s="38" t="s">
        <v>340</v>
      </c>
      <c r="E580" s="16" t="s">
        <v>65</v>
      </c>
      <c r="R580" s="14"/>
      <c r="S580" s="14"/>
      <c r="T580" s="14"/>
      <c r="U580" s="14"/>
      <c r="V580" s="14"/>
      <c r="W580" s="14"/>
      <c r="X580" s="14"/>
      <c r="Y580" s="14"/>
      <c r="Z580" s="14"/>
      <c r="AA580" s="14"/>
      <c r="AB580" s="14"/>
      <c r="AC580" s="14"/>
      <c r="AD580" s="14"/>
      <c r="AE580" s="14"/>
      <c r="AF580" s="14"/>
      <c r="AG580" s="14"/>
      <c r="AH580" s="14"/>
      <c r="AI580" s="14"/>
      <c r="AJ580" s="14"/>
      <c r="AK580" s="14"/>
      <c r="AL580" s="14"/>
      <c r="AM580" s="14"/>
      <c r="AN580" s="14"/>
      <c r="AO580" s="14"/>
      <c r="AP580" s="14"/>
      <c r="AQ580" s="14"/>
      <c r="AR580" s="14"/>
      <c r="AS580" s="14"/>
      <c r="AT580" s="14"/>
      <c r="AU580" s="14"/>
      <c r="AV580" s="14"/>
      <c r="AW580" s="14"/>
      <c r="AX580" s="14"/>
      <c r="AY580" s="14"/>
      <c r="AZ580" s="14"/>
      <c r="BA580" s="14"/>
      <c r="BB580" s="14"/>
      <c r="BC580" s="14"/>
      <c r="BD580" s="14"/>
      <c r="BE580" s="14"/>
      <c r="BF580" s="14"/>
      <c r="BG580" s="14"/>
      <c r="BH580" s="14"/>
      <c r="BI580" s="14"/>
      <c r="BJ580" s="14"/>
      <c r="BK580" s="14"/>
      <c r="BL580" s="14"/>
      <c r="BM580" s="14"/>
      <c r="BN580" s="14"/>
      <c r="BO580" s="14"/>
      <c r="BP580" s="14"/>
      <c r="BQ580" s="14"/>
      <c r="BR580" s="14"/>
      <c r="BS580" s="14"/>
      <c r="BT580" s="14"/>
      <c r="BU580" s="14"/>
      <c r="BV580" s="14"/>
      <c r="BW580" s="14"/>
      <c r="BX580" s="14"/>
      <c r="BY580" s="14"/>
      <c r="BZ580" s="14"/>
      <c r="CA580" s="14"/>
      <c r="CB580" s="14"/>
      <c r="CC580" s="14"/>
      <c r="CD580" s="14"/>
      <c r="CE580" s="14"/>
      <c r="CF580" s="14"/>
      <c r="CG580" s="14"/>
      <c r="CH580" s="14"/>
      <c r="CI580" s="14"/>
      <c r="CJ580" s="14"/>
      <c r="CK580" s="14"/>
      <c r="CL580" s="14"/>
      <c r="CM580" s="14"/>
      <c r="CN580" s="14"/>
      <c r="CO580" s="14"/>
      <c r="CP580" s="14"/>
      <c r="CQ580" s="14"/>
      <c r="CR580" s="14"/>
      <c r="CS580" s="14"/>
      <c r="CT580" s="14"/>
      <c r="CU580" s="14"/>
      <c r="CV580" s="14"/>
      <c r="CW580" s="14"/>
      <c r="CX580" s="14"/>
      <c r="CY580" s="14"/>
      <c r="CZ580" s="14"/>
      <c r="DA580" s="14"/>
      <c r="DB580" s="14"/>
      <c r="DC580" s="14"/>
      <c r="DD580" s="14"/>
      <c r="DE580" s="14"/>
      <c r="DF580" s="14"/>
      <c r="DG580" s="14"/>
      <c r="DH580" s="14"/>
      <c r="DI580" s="14"/>
      <c r="DJ580" s="14"/>
      <c r="DK580" s="14"/>
      <c r="DL580" s="14"/>
      <c r="DM580" s="14"/>
      <c r="DN580" s="14"/>
      <c r="DO580" s="14"/>
      <c r="DP580" s="14"/>
      <c r="DQ580" s="14"/>
      <c r="DR580" s="14"/>
      <c r="DS580" s="14"/>
      <c r="DT580" s="14"/>
      <c r="DU580" s="14"/>
      <c r="DV580" s="14"/>
      <c r="DW580" s="14"/>
      <c r="DX580" s="14"/>
      <c r="DY580" s="14"/>
      <c r="DZ580" s="14"/>
      <c r="EA580" s="14"/>
      <c r="EB580" s="14"/>
      <c r="EC580" s="14"/>
    </row>
    <row r="581" spans="1:133" s="13" customFormat="1" ht="33.6" x14ac:dyDescent="0.4">
      <c r="A581" s="76" t="s">
        <v>73</v>
      </c>
      <c r="B581" s="25" t="s">
        <v>74</v>
      </c>
      <c r="C581" s="35" t="s">
        <v>75</v>
      </c>
      <c r="D581" s="35" t="s">
        <v>378</v>
      </c>
      <c r="E581" s="50">
        <f>E582*E585*E586*E587*E588*E589</f>
        <v>0.73341042004842227</v>
      </c>
      <c r="R581" s="14"/>
      <c r="S581" s="14"/>
      <c r="T581" s="14"/>
      <c r="U581" s="14"/>
      <c r="V581" s="14"/>
      <c r="W581" s="14"/>
      <c r="X581" s="14"/>
      <c r="Y581" s="14"/>
      <c r="Z581" s="14"/>
      <c r="AA581" s="14"/>
      <c r="AB581" s="14"/>
      <c r="AC581" s="14"/>
      <c r="AD581" s="14"/>
      <c r="AE581" s="14"/>
      <c r="AF581" s="14"/>
      <c r="AG581" s="14"/>
      <c r="AH581" s="14"/>
      <c r="AI581" s="14"/>
      <c r="AJ581" s="14"/>
      <c r="AK581" s="14"/>
      <c r="AL581" s="14"/>
      <c r="AM581" s="14"/>
      <c r="AN581" s="14"/>
      <c r="AO581" s="14"/>
      <c r="AP581" s="14"/>
      <c r="AQ581" s="14"/>
      <c r="AR581" s="14"/>
      <c r="AS581" s="14"/>
      <c r="AT581" s="14"/>
      <c r="AU581" s="14"/>
      <c r="AV581" s="14"/>
      <c r="AW581" s="14"/>
      <c r="AX581" s="14"/>
      <c r="AY581" s="14"/>
      <c r="AZ581" s="14"/>
      <c r="BA581" s="14"/>
      <c r="BB581" s="14"/>
      <c r="BC581" s="14"/>
      <c r="BD581" s="14"/>
      <c r="BE581" s="14"/>
      <c r="BF581" s="14"/>
      <c r="BG581" s="14"/>
      <c r="BH581" s="14"/>
      <c r="BI581" s="14"/>
      <c r="BJ581" s="14"/>
      <c r="BK581" s="14"/>
      <c r="BL581" s="14"/>
      <c r="BM581" s="14"/>
      <c r="BN581" s="14"/>
      <c r="BO581" s="14"/>
      <c r="BP581" s="14"/>
      <c r="BQ581" s="14"/>
      <c r="BR581" s="14"/>
      <c r="BS581" s="14"/>
      <c r="BT581" s="14"/>
      <c r="BU581" s="14"/>
      <c r="BV581" s="14"/>
      <c r="BW581" s="14"/>
      <c r="BX581" s="14"/>
      <c r="BY581" s="14"/>
      <c r="BZ581" s="14"/>
      <c r="CA581" s="14"/>
      <c r="CB581" s="14"/>
      <c r="CC581" s="14"/>
      <c r="CD581" s="14"/>
      <c r="CE581" s="14"/>
      <c r="CF581" s="14"/>
      <c r="CG581" s="14"/>
      <c r="CH581" s="14"/>
      <c r="CI581" s="14"/>
      <c r="CJ581" s="14"/>
      <c r="CK581" s="14"/>
      <c r="CL581" s="14"/>
      <c r="CM581" s="14"/>
      <c r="CN581" s="14"/>
      <c r="CO581" s="14"/>
      <c r="CP581" s="14"/>
      <c r="CQ581" s="14"/>
      <c r="CR581" s="14"/>
      <c r="CS581" s="14"/>
      <c r="CT581" s="14"/>
      <c r="CU581" s="14"/>
      <c r="CV581" s="14"/>
      <c r="CW581" s="14"/>
      <c r="CX581" s="14"/>
      <c r="CY581" s="14"/>
      <c r="CZ581" s="14"/>
      <c r="DA581" s="14"/>
      <c r="DB581" s="14"/>
      <c r="DC581" s="14"/>
      <c r="DD581" s="14"/>
      <c r="DE581" s="14"/>
      <c r="DF581" s="14"/>
      <c r="DG581" s="14"/>
      <c r="DH581" s="14"/>
      <c r="DI581" s="14"/>
      <c r="DJ581" s="14"/>
      <c r="DK581" s="14"/>
      <c r="DL581" s="14"/>
      <c r="DM581" s="14"/>
      <c r="DN581" s="14"/>
      <c r="DO581" s="14"/>
      <c r="DP581" s="14"/>
      <c r="DQ581" s="14"/>
      <c r="DR581" s="14"/>
      <c r="DS581" s="14"/>
      <c r="DT581" s="14"/>
      <c r="DU581" s="14"/>
      <c r="DV581" s="14"/>
      <c r="DW581" s="14"/>
      <c r="DX581" s="14"/>
      <c r="DY581" s="14"/>
      <c r="DZ581" s="14"/>
      <c r="EA581" s="14"/>
      <c r="EB581" s="14"/>
      <c r="EC581" s="14"/>
    </row>
    <row r="582" spans="1:133" s="13" customFormat="1" ht="46.8" x14ac:dyDescent="0.4">
      <c r="A582" s="77" t="s">
        <v>207</v>
      </c>
      <c r="B582" s="25" t="s">
        <v>76</v>
      </c>
      <c r="C582" s="35" t="s">
        <v>77</v>
      </c>
      <c r="D582" s="35" t="s">
        <v>379</v>
      </c>
      <c r="E582" s="52">
        <f>E583/E584</f>
        <v>36.1131953120925</v>
      </c>
      <c r="R582" s="14"/>
      <c r="S582" s="14"/>
      <c r="T582" s="14"/>
      <c r="U582" s="14"/>
      <c r="V582" s="14"/>
      <c r="W582" s="14"/>
      <c r="X582" s="14"/>
      <c r="Y582" s="14"/>
      <c r="Z582" s="14"/>
      <c r="AA582" s="14"/>
      <c r="AB582" s="14"/>
      <c r="AC582" s="14"/>
      <c r="AD582" s="14"/>
      <c r="AE582" s="14"/>
      <c r="AF582" s="14"/>
      <c r="AG582" s="14"/>
      <c r="AH582" s="14"/>
      <c r="AI582" s="14"/>
      <c r="AJ582" s="14"/>
      <c r="AK582" s="14"/>
      <c r="AL582" s="14"/>
      <c r="AM582" s="14"/>
      <c r="AN582" s="14"/>
      <c r="AO582" s="14"/>
      <c r="AP582" s="14"/>
      <c r="AQ582" s="14"/>
      <c r="AR582" s="14"/>
      <c r="AS582" s="14"/>
      <c r="AT582" s="14"/>
      <c r="AU582" s="14"/>
      <c r="AV582" s="14"/>
      <c r="AW582" s="14"/>
      <c r="AX582" s="14"/>
      <c r="AY582" s="14"/>
      <c r="AZ582" s="14"/>
      <c r="BA582" s="14"/>
      <c r="BB582" s="14"/>
      <c r="BC582" s="14"/>
      <c r="BD582" s="14"/>
      <c r="BE582" s="14"/>
      <c r="BF582" s="14"/>
      <c r="BG582" s="14"/>
      <c r="BH582" s="14"/>
      <c r="BI582" s="14"/>
      <c r="BJ582" s="14"/>
      <c r="BK582" s="14"/>
      <c r="BL582" s="14"/>
      <c r="BM582" s="14"/>
      <c r="BN582" s="14"/>
      <c r="BO582" s="14"/>
      <c r="BP582" s="14"/>
      <c r="BQ582" s="14"/>
      <c r="BR582" s="14"/>
      <c r="BS582" s="14"/>
      <c r="BT582" s="14"/>
      <c r="BU582" s="14"/>
      <c r="BV582" s="14"/>
      <c r="BW582" s="14"/>
      <c r="BX582" s="14"/>
      <c r="BY582" s="14"/>
      <c r="BZ582" s="14"/>
      <c r="CA582" s="14"/>
      <c r="CB582" s="14"/>
      <c r="CC582" s="14"/>
      <c r="CD582" s="14"/>
      <c r="CE582" s="14"/>
      <c r="CF582" s="14"/>
      <c r="CG582" s="14"/>
      <c r="CH582" s="14"/>
      <c r="CI582" s="14"/>
      <c r="CJ582" s="14"/>
      <c r="CK582" s="14"/>
      <c r="CL582" s="14"/>
      <c r="CM582" s="14"/>
      <c r="CN582" s="14"/>
      <c r="CO582" s="14"/>
      <c r="CP582" s="14"/>
      <c r="CQ582" s="14"/>
      <c r="CR582" s="14"/>
      <c r="CS582" s="14"/>
      <c r="CT582" s="14"/>
      <c r="CU582" s="14"/>
      <c r="CV582" s="14"/>
      <c r="CW582" s="14"/>
      <c r="CX582" s="14"/>
      <c r="CY582" s="14"/>
      <c r="CZ582" s="14"/>
      <c r="DA582" s="14"/>
      <c r="DB582" s="14"/>
      <c r="DC582" s="14"/>
      <c r="DD582" s="14"/>
      <c r="DE582" s="14"/>
      <c r="DF582" s="14"/>
      <c r="DG582" s="14"/>
      <c r="DH582" s="14"/>
      <c r="DI582" s="14"/>
      <c r="DJ582" s="14"/>
      <c r="DK582" s="14"/>
      <c r="DL582" s="14"/>
      <c r="DM582" s="14"/>
      <c r="DN582" s="14"/>
      <c r="DO582" s="14"/>
      <c r="DP582" s="14"/>
      <c r="DQ582" s="14"/>
      <c r="DR582" s="14"/>
      <c r="DS582" s="14"/>
      <c r="DT582" s="14"/>
      <c r="DU582" s="14"/>
      <c r="DV582" s="14"/>
      <c r="DW582" s="14"/>
      <c r="DX582" s="14"/>
      <c r="DY582" s="14"/>
      <c r="DZ582" s="14"/>
      <c r="EA582" s="14"/>
      <c r="EB582" s="14"/>
      <c r="EC582" s="14"/>
    </row>
    <row r="583" spans="1:133" s="13" customFormat="1" ht="46.8" x14ac:dyDescent="0.25">
      <c r="A583" s="63" t="s">
        <v>208</v>
      </c>
      <c r="B583" s="25" t="s">
        <v>78</v>
      </c>
      <c r="C583" s="35" t="s">
        <v>79</v>
      </c>
      <c r="D583" s="53" t="s">
        <v>352</v>
      </c>
      <c r="E583" s="52">
        <f>0.000185941912013954*E556</f>
        <v>180.5659765604625</v>
      </c>
      <c r="R583" s="14"/>
      <c r="S583" s="14"/>
      <c r="T583" s="14"/>
      <c r="U583" s="14"/>
      <c r="V583" s="14"/>
      <c r="W583" s="14"/>
      <c r="X583" s="14"/>
      <c r="Y583" s="14"/>
      <c r="Z583" s="14"/>
      <c r="AA583" s="14"/>
      <c r="AB583" s="14"/>
      <c r="AC583" s="14"/>
      <c r="AD583" s="14"/>
      <c r="AE583" s="14"/>
      <c r="AF583" s="14"/>
      <c r="AG583" s="14"/>
      <c r="AH583" s="14"/>
      <c r="AI583" s="14"/>
      <c r="AJ583" s="14"/>
      <c r="AK583" s="14"/>
      <c r="AL583" s="14"/>
      <c r="AM583" s="14"/>
      <c r="AN583" s="14"/>
      <c r="AO583" s="14"/>
      <c r="AP583" s="14"/>
      <c r="AQ583" s="14"/>
      <c r="AR583" s="14"/>
      <c r="AS583" s="14"/>
      <c r="AT583" s="14"/>
      <c r="AU583" s="14"/>
      <c r="AV583" s="14"/>
      <c r="AW583" s="14"/>
      <c r="AX583" s="14"/>
      <c r="AY583" s="14"/>
      <c r="AZ583" s="14"/>
      <c r="BA583" s="14"/>
      <c r="BB583" s="14"/>
      <c r="BC583" s="14"/>
      <c r="BD583" s="14"/>
      <c r="BE583" s="14"/>
      <c r="BF583" s="14"/>
      <c r="BG583" s="14"/>
      <c r="BH583" s="14"/>
      <c r="BI583" s="14"/>
      <c r="BJ583" s="14"/>
      <c r="BK583" s="14"/>
      <c r="BL583" s="14"/>
      <c r="BM583" s="14"/>
      <c r="BN583" s="14"/>
      <c r="BO583" s="14"/>
      <c r="BP583" s="14"/>
      <c r="BQ583" s="14"/>
      <c r="BR583" s="14"/>
      <c r="BS583" s="14"/>
      <c r="BT583" s="14"/>
      <c r="BU583" s="14"/>
      <c r="BV583" s="14"/>
      <c r="BW583" s="14"/>
      <c r="BX583" s="14"/>
      <c r="BY583" s="14"/>
      <c r="BZ583" s="14"/>
      <c r="CA583" s="14"/>
      <c r="CB583" s="14"/>
      <c r="CC583" s="14"/>
      <c r="CD583" s="14"/>
      <c r="CE583" s="14"/>
      <c r="CF583" s="14"/>
      <c r="CG583" s="14"/>
      <c r="CH583" s="14"/>
      <c r="CI583" s="14"/>
      <c r="CJ583" s="14"/>
      <c r="CK583" s="14"/>
      <c r="CL583" s="14"/>
      <c r="CM583" s="14"/>
      <c r="CN583" s="14"/>
      <c r="CO583" s="14"/>
      <c r="CP583" s="14"/>
      <c r="CQ583" s="14"/>
      <c r="CR583" s="14"/>
      <c r="CS583" s="14"/>
      <c r="CT583" s="14"/>
      <c r="CU583" s="14"/>
      <c r="CV583" s="14"/>
      <c r="CW583" s="14"/>
      <c r="CX583" s="14"/>
      <c r="CY583" s="14"/>
      <c r="CZ583" s="14"/>
      <c r="DA583" s="14"/>
      <c r="DB583" s="14"/>
      <c r="DC583" s="14"/>
      <c r="DD583" s="14"/>
      <c r="DE583" s="14"/>
      <c r="DF583" s="14"/>
      <c r="DG583" s="14"/>
      <c r="DH583" s="14"/>
      <c r="DI583" s="14"/>
      <c r="DJ583" s="14"/>
      <c r="DK583" s="14"/>
      <c r="DL583" s="14"/>
      <c r="DM583" s="14"/>
      <c r="DN583" s="14"/>
      <c r="DO583" s="14"/>
      <c r="DP583" s="14"/>
      <c r="DQ583" s="14"/>
      <c r="DR583" s="14"/>
      <c r="DS583" s="14"/>
      <c r="DT583" s="14"/>
      <c r="DU583" s="14"/>
      <c r="DV583" s="14"/>
      <c r="DW583" s="14"/>
      <c r="DX583" s="14"/>
      <c r="DY583" s="14"/>
      <c r="DZ583" s="14"/>
      <c r="EA583" s="14"/>
      <c r="EB583" s="14"/>
      <c r="EC583" s="14"/>
    </row>
    <row r="584" spans="1:133" s="13" customFormat="1" ht="31.2" x14ac:dyDescent="0.25">
      <c r="A584" s="63" t="s">
        <v>209</v>
      </c>
      <c r="B584" s="25" t="s">
        <v>80</v>
      </c>
      <c r="C584" s="35" t="s">
        <v>81</v>
      </c>
      <c r="D584" s="35" t="s">
        <v>353</v>
      </c>
      <c r="E584" s="25">
        <f>5</f>
        <v>5</v>
      </c>
      <c r="R584" s="14"/>
      <c r="S584" s="14"/>
      <c r="T584" s="14"/>
      <c r="U584" s="14"/>
      <c r="V584" s="14"/>
      <c r="W584" s="14"/>
      <c r="X584" s="14"/>
      <c r="Y584" s="14"/>
      <c r="Z584" s="14"/>
      <c r="AA584" s="14"/>
      <c r="AB584" s="14"/>
      <c r="AC584" s="14"/>
      <c r="AD584" s="14"/>
      <c r="AE584" s="14"/>
      <c r="AF584" s="14"/>
      <c r="AG584" s="14"/>
      <c r="AH584" s="14"/>
      <c r="AI584" s="14"/>
      <c r="AJ584" s="14"/>
      <c r="AK584" s="14"/>
      <c r="AL584" s="14"/>
      <c r="AM584" s="14"/>
      <c r="AN584" s="14"/>
      <c r="AO584" s="14"/>
      <c r="AP584" s="14"/>
      <c r="AQ584" s="14"/>
      <c r="AR584" s="14"/>
      <c r="AS584" s="14"/>
      <c r="AT584" s="14"/>
      <c r="AU584" s="14"/>
      <c r="AV584" s="14"/>
      <c r="AW584" s="14"/>
      <c r="AX584" s="14"/>
      <c r="AY584" s="14"/>
      <c r="AZ584" s="14"/>
      <c r="BA584" s="14"/>
      <c r="BB584" s="14"/>
      <c r="BC584" s="14"/>
      <c r="BD584" s="14"/>
      <c r="BE584" s="14"/>
      <c r="BF584" s="14"/>
      <c r="BG584" s="14"/>
      <c r="BH584" s="14"/>
      <c r="BI584" s="14"/>
      <c r="BJ584" s="14"/>
      <c r="BK584" s="14"/>
      <c r="BL584" s="14"/>
      <c r="BM584" s="14"/>
      <c r="BN584" s="14"/>
      <c r="BO584" s="14"/>
      <c r="BP584" s="14"/>
      <c r="BQ584" s="14"/>
      <c r="BR584" s="14"/>
      <c r="BS584" s="14"/>
      <c r="BT584" s="14"/>
      <c r="BU584" s="14"/>
      <c r="BV584" s="14"/>
      <c r="BW584" s="14"/>
      <c r="BX584" s="14"/>
      <c r="BY584" s="14"/>
      <c r="BZ584" s="14"/>
      <c r="CA584" s="14"/>
      <c r="CB584" s="14"/>
      <c r="CC584" s="14"/>
      <c r="CD584" s="14"/>
      <c r="CE584" s="14"/>
      <c r="CF584" s="14"/>
      <c r="CG584" s="14"/>
      <c r="CH584" s="14"/>
      <c r="CI584" s="14"/>
      <c r="CJ584" s="14"/>
      <c r="CK584" s="14"/>
      <c r="CL584" s="14"/>
      <c r="CM584" s="14"/>
      <c r="CN584" s="14"/>
      <c r="CO584" s="14"/>
      <c r="CP584" s="14"/>
      <c r="CQ584" s="14"/>
      <c r="CR584" s="14"/>
      <c r="CS584" s="14"/>
      <c r="CT584" s="14"/>
      <c r="CU584" s="14"/>
      <c r="CV584" s="14"/>
      <c r="CW584" s="14"/>
      <c r="CX584" s="14"/>
      <c r="CY584" s="14"/>
      <c r="CZ584" s="14"/>
      <c r="DA584" s="14"/>
      <c r="DB584" s="14"/>
      <c r="DC584" s="14"/>
      <c r="DD584" s="14"/>
      <c r="DE584" s="14"/>
      <c r="DF584" s="14"/>
      <c r="DG584" s="14"/>
      <c r="DH584" s="14"/>
      <c r="DI584" s="14"/>
      <c r="DJ584" s="14"/>
      <c r="DK584" s="14"/>
      <c r="DL584" s="14"/>
      <c r="DM584" s="14"/>
      <c r="DN584" s="14"/>
      <c r="DO584" s="14"/>
      <c r="DP584" s="14"/>
      <c r="DQ584" s="14"/>
      <c r="DR584" s="14"/>
      <c r="DS584" s="14"/>
      <c r="DT584" s="14"/>
      <c r="DU584" s="14"/>
      <c r="DV584" s="14"/>
      <c r="DW584" s="14"/>
      <c r="DX584" s="14"/>
      <c r="DY584" s="14"/>
      <c r="DZ584" s="14"/>
      <c r="EA584" s="14"/>
      <c r="EB584" s="14"/>
      <c r="EC584" s="14"/>
    </row>
    <row r="585" spans="1:133" s="13" customFormat="1" ht="62.4" x14ac:dyDescent="0.25">
      <c r="A585" s="63" t="s">
        <v>210</v>
      </c>
      <c r="B585" s="25" t="s">
        <v>82</v>
      </c>
      <c r="C585" s="35" t="s">
        <v>83</v>
      </c>
      <c r="D585" s="53" t="s">
        <v>354</v>
      </c>
      <c r="E585" s="25">
        <f>15*2</f>
        <v>30</v>
      </c>
      <c r="R585" s="14"/>
      <c r="S585" s="14"/>
      <c r="T585" s="14"/>
      <c r="U585" s="14"/>
      <c r="V585" s="14"/>
      <c r="W585" s="14"/>
      <c r="X585" s="14"/>
      <c r="Y585" s="14"/>
      <c r="Z585" s="14"/>
      <c r="AA585" s="14"/>
      <c r="AB585" s="14"/>
      <c r="AC585" s="14"/>
      <c r="AD585" s="14"/>
      <c r="AE585" s="14"/>
      <c r="AF585" s="14"/>
      <c r="AG585" s="14"/>
      <c r="AH585" s="14"/>
      <c r="AI585" s="14"/>
      <c r="AJ585" s="14"/>
      <c r="AK585" s="14"/>
      <c r="AL585" s="14"/>
      <c r="AM585" s="14"/>
      <c r="AN585" s="14"/>
      <c r="AO585" s="14"/>
      <c r="AP585" s="14"/>
      <c r="AQ585" s="14"/>
      <c r="AR585" s="14"/>
      <c r="AS585" s="14"/>
      <c r="AT585" s="14"/>
      <c r="AU585" s="14"/>
      <c r="AV585" s="14"/>
      <c r="AW585" s="14"/>
      <c r="AX585" s="14"/>
      <c r="AY585" s="14"/>
      <c r="AZ585" s="14"/>
      <c r="BA585" s="14"/>
      <c r="BB585" s="14"/>
      <c r="BC585" s="14"/>
      <c r="BD585" s="14"/>
      <c r="BE585" s="14"/>
      <c r="BF585" s="14"/>
      <c r="BG585" s="14"/>
      <c r="BH585" s="14"/>
      <c r="BI585" s="14"/>
      <c r="BJ585" s="14"/>
      <c r="BK585" s="14"/>
      <c r="BL585" s="14"/>
      <c r="BM585" s="14"/>
      <c r="BN585" s="14"/>
      <c r="BO585" s="14"/>
      <c r="BP585" s="14"/>
      <c r="BQ585" s="14"/>
      <c r="BR585" s="14"/>
      <c r="BS585" s="14"/>
      <c r="BT585" s="14"/>
      <c r="BU585" s="14"/>
      <c r="BV585" s="14"/>
      <c r="BW585" s="14"/>
      <c r="BX585" s="14"/>
      <c r="BY585" s="14"/>
      <c r="BZ585" s="14"/>
      <c r="CA585" s="14"/>
      <c r="CB585" s="14"/>
      <c r="CC585" s="14"/>
      <c r="CD585" s="14"/>
      <c r="CE585" s="14"/>
      <c r="CF585" s="14"/>
      <c r="CG585" s="14"/>
      <c r="CH585" s="14"/>
      <c r="CI585" s="14"/>
      <c r="CJ585" s="14"/>
      <c r="CK585" s="14"/>
      <c r="CL585" s="14"/>
      <c r="CM585" s="14"/>
      <c r="CN585" s="14"/>
      <c r="CO585" s="14"/>
      <c r="CP585" s="14"/>
      <c r="CQ585" s="14"/>
      <c r="CR585" s="14"/>
      <c r="CS585" s="14"/>
      <c r="CT585" s="14"/>
      <c r="CU585" s="14"/>
      <c r="CV585" s="14"/>
      <c r="CW585" s="14"/>
      <c r="CX585" s="14"/>
      <c r="CY585" s="14"/>
      <c r="CZ585" s="14"/>
      <c r="DA585" s="14"/>
      <c r="DB585" s="14"/>
      <c r="DC585" s="14"/>
      <c r="DD585" s="14"/>
      <c r="DE585" s="14"/>
      <c r="DF585" s="14"/>
      <c r="DG585" s="14"/>
      <c r="DH585" s="14"/>
      <c r="DI585" s="14"/>
      <c r="DJ585" s="14"/>
      <c r="DK585" s="14"/>
      <c r="DL585" s="14"/>
      <c r="DM585" s="14"/>
      <c r="DN585" s="14"/>
      <c r="DO585" s="14"/>
      <c r="DP585" s="14"/>
      <c r="DQ585" s="14"/>
      <c r="DR585" s="14"/>
      <c r="DS585" s="14"/>
      <c r="DT585" s="14"/>
      <c r="DU585" s="14"/>
      <c r="DV585" s="14"/>
      <c r="DW585" s="14"/>
      <c r="DX585" s="14"/>
      <c r="DY585" s="14"/>
      <c r="DZ585" s="14"/>
      <c r="EA585" s="14"/>
      <c r="EB585" s="14"/>
      <c r="EC585" s="14"/>
    </row>
    <row r="586" spans="1:133" s="13" customFormat="1" ht="172.2" x14ac:dyDescent="0.25">
      <c r="A586" s="63" t="s">
        <v>211</v>
      </c>
      <c r="B586" s="25" t="s">
        <v>84</v>
      </c>
      <c r="C586" s="35" t="s">
        <v>85</v>
      </c>
      <c r="D586" s="35" t="s">
        <v>355</v>
      </c>
      <c r="E586" s="25">
        <f>25.1/100</f>
        <v>0.251</v>
      </c>
      <c r="R586" s="14"/>
      <c r="S586" s="14"/>
      <c r="T586" s="14"/>
      <c r="U586" s="14"/>
      <c r="V586" s="14"/>
      <c r="W586" s="14"/>
      <c r="X586" s="14"/>
      <c r="Y586" s="14"/>
      <c r="Z586" s="14"/>
      <c r="AA586" s="14"/>
      <c r="AB586" s="14"/>
      <c r="AC586" s="14"/>
      <c r="AD586" s="14"/>
      <c r="AE586" s="14"/>
      <c r="AF586" s="14"/>
      <c r="AG586" s="14"/>
      <c r="AH586" s="14"/>
      <c r="AI586" s="14"/>
      <c r="AJ586" s="14"/>
      <c r="AK586" s="14"/>
      <c r="AL586" s="14"/>
      <c r="AM586" s="14"/>
      <c r="AN586" s="14"/>
      <c r="AO586" s="14"/>
      <c r="AP586" s="14"/>
      <c r="AQ586" s="14"/>
      <c r="AR586" s="14"/>
      <c r="AS586" s="14"/>
      <c r="AT586" s="14"/>
      <c r="AU586" s="14"/>
      <c r="AV586" s="14"/>
      <c r="AW586" s="14"/>
      <c r="AX586" s="14"/>
      <c r="AY586" s="14"/>
      <c r="AZ586" s="14"/>
      <c r="BA586" s="14"/>
      <c r="BB586" s="14"/>
      <c r="BC586" s="14"/>
      <c r="BD586" s="14"/>
      <c r="BE586" s="14"/>
      <c r="BF586" s="14"/>
      <c r="BG586" s="14"/>
      <c r="BH586" s="14"/>
      <c r="BI586" s="14"/>
      <c r="BJ586" s="14"/>
      <c r="BK586" s="14"/>
      <c r="BL586" s="14"/>
      <c r="BM586" s="14"/>
      <c r="BN586" s="14"/>
      <c r="BO586" s="14"/>
      <c r="BP586" s="14"/>
      <c r="BQ586" s="14"/>
      <c r="BR586" s="14"/>
      <c r="BS586" s="14"/>
      <c r="BT586" s="14"/>
      <c r="BU586" s="14"/>
      <c r="BV586" s="14"/>
      <c r="BW586" s="14"/>
      <c r="BX586" s="14"/>
      <c r="BY586" s="14"/>
      <c r="BZ586" s="14"/>
      <c r="CA586" s="14"/>
      <c r="CB586" s="14"/>
      <c r="CC586" s="14"/>
      <c r="CD586" s="14"/>
      <c r="CE586" s="14"/>
      <c r="CF586" s="14"/>
      <c r="CG586" s="14"/>
      <c r="CH586" s="14"/>
      <c r="CI586" s="14"/>
      <c r="CJ586" s="14"/>
      <c r="CK586" s="14"/>
      <c r="CL586" s="14"/>
      <c r="CM586" s="14"/>
      <c r="CN586" s="14"/>
      <c r="CO586" s="14"/>
      <c r="CP586" s="14"/>
      <c r="CQ586" s="14"/>
      <c r="CR586" s="14"/>
      <c r="CS586" s="14"/>
      <c r="CT586" s="14"/>
      <c r="CU586" s="14"/>
      <c r="CV586" s="14"/>
      <c r="CW586" s="14"/>
      <c r="CX586" s="14"/>
      <c r="CY586" s="14"/>
      <c r="CZ586" s="14"/>
      <c r="DA586" s="14"/>
      <c r="DB586" s="14"/>
      <c r="DC586" s="14"/>
      <c r="DD586" s="14"/>
      <c r="DE586" s="14"/>
      <c r="DF586" s="14"/>
      <c r="DG586" s="14"/>
      <c r="DH586" s="14"/>
      <c r="DI586" s="14"/>
      <c r="DJ586" s="14"/>
      <c r="DK586" s="14"/>
      <c r="DL586" s="14"/>
      <c r="DM586" s="14"/>
      <c r="DN586" s="14"/>
      <c r="DO586" s="14"/>
      <c r="DP586" s="14"/>
      <c r="DQ586" s="14"/>
      <c r="DR586" s="14"/>
      <c r="DS586" s="14"/>
      <c r="DT586" s="14"/>
      <c r="DU586" s="14"/>
      <c r="DV586" s="14"/>
      <c r="DW586" s="14"/>
      <c r="DX586" s="14"/>
      <c r="DY586" s="14"/>
      <c r="DZ586" s="14"/>
      <c r="EA586" s="14"/>
      <c r="EB586" s="14"/>
      <c r="EC586" s="14"/>
    </row>
    <row r="587" spans="1:133" s="13" customFormat="1" ht="156" x14ac:dyDescent="0.25">
      <c r="A587" s="63" t="s">
        <v>212</v>
      </c>
      <c r="B587" s="25" t="s">
        <v>87</v>
      </c>
      <c r="C587" s="35" t="s">
        <v>86</v>
      </c>
      <c r="D587" s="35" t="s">
        <v>356</v>
      </c>
      <c r="E587" s="25">
        <f>0.84/1000</f>
        <v>8.3999999999999993E-4</v>
      </c>
      <c r="R587" s="14"/>
      <c r="S587" s="14"/>
      <c r="T587" s="14"/>
      <c r="U587" s="14"/>
      <c r="V587" s="14"/>
      <c r="W587" s="14"/>
      <c r="X587" s="14"/>
      <c r="Y587" s="14"/>
      <c r="Z587" s="14"/>
      <c r="AA587" s="14"/>
      <c r="AB587" s="14"/>
      <c r="AC587" s="14"/>
      <c r="AD587" s="14"/>
      <c r="AE587" s="14"/>
      <c r="AF587" s="14"/>
      <c r="AG587" s="14"/>
      <c r="AH587" s="14"/>
      <c r="AI587" s="14"/>
      <c r="AJ587" s="14"/>
      <c r="AK587" s="14"/>
      <c r="AL587" s="14"/>
      <c r="AM587" s="14"/>
      <c r="AN587" s="14"/>
      <c r="AO587" s="14"/>
      <c r="AP587" s="14"/>
      <c r="AQ587" s="14"/>
      <c r="AR587" s="14"/>
      <c r="AS587" s="14"/>
      <c r="AT587" s="14"/>
      <c r="AU587" s="14"/>
      <c r="AV587" s="14"/>
      <c r="AW587" s="14"/>
      <c r="AX587" s="14"/>
      <c r="AY587" s="14"/>
      <c r="AZ587" s="14"/>
      <c r="BA587" s="14"/>
      <c r="BB587" s="14"/>
      <c r="BC587" s="14"/>
      <c r="BD587" s="14"/>
      <c r="BE587" s="14"/>
      <c r="BF587" s="14"/>
      <c r="BG587" s="14"/>
      <c r="BH587" s="14"/>
      <c r="BI587" s="14"/>
      <c r="BJ587" s="14"/>
      <c r="BK587" s="14"/>
      <c r="BL587" s="14"/>
      <c r="BM587" s="14"/>
      <c r="BN587" s="14"/>
      <c r="BO587" s="14"/>
      <c r="BP587" s="14"/>
      <c r="BQ587" s="14"/>
      <c r="BR587" s="14"/>
      <c r="BS587" s="14"/>
      <c r="BT587" s="14"/>
      <c r="BU587" s="14"/>
      <c r="BV587" s="14"/>
      <c r="BW587" s="14"/>
      <c r="BX587" s="14"/>
      <c r="BY587" s="14"/>
      <c r="BZ587" s="14"/>
      <c r="CA587" s="14"/>
      <c r="CB587" s="14"/>
      <c r="CC587" s="14"/>
      <c r="CD587" s="14"/>
      <c r="CE587" s="14"/>
      <c r="CF587" s="14"/>
      <c r="CG587" s="14"/>
      <c r="CH587" s="14"/>
      <c r="CI587" s="14"/>
      <c r="CJ587" s="14"/>
      <c r="CK587" s="14"/>
      <c r="CL587" s="14"/>
      <c r="CM587" s="14"/>
      <c r="CN587" s="14"/>
      <c r="CO587" s="14"/>
      <c r="CP587" s="14"/>
      <c r="CQ587" s="14"/>
      <c r="CR587" s="14"/>
      <c r="CS587" s="14"/>
      <c r="CT587" s="14"/>
      <c r="CU587" s="14"/>
      <c r="CV587" s="14"/>
      <c r="CW587" s="14"/>
      <c r="CX587" s="14"/>
      <c r="CY587" s="14"/>
      <c r="CZ587" s="14"/>
      <c r="DA587" s="14"/>
      <c r="DB587" s="14"/>
      <c r="DC587" s="14"/>
      <c r="DD587" s="14"/>
      <c r="DE587" s="14"/>
      <c r="DF587" s="14"/>
      <c r="DG587" s="14"/>
      <c r="DH587" s="14"/>
      <c r="DI587" s="14"/>
      <c r="DJ587" s="14"/>
      <c r="DK587" s="14"/>
      <c r="DL587" s="14"/>
      <c r="DM587" s="14"/>
      <c r="DN587" s="14"/>
      <c r="DO587" s="14"/>
      <c r="DP587" s="14"/>
      <c r="DQ587" s="14"/>
      <c r="DR587" s="14"/>
      <c r="DS587" s="14"/>
      <c r="DT587" s="14"/>
      <c r="DU587" s="14"/>
      <c r="DV587" s="14"/>
      <c r="DW587" s="14"/>
      <c r="DX587" s="14"/>
      <c r="DY587" s="14"/>
      <c r="DZ587" s="14"/>
      <c r="EA587" s="14"/>
      <c r="EB587" s="14"/>
      <c r="EC587" s="14"/>
    </row>
    <row r="588" spans="1:133" s="13" customFormat="1" ht="171.6" x14ac:dyDescent="0.25">
      <c r="A588" s="63" t="s">
        <v>213</v>
      </c>
      <c r="B588" s="25" t="s">
        <v>88</v>
      </c>
      <c r="C588" s="35" t="s">
        <v>89</v>
      </c>
      <c r="D588" s="35" t="s">
        <v>357</v>
      </c>
      <c r="E588" s="25">
        <f>43.33/1000</f>
        <v>4.333E-2</v>
      </c>
      <c r="R588" s="14"/>
      <c r="S588" s="14"/>
      <c r="T588" s="14"/>
      <c r="U588" s="14"/>
      <c r="V588" s="14"/>
      <c r="W588" s="14"/>
      <c r="X588" s="14"/>
      <c r="Y588" s="14"/>
      <c r="Z588" s="14"/>
      <c r="AA588" s="14"/>
      <c r="AB588" s="14"/>
      <c r="AC588" s="14"/>
      <c r="AD588" s="14"/>
      <c r="AE588" s="14"/>
      <c r="AF588" s="14"/>
      <c r="AG588" s="14"/>
      <c r="AH588" s="14"/>
      <c r="AI588" s="14"/>
      <c r="AJ588" s="14"/>
      <c r="AK588" s="14"/>
      <c r="AL588" s="14"/>
      <c r="AM588" s="14"/>
      <c r="AN588" s="14"/>
      <c r="AO588" s="14"/>
      <c r="AP588" s="14"/>
      <c r="AQ588" s="14"/>
      <c r="AR588" s="14"/>
      <c r="AS588" s="14"/>
      <c r="AT588" s="14"/>
      <c r="AU588" s="14"/>
      <c r="AV588" s="14"/>
      <c r="AW588" s="14"/>
      <c r="AX588" s="14"/>
      <c r="AY588" s="14"/>
      <c r="AZ588" s="14"/>
      <c r="BA588" s="14"/>
      <c r="BB588" s="14"/>
      <c r="BC588" s="14"/>
      <c r="BD588" s="14"/>
      <c r="BE588" s="14"/>
      <c r="BF588" s="14"/>
      <c r="BG588" s="14"/>
      <c r="BH588" s="14"/>
      <c r="BI588" s="14"/>
      <c r="BJ588" s="14"/>
      <c r="BK588" s="14"/>
      <c r="BL588" s="14"/>
      <c r="BM588" s="14"/>
      <c r="BN588" s="14"/>
      <c r="BO588" s="14"/>
      <c r="BP588" s="14"/>
      <c r="BQ588" s="14"/>
      <c r="BR588" s="14"/>
      <c r="BS588" s="14"/>
      <c r="BT588" s="14"/>
      <c r="BU588" s="14"/>
      <c r="BV588" s="14"/>
      <c r="BW588" s="14"/>
      <c r="BX588" s="14"/>
      <c r="BY588" s="14"/>
      <c r="BZ588" s="14"/>
      <c r="CA588" s="14"/>
      <c r="CB588" s="14"/>
      <c r="CC588" s="14"/>
      <c r="CD588" s="14"/>
      <c r="CE588" s="14"/>
      <c r="CF588" s="14"/>
      <c r="CG588" s="14"/>
      <c r="CH588" s="14"/>
      <c r="CI588" s="14"/>
      <c r="CJ588" s="14"/>
      <c r="CK588" s="14"/>
      <c r="CL588" s="14"/>
      <c r="CM588" s="14"/>
      <c r="CN588" s="14"/>
      <c r="CO588" s="14"/>
      <c r="CP588" s="14"/>
      <c r="CQ588" s="14"/>
      <c r="CR588" s="14"/>
      <c r="CS588" s="14"/>
      <c r="CT588" s="14"/>
      <c r="CU588" s="14"/>
      <c r="CV588" s="14"/>
      <c r="CW588" s="14"/>
      <c r="CX588" s="14"/>
      <c r="CY588" s="14"/>
      <c r="CZ588" s="14"/>
      <c r="DA588" s="14"/>
      <c r="DB588" s="14"/>
      <c r="DC588" s="14"/>
      <c r="DD588" s="14"/>
      <c r="DE588" s="14"/>
      <c r="DF588" s="14"/>
      <c r="DG588" s="14"/>
      <c r="DH588" s="14"/>
      <c r="DI588" s="14"/>
      <c r="DJ588" s="14"/>
      <c r="DK588" s="14"/>
      <c r="DL588" s="14"/>
      <c r="DM588" s="14"/>
      <c r="DN588" s="14"/>
      <c r="DO588" s="14"/>
      <c r="DP588" s="14"/>
      <c r="DQ588" s="14"/>
      <c r="DR588" s="14"/>
      <c r="DS588" s="14"/>
      <c r="DT588" s="14"/>
      <c r="DU588" s="14"/>
      <c r="DV588" s="14"/>
      <c r="DW588" s="14"/>
      <c r="DX588" s="14"/>
      <c r="DY588" s="14"/>
      <c r="DZ588" s="14"/>
      <c r="EA588" s="14"/>
      <c r="EB588" s="14"/>
      <c r="EC588" s="14"/>
    </row>
    <row r="589" spans="1:133" s="13" customFormat="1" ht="62.4" x14ac:dyDescent="0.25">
      <c r="A589" s="63" t="s">
        <v>214</v>
      </c>
      <c r="B589" s="25" t="s">
        <v>90</v>
      </c>
      <c r="C589" s="35" t="s">
        <v>91</v>
      </c>
      <c r="D589" s="35" t="s">
        <v>358</v>
      </c>
      <c r="E589" s="25">
        <v>74.099999999999994</v>
      </c>
      <c r="R589" s="14"/>
      <c r="S589" s="14"/>
      <c r="T589" s="14"/>
      <c r="U589" s="14"/>
      <c r="V589" s="14"/>
      <c r="W589" s="14"/>
      <c r="X589" s="14"/>
      <c r="Y589" s="14"/>
      <c r="Z589" s="14"/>
      <c r="AA589" s="14"/>
      <c r="AB589" s="14"/>
      <c r="AC589" s="14"/>
      <c r="AD589" s="14"/>
      <c r="AE589" s="14"/>
      <c r="AF589" s="14"/>
      <c r="AG589" s="14"/>
      <c r="AH589" s="14"/>
      <c r="AI589" s="14"/>
      <c r="AJ589" s="14"/>
      <c r="AK589" s="14"/>
      <c r="AL589" s="14"/>
      <c r="AM589" s="14"/>
      <c r="AN589" s="14"/>
      <c r="AO589" s="14"/>
      <c r="AP589" s="14"/>
      <c r="AQ589" s="14"/>
      <c r="AR589" s="14"/>
      <c r="AS589" s="14"/>
      <c r="AT589" s="14"/>
      <c r="AU589" s="14"/>
      <c r="AV589" s="14"/>
      <c r="AW589" s="14"/>
      <c r="AX589" s="14"/>
      <c r="AY589" s="14"/>
      <c r="AZ589" s="14"/>
      <c r="BA589" s="14"/>
      <c r="BB589" s="14"/>
      <c r="BC589" s="14"/>
      <c r="BD589" s="14"/>
      <c r="BE589" s="14"/>
      <c r="BF589" s="14"/>
      <c r="BG589" s="14"/>
      <c r="BH589" s="14"/>
      <c r="BI589" s="14"/>
      <c r="BJ589" s="14"/>
      <c r="BK589" s="14"/>
      <c r="BL589" s="14"/>
      <c r="BM589" s="14"/>
      <c r="BN589" s="14"/>
      <c r="BO589" s="14"/>
      <c r="BP589" s="14"/>
      <c r="BQ589" s="14"/>
      <c r="BR589" s="14"/>
      <c r="BS589" s="14"/>
      <c r="BT589" s="14"/>
      <c r="BU589" s="14"/>
      <c r="BV589" s="14"/>
      <c r="BW589" s="14"/>
      <c r="BX589" s="14"/>
      <c r="BY589" s="14"/>
      <c r="BZ589" s="14"/>
      <c r="CA589" s="14"/>
      <c r="CB589" s="14"/>
      <c r="CC589" s="14"/>
      <c r="CD589" s="14"/>
      <c r="CE589" s="14"/>
      <c r="CF589" s="14"/>
      <c r="CG589" s="14"/>
      <c r="CH589" s="14"/>
      <c r="CI589" s="14"/>
      <c r="CJ589" s="14"/>
      <c r="CK589" s="14"/>
      <c r="CL589" s="14"/>
      <c r="CM589" s="14"/>
      <c r="CN589" s="14"/>
      <c r="CO589" s="14"/>
      <c r="CP589" s="14"/>
      <c r="CQ589" s="14"/>
      <c r="CR589" s="14"/>
      <c r="CS589" s="14"/>
      <c r="CT589" s="14"/>
      <c r="CU589" s="14"/>
      <c r="CV589" s="14"/>
      <c r="CW589" s="14"/>
      <c r="CX589" s="14"/>
      <c r="CY589" s="14"/>
      <c r="CZ589" s="14"/>
      <c r="DA589" s="14"/>
      <c r="DB589" s="14"/>
      <c r="DC589" s="14"/>
      <c r="DD589" s="14"/>
      <c r="DE589" s="14"/>
      <c r="DF589" s="14"/>
      <c r="DG589" s="14"/>
      <c r="DH589" s="14"/>
      <c r="DI589" s="14"/>
      <c r="DJ589" s="14"/>
      <c r="DK589" s="14"/>
      <c r="DL589" s="14"/>
      <c r="DM589" s="14"/>
      <c r="DN589" s="14"/>
      <c r="DO589" s="14"/>
      <c r="DP589" s="14"/>
      <c r="DQ589" s="14"/>
      <c r="DR589" s="14"/>
      <c r="DS589" s="14"/>
      <c r="DT589" s="14"/>
      <c r="DU589" s="14"/>
      <c r="DV589" s="14"/>
      <c r="DW589" s="14"/>
      <c r="DX589" s="14"/>
      <c r="DY589" s="14"/>
      <c r="DZ589" s="14"/>
      <c r="EA589" s="14"/>
      <c r="EB589" s="14"/>
      <c r="EC589" s="14"/>
    </row>
    <row r="591" spans="1:133" s="13" customFormat="1" ht="15.6" customHeight="1" x14ac:dyDescent="0.25">
      <c r="A591" s="36" t="s">
        <v>93</v>
      </c>
      <c r="B591" s="36"/>
      <c r="C591" s="36"/>
      <c r="D591" s="36"/>
      <c r="E591" s="36"/>
      <c r="R591" s="14"/>
      <c r="S591" s="14"/>
      <c r="T591" s="14"/>
      <c r="U591" s="14"/>
      <c r="V591" s="14"/>
      <c r="W591" s="14"/>
      <c r="X591" s="14"/>
      <c r="Y591" s="14"/>
      <c r="Z591" s="14"/>
      <c r="AA591" s="14"/>
      <c r="AB591" s="14"/>
      <c r="AC591" s="14"/>
      <c r="AD591" s="14"/>
      <c r="AE591" s="14"/>
      <c r="AF591" s="14"/>
      <c r="AG591" s="14"/>
      <c r="AH591" s="14"/>
      <c r="AI591" s="14"/>
      <c r="AJ591" s="14"/>
      <c r="AK591" s="14"/>
      <c r="AL591" s="14"/>
      <c r="AM591" s="14"/>
      <c r="AN591" s="14"/>
      <c r="AO591" s="14"/>
      <c r="AP591" s="14"/>
      <c r="AQ591" s="14"/>
      <c r="AR591" s="14"/>
      <c r="AS591" s="14"/>
      <c r="AT591" s="14"/>
      <c r="AU591" s="14"/>
      <c r="AV591" s="14"/>
      <c r="AW591" s="14"/>
      <c r="AX591" s="14"/>
      <c r="AY591" s="14"/>
      <c r="AZ591" s="14"/>
      <c r="BA591" s="14"/>
      <c r="BB591" s="14"/>
      <c r="BC591" s="14"/>
      <c r="BD591" s="14"/>
      <c r="BE591" s="14"/>
      <c r="BF591" s="14"/>
      <c r="BG591" s="14"/>
      <c r="BH591" s="14"/>
      <c r="BI591" s="14"/>
      <c r="BJ591" s="14"/>
      <c r="BK591" s="14"/>
      <c r="BL591" s="14"/>
      <c r="BM591" s="14"/>
      <c r="BN591" s="14"/>
      <c r="BO591" s="14"/>
      <c r="BP591" s="14"/>
      <c r="BQ591" s="14"/>
      <c r="BR591" s="14"/>
      <c r="BS591" s="14"/>
      <c r="BT591" s="14"/>
      <c r="BU591" s="14"/>
      <c r="BV591" s="14"/>
      <c r="BW591" s="14"/>
      <c r="BX591" s="14"/>
      <c r="BY591" s="14"/>
      <c r="BZ591" s="14"/>
      <c r="CA591" s="14"/>
      <c r="CB591" s="14"/>
      <c r="CC591" s="14"/>
      <c r="CD591" s="14"/>
      <c r="CE591" s="14"/>
      <c r="CF591" s="14"/>
      <c r="CG591" s="14"/>
      <c r="CH591" s="14"/>
      <c r="CI591" s="14"/>
      <c r="CJ591" s="14"/>
      <c r="CK591" s="14"/>
      <c r="CL591" s="14"/>
      <c r="CM591" s="14"/>
      <c r="CN591" s="14"/>
      <c r="CO591" s="14"/>
      <c r="CP591" s="14"/>
      <c r="CQ591" s="14"/>
      <c r="CR591" s="14"/>
      <c r="CS591" s="14"/>
      <c r="CT591" s="14"/>
      <c r="CU591" s="14"/>
      <c r="CV591" s="14"/>
      <c r="CW591" s="14"/>
      <c r="CX591" s="14"/>
      <c r="CY591" s="14"/>
      <c r="CZ591" s="14"/>
      <c r="DA591" s="14"/>
      <c r="DB591" s="14"/>
      <c r="DC591" s="14"/>
      <c r="DD591" s="14"/>
      <c r="DE591" s="14"/>
      <c r="DF591" s="14"/>
      <c r="DG591" s="14"/>
      <c r="DH591" s="14"/>
      <c r="DI591" s="14"/>
      <c r="DJ591" s="14"/>
      <c r="DK591" s="14"/>
      <c r="DL591" s="14"/>
      <c r="DM591" s="14"/>
      <c r="DN591" s="14"/>
      <c r="DO591" s="14"/>
      <c r="DP591" s="14"/>
      <c r="DQ591" s="14"/>
      <c r="DR591" s="14"/>
      <c r="DS591" s="14"/>
      <c r="DT591" s="14"/>
      <c r="DU591" s="14"/>
      <c r="DV591" s="14"/>
      <c r="DW591" s="14"/>
      <c r="DX591" s="14"/>
      <c r="DY591" s="14"/>
      <c r="DZ591" s="14"/>
      <c r="EA591" s="14"/>
      <c r="EB591" s="14"/>
      <c r="EC591" s="14"/>
    </row>
    <row r="592" spans="1:133" x14ac:dyDescent="0.25">
      <c r="A592" s="57" t="s">
        <v>8</v>
      </c>
      <c r="B592" s="58" t="s">
        <v>9</v>
      </c>
      <c r="C592" s="34" t="s">
        <v>10</v>
      </c>
      <c r="D592" s="34" t="s">
        <v>340</v>
      </c>
      <c r="E592" s="16" t="s">
        <v>65</v>
      </c>
    </row>
    <row r="593" spans="1:133" ht="64.8" x14ac:dyDescent="0.25">
      <c r="A593" s="15" t="s">
        <v>94</v>
      </c>
      <c r="B593" s="25" t="s">
        <v>95</v>
      </c>
      <c r="C593" s="35" t="s">
        <v>96</v>
      </c>
      <c r="D593" s="35" t="s">
        <v>97</v>
      </c>
      <c r="E593" s="16">
        <v>0</v>
      </c>
    </row>
    <row r="595" spans="1:133" ht="15.6" customHeight="1" x14ac:dyDescent="0.25">
      <c r="A595" s="36" t="s">
        <v>98</v>
      </c>
      <c r="B595" s="36"/>
      <c r="C595" s="36"/>
      <c r="D595" s="36"/>
      <c r="E595" s="36"/>
    </row>
    <row r="596" spans="1:133" x14ac:dyDescent="0.25">
      <c r="A596" s="57" t="s">
        <v>8</v>
      </c>
      <c r="B596" s="58" t="s">
        <v>9</v>
      </c>
      <c r="C596" s="34" t="s">
        <v>10</v>
      </c>
      <c r="D596" s="34" t="s">
        <v>340</v>
      </c>
      <c r="E596" s="16" t="s">
        <v>65</v>
      </c>
    </row>
    <row r="597" spans="1:133" ht="49.2" x14ac:dyDescent="0.25">
      <c r="A597" s="15" t="s">
        <v>99</v>
      </c>
      <c r="B597" s="25" t="s">
        <v>95</v>
      </c>
      <c r="C597" s="35" t="s">
        <v>100</v>
      </c>
      <c r="D597" s="35" t="s">
        <v>101</v>
      </c>
      <c r="E597" s="16">
        <v>0</v>
      </c>
    </row>
    <row r="599" spans="1:133" x14ac:dyDescent="0.25">
      <c r="A599" s="57" t="s">
        <v>8</v>
      </c>
      <c r="B599" s="58" t="s">
        <v>9</v>
      </c>
      <c r="C599" s="34" t="s">
        <v>10</v>
      </c>
      <c r="D599" s="34" t="s">
        <v>340</v>
      </c>
      <c r="E599" s="16" t="s">
        <v>65</v>
      </c>
    </row>
    <row r="600" spans="1:133" ht="18" x14ac:dyDescent="0.25">
      <c r="A600" s="59" t="s">
        <v>102</v>
      </c>
      <c r="B600" s="25" t="s">
        <v>103</v>
      </c>
      <c r="C600" s="35" t="s">
        <v>104</v>
      </c>
      <c r="D600" s="53" t="s">
        <v>380</v>
      </c>
      <c r="E600" s="18">
        <f>ROUNDDOWN(E550+E581+E576+E593+E597,0)</f>
        <v>1571</v>
      </c>
    </row>
    <row r="601" spans="1:133" s="165" customFormat="1" ht="38.4" customHeight="1" x14ac:dyDescent="0.25">
      <c r="A601" s="185" t="s">
        <v>230</v>
      </c>
      <c r="B601" s="186"/>
      <c r="C601" s="186"/>
      <c r="D601" s="186"/>
      <c r="E601" s="186"/>
      <c r="F601" s="186"/>
      <c r="G601" s="186"/>
      <c r="H601" s="186"/>
      <c r="I601" s="186"/>
      <c r="J601" s="186"/>
      <c r="K601" s="186"/>
      <c r="L601" s="186"/>
      <c r="M601" s="186"/>
      <c r="N601" s="186"/>
      <c r="O601" s="186"/>
      <c r="P601" s="186"/>
      <c r="Q601" s="186"/>
      <c r="R601" s="186"/>
      <c r="S601" s="186"/>
      <c r="T601" s="186"/>
      <c r="U601" s="186"/>
      <c r="V601" s="186"/>
      <c r="W601" s="186"/>
      <c r="X601" s="186"/>
      <c r="Y601" s="186"/>
      <c r="Z601" s="186"/>
      <c r="AA601" s="186"/>
      <c r="AB601" s="186"/>
      <c r="AC601" s="186"/>
      <c r="AD601" s="186"/>
      <c r="AE601" s="186"/>
      <c r="AF601" s="186"/>
      <c r="AG601" s="186"/>
      <c r="AH601" s="186"/>
      <c r="AI601" s="186"/>
      <c r="AJ601" s="186"/>
      <c r="AK601" s="186"/>
      <c r="AL601" s="186"/>
      <c r="AM601" s="186"/>
      <c r="AN601" s="186"/>
      <c r="AO601" s="186"/>
      <c r="AP601" s="186"/>
      <c r="AQ601" s="186"/>
      <c r="AR601" s="186"/>
      <c r="AS601" s="186"/>
      <c r="AT601" s="186"/>
      <c r="AU601" s="186"/>
      <c r="AV601" s="186"/>
      <c r="AW601" s="186"/>
      <c r="AX601" s="186"/>
      <c r="AY601" s="186"/>
      <c r="AZ601" s="186"/>
      <c r="BA601" s="186"/>
      <c r="BB601" s="186"/>
      <c r="BC601" s="186"/>
      <c r="BD601" s="186"/>
      <c r="BE601" s="186"/>
      <c r="BF601" s="186"/>
      <c r="BG601" s="186"/>
      <c r="BH601" s="186"/>
      <c r="BI601" s="186"/>
      <c r="BJ601" s="186"/>
      <c r="BK601" s="186"/>
      <c r="BL601" s="186"/>
      <c r="BM601" s="186"/>
      <c r="BN601" s="186"/>
      <c r="BO601" s="186"/>
      <c r="BP601" s="186"/>
      <c r="BQ601" s="186"/>
      <c r="BR601" s="186"/>
      <c r="BS601" s="186"/>
      <c r="BT601" s="186"/>
      <c r="BU601" s="186"/>
      <c r="BV601" s="186"/>
      <c r="BW601" s="186"/>
      <c r="BX601" s="186"/>
      <c r="BY601" s="186"/>
      <c r="BZ601" s="186"/>
      <c r="CA601" s="186"/>
      <c r="CB601" s="186"/>
      <c r="CC601" s="186"/>
      <c r="CD601" s="186"/>
      <c r="CE601" s="186"/>
      <c r="CF601" s="186"/>
      <c r="CG601" s="186"/>
      <c r="CH601" s="186"/>
      <c r="CI601" s="186"/>
      <c r="CJ601" s="186"/>
      <c r="CK601" s="186"/>
      <c r="CL601" s="186"/>
      <c r="CM601" s="186"/>
      <c r="CN601" s="186"/>
      <c r="CO601" s="186"/>
      <c r="CP601" s="186"/>
      <c r="CQ601" s="186"/>
      <c r="CR601" s="186"/>
      <c r="CS601" s="186"/>
      <c r="CT601" s="186"/>
      <c r="CU601" s="186"/>
      <c r="CV601" s="186"/>
      <c r="CW601" s="186"/>
      <c r="CX601" s="186"/>
      <c r="CY601" s="186"/>
      <c r="CZ601" s="186"/>
      <c r="DA601" s="186"/>
      <c r="DB601" s="186"/>
      <c r="DC601" s="186"/>
      <c r="DD601" s="186"/>
      <c r="DE601" s="186"/>
      <c r="DF601" s="186"/>
      <c r="DG601" s="186"/>
      <c r="DH601" s="186"/>
      <c r="DI601" s="186"/>
      <c r="DJ601" s="186"/>
      <c r="DK601" s="186"/>
      <c r="DL601" s="186"/>
      <c r="DM601" s="186"/>
      <c r="DN601" s="186"/>
      <c r="DO601" s="186"/>
      <c r="DP601" s="186"/>
      <c r="DQ601" s="186"/>
      <c r="DR601" s="186"/>
      <c r="DS601" s="186"/>
      <c r="DT601" s="186"/>
      <c r="DU601" s="186"/>
      <c r="DV601" s="186"/>
      <c r="DW601" s="186"/>
      <c r="DX601" s="186"/>
      <c r="DY601" s="186"/>
      <c r="DZ601" s="186"/>
      <c r="EA601" s="186"/>
      <c r="EB601" s="186"/>
      <c r="EC601" s="187"/>
    </row>
    <row r="602" spans="1:133" s="167" customFormat="1" ht="43.2" customHeight="1" x14ac:dyDescent="0.25">
      <c r="A602" s="171" t="s">
        <v>231</v>
      </c>
      <c r="B602" s="172"/>
      <c r="C602" s="172"/>
      <c r="D602" s="172"/>
      <c r="E602" s="172"/>
      <c r="F602" s="172"/>
      <c r="G602" s="172"/>
      <c r="H602" s="172"/>
      <c r="I602" s="172"/>
      <c r="J602" s="172"/>
      <c r="K602" s="172"/>
      <c r="L602" s="172"/>
      <c r="M602" s="172"/>
      <c r="N602" s="172"/>
      <c r="O602" s="172"/>
      <c r="P602" s="172"/>
      <c r="Q602" s="172"/>
      <c r="R602" s="172"/>
      <c r="S602" s="172"/>
      <c r="T602" s="172"/>
      <c r="U602" s="172"/>
      <c r="V602" s="172"/>
      <c r="W602" s="172"/>
      <c r="X602" s="172"/>
      <c r="Y602" s="172"/>
      <c r="Z602" s="172"/>
      <c r="AA602" s="172"/>
      <c r="AB602" s="172"/>
      <c r="AC602" s="172"/>
      <c r="AD602" s="172"/>
      <c r="AE602" s="172"/>
      <c r="AF602" s="172"/>
      <c r="AG602" s="172"/>
      <c r="AH602" s="172"/>
      <c r="AI602" s="172"/>
      <c r="AJ602" s="172"/>
      <c r="AK602" s="172"/>
      <c r="AL602" s="172"/>
      <c r="AM602" s="172"/>
      <c r="AN602" s="172"/>
      <c r="AO602" s="172"/>
      <c r="AP602" s="172"/>
      <c r="AQ602" s="172"/>
      <c r="AR602" s="172"/>
      <c r="AS602" s="172"/>
      <c r="AT602" s="172"/>
      <c r="AU602" s="172"/>
      <c r="AV602" s="172"/>
      <c r="AW602" s="172"/>
      <c r="AX602" s="172"/>
      <c r="AY602" s="172"/>
      <c r="AZ602" s="172"/>
      <c r="BA602" s="172"/>
      <c r="BB602" s="172"/>
      <c r="BC602" s="172"/>
      <c r="BD602" s="172"/>
      <c r="BE602" s="172"/>
      <c r="BF602" s="172"/>
      <c r="BG602" s="172"/>
      <c r="BH602" s="172"/>
      <c r="BI602" s="172"/>
      <c r="BJ602" s="172"/>
      <c r="BK602" s="172"/>
      <c r="BL602" s="172"/>
      <c r="BM602" s="172"/>
      <c r="BN602" s="172"/>
      <c r="BO602" s="172"/>
      <c r="BP602" s="172"/>
      <c r="BQ602" s="172"/>
      <c r="BR602" s="172"/>
      <c r="BS602" s="172"/>
      <c r="BT602" s="172"/>
      <c r="BU602" s="172"/>
      <c r="BV602" s="172"/>
      <c r="BW602" s="172"/>
      <c r="BX602" s="172"/>
      <c r="BY602" s="172"/>
      <c r="BZ602" s="172"/>
      <c r="CA602" s="172"/>
      <c r="CB602" s="172"/>
      <c r="CC602" s="172"/>
      <c r="CD602" s="172"/>
      <c r="CE602" s="172"/>
      <c r="CF602" s="172"/>
      <c r="CG602" s="172"/>
      <c r="CH602" s="172"/>
      <c r="CI602" s="172"/>
      <c r="CJ602" s="172"/>
      <c r="CK602" s="172"/>
      <c r="CL602" s="172"/>
      <c r="CM602" s="172"/>
      <c r="CN602" s="172"/>
      <c r="CO602" s="172"/>
      <c r="CP602" s="172"/>
      <c r="CQ602" s="172"/>
      <c r="CR602" s="172"/>
      <c r="CS602" s="172"/>
      <c r="CT602" s="172"/>
      <c r="CU602" s="172"/>
      <c r="CV602" s="172"/>
      <c r="CW602" s="172"/>
      <c r="CX602" s="172"/>
      <c r="CY602" s="172"/>
      <c r="CZ602" s="172"/>
      <c r="DA602" s="172"/>
      <c r="DB602" s="172"/>
      <c r="DC602" s="172"/>
      <c r="DD602" s="172"/>
      <c r="DE602" s="172"/>
      <c r="DF602" s="172"/>
      <c r="DG602" s="172"/>
      <c r="DH602" s="172"/>
      <c r="DI602" s="172"/>
      <c r="DJ602" s="172"/>
      <c r="DK602" s="172"/>
      <c r="DL602" s="172"/>
      <c r="DM602" s="172"/>
      <c r="DN602" s="172"/>
      <c r="DO602" s="172"/>
      <c r="DP602" s="172"/>
      <c r="DQ602" s="172"/>
      <c r="DR602" s="172"/>
      <c r="DS602" s="172"/>
      <c r="DT602" s="172"/>
      <c r="DU602" s="172"/>
      <c r="DV602" s="172"/>
      <c r="DW602" s="172"/>
      <c r="DX602" s="172"/>
      <c r="DY602" s="172"/>
      <c r="DZ602" s="172"/>
      <c r="EA602" s="172"/>
      <c r="EB602" s="172"/>
      <c r="EC602" s="173"/>
    </row>
    <row r="603" spans="1:133" s="56" customFormat="1" ht="31.2" x14ac:dyDescent="0.25">
      <c r="A603" s="92" t="s">
        <v>8</v>
      </c>
      <c r="B603" s="93" t="s">
        <v>9</v>
      </c>
      <c r="C603" s="94" t="s">
        <v>10</v>
      </c>
      <c r="D603" s="93" t="s">
        <v>341</v>
      </c>
      <c r="E603" s="93" t="s">
        <v>11</v>
      </c>
      <c r="F603" s="16" t="s">
        <v>322</v>
      </c>
      <c r="G603" s="16" t="s">
        <v>323</v>
      </c>
      <c r="H603" s="16" t="s">
        <v>324</v>
      </c>
      <c r="I603" s="16" t="s">
        <v>325</v>
      </c>
      <c r="J603" s="16" t="s">
        <v>326</v>
      </c>
      <c r="K603" s="16" t="s">
        <v>329</v>
      </c>
      <c r="L603" s="16" t="s">
        <v>292</v>
      </c>
      <c r="M603" s="16" t="s">
        <v>292</v>
      </c>
      <c r="N603" s="16" t="s">
        <v>292</v>
      </c>
      <c r="O603" s="16" t="s">
        <v>292</v>
      </c>
      <c r="P603" s="16" t="s">
        <v>292</v>
      </c>
      <c r="Q603" s="16" t="s">
        <v>292</v>
      </c>
      <c r="R603" s="54"/>
      <c r="S603" s="54"/>
      <c r="T603" s="54"/>
      <c r="U603" s="54"/>
      <c r="V603" s="54"/>
      <c r="W603" s="54"/>
      <c r="X603" s="54"/>
      <c r="Y603" s="54"/>
      <c r="Z603" s="54"/>
      <c r="AA603" s="54"/>
      <c r="AB603" s="54"/>
      <c r="AC603" s="54"/>
      <c r="AD603" s="54"/>
      <c r="AE603" s="54"/>
      <c r="AF603" s="54"/>
      <c r="AG603" s="54"/>
      <c r="AH603" s="54"/>
      <c r="AI603" s="54"/>
      <c r="AJ603" s="54"/>
      <c r="AK603" s="54"/>
      <c r="AL603" s="54"/>
      <c r="AM603" s="54"/>
      <c r="AN603" s="54"/>
      <c r="AO603" s="54"/>
      <c r="AP603" s="54"/>
      <c r="AQ603" s="54"/>
      <c r="AR603" s="54"/>
      <c r="AS603" s="54"/>
      <c r="AT603" s="54"/>
      <c r="AU603" s="54"/>
      <c r="AV603" s="54"/>
      <c r="AW603" s="54"/>
      <c r="AX603" s="54"/>
      <c r="AY603" s="54"/>
      <c r="AZ603" s="54"/>
      <c r="BA603" s="54"/>
      <c r="BB603" s="54"/>
      <c r="BC603" s="54"/>
      <c r="BD603" s="54"/>
      <c r="BE603" s="54"/>
      <c r="BF603" s="54"/>
      <c r="BG603" s="54"/>
      <c r="BH603" s="54"/>
      <c r="BI603" s="54"/>
      <c r="BJ603" s="54"/>
      <c r="BK603" s="54"/>
      <c r="BL603" s="54"/>
      <c r="BM603" s="54"/>
      <c r="BN603" s="54"/>
      <c r="BO603" s="54"/>
      <c r="BP603" s="54"/>
      <c r="BQ603" s="54"/>
      <c r="BR603" s="54"/>
      <c r="BS603" s="54"/>
      <c r="BT603" s="54"/>
      <c r="BU603" s="54"/>
      <c r="BV603" s="54"/>
      <c r="BW603" s="54"/>
      <c r="BX603" s="54"/>
      <c r="BY603" s="54"/>
      <c r="BZ603" s="54"/>
      <c r="CA603" s="54"/>
      <c r="CB603" s="54"/>
      <c r="CC603" s="54"/>
      <c r="CD603" s="54"/>
      <c r="CE603" s="54"/>
      <c r="CF603" s="54"/>
      <c r="CG603" s="54"/>
      <c r="CH603" s="54"/>
      <c r="CI603" s="54"/>
      <c r="CJ603" s="54"/>
      <c r="CK603" s="54"/>
      <c r="CL603" s="54"/>
      <c r="CM603" s="54"/>
      <c r="CN603" s="54"/>
      <c r="CO603" s="54"/>
      <c r="CP603" s="54"/>
      <c r="CQ603" s="54"/>
      <c r="CR603" s="54"/>
      <c r="CS603" s="54"/>
      <c r="CT603" s="54"/>
      <c r="CU603" s="54"/>
      <c r="CV603" s="54"/>
      <c r="CW603" s="54"/>
      <c r="CX603" s="54"/>
      <c r="CY603" s="54"/>
      <c r="CZ603" s="54"/>
      <c r="DA603" s="54"/>
      <c r="DB603" s="54"/>
      <c r="DC603" s="54"/>
      <c r="DD603" s="54"/>
      <c r="DE603" s="54"/>
      <c r="DF603" s="54"/>
      <c r="DG603" s="54"/>
      <c r="DH603" s="54"/>
      <c r="DI603" s="54"/>
      <c r="DJ603" s="54"/>
      <c r="DK603" s="54"/>
      <c r="DL603" s="54"/>
      <c r="DM603" s="54"/>
      <c r="DN603" s="54"/>
      <c r="DO603" s="54"/>
      <c r="DP603" s="54"/>
      <c r="DQ603" s="54"/>
      <c r="DR603" s="54"/>
      <c r="DS603" s="54"/>
      <c r="DT603" s="54"/>
      <c r="DU603" s="54"/>
      <c r="DV603" s="54"/>
      <c r="DW603" s="54"/>
      <c r="DX603" s="54"/>
      <c r="DY603" s="54"/>
      <c r="DZ603" s="54"/>
      <c r="EA603" s="54"/>
      <c r="EB603" s="54"/>
      <c r="EC603" s="54"/>
    </row>
    <row r="604" spans="1:133" s="56" customFormat="1" x14ac:dyDescent="0.25">
      <c r="A604" s="58" t="s">
        <v>12</v>
      </c>
      <c r="B604" s="58"/>
      <c r="C604" s="34"/>
      <c r="D604" s="34"/>
      <c r="E604" s="58"/>
      <c r="F604" s="16">
        <v>31</v>
      </c>
      <c r="G604" s="16">
        <v>28</v>
      </c>
      <c r="H604" s="16">
        <v>31</v>
      </c>
      <c r="I604" s="16">
        <v>30</v>
      </c>
      <c r="J604" s="16">
        <v>31</v>
      </c>
      <c r="K604" s="16">
        <v>30</v>
      </c>
      <c r="L604" s="16" t="s">
        <v>297</v>
      </c>
      <c r="M604" s="16" t="s">
        <v>297</v>
      </c>
      <c r="N604" s="16" t="s">
        <v>297</v>
      </c>
      <c r="O604" s="16" t="s">
        <v>297</v>
      </c>
      <c r="P604" s="16" t="s">
        <v>297</v>
      </c>
      <c r="Q604" s="16" t="s">
        <v>297</v>
      </c>
      <c r="R604" s="54"/>
      <c r="S604" s="54"/>
      <c r="T604" s="54"/>
      <c r="U604" s="54"/>
      <c r="V604" s="54"/>
      <c r="W604" s="54"/>
      <c r="X604" s="54"/>
      <c r="Y604" s="54"/>
      <c r="Z604" s="54"/>
      <c r="AA604" s="54"/>
      <c r="AB604" s="54"/>
      <c r="AC604" s="54"/>
      <c r="AD604" s="54"/>
      <c r="AE604" s="54"/>
      <c r="AF604" s="54"/>
      <c r="AG604" s="54"/>
      <c r="AH604" s="54"/>
      <c r="AI604" s="54"/>
      <c r="AJ604" s="54"/>
      <c r="AK604" s="54"/>
      <c r="AL604" s="54"/>
      <c r="AM604" s="54"/>
      <c r="AN604" s="54"/>
      <c r="AO604" s="54"/>
      <c r="AP604" s="54"/>
      <c r="AQ604" s="54"/>
      <c r="AR604" s="54"/>
      <c r="AS604" s="54"/>
      <c r="AT604" s="54"/>
      <c r="AU604" s="54"/>
      <c r="AV604" s="54"/>
      <c r="AW604" s="54"/>
      <c r="AX604" s="54"/>
      <c r="AY604" s="54"/>
      <c r="AZ604" s="54"/>
      <c r="BA604" s="54"/>
      <c r="BB604" s="54"/>
      <c r="BC604" s="54"/>
      <c r="BD604" s="54"/>
      <c r="BE604" s="54"/>
      <c r="BF604" s="54"/>
      <c r="BG604" s="54"/>
      <c r="BH604" s="54"/>
      <c r="BI604" s="54"/>
      <c r="BJ604" s="54"/>
      <c r="BK604" s="54"/>
      <c r="BL604" s="54"/>
      <c r="BM604" s="54"/>
      <c r="BN604" s="54"/>
      <c r="BO604" s="54"/>
      <c r="BP604" s="54"/>
      <c r="BQ604" s="54"/>
      <c r="BR604" s="54"/>
      <c r="BS604" s="54"/>
      <c r="BT604" s="54"/>
      <c r="BU604" s="54"/>
      <c r="BV604" s="54"/>
      <c r="BW604" s="54"/>
      <c r="BX604" s="54"/>
      <c r="BY604" s="54"/>
      <c r="BZ604" s="54"/>
      <c r="CA604" s="54"/>
      <c r="CB604" s="54"/>
      <c r="CC604" s="54"/>
      <c r="CD604" s="54"/>
      <c r="CE604" s="54"/>
      <c r="CF604" s="54"/>
      <c r="CG604" s="54"/>
      <c r="CH604" s="54"/>
      <c r="CI604" s="54"/>
      <c r="CJ604" s="54"/>
      <c r="CK604" s="54"/>
      <c r="CL604" s="54"/>
      <c r="CM604" s="54"/>
      <c r="CN604" s="54"/>
      <c r="CO604" s="54"/>
      <c r="CP604" s="54"/>
      <c r="CQ604" s="54"/>
      <c r="CR604" s="54"/>
      <c r="CS604" s="54"/>
      <c r="CT604" s="54"/>
      <c r="CU604" s="54"/>
      <c r="CV604" s="54"/>
      <c r="CW604" s="54"/>
      <c r="CX604" s="54"/>
      <c r="CY604" s="54"/>
      <c r="CZ604" s="54"/>
      <c r="DA604" s="54"/>
      <c r="DB604" s="54"/>
      <c r="DC604" s="54"/>
      <c r="DD604" s="54"/>
      <c r="DE604" s="54"/>
      <c r="DF604" s="54"/>
      <c r="DG604" s="54"/>
      <c r="DH604" s="54"/>
      <c r="DI604" s="54"/>
      <c r="DJ604" s="54"/>
      <c r="DK604" s="54"/>
      <c r="DL604" s="54"/>
      <c r="DM604" s="54"/>
      <c r="DN604" s="54"/>
      <c r="DO604" s="54"/>
      <c r="DP604" s="54"/>
      <c r="DQ604" s="54"/>
      <c r="DR604" s="54"/>
      <c r="DS604" s="54"/>
      <c r="DT604" s="54"/>
      <c r="DU604" s="54"/>
      <c r="DV604" s="54"/>
      <c r="DW604" s="54"/>
      <c r="DX604" s="54"/>
      <c r="DY604" s="54"/>
      <c r="DZ604" s="54"/>
      <c r="EA604" s="54"/>
      <c r="EB604" s="54"/>
      <c r="EC604" s="54"/>
    </row>
    <row r="605" spans="1:133" ht="46.8" x14ac:dyDescent="0.25">
      <c r="A605" s="59" t="s">
        <v>13</v>
      </c>
      <c r="B605" s="60" t="s">
        <v>14</v>
      </c>
      <c r="C605" s="53" t="s">
        <v>15</v>
      </c>
      <c r="D605" s="53" t="s">
        <v>369</v>
      </c>
      <c r="E605" s="61">
        <f>SUM(F605:K605)</f>
        <v>1100.9232883768163</v>
      </c>
      <c r="F605" s="62">
        <f>$E$606*$E$607*F608*$E$619</f>
        <v>183.12629313109574</v>
      </c>
      <c r="G605" s="62">
        <f t="shared" ref="G605:K605" si="77">$E$606*$E$607*G608*$E$619</f>
        <v>165.47201881706462</v>
      </c>
      <c r="H605" s="62">
        <f t="shared" si="77"/>
        <v>182.98133129358646</v>
      </c>
      <c r="I605" s="62">
        <f t="shared" si="77"/>
        <v>177.15483040231959</v>
      </c>
      <c r="J605" s="62">
        <f t="shared" si="77"/>
        <v>208.7249669862554</v>
      </c>
      <c r="K605" s="62">
        <f t="shared" si="77"/>
        <v>183.46384774649459</v>
      </c>
      <c r="L605" s="62" t="s">
        <v>297</v>
      </c>
      <c r="M605" s="62" t="s">
        <v>297</v>
      </c>
      <c r="N605" s="62" t="s">
        <v>297</v>
      </c>
      <c r="O605" s="62" t="s">
        <v>297</v>
      </c>
      <c r="P605" s="62" t="s">
        <v>297</v>
      </c>
      <c r="Q605" s="62" t="s">
        <v>297</v>
      </c>
    </row>
    <row r="606" spans="1:133" ht="31.2" x14ac:dyDescent="0.25">
      <c r="A606" s="63" t="s">
        <v>16</v>
      </c>
      <c r="B606" s="60" t="s">
        <v>193</v>
      </c>
      <c r="C606" s="35" t="s">
        <v>17</v>
      </c>
      <c r="D606" s="35" t="s">
        <v>205</v>
      </c>
      <c r="E606" s="168">
        <v>28</v>
      </c>
      <c r="F606" s="169"/>
      <c r="G606" s="169"/>
      <c r="H606" s="169"/>
      <c r="I606" s="169"/>
      <c r="J606" s="169"/>
      <c r="K606" s="169"/>
      <c r="L606" s="169"/>
      <c r="M606" s="169"/>
      <c r="N606" s="169"/>
      <c r="O606" s="169"/>
      <c r="P606" s="169"/>
      <c r="Q606" s="170"/>
    </row>
    <row r="607" spans="1:133" ht="64.8" x14ac:dyDescent="0.25">
      <c r="A607" s="63" t="s">
        <v>18</v>
      </c>
      <c r="B607" s="25" t="s">
        <v>194</v>
      </c>
      <c r="C607" s="35" t="s">
        <v>20</v>
      </c>
      <c r="D607" s="35" t="s">
        <v>394</v>
      </c>
      <c r="E607" s="168">
        <v>0.21</v>
      </c>
      <c r="F607" s="169"/>
      <c r="G607" s="169"/>
      <c r="H607" s="169"/>
      <c r="I607" s="169"/>
      <c r="J607" s="169"/>
      <c r="K607" s="169"/>
      <c r="L607" s="169"/>
      <c r="M607" s="169"/>
      <c r="N607" s="169"/>
      <c r="O607" s="169"/>
      <c r="P607" s="169"/>
      <c r="Q607" s="170"/>
    </row>
    <row r="608" spans="1:133" ht="46.8" x14ac:dyDescent="0.25">
      <c r="A608" s="35" t="s">
        <v>21</v>
      </c>
      <c r="B608" s="25" t="s">
        <v>195</v>
      </c>
      <c r="C608" s="53" t="s">
        <v>22</v>
      </c>
      <c r="D608" s="53" t="s">
        <v>370</v>
      </c>
      <c r="E608" s="64">
        <f t="shared" ref="E608:K608" si="78">E616*E609</f>
        <v>294.97933316758434</v>
      </c>
      <c r="F608" s="64">
        <f t="shared" si="78"/>
        <v>49.06651753448341</v>
      </c>
      <c r="G608" s="64">
        <f t="shared" si="78"/>
        <v>44.336264191956182</v>
      </c>
      <c r="H608" s="64">
        <f t="shared" si="78"/>
        <v>49.027676730028922</v>
      </c>
      <c r="I608" s="64">
        <f t="shared" si="78"/>
        <v>47.466534944991153</v>
      </c>
      <c r="J608" s="64">
        <f t="shared" si="78"/>
        <v>55.925378477376768</v>
      </c>
      <c r="K608" s="64">
        <f t="shared" si="78"/>
        <v>49.156961288747887</v>
      </c>
      <c r="L608" s="64" t="s">
        <v>297</v>
      </c>
      <c r="M608" s="64" t="s">
        <v>297</v>
      </c>
      <c r="N608" s="64" t="s">
        <v>297</v>
      </c>
      <c r="O608" s="64" t="s">
        <v>297</v>
      </c>
      <c r="P608" s="64" t="s">
        <v>297</v>
      </c>
      <c r="Q608" s="64" t="s">
        <v>297</v>
      </c>
    </row>
    <row r="609" spans="1:133" ht="46.8" x14ac:dyDescent="0.25">
      <c r="A609" s="35" t="s">
        <v>23</v>
      </c>
      <c r="B609" s="25" t="s">
        <v>197</v>
      </c>
      <c r="C609" s="35" t="s">
        <v>191</v>
      </c>
      <c r="D609" s="35" t="s">
        <v>371</v>
      </c>
      <c r="E609" s="20">
        <f>SUM(F609:K609)</f>
        <v>310.87677768024423</v>
      </c>
      <c r="F609" s="20">
        <f>F611*F614</f>
        <v>51.710879875253738</v>
      </c>
      <c r="G609" s="20">
        <f t="shared" ref="G609:K609" si="79">G611*G614</f>
        <v>46.725697011949109</v>
      </c>
      <c r="H609" s="20">
        <f t="shared" si="79"/>
        <v>51.669945807088162</v>
      </c>
      <c r="I609" s="20">
        <f t="shared" si="79"/>
        <v>50.024668755224994</v>
      </c>
      <c r="J609" s="20">
        <f t="shared" si="79"/>
        <v>58.939388278153224</v>
      </c>
      <c r="K609" s="20">
        <f t="shared" si="79"/>
        <v>51.806197952575012</v>
      </c>
      <c r="L609" s="20" t="s">
        <v>297</v>
      </c>
      <c r="M609" s="20" t="s">
        <v>297</v>
      </c>
      <c r="N609" s="20" t="s">
        <v>297</v>
      </c>
      <c r="O609" s="20" t="s">
        <v>297</v>
      </c>
      <c r="P609" s="20" t="s">
        <v>297</v>
      </c>
      <c r="Q609" s="20" t="s">
        <v>297</v>
      </c>
    </row>
    <row r="610" spans="1:133" ht="62.4" x14ac:dyDescent="0.25">
      <c r="A610" s="17" t="s">
        <v>335</v>
      </c>
      <c r="B610" s="60" t="s">
        <v>192</v>
      </c>
      <c r="C610" s="35" t="s">
        <v>25</v>
      </c>
      <c r="D610" s="35" t="s">
        <v>333</v>
      </c>
      <c r="E610" s="121">
        <f>AVERAGE(F610:K610)</f>
        <v>5362.0794344470041</v>
      </c>
      <c r="F610" s="121">
        <v>5121.9218064516117</v>
      </c>
      <c r="G610" s="121">
        <v>5120.722535714287</v>
      </c>
      <c r="H610" s="121">
        <v>5120.902193548387</v>
      </c>
      <c r="I610" s="121">
        <v>5122.9850999999999</v>
      </c>
      <c r="J610" s="121">
        <v>5843.6348709677404</v>
      </c>
      <c r="K610" s="121">
        <v>5842.3100999999997</v>
      </c>
      <c r="L610" s="20" t="s">
        <v>297</v>
      </c>
      <c r="M610" s="20" t="s">
        <v>297</v>
      </c>
      <c r="N610" s="20" t="s">
        <v>297</v>
      </c>
      <c r="O610" s="20" t="s">
        <v>297</v>
      </c>
      <c r="P610" s="20" t="s">
        <v>297</v>
      </c>
      <c r="Q610" s="20" t="s">
        <v>297</v>
      </c>
    </row>
    <row r="611" spans="1:133" ht="46.8" x14ac:dyDescent="0.25">
      <c r="A611" s="35" t="s">
        <v>26</v>
      </c>
      <c r="B611" s="60" t="s">
        <v>198</v>
      </c>
      <c r="C611" s="35" t="s">
        <v>27</v>
      </c>
      <c r="D611" s="35" t="s">
        <v>206</v>
      </c>
      <c r="E611" s="65">
        <f>SUM(F611:K611)</f>
        <v>971019.31199999992</v>
      </c>
      <c r="F611" s="65">
        <f>F610*F604</f>
        <v>158779.57599999997</v>
      </c>
      <c r="G611" s="65">
        <f t="shared" ref="G611:K611" si="80">G610*G604</f>
        <v>143380.23100000003</v>
      </c>
      <c r="H611" s="65">
        <f t="shared" si="80"/>
        <v>158747.96799999999</v>
      </c>
      <c r="I611" s="65">
        <f t="shared" si="80"/>
        <v>153689.55299999999</v>
      </c>
      <c r="J611" s="65">
        <f t="shared" si="80"/>
        <v>181152.68099999995</v>
      </c>
      <c r="K611" s="65">
        <f t="shared" si="80"/>
        <v>175269.30299999999</v>
      </c>
      <c r="L611" s="65" t="s">
        <v>297</v>
      </c>
      <c r="M611" s="65" t="s">
        <v>297</v>
      </c>
      <c r="N611" s="65" t="s">
        <v>297</v>
      </c>
      <c r="O611" s="65" t="s">
        <v>297</v>
      </c>
      <c r="P611" s="65" t="s">
        <v>297</v>
      </c>
      <c r="Q611" s="65" t="s">
        <v>297</v>
      </c>
    </row>
    <row r="612" spans="1:133" ht="62.4" x14ac:dyDescent="0.25">
      <c r="A612" s="35" t="s">
        <v>28</v>
      </c>
      <c r="B612" s="60" t="s">
        <v>199</v>
      </c>
      <c r="C612" s="35" t="s">
        <v>29</v>
      </c>
      <c r="D612" s="35" t="s">
        <v>332</v>
      </c>
      <c r="E612" s="125">
        <f>AVERAGE(F612:K612)</f>
        <v>320.57960776156341</v>
      </c>
      <c r="F612" s="125">
        <v>325.6771505376343</v>
      </c>
      <c r="G612" s="125">
        <v>325.88660714285709</v>
      </c>
      <c r="H612" s="125">
        <v>325.48413978494619</v>
      </c>
      <c r="I612" s="125">
        <v>325.49166666666667</v>
      </c>
      <c r="J612" s="125">
        <v>325.3575268817205</v>
      </c>
      <c r="K612" s="137">
        <v>295.58055555555563</v>
      </c>
      <c r="L612" s="66" t="s">
        <v>297</v>
      </c>
      <c r="M612" s="66" t="s">
        <v>297</v>
      </c>
      <c r="N612" s="66" t="s">
        <v>297</v>
      </c>
      <c r="O612" s="66" t="s">
        <v>297</v>
      </c>
      <c r="P612" s="66" t="s">
        <v>297</v>
      </c>
      <c r="Q612" s="66" t="s">
        <v>297</v>
      </c>
    </row>
    <row r="613" spans="1:133" ht="62.4" x14ac:dyDescent="0.25">
      <c r="A613" s="35" t="s">
        <v>30</v>
      </c>
      <c r="B613" s="60" t="s">
        <v>199</v>
      </c>
      <c r="C613" s="35" t="s">
        <v>31</v>
      </c>
      <c r="D613" s="35" t="s">
        <v>331</v>
      </c>
      <c r="E613" s="126">
        <f>AVERAGE(F613:K613)</f>
        <v>15.396662826420892</v>
      </c>
      <c r="F613" s="126">
        <v>15.531182795698927</v>
      </c>
      <c r="G613" s="126">
        <v>15.158928571428572</v>
      </c>
      <c r="H613" s="126">
        <v>15.659408602150537</v>
      </c>
      <c r="I613" s="126">
        <v>15.823888888888888</v>
      </c>
      <c r="J613" s="126">
        <v>14.86962365591398</v>
      </c>
      <c r="K613" s="137">
        <v>15.336944444444443</v>
      </c>
      <c r="L613" s="65" t="s">
        <v>297</v>
      </c>
      <c r="M613" s="65" t="s">
        <v>297</v>
      </c>
      <c r="N613" s="65" t="s">
        <v>297</v>
      </c>
      <c r="O613" s="65" t="s">
        <v>297</v>
      </c>
      <c r="P613" s="65" t="s">
        <v>297</v>
      </c>
      <c r="Q613" s="65" t="s">
        <v>297</v>
      </c>
    </row>
    <row r="614" spans="1:133" ht="62.4" x14ac:dyDescent="0.25">
      <c r="A614" s="35" t="s">
        <v>32</v>
      </c>
      <c r="B614" s="60" t="s">
        <v>200</v>
      </c>
      <c r="C614" s="35" t="s">
        <v>34</v>
      </c>
      <c r="D614" s="35" t="s">
        <v>338</v>
      </c>
      <c r="E614" s="122">
        <f>E612/1000000</f>
        <v>3.2057960776156339E-4</v>
      </c>
      <c r="F614" s="120">
        <f>F612/1000000</f>
        <v>3.256771505376343E-4</v>
      </c>
      <c r="G614" s="120">
        <f t="shared" ref="G614:K615" si="81">G612/1000000</f>
        <v>3.258866071428571E-4</v>
      </c>
      <c r="H614" s="120">
        <f t="shared" si="81"/>
        <v>3.2548413978494617E-4</v>
      </c>
      <c r="I614" s="120">
        <f t="shared" si="81"/>
        <v>3.2549166666666666E-4</v>
      </c>
      <c r="J614" s="120">
        <f t="shared" si="81"/>
        <v>3.2535752688172051E-4</v>
      </c>
      <c r="K614" s="120">
        <f t="shared" si="81"/>
        <v>2.9558055555555565E-4</v>
      </c>
      <c r="L614" s="22" t="s">
        <v>297</v>
      </c>
      <c r="M614" s="22" t="s">
        <v>297</v>
      </c>
      <c r="N614" s="22" t="s">
        <v>297</v>
      </c>
      <c r="O614" s="22" t="s">
        <v>297</v>
      </c>
      <c r="P614" s="22" t="s">
        <v>297</v>
      </c>
      <c r="Q614" s="22" t="s">
        <v>297</v>
      </c>
    </row>
    <row r="615" spans="1:133" ht="62.4" x14ac:dyDescent="0.25">
      <c r="A615" s="35" t="s">
        <v>30</v>
      </c>
      <c r="B615" s="60" t="s">
        <v>33</v>
      </c>
      <c r="C615" s="35" t="s">
        <v>35</v>
      </c>
      <c r="D615" s="35" t="s">
        <v>339</v>
      </c>
      <c r="E615" s="122">
        <f>E613/1000000</f>
        <v>1.5396662826420892E-5</v>
      </c>
      <c r="F615" s="120">
        <f>F613/1000000</f>
        <v>1.5531182795698928E-5</v>
      </c>
      <c r="G615" s="120">
        <f t="shared" si="81"/>
        <v>1.5158928571428572E-5</v>
      </c>
      <c r="H615" s="120">
        <f t="shared" si="81"/>
        <v>1.5659408602150538E-5</v>
      </c>
      <c r="I615" s="120">
        <f t="shared" si="81"/>
        <v>1.5823888888888887E-5</v>
      </c>
      <c r="J615" s="120">
        <f t="shared" si="81"/>
        <v>1.486962365591398E-5</v>
      </c>
      <c r="K615" s="120">
        <f t="shared" si="81"/>
        <v>1.5336944444444444E-5</v>
      </c>
      <c r="L615" s="22" t="s">
        <v>297</v>
      </c>
      <c r="M615" s="22" t="s">
        <v>297</v>
      </c>
      <c r="N615" s="22" t="s">
        <v>297</v>
      </c>
      <c r="O615" s="22" t="s">
        <v>297</v>
      </c>
      <c r="P615" s="22" t="s">
        <v>297</v>
      </c>
      <c r="Q615" s="22" t="s">
        <v>297</v>
      </c>
    </row>
    <row r="616" spans="1:133" ht="46.8" x14ac:dyDescent="0.25">
      <c r="A616" s="63" t="s">
        <v>36</v>
      </c>
      <c r="B616" s="25" t="s">
        <v>201</v>
      </c>
      <c r="C616" s="35" t="s">
        <v>38</v>
      </c>
      <c r="D616" s="35" t="s">
        <v>368</v>
      </c>
      <c r="E616" s="68">
        <f>(1-(E617/E618))</f>
        <v>0.94886255373821649</v>
      </c>
      <c r="F616" s="68">
        <f>E616</f>
        <v>0.94886255373821649</v>
      </c>
      <c r="G616" s="68">
        <f>E616</f>
        <v>0.94886255373821649</v>
      </c>
      <c r="H616" s="68">
        <f>E616</f>
        <v>0.94886255373821649</v>
      </c>
      <c r="I616" s="68">
        <f>E616</f>
        <v>0.94886255373821649</v>
      </c>
      <c r="J616" s="68">
        <f>E616</f>
        <v>0.94886255373821649</v>
      </c>
      <c r="K616" s="68">
        <f>F616</f>
        <v>0.94886255373821649</v>
      </c>
      <c r="L616" s="68" t="s">
        <v>297</v>
      </c>
      <c r="M616" s="68" t="s">
        <v>297</v>
      </c>
      <c r="N616" s="68" t="s">
        <v>297</v>
      </c>
      <c r="O616" s="68" t="s">
        <v>297</v>
      </c>
      <c r="P616" s="68" t="s">
        <v>297</v>
      </c>
      <c r="Q616" s="68" t="s">
        <v>297</v>
      </c>
    </row>
    <row r="617" spans="1:133" ht="31.2" x14ac:dyDescent="0.25">
      <c r="A617" s="35" t="s">
        <v>39</v>
      </c>
      <c r="B617" s="25" t="s">
        <v>196</v>
      </c>
      <c r="C617" s="35" t="s">
        <v>40</v>
      </c>
      <c r="D617" s="35" t="s">
        <v>351</v>
      </c>
      <c r="E617" s="52">
        <f>SUM(F617:K617)</f>
        <v>15.270652526000003</v>
      </c>
      <c r="F617" s="52">
        <v>2.6154156260000003</v>
      </c>
      <c r="G617" s="52">
        <v>2.3623108879999997</v>
      </c>
      <c r="H617" s="52">
        <v>2.6154156260000003</v>
      </c>
      <c r="I617" s="52">
        <v>2.53104738</v>
      </c>
      <c r="J617" s="52">
        <v>2.6154156260000003</v>
      </c>
      <c r="K617" s="52">
        <v>2.53104738</v>
      </c>
      <c r="L617" s="69" t="s">
        <v>297</v>
      </c>
      <c r="M617" s="69" t="s">
        <v>297</v>
      </c>
      <c r="N617" s="69" t="s">
        <v>297</v>
      </c>
      <c r="O617" s="69" t="s">
        <v>297</v>
      </c>
      <c r="P617" s="69" t="s">
        <v>297</v>
      </c>
      <c r="Q617" s="69" t="s">
        <v>297</v>
      </c>
    </row>
    <row r="618" spans="1:133" ht="31.2" x14ac:dyDescent="0.25">
      <c r="A618" s="63" t="s">
        <v>41</v>
      </c>
      <c r="B618" s="25" t="s">
        <v>24</v>
      </c>
      <c r="C618" s="35" t="s">
        <v>42</v>
      </c>
      <c r="D618" s="35" t="s">
        <v>351</v>
      </c>
      <c r="E618" s="52">
        <f>SUM(F618:K618)</f>
        <v>298.61977166060001</v>
      </c>
      <c r="F618" s="52">
        <v>51.144822770600001</v>
      </c>
      <c r="G618" s="52">
        <v>46.195323792799996</v>
      </c>
      <c r="H618" s="52">
        <v>51.144822770600001</v>
      </c>
      <c r="I618" s="52">
        <v>49.494989777999997</v>
      </c>
      <c r="J618" s="52">
        <v>51.144822770600001</v>
      </c>
      <c r="K618" s="52">
        <v>49.494989777999997</v>
      </c>
      <c r="L618" s="69" t="s">
        <v>297</v>
      </c>
      <c r="M618" s="69" t="s">
        <v>297</v>
      </c>
      <c r="N618" s="69" t="s">
        <v>297</v>
      </c>
      <c r="O618" s="69" t="s">
        <v>297</v>
      </c>
      <c r="P618" s="69" t="s">
        <v>297</v>
      </c>
      <c r="Q618" s="69" t="s">
        <v>297</v>
      </c>
    </row>
    <row r="619" spans="1:133" ht="31.2" x14ac:dyDescent="0.25">
      <c r="A619" s="53" t="s">
        <v>43</v>
      </c>
      <c r="B619" s="25" t="s">
        <v>201</v>
      </c>
      <c r="C619" s="53" t="s">
        <v>44</v>
      </c>
      <c r="D619" s="35" t="s">
        <v>372</v>
      </c>
      <c r="E619" s="159">
        <f>E620*E621*0.89</f>
        <v>0.63472871049713209</v>
      </c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1"/>
    </row>
    <row r="620" spans="1:133" ht="31.2" x14ac:dyDescent="0.25">
      <c r="A620" s="70" t="s">
        <v>45</v>
      </c>
      <c r="B620" s="25" t="s">
        <v>201</v>
      </c>
      <c r="C620" s="53" t="s">
        <v>46</v>
      </c>
      <c r="D620" s="35" t="s">
        <v>373</v>
      </c>
      <c r="E620" s="162">
        <v>0.7</v>
      </c>
      <c r="F620" s="163"/>
      <c r="G620" s="163"/>
      <c r="H620" s="163"/>
      <c r="I620" s="163"/>
      <c r="J620" s="163"/>
      <c r="K620" s="163"/>
      <c r="L620" s="163"/>
      <c r="M620" s="163"/>
      <c r="N620" s="163"/>
      <c r="O620" s="163"/>
      <c r="P620" s="163"/>
      <c r="Q620" s="164"/>
    </row>
    <row r="621" spans="1:133" ht="36" customHeight="1" x14ac:dyDescent="0.25">
      <c r="A621" s="70" t="s">
        <v>47</v>
      </c>
      <c r="B621" s="25" t="s">
        <v>37</v>
      </c>
      <c r="C621" s="53" t="s">
        <v>48</v>
      </c>
      <c r="D621" s="35" t="s">
        <v>374</v>
      </c>
      <c r="E621" s="159">
        <f>(F622*F627+G622*G627+H622*H627+I622*I627+J622*J627+K622*K627)/(F616*F611*F614+G616*G614*G611+H616*H611*H614+I616*I614*I611+J616*J614*J611+K616*K614*K611)</f>
        <v>1.0188261805732457</v>
      </c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1"/>
    </row>
    <row r="622" spans="1:133" s="9" customFormat="1" ht="46.8" x14ac:dyDescent="0.4">
      <c r="A622" s="71" t="s">
        <v>49</v>
      </c>
      <c r="B622" s="25" t="s">
        <v>37</v>
      </c>
      <c r="C622" s="53" t="s">
        <v>50</v>
      </c>
      <c r="D622" s="53" t="s">
        <v>375</v>
      </c>
      <c r="E622" s="72">
        <f>AVERAGE(F622:K622)</f>
        <v>0.45657243431138023</v>
      </c>
      <c r="F622" s="72">
        <f>IF(F626&lt;283,0,IF(F626&gt;303,1,EXP(($E$623*(F626-$E$624))/($E$625*$E$624*F626))))</f>
        <v>0.22368662668957603</v>
      </c>
      <c r="G622" s="72">
        <f t="shared" ref="G622:K622" si="82">IF(G626&lt;283,0,IF(G626&gt;303,1,EXP(($E$623*(G626-$E$624))/($E$625*$E$624*G626))))</f>
        <v>0.17679930526069626</v>
      </c>
      <c r="H622" s="72">
        <f t="shared" si="82"/>
        <v>0.42307437878932203</v>
      </c>
      <c r="I622" s="72">
        <f t="shared" si="82"/>
        <v>0.50475941545474445</v>
      </c>
      <c r="J622" s="72">
        <f t="shared" si="82"/>
        <v>0.60078639810878987</v>
      </c>
      <c r="K622" s="72">
        <f t="shared" si="82"/>
        <v>0.81032848156515291</v>
      </c>
      <c r="L622" s="72" t="s">
        <v>297</v>
      </c>
      <c r="M622" s="72" t="s">
        <v>297</v>
      </c>
      <c r="N622" s="72" t="s">
        <v>297</v>
      </c>
      <c r="O622" s="72" t="s">
        <v>297</v>
      </c>
      <c r="P622" s="72" t="s">
        <v>297</v>
      </c>
      <c r="Q622" s="72" t="s">
        <v>297</v>
      </c>
      <c r="R622" s="78"/>
      <c r="S622" s="78"/>
      <c r="T622" s="78"/>
      <c r="U622" s="78"/>
      <c r="V622" s="78"/>
      <c r="W622" s="78"/>
      <c r="X622" s="78"/>
      <c r="Y622" s="78"/>
      <c r="Z622" s="78"/>
      <c r="AA622" s="78"/>
      <c r="AB622" s="78"/>
      <c r="AC622" s="78"/>
      <c r="AD622" s="78"/>
      <c r="AE622" s="78"/>
      <c r="AF622" s="78"/>
      <c r="AG622" s="78"/>
      <c r="AH622" s="78"/>
      <c r="AI622" s="78"/>
      <c r="AJ622" s="78"/>
      <c r="AK622" s="78"/>
      <c r="AL622" s="78"/>
      <c r="AM622" s="78"/>
      <c r="AN622" s="78"/>
      <c r="AO622" s="78"/>
      <c r="AP622" s="78"/>
      <c r="AQ622" s="78"/>
      <c r="AR622" s="78"/>
      <c r="AS622" s="78"/>
      <c r="AT622" s="78"/>
      <c r="AU622" s="78"/>
      <c r="AV622" s="78"/>
      <c r="AW622" s="78"/>
      <c r="AX622" s="78"/>
      <c r="AY622" s="78"/>
      <c r="AZ622" s="78"/>
      <c r="BA622" s="78"/>
      <c r="BB622" s="78"/>
      <c r="BC622" s="78"/>
      <c r="BD622" s="78"/>
      <c r="BE622" s="78"/>
      <c r="BF622" s="78"/>
      <c r="BG622" s="78"/>
      <c r="BH622" s="78"/>
      <c r="BI622" s="78"/>
      <c r="BJ622" s="78"/>
      <c r="BK622" s="78"/>
      <c r="BL622" s="78"/>
      <c r="BM622" s="78"/>
      <c r="BN622" s="78"/>
      <c r="BO622" s="78"/>
      <c r="BP622" s="78"/>
      <c r="BQ622" s="78"/>
      <c r="BR622" s="78"/>
      <c r="BS622" s="78"/>
      <c r="BT622" s="78"/>
      <c r="BU622" s="78"/>
      <c r="BV622" s="78"/>
      <c r="BW622" s="78"/>
      <c r="BX622" s="78"/>
      <c r="BY622" s="78"/>
      <c r="BZ622" s="78"/>
      <c r="CA622" s="78"/>
      <c r="CB622" s="78"/>
      <c r="CC622" s="78"/>
      <c r="CD622" s="78"/>
      <c r="CE622" s="78"/>
      <c r="CF622" s="78"/>
      <c r="CG622" s="78"/>
      <c r="CH622" s="78"/>
      <c r="CI622" s="78"/>
      <c r="CJ622" s="78"/>
      <c r="CK622" s="78"/>
      <c r="CL622" s="78"/>
      <c r="CM622" s="78"/>
      <c r="CN622" s="78"/>
      <c r="CO622" s="78"/>
      <c r="CP622" s="78"/>
      <c r="CQ622" s="78"/>
      <c r="CR622" s="78"/>
      <c r="CS622" s="78"/>
      <c r="CT622" s="78"/>
      <c r="CU622" s="78"/>
      <c r="CV622" s="78"/>
      <c r="CW622" s="78"/>
      <c r="CX622" s="78"/>
      <c r="CY622" s="78"/>
      <c r="CZ622" s="78"/>
      <c r="DA622" s="78"/>
      <c r="DB622" s="78"/>
      <c r="DC622" s="78"/>
      <c r="DD622" s="78"/>
      <c r="DE622" s="78"/>
      <c r="DF622" s="78"/>
      <c r="DG622" s="78"/>
      <c r="DH622" s="78"/>
      <c r="DI622" s="78"/>
      <c r="DJ622" s="78"/>
      <c r="DK622" s="78"/>
      <c r="DL622" s="78"/>
      <c r="DM622" s="78"/>
      <c r="DN622" s="78"/>
      <c r="DO622" s="78"/>
      <c r="DP622" s="78"/>
      <c r="DQ622" s="78"/>
      <c r="DR622" s="78"/>
      <c r="DS622" s="78"/>
      <c r="DT622" s="78"/>
      <c r="DU622" s="78"/>
      <c r="DV622" s="78"/>
      <c r="DW622" s="78"/>
      <c r="DX622" s="78"/>
      <c r="DY622" s="78"/>
      <c r="DZ622" s="78"/>
      <c r="EA622" s="78"/>
      <c r="EB622" s="78"/>
      <c r="EC622" s="78"/>
    </row>
    <row r="623" spans="1:133" s="9" customFormat="1" x14ac:dyDescent="0.25">
      <c r="A623" s="73" t="s">
        <v>51</v>
      </c>
      <c r="B623" s="60" t="s">
        <v>202</v>
      </c>
      <c r="C623" s="53" t="s">
        <v>53</v>
      </c>
      <c r="D623" s="53" t="s">
        <v>376</v>
      </c>
      <c r="E623" s="162">
        <v>15175</v>
      </c>
      <c r="F623" s="163"/>
      <c r="G623" s="163"/>
      <c r="H623" s="163"/>
      <c r="I623" s="163"/>
      <c r="J623" s="163"/>
      <c r="K623" s="163"/>
      <c r="L623" s="163"/>
      <c r="M623" s="163"/>
      <c r="N623" s="163"/>
      <c r="O623" s="163"/>
      <c r="P623" s="163"/>
      <c r="Q623" s="164"/>
      <c r="R623" s="78"/>
      <c r="S623" s="78"/>
      <c r="T623" s="78"/>
      <c r="U623" s="78"/>
      <c r="V623" s="78"/>
      <c r="W623" s="78"/>
      <c r="X623" s="78"/>
      <c r="Y623" s="78"/>
      <c r="Z623" s="78"/>
      <c r="AA623" s="78"/>
      <c r="AB623" s="78"/>
      <c r="AC623" s="78"/>
      <c r="AD623" s="78"/>
      <c r="AE623" s="78"/>
      <c r="AF623" s="78"/>
      <c r="AG623" s="78"/>
      <c r="AH623" s="78"/>
      <c r="AI623" s="78"/>
      <c r="AJ623" s="78"/>
      <c r="AK623" s="78"/>
      <c r="AL623" s="78"/>
      <c r="AM623" s="78"/>
      <c r="AN623" s="78"/>
      <c r="AO623" s="78"/>
      <c r="AP623" s="78"/>
      <c r="AQ623" s="78"/>
      <c r="AR623" s="78"/>
      <c r="AS623" s="78"/>
      <c r="AT623" s="78"/>
      <c r="AU623" s="78"/>
      <c r="AV623" s="78"/>
      <c r="AW623" s="78"/>
      <c r="AX623" s="78"/>
      <c r="AY623" s="78"/>
      <c r="AZ623" s="78"/>
      <c r="BA623" s="78"/>
      <c r="BB623" s="78"/>
      <c r="BC623" s="78"/>
      <c r="BD623" s="78"/>
      <c r="BE623" s="78"/>
      <c r="BF623" s="78"/>
      <c r="BG623" s="78"/>
      <c r="BH623" s="78"/>
      <c r="BI623" s="78"/>
      <c r="BJ623" s="78"/>
      <c r="BK623" s="78"/>
      <c r="BL623" s="78"/>
      <c r="BM623" s="78"/>
      <c r="BN623" s="78"/>
      <c r="BO623" s="78"/>
      <c r="BP623" s="78"/>
      <c r="BQ623" s="78"/>
      <c r="BR623" s="78"/>
      <c r="BS623" s="78"/>
      <c r="BT623" s="78"/>
      <c r="BU623" s="78"/>
      <c r="BV623" s="78"/>
      <c r="BW623" s="78"/>
      <c r="BX623" s="78"/>
      <c r="BY623" s="78"/>
      <c r="BZ623" s="78"/>
      <c r="CA623" s="78"/>
      <c r="CB623" s="78"/>
      <c r="CC623" s="78"/>
      <c r="CD623" s="78"/>
      <c r="CE623" s="78"/>
      <c r="CF623" s="78"/>
      <c r="CG623" s="78"/>
      <c r="CH623" s="78"/>
      <c r="CI623" s="78"/>
      <c r="CJ623" s="78"/>
      <c r="CK623" s="78"/>
      <c r="CL623" s="78"/>
      <c r="CM623" s="78"/>
      <c r="CN623" s="78"/>
      <c r="CO623" s="78"/>
      <c r="CP623" s="78"/>
      <c r="CQ623" s="78"/>
      <c r="CR623" s="78"/>
      <c r="CS623" s="78"/>
      <c r="CT623" s="78"/>
      <c r="CU623" s="78"/>
      <c r="CV623" s="78"/>
      <c r="CW623" s="78"/>
      <c r="CX623" s="78"/>
      <c r="CY623" s="78"/>
      <c r="CZ623" s="78"/>
      <c r="DA623" s="78"/>
      <c r="DB623" s="78"/>
      <c r="DC623" s="78"/>
      <c r="DD623" s="78"/>
      <c r="DE623" s="78"/>
      <c r="DF623" s="78"/>
      <c r="DG623" s="78"/>
      <c r="DH623" s="78"/>
      <c r="DI623" s="78"/>
      <c r="DJ623" s="78"/>
      <c r="DK623" s="78"/>
      <c r="DL623" s="78"/>
      <c r="DM623" s="78"/>
      <c r="DN623" s="78"/>
      <c r="DO623" s="78"/>
      <c r="DP623" s="78"/>
      <c r="DQ623" s="78"/>
      <c r="DR623" s="78"/>
      <c r="DS623" s="78"/>
      <c r="DT623" s="78"/>
      <c r="DU623" s="78"/>
      <c r="DV623" s="78"/>
      <c r="DW623" s="78"/>
      <c r="DX623" s="78"/>
      <c r="DY623" s="78"/>
      <c r="DZ623" s="78"/>
      <c r="EA623" s="78"/>
      <c r="EB623" s="78"/>
      <c r="EC623" s="78"/>
    </row>
    <row r="624" spans="1:133" s="9" customFormat="1" ht="18" x14ac:dyDescent="0.25">
      <c r="A624" s="73" t="s">
        <v>54</v>
      </c>
      <c r="B624" s="60" t="s">
        <v>203</v>
      </c>
      <c r="C624" s="53" t="s">
        <v>56</v>
      </c>
      <c r="D624" s="53" t="s">
        <v>376</v>
      </c>
      <c r="E624" s="162">
        <v>303.16000000000003</v>
      </c>
      <c r="F624" s="163"/>
      <c r="G624" s="163"/>
      <c r="H624" s="163"/>
      <c r="I624" s="163"/>
      <c r="J624" s="163"/>
      <c r="K624" s="163"/>
      <c r="L624" s="163"/>
      <c r="M624" s="163"/>
      <c r="N624" s="163"/>
      <c r="O624" s="163"/>
      <c r="P624" s="163"/>
      <c r="Q624" s="164"/>
      <c r="R624" s="78"/>
      <c r="S624" s="78"/>
      <c r="T624" s="78"/>
      <c r="U624" s="78"/>
      <c r="V624" s="78"/>
      <c r="W624" s="78"/>
      <c r="X624" s="78"/>
      <c r="Y624" s="78"/>
      <c r="Z624" s="78"/>
      <c r="AA624" s="78"/>
      <c r="AB624" s="78"/>
      <c r="AC624" s="78"/>
      <c r="AD624" s="78"/>
      <c r="AE624" s="78"/>
      <c r="AF624" s="78"/>
      <c r="AG624" s="78"/>
      <c r="AH624" s="78"/>
      <c r="AI624" s="78"/>
      <c r="AJ624" s="78"/>
      <c r="AK624" s="78"/>
      <c r="AL624" s="78"/>
      <c r="AM624" s="78"/>
      <c r="AN624" s="78"/>
      <c r="AO624" s="78"/>
      <c r="AP624" s="78"/>
      <c r="AQ624" s="78"/>
      <c r="AR624" s="78"/>
      <c r="AS624" s="78"/>
      <c r="AT624" s="78"/>
      <c r="AU624" s="78"/>
      <c r="AV624" s="78"/>
      <c r="AW624" s="78"/>
      <c r="AX624" s="78"/>
      <c r="AY624" s="78"/>
      <c r="AZ624" s="78"/>
      <c r="BA624" s="78"/>
      <c r="BB624" s="78"/>
      <c r="BC624" s="78"/>
      <c r="BD624" s="78"/>
      <c r="BE624" s="78"/>
      <c r="BF624" s="78"/>
      <c r="BG624" s="78"/>
      <c r="BH624" s="78"/>
      <c r="BI624" s="78"/>
      <c r="BJ624" s="78"/>
      <c r="BK624" s="78"/>
      <c r="BL624" s="78"/>
      <c r="BM624" s="78"/>
      <c r="BN624" s="78"/>
      <c r="BO624" s="78"/>
      <c r="BP624" s="78"/>
      <c r="BQ624" s="78"/>
      <c r="BR624" s="78"/>
      <c r="BS624" s="78"/>
      <c r="BT624" s="78"/>
      <c r="BU624" s="78"/>
      <c r="BV624" s="78"/>
      <c r="BW624" s="78"/>
      <c r="BX624" s="78"/>
      <c r="BY624" s="78"/>
      <c r="BZ624" s="78"/>
      <c r="CA624" s="78"/>
      <c r="CB624" s="78"/>
      <c r="CC624" s="78"/>
      <c r="CD624" s="78"/>
      <c r="CE624" s="78"/>
      <c r="CF624" s="78"/>
      <c r="CG624" s="78"/>
      <c r="CH624" s="78"/>
      <c r="CI624" s="78"/>
      <c r="CJ624" s="78"/>
      <c r="CK624" s="78"/>
      <c r="CL624" s="78"/>
      <c r="CM624" s="78"/>
      <c r="CN624" s="78"/>
      <c r="CO624" s="78"/>
      <c r="CP624" s="78"/>
      <c r="CQ624" s="78"/>
      <c r="CR624" s="78"/>
      <c r="CS624" s="78"/>
      <c r="CT624" s="78"/>
      <c r="CU624" s="78"/>
      <c r="CV624" s="78"/>
      <c r="CW624" s="78"/>
      <c r="CX624" s="78"/>
      <c r="CY624" s="78"/>
      <c r="CZ624" s="78"/>
      <c r="DA624" s="78"/>
      <c r="DB624" s="78"/>
      <c r="DC624" s="78"/>
      <c r="DD624" s="78"/>
      <c r="DE624" s="78"/>
      <c r="DF624" s="78"/>
      <c r="DG624" s="78"/>
      <c r="DH624" s="78"/>
      <c r="DI624" s="78"/>
      <c r="DJ624" s="78"/>
      <c r="DK624" s="78"/>
      <c r="DL624" s="78"/>
      <c r="DM624" s="78"/>
      <c r="DN624" s="78"/>
      <c r="DO624" s="78"/>
      <c r="DP624" s="78"/>
      <c r="DQ624" s="78"/>
      <c r="DR624" s="78"/>
      <c r="DS624" s="78"/>
      <c r="DT624" s="78"/>
      <c r="DU624" s="78"/>
      <c r="DV624" s="78"/>
      <c r="DW624" s="78"/>
      <c r="DX624" s="78"/>
      <c r="DY624" s="78"/>
      <c r="DZ624" s="78"/>
      <c r="EA624" s="78"/>
      <c r="EB624" s="78"/>
      <c r="EC624" s="78"/>
    </row>
    <row r="625" spans="1:133" s="9" customFormat="1" x14ac:dyDescent="0.25">
      <c r="A625" s="73" t="s">
        <v>57</v>
      </c>
      <c r="B625" s="60" t="s">
        <v>204</v>
      </c>
      <c r="C625" s="53" t="s">
        <v>59</v>
      </c>
      <c r="D625" s="53" t="s">
        <v>376</v>
      </c>
      <c r="E625" s="162">
        <v>1.9870000000000001</v>
      </c>
      <c r="F625" s="163"/>
      <c r="G625" s="163"/>
      <c r="H625" s="163"/>
      <c r="I625" s="163"/>
      <c r="J625" s="163"/>
      <c r="K625" s="163"/>
      <c r="L625" s="163"/>
      <c r="M625" s="163"/>
      <c r="N625" s="163"/>
      <c r="O625" s="163"/>
      <c r="P625" s="163"/>
      <c r="Q625" s="164"/>
      <c r="R625" s="78"/>
      <c r="S625" s="78"/>
      <c r="T625" s="78"/>
      <c r="U625" s="78"/>
      <c r="V625" s="78"/>
      <c r="W625" s="78"/>
      <c r="X625" s="78"/>
      <c r="Y625" s="78"/>
      <c r="Z625" s="78"/>
      <c r="AA625" s="78"/>
      <c r="AB625" s="78"/>
      <c r="AC625" s="78"/>
      <c r="AD625" s="78"/>
      <c r="AE625" s="78"/>
      <c r="AF625" s="78"/>
      <c r="AG625" s="78"/>
      <c r="AH625" s="78"/>
      <c r="AI625" s="78"/>
      <c r="AJ625" s="78"/>
      <c r="AK625" s="78"/>
      <c r="AL625" s="78"/>
      <c r="AM625" s="78"/>
      <c r="AN625" s="78"/>
      <c r="AO625" s="78"/>
      <c r="AP625" s="78"/>
      <c r="AQ625" s="78"/>
      <c r="AR625" s="78"/>
      <c r="AS625" s="78"/>
      <c r="AT625" s="78"/>
      <c r="AU625" s="78"/>
      <c r="AV625" s="78"/>
      <c r="AW625" s="78"/>
      <c r="AX625" s="78"/>
      <c r="AY625" s="78"/>
      <c r="AZ625" s="78"/>
      <c r="BA625" s="78"/>
      <c r="BB625" s="78"/>
      <c r="BC625" s="78"/>
      <c r="BD625" s="78"/>
      <c r="BE625" s="78"/>
      <c r="BF625" s="78"/>
      <c r="BG625" s="78"/>
      <c r="BH625" s="78"/>
      <c r="BI625" s="78"/>
      <c r="BJ625" s="78"/>
      <c r="BK625" s="78"/>
      <c r="BL625" s="78"/>
      <c r="BM625" s="78"/>
      <c r="BN625" s="78"/>
      <c r="BO625" s="78"/>
      <c r="BP625" s="78"/>
      <c r="BQ625" s="78"/>
      <c r="BR625" s="78"/>
      <c r="BS625" s="78"/>
      <c r="BT625" s="78"/>
      <c r="BU625" s="78"/>
      <c r="BV625" s="78"/>
      <c r="BW625" s="78"/>
      <c r="BX625" s="78"/>
      <c r="BY625" s="78"/>
      <c r="BZ625" s="78"/>
      <c r="CA625" s="78"/>
      <c r="CB625" s="78"/>
      <c r="CC625" s="78"/>
      <c r="CD625" s="78"/>
      <c r="CE625" s="78"/>
      <c r="CF625" s="78"/>
      <c r="CG625" s="78"/>
      <c r="CH625" s="78"/>
      <c r="CI625" s="78"/>
      <c r="CJ625" s="78"/>
      <c r="CK625" s="78"/>
      <c r="CL625" s="78"/>
      <c r="CM625" s="78"/>
      <c r="CN625" s="78"/>
      <c r="CO625" s="78"/>
      <c r="CP625" s="78"/>
      <c r="CQ625" s="78"/>
      <c r="CR625" s="78"/>
      <c r="CS625" s="78"/>
      <c r="CT625" s="78"/>
      <c r="CU625" s="78"/>
      <c r="CV625" s="78"/>
      <c r="CW625" s="78"/>
      <c r="CX625" s="78"/>
      <c r="CY625" s="78"/>
      <c r="CZ625" s="78"/>
      <c r="DA625" s="78"/>
      <c r="DB625" s="78"/>
      <c r="DC625" s="78"/>
      <c r="DD625" s="78"/>
      <c r="DE625" s="78"/>
      <c r="DF625" s="78"/>
      <c r="DG625" s="78"/>
      <c r="DH625" s="78"/>
      <c r="DI625" s="78"/>
      <c r="DJ625" s="78"/>
      <c r="DK625" s="78"/>
      <c r="DL625" s="78"/>
      <c r="DM625" s="78"/>
      <c r="DN625" s="78"/>
      <c r="DO625" s="78"/>
      <c r="DP625" s="78"/>
      <c r="DQ625" s="78"/>
      <c r="DR625" s="78"/>
      <c r="DS625" s="78"/>
      <c r="DT625" s="78"/>
      <c r="DU625" s="78"/>
      <c r="DV625" s="78"/>
      <c r="DW625" s="78"/>
      <c r="DX625" s="78"/>
      <c r="DY625" s="78"/>
      <c r="DZ625" s="78"/>
      <c r="EA625" s="78"/>
      <c r="EB625" s="78"/>
      <c r="EC625" s="78"/>
    </row>
    <row r="626" spans="1:133" s="9" customFormat="1" ht="31.2" x14ac:dyDescent="0.25">
      <c r="A626" s="73" t="s">
        <v>60</v>
      </c>
      <c r="B626" s="60" t="s">
        <v>203</v>
      </c>
      <c r="C626" s="53" t="s">
        <v>61</v>
      </c>
      <c r="D626" s="143" t="s">
        <v>363</v>
      </c>
      <c r="E626" s="98">
        <f>AVERAGE(F626:K626)</f>
        <v>292.65000000000003</v>
      </c>
      <c r="F626" s="60">
        <v>286.14999999999998</v>
      </c>
      <c r="G626" s="60">
        <v>283.64999999999998</v>
      </c>
      <c r="H626" s="60">
        <v>293.14999999999998</v>
      </c>
      <c r="I626" s="60">
        <v>295.14999999999998</v>
      </c>
      <c r="J626" s="60">
        <v>297.14999999999998</v>
      </c>
      <c r="K626" s="60">
        <v>300.64999999999998</v>
      </c>
      <c r="L626" s="60" t="s">
        <v>297</v>
      </c>
      <c r="M626" s="60" t="s">
        <v>297</v>
      </c>
      <c r="N626" s="60" t="s">
        <v>297</v>
      </c>
      <c r="O626" s="60" t="s">
        <v>297</v>
      </c>
      <c r="P626" s="60" t="s">
        <v>297</v>
      </c>
      <c r="Q626" s="60" t="s">
        <v>297</v>
      </c>
      <c r="R626" s="78"/>
      <c r="S626" s="78"/>
      <c r="T626" s="78"/>
      <c r="U626" s="78"/>
      <c r="V626" s="78"/>
      <c r="W626" s="78"/>
      <c r="X626" s="78"/>
      <c r="Y626" s="78"/>
      <c r="Z626" s="78"/>
      <c r="AA626" s="78"/>
      <c r="AB626" s="78"/>
      <c r="AC626" s="78"/>
      <c r="AD626" s="78"/>
      <c r="AE626" s="78"/>
      <c r="AF626" s="78"/>
      <c r="AG626" s="78"/>
      <c r="AH626" s="78"/>
      <c r="AI626" s="78"/>
      <c r="AJ626" s="78"/>
      <c r="AK626" s="78"/>
      <c r="AL626" s="78"/>
      <c r="AM626" s="78"/>
      <c r="AN626" s="78"/>
      <c r="AO626" s="78"/>
      <c r="AP626" s="78"/>
      <c r="AQ626" s="78"/>
      <c r="AR626" s="78"/>
      <c r="AS626" s="78"/>
      <c r="AT626" s="78"/>
      <c r="AU626" s="78"/>
      <c r="AV626" s="78"/>
      <c r="AW626" s="78"/>
      <c r="AX626" s="78"/>
      <c r="AY626" s="78"/>
      <c r="AZ626" s="78"/>
      <c r="BA626" s="78"/>
      <c r="BB626" s="78"/>
      <c r="BC626" s="78"/>
      <c r="BD626" s="78"/>
      <c r="BE626" s="78"/>
      <c r="BF626" s="78"/>
      <c r="BG626" s="78"/>
      <c r="BH626" s="78"/>
      <c r="BI626" s="78"/>
      <c r="BJ626" s="78"/>
      <c r="BK626" s="78"/>
      <c r="BL626" s="78"/>
      <c r="BM626" s="78"/>
      <c r="BN626" s="78"/>
      <c r="BO626" s="78"/>
      <c r="BP626" s="78"/>
      <c r="BQ626" s="78"/>
      <c r="BR626" s="78"/>
      <c r="BS626" s="78"/>
      <c r="BT626" s="78"/>
      <c r="BU626" s="78"/>
      <c r="BV626" s="78"/>
      <c r="BW626" s="78"/>
      <c r="BX626" s="78"/>
      <c r="BY626" s="78"/>
      <c r="BZ626" s="78"/>
      <c r="CA626" s="78"/>
      <c r="CB626" s="78"/>
      <c r="CC626" s="78"/>
      <c r="CD626" s="78"/>
      <c r="CE626" s="78"/>
      <c r="CF626" s="78"/>
      <c r="CG626" s="78"/>
      <c r="CH626" s="78"/>
      <c r="CI626" s="78"/>
      <c r="CJ626" s="78"/>
      <c r="CK626" s="78"/>
      <c r="CL626" s="78"/>
      <c r="CM626" s="78"/>
      <c r="CN626" s="78"/>
      <c r="CO626" s="78"/>
      <c r="CP626" s="78"/>
      <c r="CQ626" s="78"/>
      <c r="CR626" s="78"/>
      <c r="CS626" s="78"/>
      <c r="CT626" s="78"/>
      <c r="CU626" s="78"/>
      <c r="CV626" s="78"/>
      <c r="CW626" s="78"/>
      <c r="CX626" s="78"/>
      <c r="CY626" s="78"/>
      <c r="CZ626" s="78"/>
      <c r="DA626" s="78"/>
      <c r="DB626" s="78"/>
      <c r="DC626" s="78"/>
      <c r="DD626" s="78"/>
      <c r="DE626" s="78"/>
      <c r="DF626" s="78"/>
      <c r="DG626" s="78"/>
      <c r="DH626" s="78"/>
      <c r="DI626" s="78"/>
      <c r="DJ626" s="78"/>
      <c r="DK626" s="78"/>
      <c r="DL626" s="78"/>
      <c r="DM626" s="78"/>
      <c r="DN626" s="78"/>
      <c r="DO626" s="78"/>
      <c r="DP626" s="78"/>
      <c r="DQ626" s="78"/>
      <c r="DR626" s="78"/>
      <c r="DS626" s="78"/>
      <c r="DT626" s="78"/>
      <c r="DU626" s="78"/>
      <c r="DV626" s="78"/>
      <c r="DW626" s="78"/>
      <c r="DX626" s="78"/>
      <c r="DY626" s="78"/>
      <c r="DZ626" s="78"/>
      <c r="EA626" s="78"/>
      <c r="EB626" s="78"/>
      <c r="EC626" s="78"/>
    </row>
    <row r="627" spans="1:133" s="9" customFormat="1" ht="31.2" x14ac:dyDescent="0.4">
      <c r="A627" s="71" t="s">
        <v>62</v>
      </c>
      <c r="B627" s="60" t="s">
        <v>196</v>
      </c>
      <c r="C627" s="53" t="s">
        <v>63</v>
      </c>
      <c r="D627" s="53" t="s">
        <v>377</v>
      </c>
      <c r="E627" s="74">
        <f>SUM(F627:K627)</f>
        <v>745.82883964732036</v>
      </c>
      <c r="F627" s="74">
        <f>F616*F611*F614+(1-F622)*'Baseline Emissions 2021'!Q627</f>
        <v>146.19487122591752</v>
      </c>
      <c r="G627" s="74">
        <f t="shared" ref="G627:K627" si="83">G616*G611*G614+(1-G622)*F627</f>
        <v>164.68398375245454</v>
      </c>
      <c r="H627" s="74">
        <f t="shared" si="83"/>
        <v>144.03808635986294</v>
      </c>
      <c r="I627" s="74">
        <f t="shared" si="83"/>
        <v>118.80004103062967</v>
      </c>
      <c r="J627" s="74">
        <f t="shared" si="83"/>
        <v>103.35197076203799</v>
      </c>
      <c r="K627" s="74">
        <f t="shared" si="83"/>
        <v>68.759886516417566</v>
      </c>
      <c r="L627" s="74" t="s">
        <v>297</v>
      </c>
      <c r="M627" s="74" t="s">
        <v>297</v>
      </c>
      <c r="N627" s="74" t="s">
        <v>297</v>
      </c>
      <c r="O627" s="74" t="s">
        <v>297</v>
      </c>
      <c r="P627" s="74" t="s">
        <v>297</v>
      </c>
      <c r="Q627" s="74" t="s">
        <v>297</v>
      </c>
      <c r="R627" s="78"/>
      <c r="S627" s="78"/>
      <c r="T627" s="78"/>
      <c r="U627" s="78"/>
      <c r="V627" s="78"/>
      <c r="W627" s="78"/>
      <c r="X627" s="78"/>
      <c r="Y627" s="78"/>
      <c r="Z627" s="78"/>
      <c r="AA627" s="78"/>
      <c r="AB627" s="78"/>
      <c r="AC627" s="78"/>
      <c r="AD627" s="78"/>
      <c r="AE627" s="78"/>
      <c r="AF627" s="78"/>
      <c r="AG627" s="78"/>
      <c r="AH627" s="78"/>
      <c r="AI627" s="78"/>
      <c r="AJ627" s="78"/>
      <c r="AK627" s="78"/>
      <c r="AL627" s="78"/>
      <c r="AM627" s="78"/>
      <c r="AN627" s="78"/>
      <c r="AO627" s="78"/>
      <c r="AP627" s="78"/>
      <c r="AQ627" s="78"/>
      <c r="AR627" s="78"/>
      <c r="AS627" s="78"/>
      <c r="AT627" s="78"/>
      <c r="AU627" s="78"/>
      <c r="AV627" s="78"/>
      <c r="AW627" s="78"/>
      <c r="AX627" s="78"/>
      <c r="AY627" s="78"/>
      <c r="AZ627" s="78"/>
      <c r="BA627" s="78"/>
      <c r="BB627" s="78"/>
      <c r="BC627" s="78"/>
      <c r="BD627" s="78"/>
      <c r="BE627" s="78"/>
      <c r="BF627" s="78"/>
      <c r="BG627" s="78"/>
      <c r="BH627" s="78"/>
      <c r="BI627" s="78"/>
      <c r="BJ627" s="78"/>
      <c r="BK627" s="78"/>
      <c r="BL627" s="78"/>
      <c r="BM627" s="78"/>
      <c r="BN627" s="78"/>
      <c r="BO627" s="78"/>
      <c r="BP627" s="78"/>
      <c r="BQ627" s="78"/>
      <c r="BR627" s="78"/>
      <c r="BS627" s="78"/>
      <c r="BT627" s="78"/>
      <c r="BU627" s="78"/>
      <c r="BV627" s="78"/>
      <c r="BW627" s="78"/>
      <c r="BX627" s="78"/>
      <c r="BY627" s="78"/>
      <c r="BZ627" s="78"/>
      <c r="CA627" s="78"/>
      <c r="CB627" s="78"/>
      <c r="CC627" s="78"/>
      <c r="CD627" s="78"/>
      <c r="CE627" s="78"/>
      <c r="CF627" s="78"/>
      <c r="CG627" s="78"/>
      <c r="CH627" s="78"/>
      <c r="CI627" s="78"/>
      <c r="CJ627" s="78"/>
      <c r="CK627" s="78"/>
      <c r="CL627" s="78"/>
      <c r="CM627" s="78"/>
      <c r="CN627" s="78"/>
      <c r="CO627" s="78"/>
      <c r="CP627" s="78"/>
      <c r="CQ627" s="78"/>
      <c r="CR627" s="78"/>
      <c r="CS627" s="78"/>
      <c r="CT627" s="78"/>
      <c r="CU627" s="78"/>
      <c r="CV627" s="78"/>
      <c r="CW627" s="78"/>
      <c r="CX627" s="78"/>
      <c r="CY627" s="78"/>
      <c r="CZ627" s="78"/>
      <c r="DA627" s="78"/>
      <c r="DB627" s="78"/>
      <c r="DC627" s="78"/>
      <c r="DD627" s="78"/>
      <c r="DE627" s="78"/>
      <c r="DF627" s="78"/>
      <c r="DG627" s="78"/>
      <c r="DH627" s="78"/>
      <c r="DI627" s="78"/>
      <c r="DJ627" s="78"/>
      <c r="DK627" s="78"/>
      <c r="DL627" s="78"/>
      <c r="DM627" s="78"/>
      <c r="DN627" s="78"/>
      <c r="DO627" s="78"/>
      <c r="DP627" s="78"/>
      <c r="DQ627" s="78"/>
      <c r="DR627" s="78"/>
      <c r="DS627" s="78"/>
      <c r="DT627" s="78"/>
      <c r="DU627" s="78"/>
      <c r="DV627" s="78"/>
      <c r="DW627" s="78"/>
      <c r="DX627" s="78"/>
      <c r="DY627" s="78"/>
      <c r="DZ627" s="78"/>
      <c r="EA627" s="78"/>
      <c r="EB627" s="78"/>
      <c r="EC627" s="78"/>
    </row>
    <row r="629" spans="1:133" ht="15.6" customHeight="1" x14ac:dyDescent="0.25">
      <c r="A629" s="36" t="s">
        <v>64</v>
      </c>
      <c r="B629" s="36"/>
      <c r="C629" s="36"/>
      <c r="D629" s="36"/>
      <c r="E629" s="36"/>
    </row>
    <row r="630" spans="1:133" x14ac:dyDescent="0.25">
      <c r="A630" s="57" t="s">
        <v>8</v>
      </c>
      <c r="B630" s="58" t="s">
        <v>9</v>
      </c>
      <c r="C630" s="34" t="s">
        <v>10</v>
      </c>
      <c r="D630" s="34" t="s">
        <v>340</v>
      </c>
      <c r="E630" s="16" t="s">
        <v>65</v>
      </c>
    </row>
    <row r="631" spans="1:133" ht="62.4" x14ac:dyDescent="0.25">
      <c r="A631" s="59" t="s">
        <v>66</v>
      </c>
      <c r="B631" s="60" t="s">
        <v>14</v>
      </c>
      <c r="C631" s="53" t="s">
        <v>67</v>
      </c>
      <c r="D631" s="53" t="s">
        <v>68</v>
      </c>
      <c r="E631" s="75">
        <v>0</v>
      </c>
    </row>
    <row r="632" spans="1:133" ht="46.8" x14ac:dyDescent="0.25">
      <c r="A632" s="63" t="s">
        <v>69</v>
      </c>
      <c r="B632" s="25" t="s">
        <v>70</v>
      </c>
      <c r="C632" s="35" t="s">
        <v>71</v>
      </c>
      <c r="D632" s="53" t="str">
        <f>D638</f>
        <v>Historical data on site in the FSR (It was calculated with conservative value)</v>
      </c>
      <c r="E632" s="74">
        <f>E638</f>
        <v>181.44611947076501</v>
      </c>
    </row>
    <row r="634" spans="1:133" ht="15.6" customHeight="1" x14ac:dyDescent="0.25">
      <c r="A634" s="90" t="s">
        <v>72</v>
      </c>
      <c r="B634" s="90"/>
      <c r="C634" s="91"/>
      <c r="D634" s="91"/>
      <c r="E634" s="90"/>
    </row>
    <row r="635" spans="1:133" x14ac:dyDescent="0.25">
      <c r="A635" s="59" t="s">
        <v>8</v>
      </c>
      <c r="B635" s="16" t="s">
        <v>9</v>
      </c>
      <c r="C635" s="38" t="s">
        <v>10</v>
      </c>
      <c r="D635" s="38" t="s">
        <v>340</v>
      </c>
      <c r="E635" s="16" t="s">
        <v>65</v>
      </c>
    </row>
    <row r="636" spans="1:133" ht="33.6" x14ac:dyDescent="0.4">
      <c r="A636" s="76" t="s">
        <v>73</v>
      </c>
      <c r="B636" s="25" t="s">
        <v>74</v>
      </c>
      <c r="C636" s="35" t="s">
        <v>75</v>
      </c>
      <c r="D636" s="35" t="s">
        <v>378</v>
      </c>
      <c r="E636" s="50">
        <f>E637*E640*E641*E642*E643*E644</f>
        <v>0.73698532376973036</v>
      </c>
    </row>
    <row r="637" spans="1:133" ht="46.8" x14ac:dyDescent="0.4">
      <c r="A637" s="77" t="s">
        <v>207</v>
      </c>
      <c r="B637" s="25" t="s">
        <v>76</v>
      </c>
      <c r="C637" s="35" t="s">
        <v>77</v>
      </c>
      <c r="D637" s="35" t="s">
        <v>379</v>
      </c>
      <c r="E637" s="52">
        <f>E638/E639</f>
        <v>36.289223894153004</v>
      </c>
    </row>
    <row r="638" spans="1:133" ht="46.8" x14ac:dyDescent="0.25">
      <c r="A638" s="63" t="s">
        <v>208</v>
      </c>
      <c r="B638" s="25" t="s">
        <v>78</v>
      </c>
      <c r="C638" s="35" t="s">
        <v>79</v>
      </c>
      <c r="D638" s="53" t="s">
        <v>352</v>
      </c>
      <c r="E638" s="52">
        <f>0.000186861494131401*E611</f>
        <v>181.44611947076501</v>
      </c>
    </row>
    <row r="639" spans="1:133" ht="31.2" x14ac:dyDescent="0.25">
      <c r="A639" s="63" t="s">
        <v>209</v>
      </c>
      <c r="B639" s="25" t="s">
        <v>80</v>
      </c>
      <c r="C639" s="35" t="s">
        <v>81</v>
      </c>
      <c r="D639" s="35" t="s">
        <v>353</v>
      </c>
      <c r="E639" s="25">
        <f>5</f>
        <v>5</v>
      </c>
    </row>
    <row r="640" spans="1:133" s="13" customFormat="1" ht="62.4" x14ac:dyDescent="0.25">
      <c r="A640" s="63" t="s">
        <v>210</v>
      </c>
      <c r="B640" s="25" t="s">
        <v>82</v>
      </c>
      <c r="C640" s="35" t="s">
        <v>83</v>
      </c>
      <c r="D640" s="53" t="s">
        <v>354</v>
      </c>
      <c r="E640" s="25">
        <f>15*2</f>
        <v>30</v>
      </c>
      <c r="R640" s="14"/>
      <c r="S640" s="14"/>
      <c r="T640" s="14"/>
      <c r="U640" s="14"/>
      <c r="V640" s="14"/>
      <c r="W640" s="14"/>
      <c r="X640" s="14"/>
      <c r="Y640" s="14"/>
      <c r="Z640" s="14"/>
      <c r="AA640" s="14"/>
      <c r="AB640" s="14"/>
      <c r="AC640" s="14"/>
      <c r="AD640" s="14"/>
      <c r="AE640" s="14"/>
      <c r="AF640" s="14"/>
      <c r="AG640" s="14"/>
      <c r="AH640" s="14"/>
      <c r="AI640" s="14"/>
      <c r="AJ640" s="14"/>
      <c r="AK640" s="14"/>
      <c r="AL640" s="14"/>
      <c r="AM640" s="14"/>
      <c r="AN640" s="14"/>
      <c r="AO640" s="14"/>
      <c r="AP640" s="14"/>
      <c r="AQ640" s="14"/>
      <c r="AR640" s="14"/>
      <c r="AS640" s="14"/>
      <c r="AT640" s="14"/>
      <c r="AU640" s="14"/>
      <c r="AV640" s="14"/>
      <c r="AW640" s="14"/>
      <c r="AX640" s="14"/>
      <c r="AY640" s="14"/>
      <c r="AZ640" s="14"/>
      <c r="BA640" s="14"/>
      <c r="BB640" s="14"/>
      <c r="BC640" s="14"/>
      <c r="BD640" s="14"/>
      <c r="BE640" s="14"/>
      <c r="BF640" s="14"/>
      <c r="BG640" s="14"/>
      <c r="BH640" s="14"/>
      <c r="BI640" s="14"/>
      <c r="BJ640" s="14"/>
      <c r="BK640" s="14"/>
      <c r="BL640" s="14"/>
      <c r="BM640" s="14"/>
      <c r="BN640" s="14"/>
      <c r="BO640" s="14"/>
      <c r="BP640" s="14"/>
      <c r="BQ640" s="14"/>
      <c r="BR640" s="14"/>
      <c r="BS640" s="14"/>
      <c r="BT640" s="14"/>
      <c r="BU640" s="14"/>
      <c r="BV640" s="14"/>
      <c r="BW640" s="14"/>
      <c r="BX640" s="14"/>
      <c r="BY640" s="14"/>
      <c r="BZ640" s="14"/>
      <c r="CA640" s="14"/>
      <c r="CB640" s="14"/>
      <c r="CC640" s="14"/>
      <c r="CD640" s="14"/>
      <c r="CE640" s="14"/>
      <c r="CF640" s="14"/>
      <c r="CG640" s="14"/>
      <c r="CH640" s="14"/>
      <c r="CI640" s="14"/>
      <c r="CJ640" s="14"/>
      <c r="CK640" s="14"/>
      <c r="CL640" s="14"/>
      <c r="CM640" s="14"/>
      <c r="CN640" s="14"/>
      <c r="CO640" s="14"/>
      <c r="CP640" s="14"/>
      <c r="CQ640" s="14"/>
      <c r="CR640" s="14"/>
      <c r="CS640" s="14"/>
      <c r="CT640" s="14"/>
      <c r="CU640" s="14"/>
      <c r="CV640" s="14"/>
      <c r="CW640" s="14"/>
      <c r="CX640" s="14"/>
      <c r="CY640" s="14"/>
      <c r="CZ640" s="14"/>
      <c r="DA640" s="14"/>
      <c r="DB640" s="14"/>
      <c r="DC640" s="14"/>
      <c r="DD640" s="14"/>
      <c r="DE640" s="14"/>
      <c r="DF640" s="14"/>
      <c r="DG640" s="14"/>
      <c r="DH640" s="14"/>
      <c r="DI640" s="14"/>
      <c r="DJ640" s="14"/>
      <c r="DK640" s="14"/>
      <c r="DL640" s="14"/>
      <c r="DM640" s="14"/>
      <c r="DN640" s="14"/>
      <c r="DO640" s="14"/>
      <c r="DP640" s="14"/>
      <c r="DQ640" s="14"/>
      <c r="DR640" s="14"/>
      <c r="DS640" s="14"/>
      <c r="DT640" s="14"/>
      <c r="DU640" s="14"/>
      <c r="DV640" s="14"/>
      <c r="DW640" s="14"/>
      <c r="DX640" s="14"/>
      <c r="DY640" s="14"/>
      <c r="DZ640" s="14"/>
      <c r="EA640" s="14"/>
      <c r="EB640" s="14"/>
      <c r="EC640" s="14"/>
    </row>
    <row r="641" spans="1:133" s="13" customFormat="1" ht="172.2" x14ac:dyDescent="0.25">
      <c r="A641" s="63" t="s">
        <v>211</v>
      </c>
      <c r="B641" s="25" t="s">
        <v>84</v>
      </c>
      <c r="C641" s="35" t="s">
        <v>85</v>
      </c>
      <c r="D641" s="35" t="s">
        <v>355</v>
      </c>
      <c r="E641" s="25">
        <f>25.1/100</f>
        <v>0.251</v>
      </c>
      <c r="R641" s="14"/>
      <c r="S641" s="14"/>
      <c r="T641" s="14"/>
      <c r="U641" s="14"/>
      <c r="V641" s="14"/>
      <c r="W641" s="14"/>
      <c r="X641" s="14"/>
      <c r="Y641" s="14"/>
      <c r="Z641" s="14"/>
      <c r="AA641" s="14"/>
      <c r="AB641" s="14"/>
      <c r="AC641" s="14"/>
      <c r="AD641" s="14"/>
      <c r="AE641" s="14"/>
      <c r="AF641" s="14"/>
      <c r="AG641" s="14"/>
      <c r="AH641" s="14"/>
      <c r="AI641" s="14"/>
      <c r="AJ641" s="14"/>
      <c r="AK641" s="14"/>
      <c r="AL641" s="14"/>
      <c r="AM641" s="14"/>
      <c r="AN641" s="14"/>
      <c r="AO641" s="14"/>
      <c r="AP641" s="14"/>
      <c r="AQ641" s="14"/>
      <c r="AR641" s="14"/>
      <c r="AS641" s="14"/>
      <c r="AT641" s="14"/>
      <c r="AU641" s="14"/>
      <c r="AV641" s="14"/>
      <c r="AW641" s="14"/>
      <c r="AX641" s="14"/>
      <c r="AY641" s="14"/>
      <c r="AZ641" s="14"/>
      <c r="BA641" s="14"/>
      <c r="BB641" s="14"/>
      <c r="BC641" s="14"/>
      <c r="BD641" s="14"/>
      <c r="BE641" s="14"/>
      <c r="BF641" s="14"/>
      <c r="BG641" s="14"/>
      <c r="BH641" s="14"/>
      <c r="BI641" s="14"/>
      <c r="BJ641" s="14"/>
      <c r="BK641" s="14"/>
      <c r="BL641" s="14"/>
      <c r="BM641" s="14"/>
      <c r="BN641" s="14"/>
      <c r="BO641" s="14"/>
      <c r="BP641" s="14"/>
      <c r="BQ641" s="14"/>
      <c r="BR641" s="14"/>
      <c r="BS641" s="14"/>
      <c r="BT641" s="14"/>
      <c r="BU641" s="14"/>
      <c r="BV641" s="14"/>
      <c r="BW641" s="14"/>
      <c r="BX641" s="14"/>
      <c r="BY641" s="14"/>
      <c r="BZ641" s="14"/>
      <c r="CA641" s="14"/>
      <c r="CB641" s="14"/>
      <c r="CC641" s="14"/>
      <c r="CD641" s="14"/>
      <c r="CE641" s="14"/>
      <c r="CF641" s="14"/>
      <c r="CG641" s="14"/>
      <c r="CH641" s="14"/>
      <c r="CI641" s="14"/>
      <c r="CJ641" s="14"/>
      <c r="CK641" s="14"/>
      <c r="CL641" s="14"/>
      <c r="CM641" s="14"/>
      <c r="CN641" s="14"/>
      <c r="CO641" s="14"/>
      <c r="CP641" s="14"/>
      <c r="CQ641" s="14"/>
      <c r="CR641" s="14"/>
      <c r="CS641" s="14"/>
      <c r="CT641" s="14"/>
      <c r="CU641" s="14"/>
      <c r="CV641" s="14"/>
      <c r="CW641" s="14"/>
      <c r="CX641" s="14"/>
      <c r="CY641" s="14"/>
      <c r="CZ641" s="14"/>
      <c r="DA641" s="14"/>
      <c r="DB641" s="14"/>
      <c r="DC641" s="14"/>
      <c r="DD641" s="14"/>
      <c r="DE641" s="14"/>
      <c r="DF641" s="14"/>
      <c r="DG641" s="14"/>
      <c r="DH641" s="14"/>
      <c r="DI641" s="14"/>
      <c r="DJ641" s="14"/>
      <c r="DK641" s="14"/>
      <c r="DL641" s="14"/>
      <c r="DM641" s="14"/>
      <c r="DN641" s="14"/>
      <c r="DO641" s="14"/>
      <c r="DP641" s="14"/>
      <c r="DQ641" s="14"/>
      <c r="DR641" s="14"/>
      <c r="DS641" s="14"/>
      <c r="DT641" s="14"/>
      <c r="DU641" s="14"/>
      <c r="DV641" s="14"/>
      <c r="DW641" s="14"/>
      <c r="DX641" s="14"/>
      <c r="DY641" s="14"/>
      <c r="DZ641" s="14"/>
      <c r="EA641" s="14"/>
      <c r="EB641" s="14"/>
      <c r="EC641" s="14"/>
    </row>
    <row r="642" spans="1:133" s="13" customFormat="1" ht="156" x14ac:dyDescent="0.25">
      <c r="A642" s="63" t="s">
        <v>212</v>
      </c>
      <c r="B642" s="25" t="s">
        <v>87</v>
      </c>
      <c r="C642" s="35" t="s">
        <v>86</v>
      </c>
      <c r="D642" s="35" t="s">
        <v>356</v>
      </c>
      <c r="E642" s="25">
        <f>0.84/1000</f>
        <v>8.3999999999999993E-4</v>
      </c>
      <c r="R642" s="14"/>
      <c r="S642" s="14"/>
      <c r="T642" s="14"/>
      <c r="U642" s="14"/>
      <c r="V642" s="14"/>
      <c r="W642" s="14"/>
      <c r="X642" s="14"/>
      <c r="Y642" s="14"/>
      <c r="Z642" s="14"/>
      <c r="AA642" s="14"/>
      <c r="AB642" s="14"/>
      <c r="AC642" s="14"/>
      <c r="AD642" s="14"/>
      <c r="AE642" s="14"/>
      <c r="AF642" s="14"/>
      <c r="AG642" s="14"/>
      <c r="AH642" s="14"/>
      <c r="AI642" s="14"/>
      <c r="AJ642" s="14"/>
      <c r="AK642" s="14"/>
      <c r="AL642" s="14"/>
      <c r="AM642" s="14"/>
      <c r="AN642" s="14"/>
      <c r="AO642" s="14"/>
      <c r="AP642" s="14"/>
      <c r="AQ642" s="14"/>
      <c r="AR642" s="14"/>
      <c r="AS642" s="14"/>
      <c r="AT642" s="14"/>
      <c r="AU642" s="14"/>
      <c r="AV642" s="14"/>
      <c r="AW642" s="14"/>
      <c r="AX642" s="14"/>
      <c r="AY642" s="14"/>
      <c r="AZ642" s="14"/>
      <c r="BA642" s="14"/>
      <c r="BB642" s="14"/>
      <c r="BC642" s="14"/>
      <c r="BD642" s="14"/>
      <c r="BE642" s="14"/>
      <c r="BF642" s="14"/>
      <c r="BG642" s="14"/>
      <c r="BH642" s="14"/>
      <c r="BI642" s="14"/>
      <c r="BJ642" s="14"/>
      <c r="BK642" s="14"/>
      <c r="BL642" s="14"/>
      <c r="BM642" s="14"/>
      <c r="BN642" s="14"/>
      <c r="BO642" s="14"/>
      <c r="BP642" s="14"/>
      <c r="BQ642" s="14"/>
      <c r="BR642" s="14"/>
      <c r="BS642" s="14"/>
      <c r="BT642" s="14"/>
      <c r="BU642" s="14"/>
      <c r="BV642" s="14"/>
      <c r="BW642" s="14"/>
      <c r="BX642" s="14"/>
      <c r="BY642" s="14"/>
      <c r="BZ642" s="14"/>
      <c r="CA642" s="14"/>
      <c r="CB642" s="14"/>
      <c r="CC642" s="14"/>
      <c r="CD642" s="14"/>
      <c r="CE642" s="14"/>
      <c r="CF642" s="14"/>
      <c r="CG642" s="14"/>
      <c r="CH642" s="14"/>
      <c r="CI642" s="14"/>
      <c r="CJ642" s="14"/>
      <c r="CK642" s="14"/>
      <c r="CL642" s="14"/>
      <c r="CM642" s="14"/>
      <c r="CN642" s="14"/>
      <c r="CO642" s="14"/>
      <c r="CP642" s="14"/>
      <c r="CQ642" s="14"/>
      <c r="CR642" s="14"/>
      <c r="CS642" s="14"/>
      <c r="CT642" s="14"/>
      <c r="CU642" s="14"/>
      <c r="CV642" s="14"/>
      <c r="CW642" s="14"/>
      <c r="CX642" s="14"/>
      <c r="CY642" s="14"/>
      <c r="CZ642" s="14"/>
      <c r="DA642" s="14"/>
      <c r="DB642" s="14"/>
      <c r="DC642" s="14"/>
      <c r="DD642" s="14"/>
      <c r="DE642" s="14"/>
      <c r="DF642" s="14"/>
      <c r="DG642" s="14"/>
      <c r="DH642" s="14"/>
      <c r="DI642" s="14"/>
      <c r="DJ642" s="14"/>
      <c r="DK642" s="14"/>
      <c r="DL642" s="14"/>
      <c r="DM642" s="14"/>
      <c r="DN642" s="14"/>
      <c r="DO642" s="14"/>
      <c r="DP642" s="14"/>
      <c r="DQ642" s="14"/>
      <c r="DR642" s="14"/>
      <c r="DS642" s="14"/>
      <c r="DT642" s="14"/>
      <c r="DU642" s="14"/>
      <c r="DV642" s="14"/>
      <c r="DW642" s="14"/>
      <c r="DX642" s="14"/>
      <c r="DY642" s="14"/>
      <c r="DZ642" s="14"/>
      <c r="EA642" s="14"/>
      <c r="EB642" s="14"/>
      <c r="EC642" s="14"/>
    </row>
    <row r="643" spans="1:133" s="13" customFormat="1" ht="171.6" x14ac:dyDescent="0.25">
      <c r="A643" s="63" t="s">
        <v>213</v>
      </c>
      <c r="B643" s="25" t="s">
        <v>88</v>
      </c>
      <c r="C643" s="35" t="s">
        <v>89</v>
      </c>
      <c r="D643" s="35" t="s">
        <v>357</v>
      </c>
      <c r="E643" s="25">
        <f>43.33/1000</f>
        <v>4.333E-2</v>
      </c>
      <c r="R643" s="14"/>
      <c r="S643" s="14"/>
      <c r="T643" s="14"/>
      <c r="U643" s="14"/>
      <c r="V643" s="14"/>
      <c r="W643" s="14"/>
      <c r="X643" s="14"/>
      <c r="Y643" s="14"/>
      <c r="Z643" s="14"/>
      <c r="AA643" s="14"/>
      <c r="AB643" s="14"/>
      <c r="AC643" s="14"/>
      <c r="AD643" s="14"/>
      <c r="AE643" s="14"/>
      <c r="AF643" s="14"/>
      <c r="AG643" s="14"/>
      <c r="AH643" s="14"/>
      <c r="AI643" s="14"/>
      <c r="AJ643" s="14"/>
      <c r="AK643" s="14"/>
      <c r="AL643" s="14"/>
      <c r="AM643" s="14"/>
      <c r="AN643" s="14"/>
      <c r="AO643" s="14"/>
      <c r="AP643" s="14"/>
      <c r="AQ643" s="14"/>
      <c r="AR643" s="14"/>
      <c r="AS643" s="14"/>
      <c r="AT643" s="14"/>
      <c r="AU643" s="14"/>
      <c r="AV643" s="14"/>
      <c r="AW643" s="14"/>
      <c r="AX643" s="14"/>
      <c r="AY643" s="14"/>
      <c r="AZ643" s="14"/>
      <c r="BA643" s="14"/>
      <c r="BB643" s="14"/>
      <c r="BC643" s="14"/>
      <c r="BD643" s="14"/>
      <c r="BE643" s="14"/>
      <c r="BF643" s="14"/>
      <c r="BG643" s="14"/>
      <c r="BH643" s="14"/>
      <c r="BI643" s="14"/>
      <c r="BJ643" s="14"/>
      <c r="BK643" s="14"/>
      <c r="BL643" s="14"/>
      <c r="BM643" s="14"/>
      <c r="BN643" s="14"/>
      <c r="BO643" s="14"/>
      <c r="BP643" s="14"/>
      <c r="BQ643" s="14"/>
      <c r="BR643" s="14"/>
      <c r="BS643" s="14"/>
      <c r="BT643" s="14"/>
      <c r="BU643" s="14"/>
      <c r="BV643" s="14"/>
      <c r="BW643" s="14"/>
      <c r="BX643" s="14"/>
      <c r="BY643" s="14"/>
      <c r="BZ643" s="14"/>
      <c r="CA643" s="14"/>
      <c r="CB643" s="14"/>
      <c r="CC643" s="14"/>
      <c r="CD643" s="14"/>
      <c r="CE643" s="14"/>
      <c r="CF643" s="14"/>
      <c r="CG643" s="14"/>
      <c r="CH643" s="14"/>
      <c r="CI643" s="14"/>
      <c r="CJ643" s="14"/>
      <c r="CK643" s="14"/>
      <c r="CL643" s="14"/>
      <c r="CM643" s="14"/>
      <c r="CN643" s="14"/>
      <c r="CO643" s="14"/>
      <c r="CP643" s="14"/>
      <c r="CQ643" s="14"/>
      <c r="CR643" s="14"/>
      <c r="CS643" s="14"/>
      <c r="CT643" s="14"/>
      <c r="CU643" s="14"/>
      <c r="CV643" s="14"/>
      <c r="CW643" s="14"/>
      <c r="CX643" s="14"/>
      <c r="CY643" s="14"/>
      <c r="CZ643" s="14"/>
      <c r="DA643" s="14"/>
      <c r="DB643" s="14"/>
      <c r="DC643" s="14"/>
      <c r="DD643" s="14"/>
      <c r="DE643" s="14"/>
      <c r="DF643" s="14"/>
      <c r="DG643" s="14"/>
      <c r="DH643" s="14"/>
      <c r="DI643" s="14"/>
      <c r="DJ643" s="14"/>
      <c r="DK643" s="14"/>
      <c r="DL643" s="14"/>
      <c r="DM643" s="14"/>
      <c r="DN643" s="14"/>
      <c r="DO643" s="14"/>
      <c r="DP643" s="14"/>
      <c r="DQ643" s="14"/>
      <c r="DR643" s="14"/>
      <c r="DS643" s="14"/>
      <c r="DT643" s="14"/>
      <c r="DU643" s="14"/>
      <c r="DV643" s="14"/>
      <c r="DW643" s="14"/>
      <c r="DX643" s="14"/>
      <c r="DY643" s="14"/>
      <c r="DZ643" s="14"/>
      <c r="EA643" s="14"/>
      <c r="EB643" s="14"/>
      <c r="EC643" s="14"/>
    </row>
    <row r="644" spans="1:133" s="13" customFormat="1" ht="62.4" x14ac:dyDescent="0.25">
      <c r="A644" s="63" t="s">
        <v>214</v>
      </c>
      <c r="B644" s="25" t="s">
        <v>90</v>
      </c>
      <c r="C644" s="35" t="s">
        <v>91</v>
      </c>
      <c r="D644" s="35" t="s">
        <v>358</v>
      </c>
      <c r="E644" s="25">
        <v>74.099999999999994</v>
      </c>
      <c r="R644" s="14"/>
      <c r="S644" s="14"/>
      <c r="T644" s="14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4"/>
      <c r="AF644" s="14"/>
      <c r="AG644" s="14"/>
      <c r="AH644" s="14"/>
      <c r="AI644" s="14"/>
      <c r="AJ644" s="14"/>
      <c r="AK644" s="14"/>
      <c r="AL644" s="14"/>
      <c r="AM644" s="14"/>
      <c r="AN644" s="14"/>
      <c r="AO644" s="14"/>
      <c r="AP644" s="14"/>
      <c r="AQ644" s="14"/>
      <c r="AR644" s="14"/>
      <c r="AS644" s="14"/>
      <c r="AT644" s="14"/>
      <c r="AU644" s="14"/>
      <c r="AV644" s="14"/>
      <c r="AW644" s="14"/>
      <c r="AX644" s="14"/>
      <c r="AY644" s="14"/>
      <c r="AZ644" s="14"/>
      <c r="BA644" s="14"/>
      <c r="BB644" s="14"/>
      <c r="BC644" s="14"/>
      <c r="BD644" s="14"/>
      <c r="BE644" s="14"/>
      <c r="BF644" s="14"/>
      <c r="BG644" s="14"/>
      <c r="BH644" s="14"/>
      <c r="BI644" s="14"/>
      <c r="BJ644" s="14"/>
      <c r="BK644" s="14"/>
      <c r="BL644" s="14"/>
      <c r="BM644" s="14"/>
      <c r="BN644" s="14"/>
      <c r="BO644" s="14"/>
      <c r="BP644" s="14"/>
      <c r="BQ644" s="14"/>
      <c r="BR644" s="14"/>
      <c r="BS644" s="14"/>
      <c r="BT644" s="14"/>
      <c r="BU644" s="14"/>
      <c r="BV644" s="14"/>
      <c r="BW644" s="14"/>
      <c r="BX644" s="14"/>
      <c r="BY644" s="14"/>
      <c r="BZ644" s="14"/>
      <c r="CA644" s="14"/>
      <c r="CB644" s="14"/>
      <c r="CC644" s="14"/>
      <c r="CD644" s="14"/>
      <c r="CE644" s="14"/>
      <c r="CF644" s="14"/>
      <c r="CG644" s="14"/>
      <c r="CH644" s="14"/>
      <c r="CI644" s="14"/>
      <c r="CJ644" s="14"/>
      <c r="CK644" s="14"/>
      <c r="CL644" s="14"/>
      <c r="CM644" s="14"/>
      <c r="CN644" s="14"/>
      <c r="CO644" s="14"/>
      <c r="CP644" s="14"/>
      <c r="CQ644" s="14"/>
      <c r="CR644" s="14"/>
      <c r="CS644" s="14"/>
      <c r="CT644" s="14"/>
      <c r="CU644" s="14"/>
      <c r="CV644" s="14"/>
      <c r="CW644" s="14"/>
      <c r="CX644" s="14"/>
      <c r="CY644" s="14"/>
      <c r="CZ644" s="14"/>
      <c r="DA644" s="14"/>
      <c r="DB644" s="14"/>
      <c r="DC644" s="14"/>
      <c r="DD644" s="14"/>
      <c r="DE644" s="14"/>
      <c r="DF644" s="14"/>
      <c r="DG644" s="14"/>
      <c r="DH644" s="14"/>
      <c r="DI644" s="14"/>
      <c r="DJ644" s="14"/>
      <c r="DK644" s="14"/>
      <c r="DL644" s="14"/>
      <c r="DM644" s="14"/>
      <c r="DN644" s="14"/>
      <c r="DO644" s="14"/>
      <c r="DP644" s="14"/>
      <c r="DQ644" s="14"/>
      <c r="DR644" s="14"/>
      <c r="DS644" s="14"/>
      <c r="DT644" s="14"/>
      <c r="DU644" s="14"/>
      <c r="DV644" s="14"/>
      <c r="DW644" s="14"/>
      <c r="DX644" s="14"/>
      <c r="DY644" s="14"/>
      <c r="DZ644" s="14"/>
      <c r="EA644" s="14"/>
      <c r="EB644" s="14"/>
      <c r="EC644" s="14"/>
    </row>
    <row r="646" spans="1:133" s="13" customFormat="1" ht="15.6" customHeight="1" x14ac:dyDescent="0.25">
      <c r="A646" s="36" t="s">
        <v>93</v>
      </c>
      <c r="B646" s="36"/>
      <c r="C646" s="36"/>
      <c r="D646" s="36"/>
      <c r="E646" s="36"/>
      <c r="R646" s="14"/>
      <c r="S646" s="14"/>
      <c r="T646" s="14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4"/>
      <c r="AF646" s="14"/>
      <c r="AG646" s="14"/>
      <c r="AH646" s="14"/>
      <c r="AI646" s="14"/>
      <c r="AJ646" s="14"/>
      <c r="AK646" s="14"/>
      <c r="AL646" s="14"/>
      <c r="AM646" s="14"/>
      <c r="AN646" s="14"/>
      <c r="AO646" s="14"/>
      <c r="AP646" s="14"/>
      <c r="AQ646" s="14"/>
      <c r="AR646" s="14"/>
      <c r="AS646" s="14"/>
      <c r="AT646" s="14"/>
      <c r="AU646" s="14"/>
      <c r="AV646" s="14"/>
      <c r="AW646" s="14"/>
      <c r="AX646" s="14"/>
      <c r="AY646" s="14"/>
      <c r="AZ646" s="14"/>
      <c r="BA646" s="14"/>
      <c r="BB646" s="14"/>
      <c r="BC646" s="14"/>
      <c r="BD646" s="14"/>
      <c r="BE646" s="14"/>
      <c r="BF646" s="14"/>
      <c r="BG646" s="14"/>
      <c r="BH646" s="14"/>
      <c r="BI646" s="14"/>
      <c r="BJ646" s="14"/>
      <c r="BK646" s="14"/>
      <c r="BL646" s="14"/>
      <c r="BM646" s="14"/>
      <c r="BN646" s="14"/>
      <c r="BO646" s="14"/>
      <c r="BP646" s="14"/>
      <c r="BQ646" s="14"/>
      <c r="BR646" s="14"/>
      <c r="BS646" s="14"/>
      <c r="BT646" s="14"/>
      <c r="BU646" s="14"/>
      <c r="BV646" s="14"/>
      <c r="BW646" s="14"/>
      <c r="BX646" s="14"/>
      <c r="BY646" s="14"/>
      <c r="BZ646" s="14"/>
      <c r="CA646" s="14"/>
      <c r="CB646" s="14"/>
      <c r="CC646" s="14"/>
      <c r="CD646" s="14"/>
      <c r="CE646" s="14"/>
      <c r="CF646" s="14"/>
      <c r="CG646" s="14"/>
      <c r="CH646" s="14"/>
      <c r="CI646" s="14"/>
      <c r="CJ646" s="14"/>
      <c r="CK646" s="14"/>
      <c r="CL646" s="14"/>
      <c r="CM646" s="14"/>
      <c r="CN646" s="14"/>
      <c r="CO646" s="14"/>
      <c r="CP646" s="14"/>
      <c r="CQ646" s="14"/>
      <c r="CR646" s="14"/>
      <c r="CS646" s="14"/>
      <c r="CT646" s="14"/>
      <c r="CU646" s="14"/>
      <c r="CV646" s="14"/>
      <c r="CW646" s="14"/>
      <c r="CX646" s="14"/>
      <c r="CY646" s="14"/>
      <c r="CZ646" s="14"/>
      <c r="DA646" s="14"/>
      <c r="DB646" s="14"/>
      <c r="DC646" s="14"/>
      <c r="DD646" s="14"/>
      <c r="DE646" s="14"/>
      <c r="DF646" s="14"/>
      <c r="DG646" s="14"/>
      <c r="DH646" s="14"/>
      <c r="DI646" s="14"/>
      <c r="DJ646" s="14"/>
      <c r="DK646" s="14"/>
      <c r="DL646" s="14"/>
      <c r="DM646" s="14"/>
      <c r="DN646" s="14"/>
      <c r="DO646" s="14"/>
      <c r="DP646" s="14"/>
      <c r="DQ646" s="14"/>
      <c r="DR646" s="14"/>
      <c r="DS646" s="14"/>
      <c r="DT646" s="14"/>
      <c r="DU646" s="14"/>
      <c r="DV646" s="14"/>
      <c r="DW646" s="14"/>
      <c r="DX646" s="14"/>
      <c r="DY646" s="14"/>
      <c r="DZ646" s="14"/>
      <c r="EA646" s="14"/>
      <c r="EB646" s="14"/>
      <c r="EC646" s="14"/>
    </row>
    <row r="647" spans="1:133" s="13" customFormat="1" x14ac:dyDescent="0.25">
      <c r="A647" s="57" t="s">
        <v>8</v>
      </c>
      <c r="B647" s="58" t="s">
        <v>9</v>
      </c>
      <c r="C647" s="34" t="s">
        <v>10</v>
      </c>
      <c r="D647" s="34" t="s">
        <v>340</v>
      </c>
      <c r="E647" s="16" t="s">
        <v>65</v>
      </c>
      <c r="R647" s="14"/>
      <c r="S647" s="14"/>
      <c r="T647" s="14"/>
      <c r="U647" s="14"/>
      <c r="V647" s="14"/>
      <c r="W647" s="14"/>
      <c r="X647" s="14"/>
      <c r="Y647" s="14"/>
      <c r="Z647" s="14"/>
      <c r="AA647" s="14"/>
      <c r="AB647" s="14"/>
      <c r="AC647" s="14"/>
      <c r="AD647" s="14"/>
      <c r="AE647" s="14"/>
      <c r="AF647" s="14"/>
      <c r="AG647" s="14"/>
      <c r="AH647" s="14"/>
      <c r="AI647" s="14"/>
      <c r="AJ647" s="14"/>
      <c r="AK647" s="14"/>
      <c r="AL647" s="14"/>
      <c r="AM647" s="14"/>
      <c r="AN647" s="14"/>
      <c r="AO647" s="14"/>
      <c r="AP647" s="14"/>
      <c r="AQ647" s="14"/>
      <c r="AR647" s="14"/>
      <c r="AS647" s="14"/>
      <c r="AT647" s="14"/>
      <c r="AU647" s="14"/>
      <c r="AV647" s="14"/>
      <c r="AW647" s="14"/>
      <c r="AX647" s="14"/>
      <c r="AY647" s="14"/>
      <c r="AZ647" s="14"/>
      <c r="BA647" s="14"/>
      <c r="BB647" s="14"/>
      <c r="BC647" s="14"/>
      <c r="BD647" s="14"/>
      <c r="BE647" s="14"/>
      <c r="BF647" s="14"/>
      <c r="BG647" s="14"/>
      <c r="BH647" s="14"/>
      <c r="BI647" s="14"/>
      <c r="BJ647" s="14"/>
      <c r="BK647" s="14"/>
      <c r="BL647" s="14"/>
      <c r="BM647" s="14"/>
      <c r="BN647" s="14"/>
      <c r="BO647" s="14"/>
      <c r="BP647" s="14"/>
      <c r="BQ647" s="14"/>
      <c r="BR647" s="14"/>
      <c r="BS647" s="14"/>
      <c r="BT647" s="14"/>
      <c r="BU647" s="14"/>
      <c r="BV647" s="14"/>
      <c r="BW647" s="14"/>
      <c r="BX647" s="14"/>
      <c r="BY647" s="14"/>
      <c r="BZ647" s="14"/>
      <c r="CA647" s="14"/>
      <c r="CB647" s="14"/>
      <c r="CC647" s="14"/>
      <c r="CD647" s="14"/>
      <c r="CE647" s="14"/>
      <c r="CF647" s="14"/>
      <c r="CG647" s="14"/>
      <c r="CH647" s="14"/>
      <c r="CI647" s="14"/>
      <c r="CJ647" s="14"/>
      <c r="CK647" s="14"/>
      <c r="CL647" s="14"/>
      <c r="CM647" s="14"/>
      <c r="CN647" s="14"/>
      <c r="CO647" s="14"/>
      <c r="CP647" s="14"/>
      <c r="CQ647" s="14"/>
      <c r="CR647" s="14"/>
      <c r="CS647" s="14"/>
      <c r="CT647" s="14"/>
      <c r="CU647" s="14"/>
      <c r="CV647" s="14"/>
      <c r="CW647" s="14"/>
      <c r="CX647" s="14"/>
      <c r="CY647" s="14"/>
      <c r="CZ647" s="14"/>
      <c r="DA647" s="14"/>
      <c r="DB647" s="14"/>
      <c r="DC647" s="14"/>
      <c r="DD647" s="14"/>
      <c r="DE647" s="14"/>
      <c r="DF647" s="14"/>
      <c r="DG647" s="14"/>
      <c r="DH647" s="14"/>
      <c r="DI647" s="14"/>
      <c r="DJ647" s="14"/>
      <c r="DK647" s="14"/>
      <c r="DL647" s="14"/>
      <c r="DM647" s="14"/>
      <c r="DN647" s="14"/>
      <c r="DO647" s="14"/>
      <c r="DP647" s="14"/>
      <c r="DQ647" s="14"/>
      <c r="DR647" s="14"/>
      <c r="DS647" s="14"/>
      <c r="DT647" s="14"/>
      <c r="DU647" s="14"/>
      <c r="DV647" s="14"/>
      <c r="DW647" s="14"/>
      <c r="DX647" s="14"/>
      <c r="DY647" s="14"/>
      <c r="DZ647" s="14"/>
      <c r="EA647" s="14"/>
      <c r="EB647" s="14"/>
      <c r="EC647" s="14"/>
    </row>
    <row r="648" spans="1:133" s="13" customFormat="1" ht="64.8" x14ac:dyDescent="0.25">
      <c r="A648" s="15" t="s">
        <v>94</v>
      </c>
      <c r="B648" s="25" t="s">
        <v>95</v>
      </c>
      <c r="C648" s="35" t="s">
        <v>96</v>
      </c>
      <c r="D648" s="35" t="s">
        <v>97</v>
      </c>
      <c r="E648" s="16">
        <v>0</v>
      </c>
      <c r="R648" s="14"/>
      <c r="S648" s="14"/>
      <c r="T648" s="14"/>
      <c r="U648" s="14"/>
      <c r="V648" s="14"/>
      <c r="W648" s="14"/>
      <c r="X648" s="14"/>
      <c r="Y648" s="14"/>
      <c r="Z648" s="14"/>
      <c r="AA648" s="14"/>
      <c r="AB648" s="14"/>
      <c r="AC648" s="14"/>
      <c r="AD648" s="14"/>
      <c r="AE648" s="14"/>
      <c r="AF648" s="14"/>
      <c r="AG648" s="14"/>
      <c r="AH648" s="14"/>
      <c r="AI648" s="14"/>
      <c r="AJ648" s="14"/>
      <c r="AK648" s="14"/>
      <c r="AL648" s="14"/>
      <c r="AM648" s="14"/>
      <c r="AN648" s="14"/>
      <c r="AO648" s="14"/>
      <c r="AP648" s="14"/>
      <c r="AQ648" s="14"/>
      <c r="AR648" s="14"/>
      <c r="AS648" s="14"/>
      <c r="AT648" s="14"/>
      <c r="AU648" s="14"/>
      <c r="AV648" s="14"/>
      <c r="AW648" s="14"/>
      <c r="AX648" s="14"/>
      <c r="AY648" s="14"/>
      <c r="AZ648" s="14"/>
      <c r="BA648" s="14"/>
      <c r="BB648" s="14"/>
      <c r="BC648" s="14"/>
      <c r="BD648" s="14"/>
      <c r="BE648" s="14"/>
      <c r="BF648" s="14"/>
      <c r="BG648" s="14"/>
      <c r="BH648" s="14"/>
      <c r="BI648" s="14"/>
      <c r="BJ648" s="14"/>
      <c r="BK648" s="14"/>
      <c r="BL648" s="14"/>
      <c r="BM648" s="14"/>
      <c r="BN648" s="14"/>
      <c r="BO648" s="14"/>
      <c r="BP648" s="14"/>
      <c r="BQ648" s="14"/>
      <c r="BR648" s="14"/>
      <c r="BS648" s="14"/>
      <c r="BT648" s="14"/>
      <c r="BU648" s="14"/>
      <c r="BV648" s="14"/>
      <c r="BW648" s="14"/>
      <c r="BX648" s="14"/>
      <c r="BY648" s="14"/>
      <c r="BZ648" s="14"/>
      <c r="CA648" s="14"/>
      <c r="CB648" s="14"/>
      <c r="CC648" s="14"/>
      <c r="CD648" s="14"/>
      <c r="CE648" s="14"/>
      <c r="CF648" s="14"/>
      <c r="CG648" s="14"/>
      <c r="CH648" s="14"/>
      <c r="CI648" s="14"/>
      <c r="CJ648" s="14"/>
      <c r="CK648" s="14"/>
      <c r="CL648" s="14"/>
      <c r="CM648" s="14"/>
      <c r="CN648" s="14"/>
      <c r="CO648" s="14"/>
      <c r="CP648" s="14"/>
      <c r="CQ648" s="14"/>
      <c r="CR648" s="14"/>
      <c r="CS648" s="14"/>
      <c r="CT648" s="14"/>
      <c r="CU648" s="14"/>
      <c r="CV648" s="14"/>
      <c r="CW648" s="14"/>
      <c r="CX648" s="14"/>
      <c r="CY648" s="14"/>
      <c r="CZ648" s="14"/>
      <c r="DA648" s="14"/>
      <c r="DB648" s="14"/>
      <c r="DC648" s="14"/>
      <c r="DD648" s="14"/>
      <c r="DE648" s="14"/>
      <c r="DF648" s="14"/>
      <c r="DG648" s="14"/>
      <c r="DH648" s="14"/>
      <c r="DI648" s="14"/>
      <c r="DJ648" s="14"/>
      <c r="DK648" s="14"/>
      <c r="DL648" s="14"/>
      <c r="DM648" s="14"/>
      <c r="DN648" s="14"/>
      <c r="DO648" s="14"/>
      <c r="DP648" s="14"/>
      <c r="DQ648" s="14"/>
      <c r="DR648" s="14"/>
      <c r="DS648" s="14"/>
      <c r="DT648" s="14"/>
      <c r="DU648" s="14"/>
      <c r="DV648" s="14"/>
      <c r="DW648" s="14"/>
      <c r="DX648" s="14"/>
      <c r="DY648" s="14"/>
      <c r="DZ648" s="14"/>
      <c r="EA648" s="14"/>
      <c r="EB648" s="14"/>
      <c r="EC648" s="14"/>
    </row>
    <row r="650" spans="1:133" s="13" customFormat="1" ht="15.6" customHeight="1" x14ac:dyDescent="0.25">
      <c r="A650" s="36" t="s">
        <v>98</v>
      </c>
      <c r="B650" s="36"/>
      <c r="C650" s="36"/>
      <c r="D650" s="36"/>
      <c r="E650" s="36"/>
      <c r="R650" s="14"/>
      <c r="S650" s="14"/>
      <c r="T650" s="14"/>
      <c r="U650" s="14"/>
      <c r="V650" s="14"/>
      <c r="W650" s="14"/>
      <c r="X650" s="14"/>
      <c r="Y650" s="14"/>
      <c r="Z650" s="14"/>
      <c r="AA650" s="14"/>
      <c r="AB650" s="14"/>
      <c r="AC650" s="14"/>
      <c r="AD650" s="14"/>
      <c r="AE650" s="14"/>
      <c r="AF650" s="14"/>
      <c r="AG650" s="14"/>
      <c r="AH650" s="14"/>
      <c r="AI650" s="14"/>
      <c r="AJ650" s="14"/>
      <c r="AK650" s="14"/>
      <c r="AL650" s="14"/>
      <c r="AM650" s="14"/>
      <c r="AN650" s="14"/>
      <c r="AO650" s="14"/>
      <c r="AP650" s="14"/>
      <c r="AQ650" s="14"/>
      <c r="AR650" s="14"/>
      <c r="AS650" s="14"/>
      <c r="AT650" s="14"/>
      <c r="AU650" s="14"/>
      <c r="AV650" s="14"/>
      <c r="AW650" s="14"/>
      <c r="AX650" s="14"/>
      <c r="AY650" s="14"/>
      <c r="AZ650" s="14"/>
      <c r="BA650" s="14"/>
      <c r="BB650" s="14"/>
      <c r="BC650" s="14"/>
      <c r="BD650" s="14"/>
      <c r="BE650" s="14"/>
      <c r="BF650" s="14"/>
      <c r="BG650" s="14"/>
      <c r="BH650" s="14"/>
      <c r="BI650" s="14"/>
      <c r="BJ650" s="14"/>
      <c r="BK650" s="14"/>
      <c r="BL650" s="14"/>
      <c r="BM650" s="14"/>
      <c r="BN650" s="14"/>
      <c r="BO650" s="14"/>
      <c r="BP650" s="14"/>
      <c r="BQ650" s="14"/>
      <c r="BR650" s="14"/>
      <c r="BS650" s="14"/>
      <c r="BT650" s="14"/>
      <c r="BU650" s="14"/>
      <c r="BV650" s="14"/>
      <c r="BW650" s="14"/>
      <c r="BX650" s="14"/>
      <c r="BY650" s="14"/>
      <c r="BZ650" s="14"/>
      <c r="CA650" s="14"/>
      <c r="CB650" s="14"/>
      <c r="CC650" s="14"/>
      <c r="CD650" s="14"/>
      <c r="CE650" s="14"/>
      <c r="CF650" s="14"/>
      <c r="CG650" s="14"/>
      <c r="CH650" s="14"/>
      <c r="CI650" s="14"/>
      <c r="CJ650" s="14"/>
      <c r="CK650" s="14"/>
      <c r="CL650" s="14"/>
      <c r="CM650" s="14"/>
      <c r="CN650" s="14"/>
      <c r="CO650" s="14"/>
      <c r="CP650" s="14"/>
      <c r="CQ650" s="14"/>
      <c r="CR650" s="14"/>
      <c r="CS650" s="14"/>
      <c r="CT650" s="14"/>
      <c r="CU650" s="14"/>
      <c r="CV650" s="14"/>
      <c r="CW650" s="14"/>
      <c r="CX650" s="14"/>
      <c r="CY650" s="14"/>
      <c r="CZ650" s="14"/>
      <c r="DA650" s="14"/>
      <c r="DB650" s="14"/>
      <c r="DC650" s="14"/>
      <c r="DD650" s="14"/>
      <c r="DE650" s="14"/>
      <c r="DF650" s="14"/>
      <c r="DG650" s="14"/>
      <c r="DH650" s="14"/>
      <c r="DI650" s="14"/>
      <c r="DJ650" s="14"/>
      <c r="DK650" s="14"/>
      <c r="DL650" s="14"/>
      <c r="DM650" s="14"/>
      <c r="DN650" s="14"/>
      <c r="DO650" s="14"/>
      <c r="DP650" s="14"/>
      <c r="DQ650" s="14"/>
      <c r="DR650" s="14"/>
      <c r="DS650" s="14"/>
      <c r="DT650" s="14"/>
      <c r="DU650" s="14"/>
      <c r="DV650" s="14"/>
      <c r="DW650" s="14"/>
      <c r="DX650" s="14"/>
      <c r="DY650" s="14"/>
      <c r="DZ650" s="14"/>
      <c r="EA650" s="14"/>
      <c r="EB650" s="14"/>
      <c r="EC650" s="14"/>
    </row>
    <row r="651" spans="1:133" s="13" customFormat="1" x14ac:dyDescent="0.25">
      <c r="A651" s="57" t="s">
        <v>8</v>
      </c>
      <c r="B651" s="58" t="s">
        <v>9</v>
      </c>
      <c r="C651" s="34" t="s">
        <v>10</v>
      </c>
      <c r="D651" s="34" t="s">
        <v>340</v>
      </c>
      <c r="E651" s="16" t="s">
        <v>65</v>
      </c>
      <c r="R651" s="14"/>
      <c r="S651" s="14"/>
      <c r="T651" s="14"/>
      <c r="U651" s="14"/>
      <c r="V651" s="14"/>
      <c r="W651" s="14"/>
      <c r="X651" s="14"/>
      <c r="Y651" s="14"/>
      <c r="Z651" s="14"/>
      <c r="AA651" s="14"/>
      <c r="AB651" s="14"/>
      <c r="AC651" s="14"/>
      <c r="AD651" s="14"/>
      <c r="AE651" s="14"/>
      <c r="AF651" s="14"/>
      <c r="AG651" s="14"/>
      <c r="AH651" s="14"/>
      <c r="AI651" s="14"/>
      <c r="AJ651" s="14"/>
      <c r="AK651" s="14"/>
      <c r="AL651" s="14"/>
      <c r="AM651" s="14"/>
      <c r="AN651" s="14"/>
      <c r="AO651" s="14"/>
      <c r="AP651" s="14"/>
      <c r="AQ651" s="14"/>
      <c r="AR651" s="14"/>
      <c r="AS651" s="14"/>
      <c r="AT651" s="14"/>
      <c r="AU651" s="14"/>
      <c r="AV651" s="14"/>
      <c r="AW651" s="14"/>
      <c r="AX651" s="14"/>
      <c r="AY651" s="14"/>
      <c r="AZ651" s="14"/>
      <c r="BA651" s="14"/>
      <c r="BB651" s="14"/>
      <c r="BC651" s="14"/>
      <c r="BD651" s="14"/>
      <c r="BE651" s="14"/>
      <c r="BF651" s="14"/>
      <c r="BG651" s="14"/>
      <c r="BH651" s="14"/>
      <c r="BI651" s="14"/>
      <c r="BJ651" s="14"/>
      <c r="BK651" s="14"/>
      <c r="BL651" s="14"/>
      <c r="BM651" s="14"/>
      <c r="BN651" s="14"/>
      <c r="BO651" s="14"/>
      <c r="BP651" s="14"/>
      <c r="BQ651" s="14"/>
      <c r="BR651" s="14"/>
      <c r="BS651" s="14"/>
      <c r="BT651" s="14"/>
      <c r="BU651" s="14"/>
      <c r="BV651" s="14"/>
      <c r="BW651" s="14"/>
      <c r="BX651" s="14"/>
      <c r="BY651" s="14"/>
      <c r="BZ651" s="14"/>
      <c r="CA651" s="14"/>
      <c r="CB651" s="14"/>
      <c r="CC651" s="14"/>
      <c r="CD651" s="14"/>
      <c r="CE651" s="14"/>
      <c r="CF651" s="14"/>
      <c r="CG651" s="14"/>
      <c r="CH651" s="14"/>
      <c r="CI651" s="14"/>
      <c r="CJ651" s="14"/>
      <c r="CK651" s="14"/>
      <c r="CL651" s="14"/>
      <c r="CM651" s="14"/>
      <c r="CN651" s="14"/>
      <c r="CO651" s="14"/>
      <c r="CP651" s="14"/>
      <c r="CQ651" s="14"/>
      <c r="CR651" s="14"/>
      <c r="CS651" s="14"/>
      <c r="CT651" s="14"/>
      <c r="CU651" s="14"/>
      <c r="CV651" s="14"/>
      <c r="CW651" s="14"/>
      <c r="CX651" s="14"/>
      <c r="CY651" s="14"/>
      <c r="CZ651" s="14"/>
      <c r="DA651" s="14"/>
      <c r="DB651" s="14"/>
      <c r="DC651" s="14"/>
      <c r="DD651" s="14"/>
      <c r="DE651" s="14"/>
      <c r="DF651" s="14"/>
      <c r="DG651" s="14"/>
      <c r="DH651" s="14"/>
      <c r="DI651" s="14"/>
      <c r="DJ651" s="14"/>
      <c r="DK651" s="14"/>
      <c r="DL651" s="14"/>
      <c r="DM651" s="14"/>
      <c r="DN651" s="14"/>
      <c r="DO651" s="14"/>
      <c r="DP651" s="14"/>
      <c r="DQ651" s="14"/>
      <c r="DR651" s="14"/>
      <c r="DS651" s="14"/>
      <c r="DT651" s="14"/>
      <c r="DU651" s="14"/>
      <c r="DV651" s="14"/>
      <c r="DW651" s="14"/>
      <c r="DX651" s="14"/>
      <c r="DY651" s="14"/>
      <c r="DZ651" s="14"/>
      <c r="EA651" s="14"/>
      <c r="EB651" s="14"/>
      <c r="EC651" s="14"/>
    </row>
    <row r="652" spans="1:133" s="13" customFormat="1" ht="49.2" x14ac:dyDescent="0.25">
      <c r="A652" s="15" t="s">
        <v>99</v>
      </c>
      <c r="B652" s="25" t="s">
        <v>95</v>
      </c>
      <c r="C652" s="35" t="s">
        <v>100</v>
      </c>
      <c r="D652" s="35" t="s">
        <v>101</v>
      </c>
      <c r="E652" s="16">
        <v>0</v>
      </c>
      <c r="R652" s="14"/>
      <c r="S652" s="14"/>
      <c r="T652" s="14"/>
      <c r="U652" s="14"/>
      <c r="V652" s="14"/>
      <c r="W652" s="14"/>
      <c r="X652" s="14"/>
      <c r="Y652" s="14"/>
      <c r="Z652" s="14"/>
      <c r="AA652" s="14"/>
      <c r="AB652" s="14"/>
      <c r="AC652" s="14"/>
      <c r="AD652" s="14"/>
      <c r="AE652" s="14"/>
      <c r="AF652" s="14"/>
      <c r="AG652" s="14"/>
      <c r="AH652" s="14"/>
      <c r="AI652" s="14"/>
      <c r="AJ652" s="14"/>
      <c r="AK652" s="14"/>
      <c r="AL652" s="14"/>
      <c r="AM652" s="14"/>
      <c r="AN652" s="14"/>
      <c r="AO652" s="14"/>
      <c r="AP652" s="14"/>
      <c r="AQ652" s="14"/>
      <c r="AR652" s="14"/>
      <c r="AS652" s="14"/>
      <c r="AT652" s="14"/>
      <c r="AU652" s="14"/>
      <c r="AV652" s="14"/>
      <c r="AW652" s="14"/>
      <c r="AX652" s="14"/>
      <c r="AY652" s="14"/>
      <c r="AZ652" s="14"/>
      <c r="BA652" s="14"/>
      <c r="BB652" s="14"/>
      <c r="BC652" s="14"/>
      <c r="BD652" s="14"/>
      <c r="BE652" s="14"/>
      <c r="BF652" s="14"/>
      <c r="BG652" s="14"/>
      <c r="BH652" s="14"/>
      <c r="BI652" s="14"/>
      <c r="BJ652" s="14"/>
      <c r="BK652" s="14"/>
      <c r="BL652" s="14"/>
      <c r="BM652" s="14"/>
      <c r="BN652" s="14"/>
      <c r="BO652" s="14"/>
      <c r="BP652" s="14"/>
      <c r="BQ652" s="14"/>
      <c r="BR652" s="14"/>
      <c r="BS652" s="14"/>
      <c r="BT652" s="14"/>
      <c r="BU652" s="14"/>
      <c r="BV652" s="14"/>
      <c r="BW652" s="14"/>
      <c r="BX652" s="14"/>
      <c r="BY652" s="14"/>
      <c r="BZ652" s="14"/>
      <c r="CA652" s="14"/>
      <c r="CB652" s="14"/>
      <c r="CC652" s="14"/>
      <c r="CD652" s="14"/>
      <c r="CE652" s="14"/>
      <c r="CF652" s="14"/>
      <c r="CG652" s="14"/>
      <c r="CH652" s="14"/>
      <c r="CI652" s="14"/>
      <c r="CJ652" s="14"/>
      <c r="CK652" s="14"/>
      <c r="CL652" s="14"/>
      <c r="CM652" s="14"/>
      <c r="CN652" s="14"/>
      <c r="CO652" s="14"/>
      <c r="CP652" s="14"/>
      <c r="CQ652" s="14"/>
      <c r="CR652" s="14"/>
      <c r="CS652" s="14"/>
      <c r="CT652" s="14"/>
      <c r="CU652" s="14"/>
      <c r="CV652" s="14"/>
      <c r="CW652" s="14"/>
      <c r="CX652" s="14"/>
      <c r="CY652" s="14"/>
      <c r="CZ652" s="14"/>
      <c r="DA652" s="14"/>
      <c r="DB652" s="14"/>
      <c r="DC652" s="14"/>
      <c r="DD652" s="14"/>
      <c r="DE652" s="14"/>
      <c r="DF652" s="14"/>
      <c r="DG652" s="14"/>
      <c r="DH652" s="14"/>
      <c r="DI652" s="14"/>
      <c r="DJ652" s="14"/>
      <c r="DK652" s="14"/>
      <c r="DL652" s="14"/>
      <c r="DM652" s="14"/>
      <c r="DN652" s="14"/>
      <c r="DO652" s="14"/>
      <c r="DP652" s="14"/>
      <c r="DQ652" s="14"/>
      <c r="DR652" s="14"/>
      <c r="DS652" s="14"/>
      <c r="DT652" s="14"/>
      <c r="DU652" s="14"/>
      <c r="DV652" s="14"/>
      <c r="DW652" s="14"/>
      <c r="DX652" s="14"/>
      <c r="DY652" s="14"/>
      <c r="DZ652" s="14"/>
      <c r="EA652" s="14"/>
      <c r="EB652" s="14"/>
      <c r="EC652" s="14"/>
    </row>
    <row r="654" spans="1:133" s="13" customFormat="1" x14ac:dyDescent="0.25">
      <c r="A654" s="57" t="s">
        <v>8</v>
      </c>
      <c r="B654" s="58" t="s">
        <v>9</v>
      </c>
      <c r="C654" s="34" t="s">
        <v>10</v>
      </c>
      <c r="D654" s="34" t="s">
        <v>340</v>
      </c>
      <c r="E654" s="16" t="s">
        <v>65</v>
      </c>
      <c r="R654" s="14"/>
      <c r="S654" s="14"/>
      <c r="T654" s="14"/>
      <c r="U654" s="14"/>
      <c r="V654" s="14"/>
      <c r="W654" s="14"/>
      <c r="X654" s="14"/>
      <c r="Y654" s="14"/>
      <c r="Z654" s="14"/>
      <c r="AA654" s="14"/>
      <c r="AB654" s="14"/>
      <c r="AC654" s="14"/>
      <c r="AD654" s="14"/>
      <c r="AE654" s="14"/>
      <c r="AF654" s="14"/>
      <c r="AG654" s="14"/>
      <c r="AH654" s="14"/>
      <c r="AI654" s="14"/>
      <c r="AJ654" s="14"/>
      <c r="AK654" s="14"/>
      <c r="AL654" s="14"/>
      <c r="AM654" s="14"/>
      <c r="AN654" s="14"/>
      <c r="AO654" s="14"/>
      <c r="AP654" s="14"/>
      <c r="AQ654" s="14"/>
      <c r="AR654" s="14"/>
      <c r="AS654" s="14"/>
      <c r="AT654" s="14"/>
      <c r="AU654" s="14"/>
      <c r="AV654" s="14"/>
      <c r="AW654" s="14"/>
      <c r="AX654" s="14"/>
      <c r="AY654" s="14"/>
      <c r="AZ654" s="14"/>
      <c r="BA654" s="14"/>
      <c r="BB654" s="14"/>
      <c r="BC654" s="14"/>
      <c r="BD654" s="14"/>
      <c r="BE654" s="14"/>
      <c r="BF654" s="14"/>
      <c r="BG654" s="14"/>
      <c r="BH654" s="14"/>
      <c r="BI654" s="14"/>
      <c r="BJ654" s="14"/>
      <c r="BK654" s="14"/>
      <c r="BL654" s="14"/>
      <c r="BM654" s="14"/>
      <c r="BN654" s="14"/>
      <c r="BO654" s="14"/>
      <c r="BP654" s="14"/>
      <c r="BQ654" s="14"/>
      <c r="BR654" s="14"/>
      <c r="BS654" s="14"/>
      <c r="BT654" s="14"/>
      <c r="BU654" s="14"/>
      <c r="BV654" s="14"/>
      <c r="BW654" s="14"/>
      <c r="BX654" s="14"/>
      <c r="BY654" s="14"/>
      <c r="BZ654" s="14"/>
      <c r="CA654" s="14"/>
      <c r="CB654" s="14"/>
      <c r="CC654" s="14"/>
      <c r="CD654" s="14"/>
      <c r="CE654" s="14"/>
      <c r="CF654" s="14"/>
      <c r="CG654" s="14"/>
      <c r="CH654" s="14"/>
      <c r="CI654" s="14"/>
      <c r="CJ654" s="14"/>
      <c r="CK654" s="14"/>
      <c r="CL654" s="14"/>
      <c r="CM654" s="14"/>
      <c r="CN654" s="14"/>
      <c r="CO654" s="14"/>
      <c r="CP654" s="14"/>
      <c r="CQ654" s="14"/>
      <c r="CR654" s="14"/>
      <c r="CS654" s="14"/>
      <c r="CT654" s="14"/>
      <c r="CU654" s="14"/>
      <c r="CV654" s="14"/>
      <c r="CW654" s="14"/>
      <c r="CX654" s="14"/>
      <c r="CY654" s="14"/>
      <c r="CZ654" s="14"/>
      <c r="DA654" s="14"/>
      <c r="DB654" s="14"/>
      <c r="DC654" s="14"/>
      <c r="DD654" s="14"/>
      <c r="DE654" s="14"/>
      <c r="DF654" s="14"/>
      <c r="DG654" s="14"/>
      <c r="DH654" s="14"/>
      <c r="DI654" s="14"/>
      <c r="DJ654" s="14"/>
      <c r="DK654" s="14"/>
      <c r="DL654" s="14"/>
      <c r="DM654" s="14"/>
      <c r="DN654" s="14"/>
      <c r="DO654" s="14"/>
      <c r="DP654" s="14"/>
      <c r="DQ654" s="14"/>
      <c r="DR654" s="14"/>
      <c r="DS654" s="14"/>
      <c r="DT654" s="14"/>
      <c r="DU654" s="14"/>
      <c r="DV654" s="14"/>
      <c r="DW654" s="14"/>
      <c r="DX654" s="14"/>
      <c r="DY654" s="14"/>
      <c r="DZ654" s="14"/>
      <c r="EA654" s="14"/>
      <c r="EB654" s="14"/>
      <c r="EC654" s="14"/>
    </row>
    <row r="655" spans="1:133" s="13" customFormat="1" ht="18" x14ac:dyDescent="0.25">
      <c r="A655" s="59" t="s">
        <v>102</v>
      </c>
      <c r="B655" s="25" t="s">
        <v>103</v>
      </c>
      <c r="C655" s="35" t="s">
        <v>104</v>
      </c>
      <c r="D655" s="53" t="s">
        <v>380</v>
      </c>
      <c r="E655" s="18">
        <f>ROUNDDOWN(E605+E636+E631+E648+E652,0)</f>
        <v>1101</v>
      </c>
      <c r="R655" s="14"/>
      <c r="S655" s="14"/>
      <c r="T655" s="14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4"/>
      <c r="AF655" s="14"/>
      <c r="AG655" s="14"/>
      <c r="AH655" s="14"/>
      <c r="AI655" s="14"/>
      <c r="AJ655" s="14"/>
      <c r="AK655" s="14"/>
      <c r="AL655" s="14"/>
      <c r="AM655" s="14"/>
      <c r="AN655" s="14"/>
      <c r="AO655" s="14"/>
      <c r="AP655" s="14"/>
      <c r="AQ655" s="14"/>
      <c r="AR655" s="14"/>
      <c r="AS655" s="14"/>
      <c r="AT655" s="14"/>
      <c r="AU655" s="14"/>
      <c r="AV655" s="14"/>
      <c r="AW655" s="14"/>
      <c r="AX655" s="14"/>
      <c r="AY655" s="14"/>
      <c r="AZ655" s="14"/>
      <c r="BA655" s="14"/>
      <c r="BB655" s="14"/>
      <c r="BC655" s="14"/>
      <c r="BD655" s="14"/>
      <c r="BE655" s="14"/>
      <c r="BF655" s="14"/>
      <c r="BG655" s="14"/>
      <c r="BH655" s="14"/>
      <c r="BI655" s="14"/>
      <c r="BJ655" s="14"/>
      <c r="BK655" s="14"/>
      <c r="BL655" s="14"/>
      <c r="BM655" s="14"/>
      <c r="BN655" s="14"/>
      <c r="BO655" s="14"/>
      <c r="BP655" s="14"/>
      <c r="BQ655" s="14"/>
      <c r="BR655" s="14"/>
      <c r="BS655" s="14"/>
      <c r="BT655" s="14"/>
      <c r="BU655" s="14"/>
      <c r="BV655" s="14"/>
      <c r="BW655" s="14"/>
      <c r="BX655" s="14"/>
      <c r="BY655" s="14"/>
      <c r="BZ655" s="14"/>
      <c r="CA655" s="14"/>
      <c r="CB655" s="14"/>
      <c r="CC655" s="14"/>
      <c r="CD655" s="14"/>
      <c r="CE655" s="14"/>
      <c r="CF655" s="14"/>
      <c r="CG655" s="14"/>
      <c r="CH655" s="14"/>
      <c r="CI655" s="14"/>
      <c r="CJ655" s="14"/>
      <c r="CK655" s="14"/>
      <c r="CL655" s="14"/>
      <c r="CM655" s="14"/>
      <c r="CN655" s="14"/>
      <c r="CO655" s="14"/>
      <c r="CP655" s="14"/>
      <c r="CQ655" s="14"/>
      <c r="CR655" s="14"/>
      <c r="CS655" s="14"/>
      <c r="CT655" s="14"/>
      <c r="CU655" s="14"/>
      <c r="CV655" s="14"/>
      <c r="CW655" s="14"/>
      <c r="CX655" s="14"/>
      <c r="CY655" s="14"/>
      <c r="CZ655" s="14"/>
      <c r="DA655" s="14"/>
      <c r="DB655" s="14"/>
      <c r="DC655" s="14"/>
      <c r="DD655" s="14"/>
      <c r="DE655" s="14"/>
      <c r="DF655" s="14"/>
      <c r="DG655" s="14"/>
      <c r="DH655" s="14"/>
      <c r="DI655" s="14"/>
      <c r="DJ655" s="14"/>
      <c r="DK655" s="14"/>
      <c r="DL655" s="14"/>
      <c r="DM655" s="14"/>
      <c r="DN655" s="14"/>
      <c r="DO655" s="14"/>
      <c r="DP655" s="14"/>
      <c r="DQ655" s="14"/>
      <c r="DR655" s="14"/>
      <c r="DS655" s="14"/>
      <c r="DT655" s="14"/>
      <c r="DU655" s="14"/>
      <c r="DV655" s="14"/>
      <c r="DW655" s="14"/>
      <c r="DX655" s="14"/>
      <c r="DY655" s="14"/>
      <c r="DZ655" s="14"/>
      <c r="EA655" s="14"/>
      <c r="EB655" s="14"/>
      <c r="EC655" s="14"/>
    </row>
    <row r="656" spans="1:133" s="167" customFormat="1" ht="43.2" customHeight="1" x14ac:dyDescent="0.25">
      <c r="A656" s="171" t="s">
        <v>232</v>
      </c>
      <c r="B656" s="172"/>
      <c r="C656" s="172"/>
      <c r="D656" s="172"/>
      <c r="E656" s="172"/>
      <c r="F656" s="172"/>
      <c r="G656" s="172"/>
      <c r="H656" s="172"/>
      <c r="I656" s="172"/>
      <c r="J656" s="172"/>
      <c r="K656" s="172"/>
      <c r="L656" s="172"/>
      <c r="M656" s="172"/>
      <c r="N656" s="172"/>
      <c r="O656" s="172"/>
      <c r="P656" s="172"/>
      <c r="Q656" s="172"/>
      <c r="R656" s="172"/>
      <c r="S656" s="172"/>
      <c r="T656" s="172"/>
      <c r="U656" s="172"/>
      <c r="V656" s="172"/>
      <c r="W656" s="172"/>
      <c r="X656" s="172"/>
      <c r="Y656" s="172"/>
      <c r="Z656" s="172"/>
      <c r="AA656" s="172"/>
      <c r="AB656" s="172"/>
      <c r="AC656" s="172"/>
      <c r="AD656" s="172"/>
      <c r="AE656" s="172"/>
      <c r="AF656" s="172"/>
      <c r="AG656" s="172"/>
      <c r="AH656" s="172"/>
      <c r="AI656" s="172"/>
      <c r="AJ656" s="172"/>
      <c r="AK656" s="172"/>
      <c r="AL656" s="172"/>
      <c r="AM656" s="172"/>
      <c r="AN656" s="172"/>
      <c r="AO656" s="172"/>
      <c r="AP656" s="172"/>
      <c r="AQ656" s="172"/>
      <c r="AR656" s="172"/>
      <c r="AS656" s="172"/>
      <c r="AT656" s="172"/>
      <c r="AU656" s="172"/>
      <c r="AV656" s="172"/>
      <c r="AW656" s="172"/>
      <c r="AX656" s="172"/>
      <c r="AY656" s="172"/>
      <c r="AZ656" s="172"/>
      <c r="BA656" s="172"/>
      <c r="BB656" s="172"/>
      <c r="BC656" s="172"/>
      <c r="BD656" s="172"/>
      <c r="BE656" s="172"/>
      <c r="BF656" s="172"/>
      <c r="BG656" s="172"/>
      <c r="BH656" s="172"/>
      <c r="BI656" s="172"/>
      <c r="BJ656" s="172"/>
      <c r="BK656" s="172"/>
      <c r="BL656" s="172"/>
      <c r="BM656" s="172"/>
      <c r="BN656" s="172"/>
      <c r="BO656" s="172"/>
      <c r="BP656" s="172"/>
      <c r="BQ656" s="172"/>
      <c r="BR656" s="172"/>
      <c r="BS656" s="172"/>
      <c r="BT656" s="172"/>
      <c r="BU656" s="172"/>
      <c r="BV656" s="172"/>
      <c r="BW656" s="172"/>
      <c r="BX656" s="172"/>
      <c r="BY656" s="172"/>
      <c r="BZ656" s="172"/>
      <c r="CA656" s="172"/>
      <c r="CB656" s="172"/>
      <c r="CC656" s="172"/>
      <c r="CD656" s="172"/>
      <c r="CE656" s="172"/>
      <c r="CF656" s="172"/>
      <c r="CG656" s="172"/>
      <c r="CH656" s="172"/>
      <c r="CI656" s="172"/>
      <c r="CJ656" s="172"/>
      <c r="CK656" s="172"/>
      <c r="CL656" s="172"/>
      <c r="CM656" s="172"/>
      <c r="CN656" s="172"/>
      <c r="CO656" s="172"/>
      <c r="CP656" s="172"/>
      <c r="CQ656" s="172"/>
      <c r="CR656" s="172"/>
      <c r="CS656" s="172"/>
      <c r="CT656" s="172"/>
      <c r="CU656" s="172"/>
      <c r="CV656" s="172"/>
      <c r="CW656" s="172"/>
      <c r="CX656" s="172"/>
      <c r="CY656" s="172"/>
      <c r="CZ656" s="172"/>
      <c r="DA656" s="172"/>
      <c r="DB656" s="172"/>
      <c r="DC656" s="172"/>
      <c r="DD656" s="172"/>
      <c r="DE656" s="172"/>
      <c r="DF656" s="172"/>
      <c r="DG656" s="172"/>
      <c r="DH656" s="172"/>
      <c r="DI656" s="172"/>
      <c r="DJ656" s="172"/>
      <c r="DK656" s="172"/>
      <c r="DL656" s="172"/>
      <c r="DM656" s="172"/>
      <c r="DN656" s="172"/>
      <c r="DO656" s="172"/>
      <c r="DP656" s="172"/>
      <c r="DQ656" s="172"/>
      <c r="DR656" s="172"/>
      <c r="DS656" s="172"/>
      <c r="DT656" s="172"/>
      <c r="DU656" s="172"/>
      <c r="DV656" s="172"/>
      <c r="DW656" s="172"/>
      <c r="DX656" s="172"/>
      <c r="DY656" s="172"/>
      <c r="DZ656" s="172"/>
      <c r="EA656" s="172"/>
      <c r="EB656" s="172"/>
      <c r="EC656" s="173"/>
    </row>
    <row r="657" spans="1:133" s="56" customFormat="1" ht="31.2" x14ac:dyDescent="0.25">
      <c r="A657" s="92" t="s">
        <v>8</v>
      </c>
      <c r="B657" s="93" t="s">
        <v>9</v>
      </c>
      <c r="C657" s="94" t="s">
        <v>10</v>
      </c>
      <c r="D657" s="93" t="s">
        <v>341</v>
      </c>
      <c r="E657" s="93" t="s">
        <v>11</v>
      </c>
      <c r="F657" s="16" t="s">
        <v>322</v>
      </c>
      <c r="G657" s="16" t="s">
        <v>323</v>
      </c>
      <c r="H657" s="16" t="s">
        <v>324</v>
      </c>
      <c r="I657" s="16" t="s">
        <v>325</v>
      </c>
      <c r="J657" s="16" t="s">
        <v>326</v>
      </c>
      <c r="K657" s="16" t="s">
        <v>329</v>
      </c>
      <c r="L657" s="16" t="s">
        <v>292</v>
      </c>
      <c r="M657" s="16" t="s">
        <v>292</v>
      </c>
      <c r="N657" s="16" t="s">
        <v>292</v>
      </c>
      <c r="O657" s="16" t="s">
        <v>292</v>
      </c>
      <c r="P657" s="16" t="s">
        <v>292</v>
      </c>
      <c r="Q657" s="16" t="s">
        <v>292</v>
      </c>
      <c r="R657" s="54"/>
      <c r="S657" s="54"/>
      <c r="T657" s="54"/>
      <c r="U657" s="54"/>
      <c r="V657" s="54"/>
      <c r="W657" s="54"/>
      <c r="X657" s="54"/>
      <c r="Y657" s="54"/>
      <c r="Z657" s="54"/>
      <c r="AA657" s="54"/>
      <c r="AB657" s="54"/>
      <c r="AC657" s="54"/>
      <c r="AD657" s="54"/>
      <c r="AE657" s="54"/>
      <c r="AF657" s="54"/>
      <c r="AG657" s="54"/>
      <c r="AH657" s="54"/>
      <c r="AI657" s="54"/>
      <c r="AJ657" s="54"/>
      <c r="AK657" s="54"/>
      <c r="AL657" s="54"/>
      <c r="AM657" s="54"/>
      <c r="AN657" s="54"/>
      <c r="AO657" s="54"/>
      <c r="AP657" s="54"/>
      <c r="AQ657" s="54"/>
      <c r="AR657" s="54"/>
      <c r="AS657" s="54"/>
      <c r="AT657" s="54"/>
      <c r="AU657" s="54"/>
      <c r="AV657" s="54"/>
      <c r="AW657" s="54"/>
      <c r="AX657" s="54"/>
      <c r="AY657" s="54"/>
      <c r="AZ657" s="54"/>
      <c r="BA657" s="54"/>
      <c r="BB657" s="54"/>
      <c r="BC657" s="54"/>
      <c r="BD657" s="54"/>
      <c r="BE657" s="54"/>
      <c r="BF657" s="54"/>
      <c r="BG657" s="54"/>
      <c r="BH657" s="54"/>
      <c r="BI657" s="54"/>
      <c r="BJ657" s="54"/>
      <c r="BK657" s="54"/>
      <c r="BL657" s="54"/>
      <c r="BM657" s="54"/>
      <c r="BN657" s="54"/>
      <c r="BO657" s="54"/>
      <c r="BP657" s="54"/>
      <c r="BQ657" s="54"/>
      <c r="BR657" s="54"/>
      <c r="BS657" s="54"/>
      <c r="BT657" s="54"/>
      <c r="BU657" s="54"/>
      <c r="BV657" s="54"/>
      <c r="BW657" s="54"/>
      <c r="BX657" s="54"/>
      <c r="BY657" s="54"/>
      <c r="BZ657" s="54"/>
      <c r="CA657" s="54"/>
      <c r="CB657" s="54"/>
      <c r="CC657" s="54"/>
      <c r="CD657" s="54"/>
      <c r="CE657" s="54"/>
      <c r="CF657" s="54"/>
      <c r="CG657" s="54"/>
      <c r="CH657" s="54"/>
      <c r="CI657" s="54"/>
      <c r="CJ657" s="54"/>
      <c r="CK657" s="54"/>
      <c r="CL657" s="54"/>
      <c r="CM657" s="54"/>
      <c r="CN657" s="54"/>
      <c r="CO657" s="54"/>
      <c r="CP657" s="54"/>
      <c r="CQ657" s="54"/>
      <c r="CR657" s="54"/>
      <c r="CS657" s="54"/>
      <c r="CT657" s="54"/>
      <c r="CU657" s="54"/>
      <c r="CV657" s="54"/>
      <c r="CW657" s="54"/>
      <c r="CX657" s="54"/>
      <c r="CY657" s="54"/>
      <c r="CZ657" s="54"/>
      <c r="DA657" s="54"/>
      <c r="DB657" s="54"/>
      <c r="DC657" s="54"/>
      <c r="DD657" s="54"/>
      <c r="DE657" s="54"/>
      <c r="DF657" s="54"/>
      <c r="DG657" s="54"/>
      <c r="DH657" s="54"/>
      <c r="DI657" s="54"/>
      <c r="DJ657" s="54"/>
      <c r="DK657" s="54"/>
      <c r="DL657" s="54"/>
      <c r="DM657" s="54"/>
      <c r="DN657" s="54"/>
      <c r="DO657" s="54"/>
      <c r="DP657" s="54"/>
      <c r="DQ657" s="54"/>
      <c r="DR657" s="54"/>
      <c r="DS657" s="54"/>
      <c r="DT657" s="54"/>
      <c r="DU657" s="54"/>
      <c r="DV657" s="54"/>
      <c r="DW657" s="54"/>
      <c r="DX657" s="54"/>
      <c r="DY657" s="54"/>
      <c r="DZ657" s="54"/>
      <c r="EA657" s="54"/>
      <c r="EB657" s="54"/>
      <c r="EC657" s="54"/>
    </row>
    <row r="658" spans="1:133" s="56" customFormat="1" x14ac:dyDescent="0.25">
      <c r="A658" s="58" t="s">
        <v>12</v>
      </c>
      <c r="B658" s="58"/>
      <c r="C658" s="34"/>
      <c r="D658" s="34"/>
      <c r="E658" s="58"/>
      <c r="F658" s="16">
        <v>31</v>
      </c>
      <c r="G658" s="16">
        <v>28</v>
      </c>
      <c r="H658" s="16">
        <v>31</v>
      </c>
      <c r="I658" s="16">
        <v>30</v>
      </c>
      <c r="J658" s="16">
        <v>31</v>
      </c>
      <c r="K658" s="16">
        <v>30</v>
      </c>
      <c r="L658" s="16" t="s">
        <v>297</v>
      </c>
      <c r="M658" s="16" t="s">
        <v>297</v>
      </c>
      <c r="N658" s="16" t="s">
        <v>297</v>
      </c>
      <c r="O658" s="16" t="s">
        <v>297</v>
      </c>
      <c r="P658" s="16" t="s">
        <v>297</v>
      </c>
      <c r="Q658" s="16" t="s">
        <v>297</v>
      </c>
      <c r="R658" s="54"/>
      <c r="S658" s="54"/>
      <c r="T658" s="54"/>
      <c r="U658" s="54"/>
      <c r="V658" s="54"/>
      <c r="W658" s="54"/>
      <c r="X658" s="54"/>
      <c r="Y658" s="54"/>
      <c r="Z658" s="54"/>
      <c r="AA658" s="54"/>
      <c r="AB658" s="54"/>
      <c r="AC658" s="54"/>
      <c r="AD658" s="54"/>
      <c r="AE658" s="54"/>
      <c r="AF658" s="54"/>
      <c r="AG658" s="54"/>
      <c r="AH658" s="54"/>
      <c r="AI658" s="54"/>
      <c r="AJ658" s="54"/>
      <c r="AK658" s="54"/>
      <c r="AL658" s="54"/>
      <c r="AM658" s="54"/>
      <c r="AN658" s="54"/>
      <c r="AO658" s="54"/>
      <c r="AP658" s="54"/>
      <c r="AQ658" s="54"/>
      <c r="AR658" s="54"/>
      <c r="AS658" s="54"/>
      <c r="AT658" s="54"/>
      <c r="AU658" s="54"/>
      <c r="AV658" s="54"/>
      <c r="AW658" s="54"/>
      <c r="AX658" s="54"/>
      <c r="AY658" s="54"/>
      <c r="AZ658" s="54"/>
      <c r="BA658" s="54"/>
      <c r="BB658" s="54"/>
      <c r="BC658" s="54"/>
      <c r="BD658" s="54"/>
      <c r="BE658" s="54"/>
      <c r="BF658" s="54"/>
      <c r="BG658" s="54"/>
      <c r="BH658" s="54"/>
      <c r="BI658" s="54"/>
      <c r="BJ658" s="54"/>
      <c r="BK658" s="54"/>
      <c r="BL658" s="54"/>
      <c r="BM658" s="54"/>
      <c r="BN658" s="54"/>
      <c r="BO658" s="54"/>
      <c r="BP658" s="54"/>
      <c r="BQ658" s="54"/>
      <c r="BR658" s="54"/>
      <c r="BS658" s="54"/>
      <c r="BT658" s="54"/>
      <c r="BU658" s="54"/>
      <c r="BV658" s="54"/>
      <c r="BW658" s="54"/>
      <c r="BX658" s="54"/>
      <c r="BY658" s="54"/>
      <c r="BZ658" s="54"/>
      <c r="CA658" s="54"/>
      <c r="CB658" s="54"/>
      <c r="CC658" s="54"/>
      <c r="CD658" s="54"/>
      <c r="CE658" s="54"/>
      <c r="CF658" s="54"/>
      <c r="CG658" s="54"/>
      <c r="CH658" s="54"/>
      <c r="CI658" s="54"/>
      <c r="CJ658" s="54"/>
      <c r="CK658" s="54"/>
      <c r="CL658" s="54"/>
      <c r="CM658" s="54"/>
      <c r="CN658" s="54"/>
      <c r="CO658" s="54"/>
      <c r="CP658" s="54"/>
      <c r="CQ658" s="54"/>
      <c r="CR658" s="54"/>
      <c r="CS658" s="54"/>
      <c r="CT658" s="54"/>
      <c r="CU658" s="54"/>
      <c r="CV658" s="54"/>
      <c r="CW658" s="54"/>
      <c r="CX658" s="54"/>
      <c r="CY658" s="54"/>
      <c r="CZ658" s="54"/>
      <c r="DA658" s="54"/>
      <c r="DB658" s="54"/>
      <c r="DC658" s="54"/>
      <c r="DD658" s="54"/>
      <c r="DE658" s="54"/>
      <c r="DF658" s="54"/>
      <c r="DG658" s="54"/>
      <c r="DH658" s="54"/>
      <c r="DI658" s="54"/>
      <c r="DJ658" s="54"/>
      <c r="DK658" s="54"/>
      <c r="DL658" s="54"/>
      <c r="DM658" s="54"/>
      <c r="DN658" s="54"/>
      <c r="DO658" s="54"/>
      <c r="DP658" s="54"/>
      <c r="DQ658" s="54"/>
      <c r="DR658" s="54"/>
      <c r="DS658" s="54"/>
      <c r="DT658" s="54"/>
      <c r="DU658" s="54"/>
      <c r="DV658" s="54"/>
      <c r="DW658" s="54"/>
      <c r="DX658" s="54"/>
      <c r="DY658" s="54"/>
      <c r="DZ658" s="54"/>
      <c r="EA658" s="54"/>
      <c r="EB658" s="54"/>
      <c r="EC658" s="54"/>
    </row>
    <row r="659" spans="1:133" ht="46.8" x14ac:dyDescent="0.25">
      <c r="A659" s="59" t="s">
        <v>13</v>
      </c>
      <c r="B659" s="60" t="s">
        <v>14</v>
      </c>
      <c r="C659" s="53" t="s">
        <v>15</v>
      </c>
      <c r="D659" s="53" t="s">
        <v>369</v>
      </c>
      <c r="E659" s="61">
        <f>SUM(F659:K659)</f>
        <v>2021.1259057656839</v>
      </c>
      <c r="F659" s="62">
        <f>$E$660*$E$661*F662*$E$673</f>
        <v>339.58836761253599</v>
      </c>
      <c r="G659" s="62">
        <f t="shared" ref="G659:K659" si="84">$E$660*$E$661*G662*$E$673</f>
        <v>306.76233718766213</v>
      </c>
      <c r="H659" s="62">
        <f t="shared" si="84"/>
        <v>339.57777399433269</v>
      </c>
      <c r="I659" s="62">
        <f t="shared" si="84"/>
        <v>328.51036548771964</v>
      </c>
      <c r="J659" s="62">
        <f t="shared" si="84"/>
        <v>380.36601677182574</v>
      </c>
      <c r="K659" s="62">
        <f t="shared" si="84"/>
        <v>326.32104471160767</v>
      </c>
      <c r="L659" s="62" t="s">
        <v>297</v>
      </c>
      <c r="M659" s="62" t="s">
        <v>297</v>
      </c>
      <c r="N659" s="62" t="s">
        <v>297</v>
      </c>
      <c r="O659" s="62" t="s">
        <v>297</v>
      </c>
      <c r="P659" s="62" t="s">
        <v>297</v>
      </c>
      <c r="Q659" s="62" t="s">
        <v>297</v>
      </c>
    </row>
    <row r="660" spans="1:133" ht="31.2" x14ac:dyDescent="0.25">
      <c r="A660" s="63" t="s">
        <v>16</v>
      </c>
      <c r="B660" s="60" t="s">
        <v>193</v>
      </c>
      <c r="C660" s="35" t="s">
        <v>17</v>
      </c>
      <c r="D660" s="35" t="s">
        <v>205</v>
      </c>
      <c r="E660" s="168">
        <v>28</v>
      </c>
      <c r="F660" s="169"/>
      <c r="G660" s="169"/>
      <c r="H660" s="169"/>
      <c r="I660" s="169"/>
      <c r="J660" s="169"/>
      <c r="K660" s="169"/>
      <c r="L660" s="169"/>
      <c r="M660" s="169"/>
      <c r="N660" s="169"/>
      <c r="O660" s="169"/>
      <c r="P660" s="169"/>
      <c r="Q660" s="170"/>
    </row>
    <row r="661" spans="1:133" ht="64.8" x14ac:dyDescent="0.25">
      <c r="A661" s="63" t="s">
        <v>18</v>
      </c>
      <c r="B661" s="25" t="s">
        <v>194</v>
      </c>
      <c r="C661" s="35" t="s">
        <v>20</v>
      </c>
      <c r="D661" s="35" t="s">
        <v>394</v>
      </c>
      <c r="E661" s="168">
        <v>0.21</v>
      </c>
      <c r="F661" s="169"/>
      <c r="G661" s="169"/>
      <c r="H661" s="169"/>
      <c r="I661" s="169"/>
      <c r="J661" s="169"/>
      <c r="K661" s="169"/>
      <c r="L661" s="169"/>
      <c r="M661" s="169"/>
      <c r="N661" s="169"/>
      <c r="O661" s="169"/>
      <c r="P661" s="169"/>
      <c r="Q661" s="170"/>
    </row>
    <row r="662" spans="1:133" ht="46.8" x14ac:dyDescent="0.25">
      <c r="A662" s="35" t="s">
        <v>21</v>
      </c>
      <c r="B662" s="25" t="s">
        <v>195</v>
      </c>
      <c r="C662" s="53" t="s">
        <v>22</v>
      </c>
      <c r="D662" s="53" t="s">
        <v>370</v>
      </c>
      <c r="E662" s="64">
        <f t="shared" ref="E662:K662" si="85">E670*E663</f>
        <v>541.06042310513294</v>
      </c>
      <c r="F662" s="64">
        <f t="shared" si="85"/>
        <v>90.908649153360315</v>
      </c>
      <c r="G662" s="64">
        <f t="shared" si="85"/>
        <v>82.12103930684971</v>
      </c>
      <c r="H662" s="64">
        <f t="shared" si="85"/>
        <v>90.905813215465031</v>
      </c>
      <c r="I662" s="64">
        <f t="shared" si="85"/>
        <v>87.943040479643386</v>
      </c>
      <c r="J662" s="64">
        <f t="shared" si="85"/>
        <v>101.82492707766883</v>
      </c>
      <c r="K662" s="64">
        <f t="shared" si="85"/>
        <v>87.356953872145667</v>
      </c>
      <c r="L662" s="64" t="s">
        <v>297</v>
      </c>
      <c r="M662" s="64" t="s">
        <v>297</v>
      </c>
      <c r="N662" s="64" t="s">
        <v>297</v>
      </c>
      <c r="O662" s="64" t="s">
        <v>297</v>
      </c>
      <c r="P662" s="64" t="s">
        <v>297</v>
      </c>
      <c r="Q662" s="64" t="s">
        <v>297</v>
      </c>
    </row>
    <row r="663" spans="1:133" ht="46.8" x14ac:dyDescent="0.25">
      <c r="A663" s="35" t="s">
        <v>23</v>
      </c>
      <c r="B663" s="25" t="s">
        <v>197</v>
      </c>
      <c r="C663" s="35" t="s">
        <v>191</v>
      </c>
      <c r="D663" s="35" t="s">
        <v>371</v>
      </c>
      <c r="E663" s="20">
        <f>SUM(F663:K663)</f>
        <v>565.17718899304668</v>
      </c>
      <c r="F663" s="20">
        <f>F665*F668</f>
        <v>94.960733754625011</v>
      </c>
      <c r="G663" s="20">
        <f t="shared" ref="G663:K663" si="86">G665*G668</f>
        <v>85.781432480812512</v>
      </c>
      <c r="H663" s="20">
        <f t="shared" si="86"/>
        <v>94.957771410052445</v>
      </c>
      <c r="I663" s="20">
        <f t="shared" si="86"/>
        <v>91.862938568930844</v>
      </c>
      <c r="J663" s="20">
        <f t="shared" si="86"/>
        <v>106.36358454182577</v>
      </c>
      <c r="K663" s="20">
        <f t="shared" si="86"/>
        <v>91.250728236800029</v>
      </c>
      <c r="L663" s="20" t="s">
        <v>297</v>
      </c>
      <c r="M663" s="20" t="s">
        <v>297</v>
      </c>
      <c r="N663" s="20" t="s">
        <v>297</v>
      </c>
      <c r="O663" s="20" t="s">
        <v>297</v>
      </c>
      <c r="P663" s="20" t="s">
        <v>297</v>
      </c>
      <c r="Q663" s="20" t="s">
        <v>297</v>
      </c>
    </row>
    <row r="664" spans="1:133" ht="62.4" x14ac:dyDescent="0.25">
      <c r="A664" s="17" t="s">
        <v>335</v>
      </c>
      <c r="B664" s="60" t="s">
        <v>192</v>
      </c>
      <c r="C664" s="35" t="s">
        <v>25</v>
      </c>
      <c r="D664" s="35" t="s">
        <v>333</v>
      </c>
      <c r="E664" s="121">
        <f>AVERAGE(F664:K664)</f>
        <v>6179.4587957885306</v>
      </c>
      <c r="F664" s="121">
        <v>5940.7049999999999</v>
      </c>
      <c r="G664" s="121">
        <v>5941.8797500000001</v>
      </c>
      <c r="H664" s="121">
        <v>5940.8108064516127</v>
      </c>
      <c r="I664" s="121">
        <v>5939.7757666666657</v>
      </c>
      <c r="J664" s="121">
        <v>6657.3494516129022</v>
      </c>
      <c r="K664" s="121">
        <v>6656.2320000000018</v>
      </c>
      <c r="L664" s="20" t="s">
        <v>297</v>
      </c>
      <c r="M664" s="20" t="s">
        <v>297</v>
      </c>
      <c r="N664" s="20" t="s">
        <v>297</v>
      </c>
      <c r="O664" s="20" t="s">
        <v>297</v>
      </c>
      <c r="P664" s="20" t="s">
        <v>297</v>
      </c>
      <c r="Q664" s="20" t="s">
        <v>297</v>
      </c>
    </row>
    <row r="665" spans="1:133" ht="46.8" x14ac:dyDescent="0.25">
      <c r="A665" s="35" t="s">
        <v>26</v>
      </c>
      <c r="B665" s="60" t="s">
        <v>198</v>
      </c>
      <c r="C665" s="35" t="s">
        <v>27</v>
      </c>
      <c r="D665" s="35" t="s">
        <v>206</v>
      </c>
      <c r="E665" s="65">
        <f>SUM(F665:K665)</f>
        <v>1118957.689</v>
      </c>
      <c r="F665" s="65">
        <f>F664*F658</f>
        <v>184161.85500000001</v>
      </c>
      <c r="G665" s="65">
        <f t="shared" ref="G665:K665" si="87">G664*G658</f>
        <v>166372.633</v>
      </c>
      <c r="H665" s="65">
        <f t="shared" si="87"/>
        <v>184165.13500000001</v>
      </c>
      <c r="I665" s="65">
        <f t="shared" si="87"/>
        <v>178193.27299999999</v>
      </c>
      <c r="J665" s="65">
        <f t="shared" si="87"/>
        <v>206377.83299999996</v>
      </c>
      <c r="K665" s="65">
        <f t="shared" si="87"/>
        <v>199686.96000000005</v>
      </c>
      <c r="L665" s="65" t="s">
        <v>297</v>
      </c>
      <c r="M665" s="65" t="s">
        <v>297</v>
      </c>
      <c r="N665" s="65" t="s">
        <v>297</v>
      </c>
      <c r="O665" s="65" t="s">
        <v>297</v>
      </c>
      <c r="P665" s="65" t="s">
        <v>297</v>
      </c>
      <c r="Q665" s="65" t="s">
        <v>297</v>
      </c>
    </row>
    <row r="666" spans="1:133" ht="62.4" x14ac:dyDescent="0.25">
      <c r="A666" s="35" t="s">
        <v>28</v>
      </c>
      <c r="B666" s="60" t="s">
        <v>199</v>
      </c>
      <c r="C666" s="35" t="s">
        <v>29</v>
      </c>
      <c r="D666" s="35" t="s">
        <v>332</v>
      </c>
      <c r="E666" s="125">
        <f>AVERAGE(F666:K666)</f>
        <v>505.78725465096437</v>
      </c>
      <c r="F666" s="125">
        <v>515.63736559139784</v>
      </c>
      <c r="G666" s="125">
        <v>515.59821428571433</v>
      </c>
      <c r="H666" s="125">
        <v>515.61209677419367</v>
      </c>
      <c r="I666" s="125">
        <v>515.5241666666667</v>
      </c>
      <c r="J666" s="125">
        <v>515.38279569892472</v>
      </c>
      <c r="K666" s="137">
        <v>456.9688888888889</v>
      </c>
      <c r="L666" s="66" t="s">
        <v>297</v>
      </c>
      <c r="M666" s="66" t="s">
        <v>297</v>
      </c>
      <c r="N666" s="66" t="s">
        <v>297</v>
      </c>
      <c r="O666" s="66" t="s">
        <v>297</v>
      </c>
      <c r="P666" s="66" t="s">
        <v>297</v>
      </c>
      <c r="Q666" s="66" t="s">
        <v>297</v>
      </c>
    </row>
    <row r="667" spans="1:133" ht="62.4" x14ac:dyDescent="0.25">
      <c r="A667" s="35" t="s">
        <v>30</v>
      </c>
      <c r="B667" s="60" t="s">
        <v>199</v>
      </c>
      <c r="C667" s="35" t="s">
        <v>31</v>
      </c>
      <c r="D667" s="35" t="s">
        <v>331</v>
      </c>
      <c r="E667" s="125">
        <f>AVERAGE(F667:K667)</f>
        <v>20.164478899982932</v>
      </c>
      <c r="F667" s="125">
        <v>19.913709677419355</v>
      </c>
      <c r="G667" s="125">
        <v>20.051488095238092</v>
      </c>
      <c r="H667" s="125">
        <v>20.82741935483871</v>
      </c>
      <c r="I667" s="125">
        <v>19.904722222222222</v>
      </c>
      <c r="J667" s="125">
        <v>20.372311827956992</v>
      </c>
      <c r="K667" s="137">
        <v>19.917222222222222</v>
      </c>
      <c r="L667" s="65" t="s">
        <v>297</v>
      </c>
      <c r="M667" s="65" t="s">
        <v>297</v>
      </c>
      <c r="N667" s="65" t="s">
        <v>297</v>
      </c>
      <c r="O667" s="65" t="s">
        <v>297</v>
      </c>
      <c r="P667" s="65" t="s">
        <v>297</v>
      </c>
      <c r="Q667" s="65" t="s">
        <v>297</v>
      </c>
    </row>
    <row r="668" spans="1:133" ht="62.4" x14ac:dyDescent="0.25">
      <c r="A668" s="35" t="s">
        <v>32</v>
      </c>
      <c r="B668" s="60" t="s">
        <v>200</v>
      </c>
      <c r="C668" s="35" t="s">
        <v>34</v>
      </c>
      <c r="D668" s="35" t="s">
        <v>338</v>
      </c>
      <c r="E668" s="122">
        <f>E666/1000000</f>
        <v>5.0578725465096432E-4</v>
      </c>
      <c r="F668" s="120">
        <f>F666/1000000</f>
        <v>5.1563736559139786E-4</v>
      </c>
      <c r="G668" s="120">
        <f t="shared" ref="G668:K669" si="88">G666/1000000</f>
        <v>5.1559821428571431E-4</v>
      </c>
      <c r="H668" s="120">
        <f t="shared" si="88"/>
        <v>5.1561209677419362E-4</v>
      </c>
      <c r="I668" s="120">
        <f t="shared" si="88"/>
        <v>5.1552416666666675E-4</v>
      </c>
      <c r="J668" s="120">
        <f t="shared" si="88"/>
        <v>5.1538279569892471E-4</v>
      </c>
      <c r="K668" s="120">
        <f t="shared" si="88"/>
        <v>4.5696888888888891E-4</v>
      </c>
      <c r="L668" s="22" t="s">
        <v>297</v>
      </c>
      <c r="M668" s="22" t="s">
        <v>297</v>
      </c>
      <c r="N668" s="22" t="s">
        <v>297</v>
      </c>
      <c r="O668" s="22" t="s">
        <v>297</v>
      </c>
      <c r="P668" s="22" t="s">
        <v>297</v>
      </c>
      <c r="Q668" s="22" t="s">
        <v>297</v>
      </c>
    </row>
    <row r="669" spans="1:133" ht="62.4" x14ac:dyDescent="0.25">
      <c r="A669" s="35" t="s">
        <v>30</v>
      </c>
      <c r="B669" s="60" t="s">
        <v>33</v>
      </c>
      <c r="C669" s="35" t="s">
        <v>35</v>
      </c>
      <c r="D669" s="35" t="s">
        <v>339</v>
      </c>
      <c r="E669" s="122">
        <f>E667/1000000</f>
        <v>2.0164478899982931E-5</v>
      </c>
      <c r="F669" s="120">
        <f>F667/1000000</f>
        <v>1.9913709677419357E-5</v>
      </c>
      <c r="G669" s="120">
        <f t="shared" si="88"/>
        <v>2.0051488095238091E-5</v>
      </c>
      <c r="H669" s="120">
        <f t="shared" si="88"/>
        <v>2.0827419354838709E-5</v>
      </c>
      <c r="I669" s="120">
        <f t="shared" si="88"/>
        <v>1.9904722222222224E-5</v>
      </c>
      <c r="J669" s="120">
        <f t="shared" si="88"/>
        <v>2.0372311827956991E-5</v>
      </c>
      <c r="K669" s="120">
        <f t="shared" si="88"/>
        <v>1.9917222222222221E-5</v>
      </c>
      <c r="L669" s="22" t="s">
        <v>297</v>
      </c>
      <c r="M669" s="22" t="s">
        <v>297</v>
      </c>
      <c r="N669" s="22" t="s">
        <v>297</v>
      </c>
      <c r="O669" s="22" t="s">
        <v>297</v>
      </c>
      <c r="P669" s="22" t="s">
        <v>297</v>
      </c>
      <c r="Q669" s="22" t="s">
        <v>297</v>
      </c>
    </row>
    <row r="670" spans="1:133" ht="46.8" x14ac:dyDescent="0.25">
      <c r="A670" s="63" t="s">
        <v>36</v>
      </c>
      <c r="B670" s="25" t="s">
        <v>201</v>
      </c>
      <c r="C670" s="35" t="s">
        <v>38</v>
      </c>
      <c r="D670" s="35" t="s">
        <v>368</v>
      </c>
      <c r="E670" s="68">
        <f>(1-(E671/E672))</f>
        <v>0.95732884065812784</v>
      </c>
      <c r="F670" s="68">
        <f>E670</f>
        <v>0.95732884065812784</v>
      </c>
      <c r="G670" s="68">
        <f>E670</f>
        <v>0.95732884065812784</v>
      </c>
      <c r="H670" s="68">
        <f>E670</f>
        <v>0.95732884065812784</v>
      </c>
      <c r="I670" s="68">
        <f>E670</f>
        <v>0.95732884065812784</v>
      </c>
      <c r="J670" s="68">
        <f>E670</f>
        <v>0.95732884065812784</v>
      </c>
      <c r="K670" s="68">
        <f>F670</f>
        <v>0.95732884065812784</v>
      </c>
      <c r="L670" s="68" t="s">
        <v>297</v>
      </c>
      <c r="M670" s="68" t="s">
        <v>297</v>
      </c>
      <c r="N670" s="68" t="s">
        <v>297</v>
      </c>
      <c r="O670" s="68" t="s">
        <v>297</v>
      </c>
      <c r="P670" s="68" t="s">
        <v>297</v>
      </c>
      <c r="Q670" s="68" t="s">
        <v>297</v>
      </c>
    </row>
    <row r="671" spans="1:133" ht="31.2" x14ac:dyDescent="0.25">
      <c r="A671" s="35" t="s">
        <v>39</v>
      </c>
      <c r="B671" s="25" t="s">
        <v>196</v>
      </c>
      <c r="C671" s="35" t="s">
        <v>40</v>
      </c>
      <c r="D671" s="35" t="s">
        <v>351</v>
      </c>
      <c r="E671" s="52">
        <f>SUM(F671:K671)</f>
        <v>23.390890730500001</v>
      </c>
      <c r="F671" s="52">
        <v>4.0061746554999997</v>
      </c>
      <c r="G671" s="52">
        <v>3.6184803340000005</v>
      </c>
      <c r="H671" s="52">
        <v>4.0061746554999997</v>
      </c>
      <c r="I671" s="52">
        <v>3.8769432150000003</v>
      </c>
      <c r="J671" s="52">
        <v>4.0061746554999997</v>
      </c>
      <c r="K671" s="52">
        <v>3.8769432150000003</v>
      </c>
      <c r="L671" s="69" t="s">
        <v>297</v>
      </c>
      <c r="M671" s="69" t="s">
        <v>297</v>
      </c>
      <c r="N671" s="69" t="s">
        <v>297</v>
      </c>
      <c r="O671" s="69" t="s">
        <v>297</v>
      </c>
      <c r="P671" s="69" t="s">
        <v>297</v>
      </c>
      <c r="Q671" s="69" t="s">
        <v>297</v>
      </c>
    </row>
    <row r="672" spans="1:133" ht="31.2" x14ac:dyDescent="0.25">
      <c r="A672" s="63" t="s">
        <v>41</v>
      </c>
      <c r="B672" s="25" t="s">
        <v>24</v>
      </c>
      <c r="C672" s="35" t="s">
        <v>42</v>
      </c>
      <c r="D672" s="35" t="s">
        <v>351</v>
      </c>
      <c r="E672" s="52">
        <f>SUM(F672:K672)</f>
        <v>548.16628119000006</v>
      </c>
      <c r="F672" s="52">
        <v>93.884832689999996</v>
      </c>
      <c r="G672" s="52">
        <v>84.799203720000008</v>
      </c>
      <c r="H672" s="52">
        <v>93.884832689999996</v>
      </c>
      <c r="I672" s="52">
        <v>90.856289700000005</v>
      </c>
      <c r="J672" s="52">
        <v>93.884832689999996</v>
      </c>
      <c r="K672" s="52">
        <v>90.856289700000005</v>
      </c>
      <c r="L672" s="69" t="s">
        <v>297</v>
      </c>
      <c r="M672" s="69" t="s">
        <v>297</v>
      </c>
      <c r="N672" s="69" t="s">
        <v>297</v>
      </c>
      <c r="O672" s="69" t="s">
        <v>297</v>
      </c>
      <c r="P672" s="69" t="s">
        <v>297</v>
      </c>
      <c r="Q672" s="69" t="s">
        <v>297</v>
      </c>
    </row>
    <row r="673" spans="1:133" ht="31.2" x14ac:dyDescent="0.25">
      <c r="A673" s="53" t="s">
        <v>43</v>
      </c>
      <c r="B673" s="25" t="s">
        <v>201</v>
      </c>
      <c r="C673" s="53" t="s">
        <v>44</v>
      </c>
      <c r="D673" s="35" t="s">
        <v>372</v>
      </c>
      <c r="E673" s="159">
        <f>E674*E675*0.89</f>
        <v>0.63528744824049344</v>
      </c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1"/>
    </row>
    <row r="674" spans="1:133" ht="31.2" x14ac:dyDescent="0.25">
      <c r="A674" s="70" t="s">
        <v>45</v>
      </c>
      <c r="B674" s="25" t="s">
        <v>201</v>
      </c>
      <c r="C674" s="53" t="s">
        <v>46</v>
      </c>
      <c r="D674" s="35" t="s">
        <v>373</v>
      </c>
      <c r="E674" s="162">
        <v>0.7</v>
      </c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4"/>
    </row>
    <row r="675" spans="1:133" ht="36" customHeight="1" x14ac:dyDescent="0.25">
      <c r="A675" s="70" t="s">
        <v>47</v>
      </c>
      <c r="B675" s="25" t="s">
        <v>37</v>
      </c>
      <c r="C675" s="53" t="s">
        <v>48</v>
      </c>
      <c r="D675" s="35" t="s">
        <v>374</v>
      </c>
      <c r="E675" s="159">
        <f>(F676*F681+G676*G681+H676*H681+I676*I681+J676*J681+K676*K681)/(F670*F665*F668+G670*G668*G665+H670*H665*H668+I670*I668*I665+J670*J668*J665+K670*K668*K665)</f>
        <v>1.0197230308836172</v>
      </c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1"/>
    </row>
    <row r="676" spans="1:133" s="9" customFormat="1" ht="46.8" x14ac:dyDescent="0.4">
      <c r="A676" s="71" t="s">
        <v>49</v>
      </c>
      <c r="B676" s="25" t="s">
        <v>37</v>
      </c>
      <c r="C676" s="53" t="s">
        <v>50</v>
      </c>
      <c r="D676" s="53" t="s">
        <v>375</v>
      </c>
      <c r="E676" s="72">
        <f>AVERAGE(F676:K676)</f>
        <v>0.45657243431138023</v>
      </c>
      <c r="F676" s="72">
        <f>IF(F680&lt;283,0,IF(F680&gt;303,1,EXP(($E$677*(F680-$E$678))/($E$679*$E$678*F680))))</f>
        <v>0.22368662668957603</v>
      </c>
      <c r="G676" s="72">
        <f t="shared" ref="G676:K676" si="89">IF(G680&lt;283,0,IF(G680&gt;303,1,EXP(($E$677*(G680-$E$678))/($E$679*$E$678*G680))))</f>
        <v>0.17679930526069626</v>
      </c>
      <c r="H676" s="72">
        <f t="shared" si="89"/>
        <v>0.42307437878932203</v>
      </c>
      <c r="I676" s="72">
        <f t="shared" si="89"/>
        <v>0.50475941545474445</v>
      </c>
      <c r="J676" s="72">
        <f t="shared" si="89"/>
        <v>0.60078639810878987</v>
      </c>
      <c r="K676" s="72">
        <f t="shared" si="89"/>
        <v>0.81032848156515291</v>
      </c>
      <c r="L676" s="72" t="s">
        <v>297</v>
      </c>
      <c r="M676" s="72" t="s">
        <v>297</v>
      </c>
      <c r="N676" s="72" t="s">
        <v>297</v>
      </c>
      <c r="O676" s="72" t="s">
        <v>297</v>
      </c>
      <c r="P676" s="72" t="s">
        <v>297</v>
      </c>
      <c r="Q676" s="72" t="s">
        <v>297</v>
      </c>
      <c r="R676" s="78"/>
      <c r="S676" s="78"/>
      <c r="T676" s="78"/>
      <c r="U676" s="78"/>
      <c r="V676" s="78"/>
      <c r="W676" s="78"/>
      <c r="X676" s="78"/>
      <c r="Y676" s="78"/>
      <c r="Z676" s="78"/>
      <c r="AA676" s="78"/>
      <c r="AB676" s="78"/>
      <c r="AC676" s="78"/>
      <c r="AD676" s="78"/>
      <c r="AE676" s="78"/>
      <c r="AF676" s="78"/>
      <c r="AG676" s="78"/>
      <c r="AH676" s="78"/>
      <c r="AI676" s="78"/>
      <c r="AJ676" s="78"/>
      <c r="AK676" s="78"/>
      <c r="AL676" s="78"/>
      <c r="AM676" s="78"/>
      <c r="AN676" s="78"/>
      <c r="AO676" s="78"/>
      <c r="AP676" s="78"/>
      <c r="AQ676" s="78"/>
      <c r="AR676" s="78"/>
      <c r="AS676" s="78"/>
      <c r="AT676" s="78"/>
      <c r="AU676" s="78"/>
      <c r="AV676" s="78"/>
      <c r="AW676" s="78"/>
      <c r="AX676" s="78"/>
      <c r="AY676" s="78"/>
      <c r="AZ676" s="78"/>
      <c r="BA676" s="78"/>
      <c r="BB676" s="78"/>
      <c r="BC676" s="78"/>
      <c r="BD676" s="78"/>
      <c r="BE676" s="78"/>
      <c r="BF676" s="78"/>
      <c r="BG676" s="78"/>
      <c r="BH676" s="78"/>
      <c r="BI676" s="78"/>
      <c r="BJ676" s="78"/>
      <c r="BK676" s="78"/>
      <c r="BL676" s="78"/>
      <c r="BM676" s="78"/>
      <c r="BN676" s="78"/>
      <c r="BO676" s="78"/>
      <c r="BP676" s="78"/>
      <c r="BQ676" s="78"/>
      <c r="BR676" s="78"/>
      <c r="BS676" s="78"/>
      <c r="BT676" s="78"/>
      <c r="BU676" s="78"/>
      <c r="BV676" s="78"/>
      <c r="BW676" s="78"/>
      <c r="BX676" s="78"/>
      <c r="BY676" s="78"/>
      <c r="BZ676" s="78"/>
      <c r="CA676" s="78"/>
      <c r="CB676" s="78"/>
      <c r="CC676" s="78"/>
      <c r="CD676" s="78"/>
      <c r="CE676" s="78"/>
      <c r="CF676" s="78"/>
      <c r="CG676" s="78"/>
      <c r="CH676" s="78"/>
      <c r="CI676" s="78"/>
      <c r="CJ676" s="78"/>
      <c r="CK676" s="78"/>
      <c r="CL676" s="78"/>
      <c r="CM676" s="78"/>
      <c r="CN676" s="78"/>
      <c r="CO676" s="78"/>
      <c r="CP676" s="78"/>
      <c r="CQ676" s="78"/>
      <c r="CR676" s="78"/>
      <c r="CS676" s="78"/>
      <c r="CT676" s="78"/>
      <c r="CU676" s="78"/>
      <c r="CV676" s="78"/>
      <c r="CW676" s="78"/>
      <c r="CX676" s="78"/>
      <c r="CY676" s="78"/>
      <c r="CZ676" s="78"/>
      <c r="DA676" s="78"/>
      <c r="DB676" s="78"/>
      <c r="DC676" s="78"/>
      <c r="DD676" s="78"/>
      <c r="DE676" s="78"/>
      <c r="DF676" s="78"/>
      <c r="DG676" s="78"/>
      <c r="DH676" s="78"/>
      <c r="DI676" s="78"/>
      <c r="DJ676" s="78"/>
      <c r="DK676" s="78"/>
      <c r="DL676" s="78"/>
      <c r="DM676" s="78"/>
      <c r="DN676" s="78"/>
      <c r="DO676" s="78"/>
      <c r="DP676" s="78"/>
      <c r="DQ676" s="78"/>
      <c r="DR676" s="78"/>
      <c r="DS676" s="78"/>
      <c r="DT676" s="78"/>
      <c r="DU676" s="78"/>
      <c r="DV676" s="78"/>
      <c r="DW676" s="78"/>
      <c r="DX676" s="78"/>
      <c r="DY676" s="78"/>
      <c r="DZ676" s="78"/>
      <c r="EA676" s="78"/>
      <c r="EB676" s="78"/>
      <c r="EC676" s="78"/>
    </row>
    <row r="677" spans="1:133" s="9" customFormat="1" x14ac:dyDescent="0.25">
      <c r="A677" s="73" t="s">
        <v>51</v>
      </c>
      <c r="B677" s="60" t="s">
        <v>202</v>
      </c>
      <c r="C677" s="53" t="s">
        <v>53</v>
      </c>
      <c r="D677" s="53" t="s">
        <v>376</v>
      </c>
      <c r="E677" s="162">
        <v>15175</v>
      </c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4"/>
      <c r="R677" s="78"/>
      <c r="S677" s="78"/>
      <c r="T677" s="78"/>
      <c r="U677" s="78"/>
      <c r="V677" s="78"/>
      <c r="W677" s="78"/>
      <c r="X677" s="78"/>
      <c r="Y677" s="78"/>
      <c r="Z677" s="78"/>
      <c r="AA677" s="78"/>
      <c r="AB677" s="78"/>
      <c r="AC677" s="78"/>
      <c r="AD677" s="78"/>
      <c r="AE677" s="78"/>
      <c r="AF677" s="78"/>
      <c r="AG677" s="78"/>
      <c r="AH677" s="78"/>
      <c r="AI677" s="78"/>
      <c r="AJ677" s="78"/>
      <c r="AK677" s="78"/>
      <c r="AL677" s="78"/>
      <c r="AM677" s="78"/>
      <c r="AN677" s="78"/>
      <c r="AO677" s="78"/>
      <c r="AP677" s="78"/>
      <c r="AQ677" s="78"/>
      <c r="AR677" s="78"/>
      <c r="AS677" s="78"/>
      <c r="AT677" s="78"/>
      <c r="AU677" s="78"/>
      <c r="AV677" s="78"/>
      <c r="AW677" s="78"/>
      <c r="AX677" s="78"/>
      <c r="AY677" s="78"/>
      <c r="AZ677" s="78"/>
      <c r="BA677" s="78"/>
      <c r="BB677" s="78"/>
      <c r="BC677" s="78"/>
      <c r="BD677" s="78"/>
      <c r="BE677" s="78"/>
      <c r="BF677" s="78"/>
      <c r="BG677" s="78"/>
      <c r="BH677" s="78"/>
      <c r="BI677" s="78"/>
      <c r="BJ677" s="78"/>
      <c r="BK677" s="78"/>
      <c r="BL677" s="78"/>
      <c r="BM677" s="78"/>
      <c r="BN677" s="78"/>
      <c r="BO677" s="78"/>
      <c r="BP677" s="78"/>
      <c r="BQ677" s="78"/>
      <c r="BR677" s="78"/>
      <c r="BS677" s="78"/>
      <c r="BT677" s="78"/>
      <c r="BU677" s="78"/>
      <c r="BV677" s="78"/>
      <c r="BW677" s="78"/>
      <c r="BX677" s="78"/>
      <c r="BY677" s="78"/>
      <c r="BZ677" s="78"/>
      <c r="CA677" s="78"/>
      <c r="CB677" s="78"/>
      <c r="CC677" s="78"/>
      <c r="CD677" s="78"/>
      <c r="CE677" s="78"/>
      <c r="CF677" s="78"/>
      <c r="CG677" s="78"/>
      <c r="CH677" s="78"/>
      <c r="CI677" s="78"/>
      <c r="CJ677" s="78"/>
      <c r="CK677" s="78"/>
      <c r="CL677" s="78"/>
      <c r="CM677" s="78"/>
      <c r="CN677" s="78"/>
      <c r="CO677" s="78"/>
      <c r="CP677" s="78"/>
      <c r="CQ677" s="78"/>
      <c r="CR677" s="78"/>
      <c r="CS677" s="78"/>
      <c r="CT677" s="78"/>
      <c r="CU677" s="78"/>
      <c r="CV677" s="78"/>
      <c r="CW677" s="78"/>
      <c r="CX677" s="78"/>
      <c r="CY677" s="78"/>
      <c r="CZ677" s="78"/>
      <c r="DA677" s="78"/>
      <c r="DB677" s="78"/>
      <c r="DC677" s="78"/>
      <c r="DD677" s="78"/>
      <c r="DE677" s="78"/>
      <c r="DF677" s="78"/>
      <c r="DG677" s="78"/>
      <c r="DH677" s="78"/>
      <c r="DI677" s="78"/>
      <c r="DJ677" s="78"/>
      <c r="DK677" s="78"/>
      <c r="DL677" s="78"/>
      <c r="DM677" s="78"/>
      <c r="DN677" s="78"/>
      <c r="DO677" s="78"/>
      <c r="DP677" s="78"/>
      <c r="DQ677" s="78"/>
      <c r="DR677" s="78"/>
      <c r="DS677" s="78"/>
      <c r="DT677" s="78"/>
      <c r="DU677" s="78"/>
      <c r="DV677" s="78"/>
      <c r="DW677" s="78"/>
      <c r="DX677" s="78"/>
      <c r="DY677" s="78"/>
      <c r="DZ677" s="78"/>
      <c r="EA677" s="78"/>
      <c r="EB677" s="78"/>
      <c r="EC677" s="78"/>
    </row>
    <row r="678" spans="1:133" s="9" customFormat="1" ht="18" x14ac:dyDescent="0.25">
      <c r="A678" s="73" t="s">
        <v>54</v>
      </c>
      <c r="B678" s="60" t="s">
        <v>203</v>
      </c>
      <c r="C678" s="53" t="s">
        <v>56</v>
      </c>
      <c r="D678" s="53" t="s">
        <v>376</v>
      </c>
      <c r="E678" s="162">
        <v>303.16000000000003</v>
      </c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4"/>
      <c r="R678" s="78"/>
      <c r="S678" s="78"/>
      <c r="T678" s="78"/>
      <c r="U678" s="78"/>
      <c r="V678" s="78"/>
      <c r="W678" s="78"/>
      <c r="X678" s="78"/>
      <c r="Y678" s="78"/>
      <c r="Z678" s="78"/>
      <c r="AA678" s="78"/>
      <c r="AB678" s="78"/>
      <c r="AC678" s="78"/>
      <c r="AD678" s="78"/>
      <c r="AE678" s="78"/>
      <c r="AF678" s="78"/>
      <c r="AG678" s="78"/>
      <c r="AH678" s="78"/>
      <c r="AI678" s="78"/>
      <c r="AJ678" s="78"/>
      <c r="AK678" s="78"/>
      <c r="AL678" s="78"/>
      <c r="AM678" s="78"/>
      <c r="AN678" s="78"/>
      <c r="AO678" s="78"/>
      <c r="AP678" s="78"/>
      <c r="AQ678" s="78"/>
      <c r="AR678" s="78"/>
      <c r="AS678" s="78"/>
      <c r="AT678" s="78"/>
      <c r="AU678" s="78"/>
      <c r="AV678" s="78"/>
      <c r="AW678" s="78"/>
      <c r="AX678" s="78"/>
      <c r="AY678" s="78"/>
      <c r="AZ678" s="78"/>
      <c r="BA678" s="78"/>
      <c r="BB678" s="78"/>
      <c r="BC678" s="78"/>
      <c r="BD678" s="78"/>
      <c r="BE678" s="78"/>
      <c r="BF678" s="78"/>
      <c r="BG678" s="78"/>
      <c r="BH678" s="78"/>
      <c r="BI678" s="78"/>
      <c r="BJ678" s="78"/>
      <c r="BK678" s="78"/>
      <c r="BL678" s="78"/>
      <c r="BM678" s="78"/>
      <c r="BN678" s="78"/>
      <c r="BO678" s="78"/>
      <c r="BP678" s="78"/>
      <c r="BQ678" s="78"/>
      <c r="BR678" s="78"/>
      <c r="BS678" s="78"/>
      <c r="BT678" s="78"/>
      <c r="BU678" s="78"/>
      <c r="BV678" s="78"/>
      <c r="BW678" s="78"/>
      <c r="BX678" s="78"/>
      <c r="BY678" s="78"/>
      <c r="BZ678" s="78"/>
      <c r="CA678" s="78"/>
      <c r="CB678" s="78"/>
      <c r="CC678" s="78"/>
      <c r="CD678" s="78"/>
      <c r="CE678" s="78"/>
      <c r="CF678" s="78"/>
      <c r="CG678" s="78"/>
      <c r="CH678" s="78"/>
      <c r="CI678" s="78"/>
      <c r="CJ678" s="78"/>
      <c r="CK678" s="78"/>
      <c r="CL678" s="78"/>
      <c r="CM678" s="78"/>
      <c r="CN678" s="78"/>
      <c r="CO678" s="78"/>
      <c r="CP678" s="78"/>
      <c r="CQ678" s="78"/>
      <c r="CR678" s="78"/>
      <c r="CS678" s="78"/>
      <c r="CT678" s="78"/>
      <c r="CU678" s="78"/>
      <c r="CV678" s="78"/>
      <c r="CW678" s="78"/>
      <c r="CX678" s="78"/>
      <c r="CY678" s="78"/>
      <c r="CZ678" s="78"/>
      <c r="DA678" s="78"/>
      <c r="DB678" s="78"/>
      <c r="DC678" s="78"/>
      <c r="DD678" s="78"/>
      <c r="DE678" s="78"/>
      <c r="DF678" s="78"/>
      <c r="DG678" s="78"/>
      <c r="DH678" s="78"/>
      <c r="DI678" s="78"/>
      <c r="DJ678" s="78"/>
      <c r="DK678" s="78"/>
      <c r="DL678" s="78"/>
      <c r="DM678" s="78"/>
      <c r="DN678" s="78"/>
      <c r="DO678" s="78"/>
      <c r="DP678" s="78"/>
      <c r="DQ678" s="78"/>
      <c r="DR678" s="78"/>
      <c r="DS678" s="78"/>
      <c r="DT678" s="78"/>
      <c r="DU678" s="78"/>
      <c r="DV678" s="78"/>
      <c r="DW678" s="78"/>
      <c r="DX678" s="78"/>
      <c r="DY678" s="78"/>
      <c r="DZ678" s="78"/>
      <c r="EA678" s="78"/>
      <c r="EB678" s="78"/>
      <c r="EC678" s="78"/>
    </row>
    <row r="679" spans="1:133" s="9" customFormat="1" x14ac:dyDescent="0.25">
      <c r="A679" s="73" t="s">
        <v>57</v>
      </c>
      <c r="B679" s="60" t="s">
        <v>204</v>
      </c>
      <c r="C679" s="53" t="s">
        <v>59</v>
      </c>
      <c r="D679" s="53" t="s">
        <v>376</v>
      </c>
      <c r="E679" s="162">
        <v>1.9870000000000001</v>
      </c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4"/>
      <c r="R679" s="78"/>
      <c r="S679" s="78"/>
      <c r="T679" s="78"/>
      <c r="U679" s="78"/>
      <c r="V679" s="78"/>
      <c r="W679" s="78"/>
      <c r="X679" s="78"/>
      <c r="Y679" s="78"/>
      <c r="Z679" s="78"/>
      <c r="AA679" s="78"/>
      <c r="AB679" s="78"/>
      <c r="AC679" s="78"/>
      <c r="AD679" s="78"/>
      <c r="AE679" s="78"/>
      <c r="AF679" s="78"/>
      <c r="AG679" s="78"/>
      <c r="AH679" s="78"/>
      <c r="AI679" s="78"/>
      <c r="AJ679" s="78"/>
      <c r="AK679" s="78"/>
      <c r="AL679" s="78"/>
      <c r="AM679" s="78"/>
      <c r="AN679" s="78"/>
      <c r="AO679" s="78"/>
      <c r="AP679" s="78"/>
      <c r="AQ679" s="78"/>
      <c r="AR679" s="78"/>
      <c r="AS679" s="78"/>
      <c r="AT679" s="78"/>
      <c r="AU679" s="78"/>
      <c r="AV679" s="78"/>
      <c r="AW679" s="78"/>
      <c r="AX679" s="78"/>
      <c r="AY679" s="78"/>
      <c r="AZ679" s="78"/>
      <c r="BA679" s="78"/>
      <c r="BB679" s="78"/>
      <c r="BC679" s="78"/>
      <c r="BD679" s="78"/>
      <c r="BE679" s="78"/>
      <c r="BF679" s="78"/>
      <c r="BG679" s="78"/>
      <c r="BH679" s="78"/>
      <c r="BI679" s="78"/>
      <c r="BJ679" s="78"/>
      <c r="BK679" s="78"/>
      <c r="BL679" s="78"/>
      <c r="BM679" s="78"/>
      <c r="BN679" s="78"/>
      <c r="BO679" s="78"/>
      <c r="BP679" s="78"/>
      <c r="BQ679" s="78"/>
      <c r="BR679" s="78"/>
      <c r="BS679" s="78"/>
      <c r="BT679" s="78"/>
      <c r="BU679" s="78"/>
      <c r="BV679" s="78"/>
      <c r="BW679" s="78"/>
      <c r="BX679" s="78"/>
      <c r="BY679" s="78"/>
      <c r="BZ679" s="78"/>
      <c r="CA679" s="78"/>
      <c r="CB679" s="78"/>
      <c r="CC679" s="78"/>
      <c r="CD679" s="78"/>
      <c r="CE679" s="78"/>
      <c r="CF679" s="78"/>
      <c r="CG679" s="78"/>
      <c r="CH679" s="78"/>
      <c r="CI679" s="78"/>
      <c r="CJ679" s="78"/>
      <c r="CK679" s="78"/>
      <c r="CL679" s="78"/>
      <c r="CM679" s="78"/>
      <c r="CN679" s="78"/>
      <c r="CO679" s="78"/>
      <c r="CP679" s="78"/>
      <c r="CQ679" s="78"/>
      <c r="CR679" s="78"/>
      <c r="CS679" s="78"/>
      <c r="CT679" s="78"/>
      <c r="CU679" s="78"/>
      <c r="CV679" s="78"/>
      <c r="CW679" s="78"/>
      <c r="CX679" s="78"/>
      <c r="CY679" s="78"/>
      <c r="CZ679" s="78"/>
      <c r="DA679" s="78"/>
      <c r="DB679" s="78"/>
      <c r="DC679" s="78"/>
      <c r="DD679" s="78"/>
      <c r="DE679" s="78"/>
      <c r="DF679" s="78"/>
      <c r="DG679" s="78"/>
      <c r="DH679" s="78"/>
      <c r="DI679" s="78"/>
      <c r="DJ679" s="78"/>
      <c r="DK679" s="78"/>
      <c r="DL679" s="78"/>
      <c r="DM679" s="78"/>
      <c r="DN679" s="78"/>
      <c r="DO679" s="78"/>
      <c r="DP679" s="78"/>
      <c r="DQ679" s="78"/>
      <c r="DR679" s="78"/>
      <c r="DS679" s="78"/>
      <c r="DT679" s="78"/>
      <c r="DU679" s="78"/>
      <c r="DV679" s="78"/>
      <c r="DW679" s="78"/>
      <c r="DX679" s="78"/>
      <c r="DY679" s="78"/>
      <c r="DZ679" s="78"/>
      <c r="EA679" s="78"/>
      <c r="EB679" s="78"/>
      <c r="EC679" s="78"/>
    </row>
    <row r="680" spans="1:133" s="9" customFormat="1" ht="31.2" x14ac:dyDescent="0.25">
      <c r="A680" s="73" t="s">
        <v>60</v>
      </c>
      <c r="B680" s="60" t="s">
        <v>203</v>
      </c>
      <c r="C680" s="53" t="s">
        <v>61</v>
      </c>
      <c r="D680" s="143" t="s">
        <v>363</v>
      </c>
      <c r="E680" s="98">
        <f>AVERAGE(F680:K680)</f>
        <v>292.65000000000003</v>
      </c>
      <c r="F680" s="60">
        <v>286.14999999999998</v>
      </c>
      <c r="G680" s="60">
        <v>283.64999999999998</v>
      </c>
      <c r="H680" s="60">
        <v>293.14999999999998</v>
      </c>
      <c r="I680" s="60">
        <v>295.14999999999998</v>
      </c>
      <c r="J680" s="60">
        <v>297.14999999999998</v>
      </c>
      <c r="K680" s="60">
        <v>300.64999999999998</v>
      </c>
      <c r="L680" s="60" t="s">
        <v>297</v>
      </c>
      <c r="M680" s="60" t="s">
        <v>297</v>
      </c>
      <c r="N680" s="60" t="s">
        <v>297</v>
      </c>
      <c r="O680" s="60" t="s">
        <v>297</v>
      </c>
      <c r="P680" s="60" t="s">
        <v>297</v>
      </c>
      <c r="Q680" s="60" t="s">
        <v>297</v>
      </c>
      <c r="R680" s="78"/>
      <c r="S680" s="78"/>
      <c r="T680" s="78"/>
      <c r="U680" s="78"/>
      <c r="V680" s="78"/>
      <c r="W680" s="78"/>
      <c r="X680" s="78"/>
      <c r="Y680" s="78"/>
      <c r="Z680" s="78"/>
      <c r="AA680" s="78"/>
      <c r="AB680" s="78"/>
      <c r="AC680" s="78"/>
      <c r="AD680" s="78"/>
      <c r="AE680" s="78"/>
      <c r="AF680" s="78"/>
      <c r="AG680" s="78"/>
      <c r="AH680" s="78"/>
      <c r="AI680" s="78"/>
      <c r="AJ680" s="78"/>
      <c r="AK680" s="78"/>
      <c r="AL680" s="78"/>
      <c r="AM680" s="78"/>
      <c r="AN680" s="78"/>
      <c r="AO680" s="78"/>
      <c r="AP680" s="78"/>
      <c r="AQ680" s="78"/>
      <c r="AR680" s="78"/>
      <c r="AS680" s="78"/>
      <c r="AT680" s="78"/>
      <c r="AU680" s="78"/>
      <c r="AV680" s="78"/>
      <c r="AW680" s="78"/>
      <c r="AX680" s="78"/>
      <c r="AY680" s="78"/>
      <c r="AZ680" s="78"/>
      <c r="BA680" s="78"/>
      <c r="BB680" s="78"/>
      <c r="BC680" s="78"/>
      <c r="BD680" s="78"/>
      <c r="BE680" s="78"/>
      <c r="BF680" s="78"/>
      <c r="BG680" s="78"/>
      <c r="BH680" s="78"/>
      <c r="BI680" s="78"/>
      <c r="BJ680" s="78"/>
      <c r="BK680" s="78"/>
      <c r="BL680" s="78"/>
      <c r="BM680" s="78"/>
      <c r="BN680" s="78"/>
      <c r="BO680" s="78"/>
      <c r="BP680" s="78"/>
      <c r="BQ680" s="78"/>
      <c r="BR680" s="78"/>
      <c r="BS680" s="78"/>
      <c r="BT680" s="78"/>
      <c r="BU680" s="78"/>
      <c r="BV680" s="78"/>
      <c r="BW680" s="78"/>
      <c r="BX680" s="78"/>
      <c r="BY680" s="78"/>
      <c r="BZ680" s="78"/>
      <c r="CA680" s="78"/>
      <c r="CB680" s="78"/>
      <c r="CC680" s="78"/>
      <c r="CD680" s="78"/>
      <c r="CE680" s="78"/>
      <c r="CF680" s="78"/>
      <c r="CG680" s="78"/>
      <c r="CH680" s="78"/>
      <c r="CI680" s="78"/>
      <c r="CJ680" s="78"/>
      <c r="CK680" s="78"/>
      <c r="CL680" s="78"/>
      <c r="CM680" s="78"/>
      <c r="CN680" s="78"/>
      <c r="CO680" s="78"/>
      <c r="CP680" s="78"/>
      <c r="CQ680" s="78"/>
      <c r="CR680" s="78"/>
      <c r="CS680" s="78"/>
      <c r="CT680" s="78"/>
      <c r="CU680" s="78"/>
      <c r="CV680" s="78"/>
      <c r="CW680" s="78"/>
      <c r="CX680" s="78"/>
      <c r="CY680" s="78"/>
      <c r="CZ680" s="78"/>
      <c r="DA680" s="78"/>
      <c r="DB680" s="78"/>
      <c r="DC680" s="78"/>
      <c r="DD680" s="78"/>
      <c r="DE680" s="78"/>
      <c r="DF680" s="78"/>
      <c r="DG680" s="78"/>
      <c r="DH680" s="78"/>
      <c r="DI680" s="78"/>
      <c r="DJ680" s="78"/>
      <c r="DK680" s="78"/>
      <c r="DL680" s="78"/>
      <c r="DM680" s="78"/>
      <c r="DN680" s="78"/>
      <c r="DO680" s="78"/>
      <c r="DP680" s="78"/>
      <c r="DQ680" s="78"/>
      <c r="DR680" s="78"/>
      <c r="DS680" s="78"/>
      <c r="DT680" s="78"/>
      <c r="DU680" s="78"/>
      <c r="DV680" s="78"/>
      <c r="DW680" s="78"/>
      <c r="DX680" s="78"/>
      <c r="DY680" s="78"/>
      <c r="DZ680" s="78"/>
      <c r="EA680" s="78"/>
      <c r="EB680" s="78"/>
      <c r="EC680" s="78"/>
    </row>
    <row r="681" spans="1:133" s="9" customFormat="1" ht="31.2" x14ac:dyDescent="0.4">
      <c r="A681" s="71" t="s">
        <v>62</v>
      </c>
      <c r="B681" s="60" t="s">
        <v>196</v>
      </c>
      <c r="C681" s="53" t="s">
        <v>63</v>
      </c>
      <c r="D681" s="53" t="s">
        <v>377</v>
      </c>
      <c r="E681" s="74">
        <f>SUM(F681:K681)</f>
        <v>1373.4214872204179</v>
      </c>
      <c r="F681" s="74">
        <f>F670*F665*F668+(1-F676)*'Baseline Emissions 2021'!Q681</f>
        <v>269.86528455490594</v>
      </c>
      <c r="G681" s="74">
        <f t="shared" ref="G681:K681" si="90">G670*G665*G668+(1-G676)*F681</f>
        <v>304.27432903846818</v>
      </c>
      <c r="H681" s="74">
        <f t="shared" si="90"/>
        <v>266.44946951444547</v>
      </c>
      <c r="I681" s="74">
        <f t="shared" si="90"/>
        <v>219.89963151375059</v>
      </c>
      <c r="J681" s="74">
        <f t="shared" si="90"/>
        <v>189.61185102882308</v>
      </c>
      <c r="K681" s="74">
        <f t="shared" si="90"/>
        <v>123.32092157002455</v>
      </c>
      <c r="L681" s="74" t="s">
        <v>297</v>
      </c>
      <c r="M681" s="74" t="s">
        <v>297</v>
      </c>
      <c r="N681" s="74" t="s">
        <v>297</v>
      </c>
      <c r="O681" s="74" t="s">
        <v>297</v>
      </c>
      <c r="P681" s="74" t="s">
        <v>297</v>
      </c>
      <c r="Q681" s="74" t="s">
        <v>297</v>
      </c>
      <c r="R681" s="78"/>
      <c r="S681" s="78"/>
      <c r="T681" s="78"/>
      <c r="U681" s="78"/>
      <c r="V681" s="78"/>
      <c r="W681" s="78"/>
      <c r="X681" s="78"/>
      <c r="Y681" s="78"/>
      <c r="Z681" s="78"/>
      <c r="AA681" s="78"/>
      <c r="AB681" s="78"/>
      <c r="AC681" s="78"/>
      <c r="AD681" s="78"/>
      <c r="AE681" s="78"/>
      <c r="AF681" s="78"/>
      <c r="AG681" s="78"/>
      <c r="AH681" s="78"/>
      <c r="AI681" s="78"/>
      <c r="AJ681" s="78"/>
      <c r="AK681" s="78"/>
      <c r="AL681" s="78"/>
      <c r="AM681" s="78"/>
      <c r="AN681" s="78"/>
      <c r="AO681" s="78"/>
      <c r="AP681" s="78"/>
      <c r="AQ681" s="78"/>
      <c r="AR681" s="78"/>
      <c r="AS681" s="78"/>
      <c r="AT681" s="78"/>
      <c r="AU681" s="78"/>
      <c r="AV681" s="78"/>
      <c r="AW681" s="78"/>
      <c r="AX681" s="78"/>
      <c r="AY681" s="78"/>
      <c r="AZ681" s="78"/>
      <c r="BA681" s="78"/>
      <c r="BB681" s="78"/>
      <c r="BC681" s="78"/>
      <c r="BD681" s="78"/>
      <c r="BE681" s="78"/>
      <c r="BF681" s="78"/>
      <c r="BG681" s="78"/>
      <c r="BH681" s="78"/>
      <c r="BI681" s="78"/>
      <c r="BJ681" s="78"/>
      <c r="BK681" s="78"/>
      <c r="BL681" s="78"/>
      <c r="BM681" s="78"/>
      <c r="BN681" s="78"/>
      <c r="BO681" s="78"/>
      <c r="BP681" s="78"/>
      <c r="BQ681" s="78"/>
      <c r="BR681" s="78"/>
      <c r="BS681" s="78"/>
      <c r="BT681" s="78"/>
      <c r="BU681" s="78"/>
      <c r="BV681" s="78"/>
      <c r="BW681" s="78"/>
      <c r="BX681" s="78"/>
      <c r="BY681" s="78"/>
      <c r="BZ681" s="78"/>
      <c r="CA681" s="78"/>
      <c r="CB681" s="78"/>
      <c r="CC681" s="78"/>
      <c r="CD681" s="78"/>
      <c r="CE681" s="78"/>
      <c r="CF681" s="78"/>
      <c r="CG681" s="78"/>
      <c r="CH681" s="78"/>
      <c r="CI681" s="78"/>
      <c r="CJ681" s="78"/>
      <c r="CK681" s="78"/>
      <c r="CL681" s="78"/>
      <c r="CM681" s="78"/>
      <c r="CN681" s="78"/>
      <c r="CO681" s="78"/>
      <c r="CP681" s="78"/>
      <c r="CQ681" s="78"/>
      <c r="CR681" s="78"/>
      <c r="CS681" s="78"/>
      <c r="CT681" s="78"/>
      <c r="CU681" s="78"/>
      <c r="CV681" s="78"/>
      <c r="CW681" s="78"/>
      <c r="CX681" s="78"/>
      <c r="CY681" s="78"/>
      <c r="CZ681" s="78"/>
      <c r="DA681" s="78"/>
      <c r="DB681" s="78"/>
      <c r="DC681" s="78"/>
      <c r="DD681" s="78"/>
      <c r="DE681" s="78"/>
      <c r="DF681" s="78"/>
      <c r="DG681" s="78"/>
      <c r="DH681" s="78"/>
      <c r="DI681" s="78"/>
      <c r="DJ681" s="78"/>
      <c r="DK681" s="78"/>
      <c r="DL681" s="78"/>
      <c r="DM681" s="78"/>
      <c r="DN681" s="78"/>
      <c r="DO681" s="78"/>
      <c r="DP681" s="78"/>
      <c r="DQ681" s="78"/>
      <c r="DR681" s="78"/>
      <c r="DS681" s="78"/>
      <c r="DT681" s="78"/>
      <c r="DU681" s="78"/>
      <c r="DV681" s="78"/>
      <c r="DW681" s="78"/>
      <c r="DX681" s="78"/>
      <c r="DY681" s="78"/>
      <c r="DZ681" s="78"/>
      <c r="EA681" s="78"/>
      <c r="EB681" s="78"/>
      <c r="EC681" s="78"/>
    </row>
    <row r="683" spans="1:133" ht="15.6" customHeight="1" x14ac:dyDescent="0.25">
      <c r="A683" s="36" t="s">
        <v>64</v>
      </c>
      <c r="B683" s="36"/>
      <c r="C683" s="36"/>
      <c r="D683" s="36"/>
      <c r="E683" s="36"/>
    </row>
    <row r="684" spans="1:133" x14ac:dyDescent="0.25">
      <c r="A684" s="57" t="s">
        <v>8</v>
      </c>
      <c r="B684" s="58" t="s">
        <v>9</v>
      </c>
      <c r="C684" s="34" t="s">
        <v>10</v>
      </c>
      <c r="D684" s="34" t="s">
        <v>340</v>
      </c>
      <c r="E684" s="16" t="s">
        <v>65</v>
      </c>
    </row>
    <row r="685" spans="1:133" ht="62.4" x14ac:dyDescent="0.25">
      <c r="A685" s="59" t="s">
        <v>66</v>
      </c>
      <c r="B685" s="60" t="s">
        <v>14</v>
      </c>
      <c r="C685" s="53" t="s">
        <v>67</v>
      </c>
      <c r="D685" s="53" t="s">
        <v>68</v>
      </c>
      <c r="E685" s="75">
        <v>0</v>
      </c>
    </row>
    <row r="686" spans="1:133" ht="46.8" x14ac:dyDescent="0.25">
      <c r="A686" s="63" t="s">
        <v>69</v>
      </c>
      <c r="B686" s="25" t="s">
        <v>70</v>
      </c>
      <c r="C686" s="35" t="s">
        <v>71</v>
      </c>
      <c r="D686" s="53" t="str">
        <f>D692</f>
        <v>Historical data on site in the FSR (It was calculated with conservative value)</v>
      </c>
      <c r="E686" s="74">
        <f>E692</f>
        <v>208.13889619453113</v>
      </c>
    </row>
    <row r="688" spans="1:133" s="13" customFormat="1" ht="15.6" customHeight="1" x14ac:dyDescent="0.25">
      <c r="A688" s="90" t="s">
        <v>72</v>
      </c>
      <c r="B688" s="90"/>
      <c r="C688" s="91"/>
      <c r="D688" s="91"/>
      <c r="E688" s="90"/>
      <c r="R688" s="14"/>
      <c r="S688" s="14"/>
      <c r="T688" s="14"/>
      <c r="U688" s="14"/>
      <c r="V688" s="14"/>
      <c r="W688" s="14"/>
      <c r="X688" s="14"/>
      <c r="Y688" s="14"/>
      <c r="Z688" s="14"/>
      <c r="AA688" s="14"/>
      <c r="AB688" s="14"/>
      <c r="AC688" s="14"/>
      <c r="AD688" s="14"/>
      <c r="AE688" s="14"/>
      <c r="AF688" s="14"/>
      <c r="AG688" s="14"/>
      <c r="AH688" s="14"/>
      <c r="AI688" s="14"/>
      <c r="AJ688" s="14"/>
      <c r="AK688" s="14"/>
      <c r="AL688" s="14"/>
      <c r="AM688" s="14"/>
      <c r="AN688" s="14"/>
      <c r="AO688" s="14"/>
      <c r="AP688" s="14"/>
      <c r="AQ688" s="14"/>
      <c r="AR688" s="14"/>
      <c r="AS688" s="14"/>
      <c r="AT688" s="14"/>
      <c r="AU688" s="14"/>
      <c r="AV688" s="14"/>
      <c r="AW688" s="14"/>
      <c r="AX688" s="14"/>
      <c r="AY688" s="14"/>
      <c r="AZ688" s="14"/>
      <c r="BA688" s="14"/>
      <c r="BB688" s="14"/>
      <c r="BC688" s="14"/>
      <c r="BD688" s="14"/>
      <c r="BE688" s="14"/>
      <c r="BF688" s="14"/>
      <c r="BG688" s="14"/>
      <c r="BH688" s="14"/>
      <c r="BI688" s="14"/>
      <c r="BJ688" s="14"/>
      <c r="BK688" s="14"/>
      <c r="BL688" s="14"/>
      <c r="BM688" s="14"/>
      <c r="BN688" s="14"/>
      <c r="BO688" s="14"/>
      <c r="BP688" s="14"/>
      <c r="BQ688" s="14"/>
      <c r="BR688" s="14"/>
      <c r="BS688" s="14"/>
      <c r="BT688" s="14"/>
      <c r="BU688" s="14"/>
      <c r="BV688" s="14"/>
      <c r="BW688" s="14"/>
      <c r="BX688" s="14"/>
      <c r="BY688" s="14"/>
      <c r="BZ688" s="14"/>
      <c r="CA688" s="14"/>
      <c r="CB688" s="14"/>
      <c r="CC688" s="14"/>
      <c r="CD688" s="14"/>
      <c r="CE688" s="14"/>
      <c r="CF688" s="14"/>
      <c r="CG688" s="14"/>
      <c r="CH688" s="14"/>
      <c r="CI688" s="14"/>
      <c r="CJ688" s="14"/>
      <c r="CK688" s="14"/>
      <c r="CL688" s="14"/>
      <c r="CM688" s="14"/>
      <c r="CN688" s="14"/>
      <c r="CO688" s="14"/>
      <c r="CP688" s="14"/>
      <c r="CQ688" s="14"/>
      <c r="CR688" s="14"/>
      <c r="CS688" s="14"/>
      <c r="CT688" s="14"/>
      <c r="CU688" s="14"/>
      <c r="CV688" s="14"/>
      <c r="CW688" s="14"/>
      <c r="CX688" s="14"/>
      <c r="CY688" s="14"/>
      <c r="CZ688" s="14"/>
      <c r="DA688" s="14"/>
      <c r="DB688" s="14"/>
      <c r="DC688" s="14"/>
      <c r="DD688" s="14"/>
      <c r="DE688" s="14"/>
      <c r="DF688" s="14"/>
      <c r="DG688" s="14"/>
      <c r="DH688" s="14"/>
      <c r="DI688" s="14"/>
      <c r="DJ688" s="14"/>
      <c r="DK688" s="14"/>
      <c r="DL688" s="14"/>
      <c r="DM688" s="14"/>
      <c r="DN688" s="14"/>
      <c r="DO688" s="14"/>
      <c r="DP688" s="14"/>
      <c r="DQ688" s="14"/>
      <c r="DR688" s="14"/>
      <c r="DS688" s="14"/>
      <c r="DT688" s="14"/>
      <c r="DU688" s="14"/>
      <c r="DV688" s="14"/>
      <c r="DW688" s="14"/>
      <c r="DX688" s="14"/>
      <c r="DY688" s="14"/>
      <c r="DZ688" s="14"/>
      <c r="EA688" s="14"/>
      <c r="EB688" s="14"/>
      <c r="EC688" s="14"/>
    </row>
    <row r="689" spans="1:133" s="13" customFormat="1" x14ac:dyDescent="0.25">
      <c r="A689" s="59" t="s">
        <v>8</v>
      </c>
      <c r="B689" s="16" t="s">
        <v>9</v>
      </c>
      <c r="C689" s="38" t="s">
        <v>10</v>
      </c>
      <c r="D689" s="38" t="s">
        <v>340</v>
      </c>
      <c r="E689" s="16" t="s">
        <v>65</v>
      </c>
      <c r="R689" s="14"/>
      <c r="S689" s="14"/>
      <c r="T689" s="14"/>
      <c r="U689" s="14"/>
      <c r="V689" s="14"/>
      <c r="W689" s="14"/>
      <c r="X689" s="14"/>
      <c r="Y689" s="14"/>
      <c r="Z689" s="14"/>
      <c r="AA689" s="14"/>
      <c r="AB689" s="14"/>
      <c r="AC689" s="14"/>
      <c r="AD689" s="14"/>
      <c r="AE689" s="14"/>
      <c r="AF689" s="14"/>
      <c r="AG689" s="14"/>
      <c r="AH689" s="14"/>
      <c r="AI689" s="14"/>
      <c r="AJ689" s="14"/>
      <c r="AK689" s="14"/>
      <c r="AL689" s="14"/>
      <c r="AM689" s="14"/>
      <c r="AN689" s="14"/>
      <c r="AO689" s="14"/>
      <c r="AP689" s="14"/>
      <c r="AQ689" s="14"/>
      <c r="AR689" s="14"/>
      <c r="AS689" s="14"/>
      <c r="AT689" s="14"/>
      <c r="AU689" s="14"/>
      <c r="AV689" s="14"/>
      <c r="AW689" s="14"/>
      <c r="AX689" s="14"/>
      <c r="AY689" s="14"/>
      <c r="AZ689" s="14"/>
      <c r="BA689" s="14"/>
      <c r="BB689" s="14"/>
      <c r="BC689" s="14"/>
      <c r="BD689" s="14"/>
      <c r="BE689" s="14"/>
      <c r="BF689" s="14"/>
      <c r="BG689" s="14"/>
      <c r="BH689" s="14"/>
      <c r="BI689" s="14"/>
      <c r="BJ689" s="14"/>
      <c r="BK689" s="14"/>
      <c r="BL689" s="14"/>
      <c r="BM689" s="14"/>
      <c r="BN689" s="14"/>
      <c r="BO689" s="14"/>
      <c r="BP689" s="14"/>
      <c r="BQ689" s="14"/>
      <c r="BR689" s="14"/>
      <c r="BS689" s="14"/>
      <c r="BT689" s="14"/>
      <c r="BU689" s="14"/>
      <c r="BV689" s="14"/>
      <c r="BW689" s="14"/>
      <c r="BX689" s="14"/>
      <c r="BY689" s="14"/>
      <c r="BZ689" s="14"/>
      <c r="CA689" s="14"/>
      <c r="CB689" s="14"/>
      <c r="CC689" s="14"/>
      <c r="CD689" s="14"/>
      <c r="CE689" s="14"/>
      <c r="CF689" s="14"/>
      <c r="CG689" s="14"/>
      <c r="CH689" s="14"/>
      <c r="CI689" s="14"/>
      <c r="CJ689" s="14"/>
      <c r="CK689" s="14"/>
      <c r="CL689" s="14"/>
      <c r="CM689" s="14"/>
      <c r="CN689" s="14"/>
      <c r="CO689" s="14"/>
      <c r="CP689" s="14"/>
      <c r="CQ689" s="14"/>
      <c r="CR689" s="14"/>
      <c r="CS689" s="14"/>
      <c r="CT689" s="14"/>
      <c r="CU689" s="14"/>
      <c r="CV689" s="14"/>
      <c r="CW689" s="14"/>
      <c r="CX689" s="14"/>
      <c r="CY689" s="14"/>
      <c r="CZ689" s="14"/>
      <c r="DA689" s="14"/>
      <c r="DB689" s="14"/>
      <c r="DC689" s="14"/>
      <c r="DD689" s="14"/>
      <c r="DE689" s="14"/>
      <c r="DF689" s="14"/>
      <c r="DG689" s="14"/>
      <c r="DH689" s="14"/>
      <c r="DI689" s="14"/>
      <c r="DJ689" s="14"/>
      <c r="DK689" s="14"/>
      <c r="DL689" s="14"/>
      <c r="DM689" s="14"/>
      <c r="DN689" s="14"/>
      <c r="DO689" s="14"/>
      <c r="DP689" s="14"/>
      <c r="DQ689" s="14"/>
      <c r="DR689" s="14"/>
      <c r="DS689" s="14"/>
      <c r="DT689" s="14"/>
      <c r="DU689" s="14"/>
      <c r="DV689" s="14"/>
      <c r="DW689" s="14"/>
      <c r="DX689" s="14"/>
      <c r="DY689" s="14"/>
      <c r="DZ689" s="14"/>
      <c r="EA689" s="14"/>
      <c r="EB689" s="14"/>
      <c r="EC689" s="14"/>
    </row>
    <row r="690" spans="1:133" s="13" customFormat="1" ht="33.6" x14ac:dyDescent="0.4">
      <c r="A690" s="76" t="s">
        <v>73</v>
      </c>
      <c r="B690" s="25" t="s">
        <v>74</v>
      </c>
      <c r="C690" s="35" t="s">
        <v>75</v>
      </c>
      <c r="D690" s="35" t="s">
        <v>378</v>
      </c>
      <c r="E690" s="50">
        <f>E691*E694*E695*E696*E697*E698</f>
        <v>0.84540420180061349</v>
      </c>
      <c r="R690" s="14"/>
      <c r="S690" s="14"/>
      <c r="T690" s="14"/>
      <c r="U690" s="14"/>
      <c r="V690" s="14"/>
      <c r="W690" s="14"/>
      <c r="X690" s="14"/>
      <c r="Y690" s="14"/>
      <c r="Z690" s="14"/>
      <c r="AA690" s="14"/>
      <c r="AB690" s="14"/>
      <c r="AC690" s="14"/>
      <c r="AD690" s="14"/>
      <c r="AE690" s="14"/>
      <c r="AF690" s="14"/>
      <c r="AG690" s="14"/>
      <c r="AH690" s="14"/>
      <c r="AI690" s="14"/>
      <c r="AJ690" s="14"/>
      <c r="AK690" s="14"/>
      <c r="AL690" s="14"/>
      <c r="AM690" s="14"/>
      <c r="AN690" s="14"/>
      <c r="AO690" s="14"/>
      <c r="AP690" s="14"/>
      <c r="AQ690" s="14"/>
      <c r="AR690" s="14"/>
      <c r="AS690" s="14"/>
      <c r="AT690" s="14"/>
      <c r="AU690" s="14"/>
      <c r="AV690" s="14"/>
      <c r="AW690" s="14"/>
      <c r="AX690" s="14"/>
      <c r="AY690" s="14"/>
      <c r="AZ690" s="14"/>
      <c r="BA690" s="14"/>
      <c r="BB690" s="14"/>
      <c r="BC690" s="14"/>
      <c r="BD690" s="14"/>
      <c r="BE690" s="14"/>
      <c r="BF690" s="14"/>
      <c r="BG690" s="14"/>
      <c r="BH690" s="14"/>
      <c r="BI690" s="14"/>
      <c r="BJ690" s="14"/>
      <c r="BK690" s="14"/>
      <c r="BL690" s="14"/>
      <c r="BM690" s="14"/>
      <c r="BN690" s="14"/>
      <c r="BO690" s="14"/>
      <c r="BP690" s="14"/>
      <c r="BQ690" s="14"/>
      <c r="BR690" s="14"/>
      <c r="BS690" s="14"/>
      <c r="BT690" s="14"/>
      <c r="BU690" s="14"/>
      <c r="BV690" s="14"/>
      <c r="BW690" s="14"/>
      <c r="BX690" s="14"/>
      <c r="BY690" s="14"/>
      <c r="BZ690" s="14"/>
      <c r="CA690" s="14"/>
      <c r="CB690" s="14"/>
      <c r="CC690" s="14"/>
      <c r="CD690" s="14"/>
      <c r="CE690" s="14"/>
      <c r="CF690" s="14"/>
      <c r="CG690" s="14"/>
      <c r="CH690" s="14"/>
      <c r="CI690" s="14"/>
      <c r="CJ690" s="14"/>
      <c r="CK690" s="14"/>
      <c r="CL690" s="14"/>
      <c r="CM690" s="14"/>
      <c r="CN690" s="14"/>
      <c r="CO690" s="14"/>
      <c r="CP690" s="14"/>
      <c r="CQ690" s="14"/>
      <c r="CR690" s="14"/>
      <c r="CS690" s="14"/>
      <c r="CT690" s="14"/>
      <c r="CU690" s="14"/>
      <c r="CV690" s="14"/>
      <c r="CW690" s="14"/>
      <c r="CX690" s="14"/>
      <c r="CY690" s="14"/>
      <c r="CZ690" s="14"/>
      <c r="DA690" s="14"/>
      <c r="DB690" s="14"/>
      <c r="DC690" s="14"/>
      <c r="DD690" s="14"/>
      <c r="DE690" s="14"/>
      <c r="DF690" s="14"/>
      <c r="DG690" s="14"/>
      <c r="DH690" s="14"/>
      <c r="DI690" s="14"/>
      <c r="DJ690" s="14"/>
      <c r="DK690" s="14"/>
      <c r="DL690" s="14"/>
      <c r="DM690" s="14"/>
      <c r="DN690" s="14"/>
      <c r="DO690" s="14"/>
      <c r="DP690" s="14"/>
      <c r="DQ690" s="14"/>
      <c r="DR690" s="14"/>
      <c r="DS690" s="14"/>
      <c r="DT690" s="14"/>
      <c r="DU690" s="14"/>
      <c r="DV690" s="14"/>
      <c r="DW690" s="14"/>
      <c r="DX690" s="14"/>
      <c r="DY690" s="14"/>
      <c r="DZ690" s="14"/>
      <c r="EA690" s="14"/>
      <c r="EB690" s="14"/>
      <c r="EC690" s="14"/>
    </row>
    <row r="691" spans="1:133" s="13" customFormat="1" ht="46.8" x14ac:dyDescent="0.4">
      <c r="A691" s="77" t="s">
        <v>207</v>
      </c>
      <c r="B691" s="25" t="s">
        <v>76</v>
      </c>
      <c r="C691" s="35" t="s">
        <v>77</v>
      </c>
      <c r="D691" s="35" t="s">
        <v>379</v>
      </c>
      <c r="E691" s="52">
        <f>E692/E693</f>
        <v>41.627779238906228</v>
      </c>
      <c r="R691" s="14"/>
      <c r="S691" s="14"/>
      <c r="T691" s="14"/>
      <c r="U691" s="14"/>
      <c r="V691" s="14"/>
      <c r="W691" s="14"/>
      <c r="X691" s="14"/>
      <c r="Y691" s="14"/>
      <c r="Z691" s="14"/>
      <c r="AA691" s="14"/>
      <c r="AB691" s="14"/>
      <c r="AC691" s="14"/>
      <c r="AD691" s="14"/>
      <c r="AE691" s="14"/>
      <c r="AF691" s="14"/>
      <c r="AG691" s="14"/>
      <c r="AH691" s="14"/>
      <c r="AI691" s="14"/>
      <c r="AJ691" s="14"/>
      <c r="AK691" s="14"/>
      <c r="AL691" s="14"/>
      <c r="AM691" s="14"/>
      <c r="AN691" s="14"/>
      <c r="AO691" s="14"/>
      <c r="AP691" s="14"/>
      <c r="AQ691" s="14"/>
      <c r="AR691" s="14"/>
      <c r="AS691" s="14"/>
      <c r="AT691" s="14"/>
      <c r="AU691" s="14"/>
      <c r="AV691" s="14"/>
      <c r="AW691" s="14"/>
      <c r="AX691" s="14"/>
      <c r="AY691" s="14"/>
      <c r="AZ691" s="14"/>
      <c r="BA691" s="14"/>
      <c r="BB691" s="14"/>
      <c r="BC691" s="14"/>
      <c r="BD691" s="14"/>
      <c r="BE691" s="14"/>
      <c r="BF691" s="14"/>
      <c r="BG691" s="14"/>
      <c r="BH691" s="14"/>
      <c r="BI691" s="14"/>
      <c r="BJ691" s="14"/>
      <c r="BK691" s="14"/>
      <c r="BL691" s="14"/>
      <c r="BM691" s="14"/>
      <c r="BN691" s="14"/>
      <c r="BO691" s="14"/>
      <c r="BP691" s="14"/>
      <c r="BQ691" s="14"/>
      <c r="BR691" s="14"/>
      <c r="BS691" s="14"/>
      <c r="BT691" s="14"/>
      <c r="BU691" s="14"/>
      <c r="BV691" s="14"/>
      <c r="BW691" s="14"/>
      <c r="BX691" s="14"/>
      <c r="BY691" s="14"/>
      <c r="BZ691" s="14"/>
      <c r="CA691" s="14"/>
      <c r="CB691" s="14"/>
      <c r="CC691" s="14"/>
      <c r="CD691" s="14"/>
      <c r="CE691" s="14"/>
      <c r="CF691" s="14"/>
      <c r="CG691" s="14"/>
      <c r="CH691" s="14"/>
      <c r="CI691" s="14"/>
      <c r="CJ691" s="14"/>
      <c r="CK691" s="14"/>
      <c r="CL691" s="14"/>
      <c r="CM691" s="14"/>
      <c r="CN691" s="14"/>
      <c r="CO691" s="14"/>
      <c r="CP691" s="14"/>
      <c r="CQ691" s="14"/>
      <c r="CR691" s="14"/>
      <c r="CS691" s="14"/>
      <c r="CT691" s="14"/>
      <c r="CU691" s="14"/>
      <c r="CV691" s="14"/>
      <c r="CW691" s="14"/>
      <c r="CX691" s="14"/>
      <c r="CY691" s="14"/>
      <c r="CZ691" s="14"/>
      <c r="DA691" s="14"/>
      <c r="DB691" s="14"/>
      <c r="DC691" s="14"/>
      <c r="DD691" s="14"/>
      <c r="DE691" s="14"/>
      <c r="DF691" s="14"/>
      <c r="DG691" s="14"/>
      <c r="DH691" s="14"/>
      <c r="DI691" s="14"/>
      <c r="DJ691" s="14"/>
      <c r="DK691" s="14"/>
      <c r="DL691" s="14"/>
      <c r="DM691" s="14"/>
      <c r="DN691" s="14"/>
      <c r="DO691" s="14"/>
      <c r="DP691" s="14"/>
      <c r="DQ691" s="14"/>
      <c r="DR691" s="14"/>
      <c r="DS691" s="14"/>
      <c r="DT691" s="14"/>
      <c r="DU691" s="14"/>
      <c r="DV691" s="14"/>
      <c r="DW691" s="14"/>
      <c r="DX691" s="14"/>
      <c r="DY691" s="14"/>
      <c r="DZ691" s="14"/>
      <c r="EA691" s="14"/>
      <c r="EB691" s="14"/>
      <c r="EC691" s="14"/>
    </row>
    <row r="692" spans="1:133" s="13" customFormat="1" ht="46.8" x14ac:dyDescent="0.25">
      <c r="A692" s="63" t="s">
        <v>208</v>
      </c>
      <c r="B692" s="25" t="s">
        <v>78</v>
      </c>
      <c r="C692" s="35" t="s">
        <v>79</v>
      </c>
      <c r="D692" s="53" t="s">
        <v>352</v>
      </c>
      <c r="E692" s="52">
        <f>0.000186011408867964*E665</f>
        <v>208.13889619453113</v>
      </c>
      <c r="R692" s="14"/>
      <c r="S692" s="14"/>
      <c r="T692" s="14"/>
      <c r="U692" s="14"/>
      <c r="V692" s="14"/>
      <c r="W692" s="14"/>
      <c r="X692" s="14"/>
      <c r="Y692" s="14"/>
      <c r="Z692" s="14"/>
      <c r="AA692" s="14"/>
      <c r="AB692" s="14"/>
      <c r="AC692" s="14"/>
      <c r="AD692" s="14"/>
      <c r="AE692" s="14"/>
      <c r="AF692" s="14"/>
      <c r="AG692" s="14"/>
      <c r="AH692" s="14"/>
      <c r="AI692" s="14"/>
      <c r="AJ692" s="14"/>
      <c r="AK692" s="14"/>
      <c r="AL692" s="14"/>
      <c r="AM692" s="14"/>
      <c r="AN692" s="14"/>
      <c r="AO692" s="14"/>
      <c r="AP692" s="14"/>
      <c r="AQ692" s="14"/>
      <c r="AR692" s="14"/>
      <c r="AS692" s="14"/>
      <c r="AT692" s="14"/>
      <c r="AU692" s="14"/>
      <c r="AV692" s="14"/>
      <c r="AW692" s="14"/>
      <c r="AX692" s="14"/>
      <c r="AY692" s="14"/>
      <c r="AZ692" s="14"/>
      <c r="BA692" s="14"/>
      <c r="BB692" s="14"/>
      <c r="BC692" s="14"/>
      <c r="BD692" s="14"/>
      <c r="BE692" s="14"/>
      <c r="BF692" s="14"/>
      <c r="BG692" s="14"/>
      <c r="BH692" s="14"/>
      <c r="BI692" s="14"/>
      <c r="BJ692" s="14"/>
      <c r="BK692" s="14"/>
      <c r="BL692" s="14"/>
      <c r="BM692" s="14"/>
      <c r="BN692" s="14"/>
      <c r="BO692" s="14"/>
      <c r="BP692" s="14"/>
      <c r="BQ692" s="14"/>
      <c r="BR692" s="14"/>
      <c r="BS692" s="14"/>
      <c r="BT692" s="14"/>
      <c r="BU692" s="14"/>
      <c r="BV692" s="14"/>
      <c r="BW692" s="14"/>
      <c r="BX692" s="14"/>
      <c r="BY692" s="14"/>
      <c r="BZ692" s="14"/>
      <c r="CA692" s="14"/>
      <c r="CB692" s="14"/>
      <c r="CC692" s="14"/>
      <c r="CD692" s="14"/>
      <c r="CE692" s="14"/>
      <c r="CF692" s="14"/>
      <c r="CG692" s="14"/>
      <c r="CH692" s="14"/>
      <c r="CI692" s="14"/>
      <c r="CJ692" s="14"/>
      <c r="CK692" s="14"/>
      <c r="CL692" s="14"/>
      <c r="CM692" s="14"/>
      <c r="CN692" s="14"/>
      <c r="CO692" s="14"/>
      <c r="CP692" s="14"/>
      <c r="CQ692" s="14"/>
      <c r="CR692" s="14"/>
      <c r="CS692" s="14"/>
      <c r="CT692" s="14"/>
      <c r="CU692" s="14"/>
      <c r="CV692" s="14"/>
      <c r="CW692" s="14"/>
      <c r="CX692" s="14"/>
      <c r="CY692" s="14"/>
      <c r="CZ692" s="14"/>
      <c r="DA692" s="14"/>
      <c r="DB692" s="14"/>
      <c r="DC692" s="14"/>
      <c r="DD692" s="14"/>
      <c r="DE692" s="14"/>
      <c r="DF692" s="14"/>
      <c r="DG692" s="14"/>
      <c r="DH692" s="14"/>
      <c r="DI692" s="14"/>
      <c r="DJ692" s="14"/>
      <c r="DK692" s="14"/>
      <c r="DL692" s="14"/>
      <c r="DM692" s="14"/>
      <c r="DN692" s="14"/>
      <c r="DO692" s="14"/>
      <c r="DP692" s="14"/>
      <c r="DQ692" s="14"/>
      <c r="DR692" s="14"/>
      <c r="DS692" s="14"/>
      <c r="DT692" s="14"/>
      <c r="DU692" s="14"/>
      <c r="DV692" s="14"/>
      <c r="DW692" s="14"/>
      <c r="DX692" s="14"/>
      <c r="DY692" s="14"/>
      <c r="DZ692" s="14"/>
      <c r="EA692" s="14"/>
      <c r="EB692" s="14"/>
      <c r="EC692" s="14"/>
    </row>
    <row r="693" spans="1:133" s="13" customFormat="1" ht="31.2" x14ac:dyDescent="0.25">
      <c r="A693" s="63" t="s">
        <v>209</v>
      </c>
      <c r="B693" s="25" t="s">
        <v>80</v>
      </c>
      <c r="C693" s="35" t="s">
        <v>81</v>
      </c>
      <c r="D693" s="35" t="s">
        <v>353</v>
      </c>
      <c r="E693" s="25">
        <f>5</f>
        <v>5</v>
      </c>
      <c r="R693" s="14"/>
      <c r="S693" s="14"/>
      <c r="T693" s="14"/>
      <c r="U693" s="14"/>
      <c r="V693" s="14"/>
      <c r="W693" s="14"/>
      <c r="X693" s="14"/>
      <c r="Y693" s="14"/>
      <c r="Z693" s="14"/>
      <c r="AA693" s="14"/>
      <c r="AB693" s="14"/>
      <c r="AC693" s="14"/>
      <c r="AD693" s="14"/>
      <c r="AE693" s="14"/>
      <c r="AF693" s="14"/>
      <c r="AG693" s="14"/>
      <c r="AH693" s="14"/>
      <c r="AI693" s="14"/>
      <c r="AJ693" s="14"/>
      <c r="AK693" s="14"/>
      <c r="AL693" s="14"/>
      <c r="AM693" s="14"/>
      <c r="AN693" s="14"/>
      <c r="AO693" s="14"/>
      <c r="AP693" s="14"/>
      <c r="AQ693" s="14"/>
      <c r="AR693" s="14"/>
      <c r="AS693" s="14"/>
      <c r="AT693" s="14"/>
      <c r="AU693" s="14"/>
      <c r="AV693" s="14"/>
      <c r="AW693" s="14"/>
      <c r="AX693" s="14"/>
      <c r="AY693" s="14"/>
      <c r="AZ693" s="14"/>
      <c r="BA693" s="14"/>
      <c r="BB693" s="14"/>
      <c r="BC693" s="14"/>
      <c r="BD693" s="14"/>
      <c r="BE693" s="14"/>
      <c r="BF693" s="14"/>
      <c r="BG693" s="14"/>
      <c r="BH693" s="14"/>
      <c r="BI693" s="14"/>
      <c r="BJ693" s="14"/>
      <c r="BK693" s="14"/>
      <c r="BL693" s="14"/>
      <c r="BM693" s="14"/>
      <c r="BN693" s="14"/>
      <c r="BO693" s="14"/>
      <c r="BP693" s="14"/>
      <c r="BQ693" s="14"/>
      <c r="BR693" s="14"/>
      <c r="BS693" s="14"/>
      <c r="BT693" s="14"/>
      <c r="BU693" s="14"/>
      <c r="BV693" s="14"/>
      <c r="BW693" s="14"/>
      <c r="BX693" s="14"/>
      <c r="BY693" s="14"/>
      <c r="BZ693" s="14"/>
      <c r="CA693" s="14"/>
      <c r="CB693" s="14"/>
      <c r="CC693" s="14"/>
      <c r="CD693" s="14"/>
      <c r="CE693" s="14"/>
      <c r="CF693" s="14"/>
      <c r="CG693" s="14"/>
      <c r="CH693" s="14"/>
      <c r="CI693" s="14"/>
      <c r="CJ693" s="14"/>
      <c r="CK693" s="14"/>
      <c r="CL693" s="14"/>
      <c r="CM693" s="14"/>
      <c r="CN693" s="14"/>
      <c r="CO693" s="14"/>
      <c r="CP693" s="14"/>
      <c r="CQ693" s="14"/>
      <c r="CR693" s="14"/>
      <c r="CS693" s="14"/>
      <c r="CT693" s="14"/>
      <c r="CU693" s="14"/>
      <c r="CV693" s="14"/>
      <c r="CW693" s="14"/>
      <c r="CX693" s="14"/>
      <c r="CY693" s="14"/>
      <c r="CZ693" s="14"/>
      <c r="DA693" s="14"/>
      <c r="DB693" s="14"/>
      <c r="DC693" s="14"/>
      <c r="DD693" s="14"/>
      <c r="DE693" s="14"/>
      <c r="DF693" s="14"/>
      <c r="DG693" s="14"/>
      <c r="DH693" s="14"/>
      <c r="DI693" s="14"/>
      <c r="DJ693" s="14"/>
      <c r="DK693" s="14"/>
      <c r="DL693" s="14"/>
      <c r="DM693" s="14"/>
      <c r="DN693" s="14"/>
      <c r="DO693" s="14"/>
      <c r="DP693" s="14"/>
      <c r="DQ693" s="14"/>
      <c r="DR693" s="14"/>
      <c r="DS693" s="14"/>
      <c r="DT693" s="14"/>
      <c r="DU693" s="14"/>
      <c r="DV693" s="14"/>
      <c r="DW693" s="14"/>
      <c r="DX693" s="14"/>
      <c r="DY693" s="14"/>
      <c r="DZ693" s="14"/>
      <c r="EA693" s="14"/>
      <c r="EB693" s="14"/>
      <c r="EC693" s="14"/>
    </row>
    <row r="694" spans="1:133" s="13" customFormat="1" ht="62.4" x14ac:dyDescent="0.25">
      <c r="A694" s="63" t="s">
        <v>210</v>
      </c>
      <c r="B694" s="25" t="s">
        <v>82</v>
      </c>
      <c r="C694" s="35" t="s">
        <v>83</v>
      </c>
      <c r="D694" s="53" t="s">
        <v>354</v>
      </c>
      <c r="E694" s="25">
        <f>15*2</f>
        <v>30</v>
      </c>
      <c r="R694" s="14"/>
      <c r="S694" s="14"/>
      <c r="T694" s="14"/>
      <c r="U694" s="14"/>
      <c r="V694" s="14"/>
      <c r="W694" s="14"/>
      <c r="X694" s="14"/>
      <c r="Y694" s="14"/>
      <c r="Z694" s="14"/>
      <c r="AA694" s="14"/>
      <c r="AB694" s="14"/>
      <c r="AC694" s="14"/>
      <c r="AD694" s="14"/>
      <c r="AE694" s="14"/>
      <c r="AF694" s="14"/>
      <c r="AG694" s="14"/>
      <c r="AH694" s="14"/>
      <c r="AI694" s="14"/>
      <c r="AJ694" s="14"/>
      <c r="AK694" s="14"/>
      <c r="AL694" s="14"/>
      <c r="AM694" s="14"/>
      <c r="AN694" s="14"/>
      <c r="AO694" s="14"/>
      <c r="AP694" s="14"/>
      <c r="AQ694" s="14"/>
      <c r="AR694" s="14"/>
      <c r="AS694" s="14"/>
      <c r="AT694" s="14"/>
      <c r="AU694" s="14"/>
      <c r="AV694" s="14"/>
      <c r="AW694" s="14"/>
      <c r="AX694" s="14"/>
      <c r="AY694" s="14"/>
      <c r="AZ694" s="14"/>
      <c r="BA694" s="14"/>
      <c r="BB694" s="14"/>
      <c r="BC694" s="14"/>
      <c r="BD694" s="14"/>
      <c r="BE694" s="14"/>
      <c r="BF694" s="14"/>
      <c r="BG694" s="14"/>
      <c r="BH694" s="14"/>
      <c r="BI694" s="14"/>
      <c r="BJ694" s="14"/>
      <c r="BK694" s="14"/>
      <c r="BL694" s="14"/>
      <c r="BM694" s="14"/>
      <c r="BN694" s="14"/>
      <c r="BO694" s="14"/>
      <c r="BP694" s="14"/>
      <c r="BQ694" s="14"/>
      <c r="BR694" s="14"/>
      <c r="BS694" s="14"/>
      <c r="BT694" s="14"/>
      <c r="BU694" s="14"/>
      <c r="BV694" s="14"/>
      <c r="BW694" s="14"/>
      <c r="BX694" s="14"/>
      <c r="BY694" s="14"/>
      <c r="BZ694" s="14"/>
      <c r="CA694" s="14"/>
      <c r="CB694" s="14"/>
      <c r="CC694" s="14"/>
      <c r="CD694" s="14"/>
      <c r="CE694" s="14"/>
      <c r="CF694" s="14"/>
      <c r="CG694" s="14"/>
      <c r="CH694" s="14"/>
      <c r="CI694" s="14"/>
      <c r="CJ694" s="14"/>
      <c r="CK694" s="14"/>
      <c r="CL694" s="14"/>
      <c r="CM694" s="14"/>
      <c r="CN694" s="14"/>
      <c r="CO694" s="14"/>
      <c r="CP694" s="14"/>
      <c r="CQ694" s="14"/>
      <c r="CR694" s="14"/>
      <c r="CS694" s="14"/>
      <c r="CT694" s="14"/>
      <c r="CU694" s="14"/>
      <c r="CV694" s="14"/>
      <c r="CW694" s="14"/>
      <c r="CX694" s="14"/>
      <c r="CY694" s="14"/>
      <c r="CZ694" s="14"/>
      <c r="DA694" s="14"/>
      <c r="DB694" s="14"/>
      <c r="DC694" s="14"/>
      <c r="DD694" s="14"/>
      <c r="DE694" s="14"/>
      <c r="DF694" s="14"/>
      <c r="DG694" s="14"/>
      <c r="DH694" s="14"/>
      <c r="DI694" s="14"/>
      <c r="DJ694" s="14"/>
      <c r="DK694" s="14"/>
      <c r="DL694" s="14"/>
      <c r="DM694" s="14"/>
      <c r="DN694" s="14"/>
      <c r="DO694" s="14"/>
      <c r="DP694" s="14"/>
      <c r="DQ694" s="14"/>
      <c r="DR694" s="14"/>
      <c r="DS694" s="14"/>
      <c r="DT694" s="14"/>
      <c r="DU694" s="14"/>
      <c r="DV694" s="14"/>
      <c r="DW694" s="14"/>
      <c r="DX694" s="14"/>
      <c r="DY694" s="14"/>
      <c r="DZ694" s="14"/>
      <c r="EA694" s="14"/>
      <c r="EB694" s="14"/>
      <c r="EC694" s="14"/>
    </row>
    <row r="695" spans="1:133" s="13" customFormat="1" ht="172.2" x14ac:dyDescent="0.25">
      <c r="A695" s="63" t="s">
        <v>211</v>
      </c>
      <c r="B695" s="25" t="s">
        <v>84</v>
      </c>
      <c r="C695" s="35" t="s">
        <v>85</v>
      </c>
      <c r="D695" s="35" t="s">
        <v>355</v>
      </c>
      <c r="E695" s="25">
        <f>25.1/100</f>
        <v>0.251</v>
      </c>
      <c r="R695" s="14"/>
      <c r="S695" s="14"/>
      <c r="T695" s="14"/>
      <c r="U695" s="14"/>
      <c r="V695" s="14"/>
      <c r="W695" s="14"/>
      <c r="X695" s="14"/>
      <c r="Y695" s="14"/>
      <c r="Z695" s="14"/>
      <c r="AA695" s="14"/>
      <c r="AB695" s="14"/>
      <c r="AC695" s="14"/>
      <c r="AD695" s="14"/>
      <c r="AE695" s="14"/>
      <c r="AF695" s="14"/>
      <c r="AG695" s="14"/>
      <c r="AH695" s="14"/>
      <c r="AI695" s="14"/>
      <c r="AJ695" s="14"/>
      <c r="AK695" s="14"/>
      <c r="AL695" s="14"/>
      <c r="AM695" s="14"/>
      <c r="AN695" s="14"/>
      <c r="AO695" s="14"/>
      <c r="AP695" s="14"/>
      <c r="AQ695" s="14"/>
      <c r="AR695" s="14"/>
      <c r="AS695" s="14"/>
      <c r="AT695" s="14"/>
      <c r="AU695" s="14"/>
      <c r="AV695" s="14"/>
      <c r="AW695" s="14"/>
      <c r="AX695" s="14"/>
      <c r="AY695" s="14"/>
      <c r="AZ695" s="14"/>
      <c r="BA695" s="14"/>
      <c r="BB695" s="14"/>
      <c r="BC695" s="14"/>
      <c r="BD695" s="14"/>
      <c r="BE695" s="14"/>
      <c r="BF695" s="14"/>
      <c r="BG695" s="14"/>
      <c r="BH695" s="14"/>
      <c r="BI695" s="14"/>
      <c r="BJ695" s="14"/>
      <c r="BK695" s="14"/>
      <c r="BL695" s="14"/>
      <c r="BM695" s="14"/>
      <c r="BN695" s="14"/>
      <c r="BO695" s="14"/>
      <c r="BP695" s="14"/>
      <c r="BQ695" s="14"/>
      <c r="BR695" s="14"/>
      <c r="BS695" s="14"/>
      <c r="BT695" s="14"/>
      <c r="BU695" s="14"/>
      <c r="BV695" s="14"/>
      <c r="BW695" s="14"/>
      <c r="BX695" s="14"/>
      <c r="BY695" s="14"/>
      <c r="BZ695" s="14"/>
      <c r="CA695" s="14"/>
      <c r="CB695" s="14"/>
      <c r="CC695" s="14"/>
      <c r="CD695" s="14"/>
      <c r="CE695" s="14"/>
      <c r="CF695" s="14"/>
      <c r="CG695" s="14"/>
      <c r="CH695" s="14"/>
      <c r="CI695" s="14"/>
      <c r="CJ695" s="14"/>
      <c r="CK695" s="14"/>
      <c r="CL695" s="14"/>
      <c r="CM695" s="14"/>
      <c r="CN695" s="14"/>
      <c r="CO695" s="14"/>
      <c r="CP695" s="14"/>
      <c r="CQ695" s="14"/>
      <c r="CR695" s="14"/>
      <c r="CS695" s="14"/>
      <c r="CT695" s="14"/>
      <c r="CU695" s="14"/>
      <c r="CV695" s="14"/>
      <c r="CW695" s="14"/>
      <c r="CX695" s="14"/>
      <c r="CY695" s="14"/>
      <c r="CZ695" s="14"/>
      <c r="DA695" s="14"/>
      <c r="DB695" s="14"/>
      <c r="DC695" s="14"/>
      <c r="DD695" s="14"/>
      <c r="DE695" s="14"/>
      <c r="DF695" s="14"/>
      <c r="DG695" s="14"/>
      <c r="DH695" s="14"/>
      <c r="DI695" s="14"/>
      <c r="DJ695" s="14"/>
      <c r="DK695" s="14"/>
      <c r="DL695" s="14"/>
      <c r="DM695" s="14"/>
      <c r="DN695" s="14"/>
      <c r="DO695" s="14"/>
      <c r="DP695" s="14"/>
      <c r="DQ695" s="14"/>
      <c r="DR695" s="14"/>
      <c r="DS695" s="14"/>
      <c r="DT695" s="14"/>
      <c r="DU695" s="14"/>
      <c r="DV695" s="14"/>
      <c r="DW695" s="14"/>
      <c r="DX695" s="14"/>
      <c r="DY695" s="14"/>
      <c r="DZ695" s="14"/>
      <c r="EA695" s="14"/>
      <c r="EB695" s="14"/>
      <c r="EC695" s="14"/>
    </row>
    <row r="696" spans="1:133" s="13" customFormat="1" ht="156" x14ac:dyDescent="0.25">
      <c r="A696" s="63" t="s">
        <v>212</v>
      </c>
      <c r="B696" s="25" t="s">
        <v>87</v>
      </c>
      <c r="C696" s="35" t="s">
        <v>86</v>
      </c>
      <c r="D696" s="35" t="s">
        <v>356</v>
      </c>
      <c r="E696" s="25">
        <f>0.84/1000</f>
        <v>8.3999999999999993E-4</v>
      </c>
      <c r="R696" s="14"/>
      <c r="S696" s="14"/>
      <c r="T696" s="14"/>
      <c r="U696" s="14"/>
      <c r="V696" s="14"/>
      <c r="W696" s="14"/>
      <c r="X696" s="14"/>
      <c r="Y696" s="14"/>
      <c r="Z696" s="14"/>
      <c r="AA696" s="14"/>
      <c r="AB696" s="14"/>
      <c r="AC696" s="14"/>
      <c r="AD696" s="14"/>
      <c r="AE696" s="14"/>
      <c r="AF696" s="14"/>
      <c r="AG696" s="14"/>
      <c r="AH696" s="14"/>
      <c r="AI696" s="14"/>
      <c r="AJ696" s="14"/>
      <c r="AK696" s="14"/>
      <c r="AL696" s="14"/>
      <c r="AM696" s="14"/>
      <c r="AN696" s="14"/>
      <c r="AO696" s="14"/>
      <c r="AP696" s="14"/>
      <c r="AQ696" s="14"/>
      <c r="AR696" s="14"/>
      <c r="AS696" s="14"/>
      <c r="AT696" s="14"/>
      <c r="AU696" s="14"/>
      <c r="AV696" s="14"/>
      <c r="AW696" s="14"/>
      <c r="AX696" s="14"/>
      <c r="AY696" s="14"/>
      <c r="AZ696" s="14"/>
      <c r="BA696" s="14"/>
      <c r="BB696" s="14"/>
      <c r="BC696" s="14"/>
      <c r="BD696" s="14"/>
      <c r="BE696" s="14"/>
      <c r="BF696" s="14"/>
      <c r="BG696" s="14"/>
      <c r="BH696" s="14"/>
      <c r="BI696" s="14"/>
      <c r="BJ696" s="14"/>
      <c r="BK696" s="14"/>
      <c r="BL696" s="14"/>
      <c r="BM696" s="14"/>
      <c r="BN696" s="14"/>
      <c r="BO696" s="14"/>
      <c r="BP696" s="14"/>
      <c r="BQ696" s="14"/>
      <c r="BR696" s="14"/>
      <c r="BS696" s="14"/>
      <c r="BT696" s="14"/>
      <c r="BU696" s="14"/>
      <c r="BV696" s="14"/>
      <c r="BW696" s="14"/>
      <c r="BX696" s="14"/>
      <c r="BY696" s="14"/>
      <c r="BZ696" s="14"/>
      <c r="CA696" s="14"/>
      <c r="CB696" s="14"/>
      <c r="CC696" s="14"/>
      <c r="CD696" s="14"/>
      <c r="CE696" s="14"/>
      <c r="CF696" s="14"/>
      <c r="CG696" s="14"/>
      <c r="CH696" s="14"/>
      <c r="CI696" s="14"/>
      <c r="CJ696" s="14"/>
      <c r="CK696" s="14"/>
      <c r="CL696" s="14"/>
      <c r="CM696" s="14"/>
      <c r="CN696" s="14"/>
      <c r="CO696" s="14"/>
      <c r="CP696" s="14"/>
      <c r="CQ696" s="14"/>
      <c r="CR696" s="14"/>
      <c r="CS696" s="14"/>
      <c r="CT696" s="14"/>
      <c r="CU696" s="14"/>
      <c r="CV696" s="14"/>
      <c r="CW696" s="14"/>
      <c r="CX696" s="14"/>
      <c r="CY696" s="14"/>
      <c r="CZ696" s="14"/>
      <c r="DA696" s="14"/>
      <c r="DB696" s="14"/>
      <c r="DC696" s="14"/>
      <c r="DD696" s="14"/>
      <c r="DE696" s="14"/>
      <c r="DF696" s="14"/>
      <c r="DG696" s="14"/>
      <c r="DH696" s="14"/>
      <c r="DI696" s="14"/>
      <c r="DJ696" s="14"/>
      <c r="DK696" s="14"/>
      <c r="DL696" s="14"/>
      <c r="DM696" s="14"/>
      <c r="DN696" s="14"/>
      <c r="DO696" s="14"/>
      <c r="DP696" s="14"/>
      <c r="DQ696" s="14"/>
      <c r="DR696" s="14"/>
      <c r="DS696" s="14"/>
      <c r="DT696" s="14"/>
      <c r="DU696" s="14"/>
      <c r="DV696" s="14"/>
      <c r="DW696" s="14"/>
      <c r="DX696" s="14"/>
      <c r="DY696" s="14"/>
      <c r="DZ696" s="14"/>
      <c r="EA696" s="14"/>
      <c r="EB696" s="14"/>
      <c r="EC696" s="14"/>
    </row>
    <row r="697" spans="1:133" s="13" customFormat="1" ht="171.6" x14ac:dyDescent="0.25">
      <c r="A697" s="63" t="s">
        <v>213</v>
      </c>
      <c r="B697" s="25" t="s">
        <v>88</v>
      </c>
      <c r="C697" s="35" t="s">
        <v>89</v>
      </c>
      <c r="D697" s="35" t="s">
        <v>357</v>
      </c>
      <c r="E697" s="25">
        <f>43.33/1000</f>
        <v>4.333E-2</v>
      </c>
      <c r="R697" s="14"/>
      <c r="S697" s="14"/>
      <c r="T697" s="14"/>
      <c r="U697" s="14"/>
      <c r="V697" s="14"/>
      <c r="W697" s="14"/>
      <c r="X697" s="14"/>
      <c r="Y697" s="14"/>
      <c r="Z697" s="14"/>
      <c r="AA697" s="14"/>
      <c r="AB697" s="14"/>
      <c r="AC697" s="14"/>
      <c r="AD697" s="14"/>
      <c r="AE697" s="14"/>
      <c r="AF697" s="14"/>
      <c r="AG697" s="14"/>
      <c r="AH697" s="14"/>
      <c r="AI697" s="14"/>
      <c r="AJ697" s="14"/>
      <c r="AK697" s="14"/>
      <c r="AL697" s="14"/>
      <c r="AM697" s="14"/>
      <c r="AN697" s="14"/>
      <c r="AO697" s="14"/>
      <c r="AP697" s="14"/>
      <c r="AQ697" s="14"/>
      <c r="AR697" s="14"/>
      <c r="AS697" s="14"/>
      <c r="AT697" s="14"/>
      <c r="AU697" s="14"/>
      <c r="AV697" s="14"/>
      <c r="AW697" s="14"/>
      <c r="AX697" s="14"/>
      <c r="AY697" s="14"/>
      <c r="AZ697" s="14"/>
      <c r="BA697" s="14"/>
      <c r="BB697" s="14"/>
      <c r="BC697" s="14"/>
      <c r="BD697" s="14"/>
      <c r="BE697" s="14"/>
      <c r="BF697" s="14"/>
      <c r="BG697" s="14"/>
      <c r="BH697" s="14"/>
      <c r="BI697" s="14"/>
      <c r="BJ697" s="14"/>
      <c r="BK697" s="14"/>
      <c r="BL697" s="14"/>
      <c r="BM697" s="14"/>
      <c r="BN697" s="14"/>
      <c r="BO697" s="14"/>
      <c r="BP697" s="14"/>
      <c r="BQ697" s="14"/>
      <c r="BR697" s="14"/>
      <c r="BS697" s="14"/>
      <c r="BT697" s="14"/>
      <c r="BU697" s="14"/>
      <c r="BV697" s="14"/>
      <c r="BW697" s="14"/>
      <c r="BX697" s="14"/>
      <c r="BY697" s="14"/>
      <c r="BZ697" s="14"/>
      <c r="CA697" s="14"/>
      <c r="CB697" s="14"/>
      <c r="CC697" s="14"/>
      <c r="CD697" s="14"/>
      <c r="CE697" s="14"/>
      <c r="CF697" s="14"/>
      <c r="CG697" s="14"/>
      <c r="CH697" s="14"/>
      <c r="CI697" s="14"/>
      <c r="CJ697" s="14"/>
      <c r="CK697" s="14"/>
      <c r="CL697" s="14"/>
      <c r="CM697" s="14"/>
      <c r="CN697" s="14"/>
      <c r="CO697" s="14"/>
      <c r="CP697" s="14"/>
      <c r="CQ697" s="14"/>
      <c r="CR697" s="14"/>
      <c r="CS697" s="14"/>
      <c r="CT697" s="14"/>
      <c r="CU697" s="14"/>
      <c r="CV697" s="14"/>
      <c r="CW697" s="14"/>
      <c r="CX697" s="14"/>
      <c r="CY697" s="14"/>
      <c r="CZ697" s="14"/>
      <c r="DA697" s="14"/>
      <c r="DB697" s="14"/>
      <c r="DC697" s="14"/>
      <c r="DD697" s="14"/>
      <c r="DE697" s="14"/>
      <c r="DF697" s="14"/>
      <c r="DG697" s="14"/>
      <c r="DH697" s="14"/>
      <c r="DI697" s="14"/>
      <c r="DJ697" s="14"/>
      <c r="DK697" s="14"/>
      <c r="DL697" s="14"/>
      <c r="DM697" s="14"/>
      <c r="DN697" s="14"/>
      <c r="DO697" s="14"/>
      <c r="DP697" s="14"/>
      <c r="DQ697" s="14"/>
      <c r="DR697" s="14"/>
      <c r="DS697" s="14"/>
      <c r="DT697" s="14"/>
      <c r="DU697" s="14"/>
      <c r="DV697" s="14"/>
      <c r="DW697" s="14"/>
      <c r="DX697" s="14"/>
      <c r="DY697" s="14"/>
      <c r="DZ697" s="14"/>
      <c r="EA697" s="14"/>
      <c r="EB697" s="14"/>
      <c r="EC697" s="14"/>
    </row>
    <row r="698" spans="1:133" s="13" customFormat="1" ht="62.4" x14ac:dyDescent="0.25">
      <c r="A698" s="63" t="s">
        <v>214</v>
      </c>
      <c r="B698" s="25" t="s">
        <v>90</v>
      </c>
      <c r="C698" s="35" t="s">
        <v>91</v>
      </c>
      <c r="D698" s="35" t="s">
        <v>358</v>
      </c>
      <c r="E698" s="25">
        <v>74.099999999999994</v>
      </c>
      <c r="R698" s="14"/>
      <c r="S698" s="14"/>
      <c r="T698" s="14"/>
      <c r="U698" s="14"/>
      <c r="V698" s="14"/>
      <c r="W698" s="14"/>
      <c r="X698" s="14"/>
      <c r="Y698" s="14"/>
      <c r="Z698" s="14"/>
      <c r="AA698" s="14"/>
      <c r="AB698" s="14"/>
      <c r="AC698" s="14"/>
      <c r="AD698" s="14"/>
      <c r="AE698" s="14"/>
      <c r="AF698" s="14"/>
      <c r="AG698" s="14"/>
      <c r="AH698" s="14"/>
      <c r="AI698" s="14"/>
      <c r="AJ698" s="14"/>
      <c r="AK698" s="14"/>
      <c r="AL698" s="14"/>
      <c r="AM698" s="14"/>
      <c r="AN698" s="14"/>
      <c r="AO698" s="14"/>
      <c r="AP698" s="14"/>
      <c r="AQ698" s="14"/>
      <c r="AR698" s="14"/>
      <c r="AS698" s="14"/>
      <c r="AT698" s="14"/>
      <c r="AU698" s="14"/>
      <c r="AV698" s="14"/>
      <c r="AW698" s="14"/>
      <c r="AX698" s="14"/>
      <c r="AY698" s="14"/>
      <c r="AZ698" s="14"/>
      <c r="BA698" s="14"/>
      <c r="BB698" s="14"/>
      <c r="BC698" s="14"/>
      <c r="BD698" s="14"/>
      <c r="BE698" s="14"/>
      <c r="BF698" s="14"/>
      <c r="BG698" s="14"/>
      <c r="BH698" s="14"/>
      <c r="BI698" s="14"/>
      <c r="BJ698" s="14"/>
      <c r="BK698" s="14"/>
      <c r="BL698" s="14"/>
      <c r="BM698" s="14"/>
      <c r="BN698" s="14"/>
      <c r="BO698" s="14"/>
      <c r="BP698" s="14"/>
      <c r="BQ698" s="14"/>
      <c r="BR698" s="14"/>
      <c r="BS698" s="14"/>
      <c r="BT698" s="14"/>
      <c r="BU698" s="14"/>
      <c r="BV698" s="14"/>
      <c r="BW698" s="14"/>
      <c r="BX698" s="14"/>
      <c r="BY698" s="14"/>
      <c r="BZ698" s="14"/>
      <c r="CA698" s="14"/>
      <c r="CB698" s="14"/>
      <c r="CC698" s="14"/>
      <c r="CD698" s="14"/>
      <c r="CE698" s="14"/>
      <c r="CF698" s="14"/>
      <c r="CG698" s="14"/>
      <c r="CH698" s="14"/>
      <c r="CI698" s="14"/>
      <c r="CJ698" s="14"/>
      <c r="CK698" s="14"/>
      <c r="CL698" s="14"/>
      <c r="CM698" s="14"/>
      <c r="CN698" s="14"/>
      <c r="CO698" s="14"/>
      <c r="CP698" s="14"/>
      <c r="CQ698" s="14"/>
      <c r="CR698" s="14"/>
      <c r="CS698" s="14"/>
      <c r="CT698" s="14"/>
      <c r="CU698" s="14"/>
      <c r="CV698" s="14"/>
      <c r="CW698" s="14"/>
      <c r="CX698" s="14"/>
      <c r="CY698" s="14"/>
      <c r="CZ698" s="14"/>
      <c r="DA698" s="14"/>
      <c r="DB698" s="14"/>
      <c r="DC698" s="14"/>
      <c r="DD698" s="14"/>
      <c r="DE698" s="14"/>
      <c r="DF698" s="14"/>
      <c r="DG698" s="14"/>
      <c r="DH698" s="14"/>
      <c r="DI698" s="14"/>
      <c r="DJ698" s="14"/>
      <c r="DK698" s="14"/>
      <c r="DL698" s="14"/>
      <c r="DM698" s="14"/>
      <c r="DN698" s="14"/>
      <c r="DO698" s="14"/>
      <c r="DP698" s="14"/>
      <c r="DQ698" s="14"/>
      <c r="DR698" s="14"/>
      <c r="DS698" s="14"/>
      <c r="DT698" s="14"/>
      <c r="DU698" s="14"/>
      <c r="DV698" s="14"/>
      <c r="DW698" s="14"/>
      <c r="DX698" s="14"/>
      <c r="DY698" s="14"/>
      <c r="DZ698" s="14"/>
      <c r="EA698" s="14"/>
      <c r="EB698" s="14"/>
      <c r="EC698" s="14"/>
    </row>
    <row r="700" spans="1:133" s="13" customFormat="1" ht="15.6" customHeight="1" x14ac:dyDescent="0.25">
      <c r="A700" s="36" t="s">
        <v>93</v>
      </c>
      <c r="B700" s="36"/>
      <c r="C700" s="36"/>
      <c r="D700" s="36"/>
      <c r="E700" s="36"/>
      <c r="R700" s="14"/>
      <c r="S700" s="14"/>
      <c r="T700" s="14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4"/>
      <c r="AF700" s="14"/>
      <c r="AG700" s="14"/>
      <c r="AH700" s="14"/>
      <c r="AI700" s="14"/>
      <c r="AJ700" s="14"/>
      <c r="AK700" s="14"/>
      <c r="AL700" s="14"/>
      <c r="AM700" s="14"/>
      <c r="AN700" s="14"/>
      <c r="AO700" s="14"/>
      <c r="AP700" s="14"/>
      <c r="AQ700" s="14"/>
      <c r="AR700" s="14"/>
      <c r="AS700" s="14"/>
      <c r="AT700" s="14"/>
      <c r="AU700" s="14"/>
      <c r="AV700" s="14"/>
      <c r="AW700" s="14"/>
      <c r="AX700" s="14"/>
      <c r="AY700" s="14"/>
      <c r="AZ700" s="14"/>
      <c r="BA700" s="14"/>
      <c r="BB700" s="14"/>
      <c r="BC700" s="14"/>
      <c r="BD700" s="14"/>
      <c r="BE700" s="14"/>
      <c r="BF700" s="14"/>
      <c r="BG700" s="14"/>
      <c r="BH700" s="14"/>
      <c r="BI700" s="14"/>
      <c r="BJ700" s="14"/>
      <c r="BK700" s="14"/>
      <c r="BL700" s="14"/>
      <c r="BM700" s="14"/>
      <c r="BN700" s="14"/>
      <c r="BO700" s="14"/>
      <c r="BP700" s="14"/>
      <c r="BQ700" s="14"/>
      <c r="BR700" s="14"/>
      <c r="BS700" s="14"/>
      <c r="BT700" s="14"/>
      <c r="BU700" s="14"/>
      <c r="BV700" s="14"/>
      <c r="BW700" s="14"/>
      <c r="BX700" s="14"/>
      <c r="BY700" s="14"/>
      <c r="BZ700" s="14"/>
      <c r="CA700" s="14"/>
      <c r="CB700" s="14"/>
      <c r="CC700" s="14"/>
      <c r="CD700" s="14"/>
      <c r="CE700" s="14"/>
      <c r="CF700" s="14"/>
      <c r="CG700" s="14"/>
      <c r="CH700" s="14"/>
      <c r="CI700" s="14"/>
      <c r="CJ700" s="14"/>
      <c r="CK700" s="14"/>
      <c r="CL700" s="14"/>
      <c r="CM700" s="14"/>
      <c r="CN700" s="14"/>
      <c r="CO700" s="14"/>
      <c r="CP700" s="14"/>
      <c r="CQ700" s="14"/>
      <c r="CR700" s="14"/>
      <c r="CS700" s="14"/>
      <c r="CT700" s="14"/>
      <c r="CU700" s="14"/>
      <c r="CV700" s="14"/>
      <c r="CW700" s="14"/>
      <c r="CX700" s="14"/>
      <c r="CY700" s="14"/>
      <c r="CZ700" s="14"/>
      <c r="DA700" s="14"/>
      <c r="DB700" s="14"/>
      <c r="DC700" s="14"/>
      <c r="DD700" s="14"/>
      <c r="DE700" s="14"/>
      <c r="DF700" s="14"/>
      <c r="DG700" s="14"/>
      <c r="DH700" s="14"/>
      <c r="DI700" s="14"/>
      <c r="DJ700" s="14"/>
      <c r="DK700" s="14"/>
      <c r="DL700" s="14"/>
      <c r="DM700" s="14"/>
      <c r="DN700" s="14"/>
      <c r="DO700" s="14"/>
      <c r="DP700" s="14"/>
      <c r="DQ700" s="14"/>
      <c r="DR700" s="14"/>
      <c r="DS700" s="14"/>
      <c r="DT700" s="14"/>
      <c r="DU700" s="14"/>
      <c r="DV700" s="14"/>
      <c r="DW700" s="14"/>
      <c r="DX700" s="14"/>
      <c r="DY700" s="14"/>
      <c r="DZ700" s="14"/>
      <c r="EA700" s="14"/>
      <c r="EB700" s="14"/>
      <c r="EC700" s="14"/>
    </row>
    <row r="701" spans="1:133" s="13" customFormat="1" x14ac:dyDescent="0.25">
      <c r="A701" s="57" t="s">
        <v>8</v>
      </c>
      <c r="B701" s="58" t="s">
        <v>9</v>
      </c>
      <c r="C701" s="34" t="s">
        <v>10</v>
      </c>
      <c r="D701" s="34" t="s">
        <v>340</v>
      </c>
      <c r="E701" s="16" t="s">
        <v>65</v>
      </c>
      <c r="R701" s="14"/>
      <c r="S701" s="14"/>
      <c r="T701" s="14"/>
      <c r="U701" s="14"/>
      <c r="V701" s="14"/>
      <c r="W701" s="14"/>
      <c r="X701" s="14"/>
      <c r="Y701" s="14"/>
      <c r="Z701" s="14"/>
      <c r="AA701" s="14"/>
      <c r="AB701" s="14"/>
      <c r="AC701" s="14"/>
      <c r="AD701" s="14"/>
      <c r="AE701" s="14"/>
      <c r="AF701" s="14"/>
      <c r="AG701" s="14"/>
      <c r="AH701" s="14"/>
      <c r="AI701" s="14"/>
      <c r="AJ701" s="14"/>
      <c r="AK701" s="14"/>
      <c r="AL701" s="14"/>
      <c r="AM701" s="14"/>
      <c r="AN701" s="14"/>
      <c r="AO701" s="14"/>
      <c r="AP701" s="14"/>
      <c r="AQ701" s="14"/>
      <c r="AR701" s="14"/>
      <c r="AS701" s="14"/>
      <c r="AT701" s="14"/>
      <c r="AU701" s="14"/>
      <c r="AV701" s="14"/>
      <c r="AW701" s="14"/>
      <c r="AX701" s="14"/>
      <c r="AY701" s="14"/>
      <c r="AZ701" s="14"/>
      <c r="BA701" s="14"/>
      <c r="BB701" s="14"/>
      <c r="BC701" s="14"/>
      <c r="BD701" s="14"/>
      <c r="BE701" s="14"/>
      <c r="BF701" s="14"/>
      <c r="BG701" s="14"/>
      <c r="BH701" s="14"/>
      <c r="BI701" s="14"/>
      <c r="BJ701" s="14"/>
      <c r="BK701" s="14"/>
      <c r="BL701" s="14"/>
      <c r="BM701" s="14"/>
      <c r="BN701" s="14"/>
      <c r="BO701" s="14"/>
      <c r="BP701" s="14"/>
      <c r="BQ701" s="14"/>
      <c r="BR701" s="14"/>
      <c r="BS701" s="14"/>
      <c r="BT701" s="14"/>
      <c r="BU701" s="14"/>
      <c r="BV701" s="14"/>
      <c r="BW701" s="14"/>
      <c r="BX701" s="14"/>
      <c r="BY701" s="14"/>
      <c r="BZ701" s="14"/>
      <c r="CA701" s="14"/>
      <c r="CB701" s="14"/>
      <c r="CC701" s="14"/>
      <c r="CD701" s="14"/>
      <c r="CE701" s="14"/>
      <c r="CF701" s="14"/>
      <c r="CG701" s="14"/>
      <c r="CH701" s="14"/>
      <c r="CI701" s="14"/>
      <c r="CJ701" s="14"/>
      <c r="CK701" s="14"/>
      <c r="CL701" s="14"/>
      <c r="CM701" s="14"/>
      <c r="CN701" s="14"/>
      <c r="CO701" s="14"/>
      <c r="CP701" s="14"/>
      <c r="CQ701" s="14"/>
      <c r="CR701" s="14"/>
      <c r="CS701" s="14"/>
      <c r="CT701" s="14"/>
      <c r="CU701" s="14"/>
      <c r="CV701" s="14"/>
      <c r="CW701" s="14"/>
      <c r="CX701" s="14"/>
      <c r="CY701" s="14"/>
      <c r="CZ701" s="14"/>
      <c r="DA701" s="14"/>
      <c r="DB701" s="14"/>
      <c r="DC701" s="14"/>
      <c r="DD701" s="14"/>
      <c r="DE701" s="14"/>
      <c r="DF701" s="14"/>
      <c r="DG701" s="14"/>
      <c r="DH701" s="14"/>
      <c r="DI701" s="14"/>
      <c r="DJ701" s="14"/>
      <c r="DK701" s="14"/>
      <c r="DL701" s="14"/>
      <c r="DM701" s="14"/>
      <c r="DN701" s="14"/>
      <c r="DO701" s="14"/>
      <c r="DP701" s="14"/>
      <c r="DQ701" s="14"/>
      <c r="DR701" s="14"/>
      <c r="DS701" s="14"/>
      <c r="DT701" s="14"/>
      <c r="DU701" s="14"/>
      <c r="DV701" s="14"/>
      <c r="DW701" s="14"/>
      <c r="DX701" s="14"/>
      <c r="DY701" s="14"/>
      <c r="DZ701" s="14"/>
      <c r="EA701" s="14"/>
      <c r="EB701" s="14"/>
      <c r="EC701" s="14"/>
    </row>
    <row r="702" spans="1:133" s="13" customFormat="1" ht="64.8" x14ac:dyDescent="0.25">
      <c r="A702" s="15" t="s">
        <v>94</v>
      </c>
      <c r="B702" s="25" t="s">
        <v>95</v>
      </c>
      <c r="C702" s="35" t="s">
        <v>96</v>
      </c>
      <c r="D702" s="35" t="s">
        <v>97</v>
      </c>
      <c r="E702" s="16">
        <v>0</v>
      </c>
      <c r="R702" s="14"/>
      <c r="S702" s="14"/>
      <c r="T702" s="14"/>
      <c r="U702" s="14"/>
      <c r="V702" s="14"/>
      <c r="W702" s="14"/>
      <c r="X702" s="14"/>
      <c r="Y702" s="14"/>
      <c r="Z702" s="14"/>
      <c r="AA702" s="14"/>
      <c r="AB702" s="14"/>
      <c r="AC702" s="14"/>
      <c r="AD702" s="14"/>
      <c r="AE702" s="14"/>
      <c r="AF702" s="14"/>
      <c r="AG702" s="14"/>
      <c r="AH702" s="14"/>
      <c r="AI702" s="14"/>
      <c r="AJ702" s="14"/>
      <c r="AK702" s="14"/>
      <c r="AL702" s="14"/>
      <c r="AM702" s="14"/>
      <c r="AN702" s="14"/>
      <c r="AO702" s="14"/>
      <c r="AP702" s="14"/>
      <c r="AQ702" s="14"/>
      <c r="AR702" s="14"/>
      <c r="AS702" s="14"/>
      <c r="AT702" s="14"/>
      <c r="AU702" s="14"/>
      <c r="AV702" s="14"/>
      <c r="AW702" s="14"/>
      <c r="AX702" s="14"/>
      <c r="AY702" s="14"/>
      <c r="AZ702" s="14"/>
      <c r="BA702" s="14"/>
      <c r="BB702" s="14"/>
      <c r="BC702" s="14"/>
      <c r="BD702" s="14"/>
      <c r="BE702" s="14"/>
      <c r="BF702" s="14"/>
      <c r="BG702" s="14"/>
      <c r="BH702" s="14"/>
      <c r="BI702" s="14"/>
      <c r="BJ702" s="14"/>
      <c r="BK702" s="14"/>
      <c r="BL702" s="14"/>
      <c r="BM702" s="14"/>
      <c r="BN702" s="14"/>
      <c r="BO702" s="14"/>
      <c r="BP702" s="14"/>
      <c r="BQ702" s="14"/>
      <c r="BR702" s="14"/>
      <c r="BS702" s="14"/>
      <c r="BT702" s="14"/>
      <c r="BU702" s="14"/>
      <c r="BV702" s="14"/>
      <c r="BW702" s="14"/>
      <c r="BX702" s="14"/>
      <c r="BY702" s="14"/>
      <c r="BZ702" s="14"/>
      <c r="CA702" s="14"/>
      <c r="CB702" s="14"/>
      <c r="CC702" s="14"/>
      <c r="CD702" s="14"/>
      <c r="CE702" s="14"/>
      <c r="CF702" s="14"/>
      <c r="CG702" s="14"/>
      <c r="CH702" s="14"/>
      <c r="CI702" s="14"/>
      <c r="CJ702" s="14"/>
      <c r="CK702" s="14"/>
      <c r="CL702" s="14"/>
      <c r="CM702" s="14"/>
      <c r="CN702" s="14"/>
      <c r="CO702" s="14"/>
      <c r="CP702" s="14"/>
      <c r="CQ702" s="14"/>
      <c r="CR702" s="14"/>
      <c r="CS702" s="14"/>
      <c r="CT702" s="14"/>
      <c r="CU702" s="14"/>
      <c r="CV702" s="14"/>
      <c r="CW702" s="14"/>
      <c r="CX702" s="14"/>
      <c r="CY702" s="14"/>
      <c r="CZ702" s="14"/>
      <c r="DA702" s="14"/>
      <c r="DB702" s="14"/>
      <c r="DC702" s="14"/>
      <c r="DD702" s="14"/>
      <c r="DE702" s="14"/>
      <c r="DF702" s="14"/>
      <c r="DG702" s="14"/>
      <c r="DH702" s="14"/>
      <c r="DI702" s="14"/>
      <c r="DJ702" s="14"/>
      <c r="DK702" s="14"/>
      <c r="DL702" s="14"/>
      <c r="DM702" s="14"/>
      <c r="DN702" s="14"/>
      <c r="DO702" s="14"/>
      <c r="DP702" s="14"/>
      <c r="DQ702" s="14"/>
      <c r="DR702" s="14"/>
      <c r="DS702" s="14"/>
      <c r="DT702" s="14"/>
      <c r="DU702" s="14"/>
      <c r="DV702" s="14"/>
      <c r="DW702" s="14"/>
      <c r="DX702" s="14"/>
      <c r="DY702" s="14"/>
      <c r="DZ702" s="14"/>
      <c r="EA702" s="14"/>
      <c r="EB702" s="14"/>
      <c r="EC702" s="14"/>
    </row>
    <row r="704" spans="1:133" ht="15.6" customHeight="1" x14ac:dyDescent="0.25">
      <c r="A704" s="36" t="s">
        <v>98</v>
      </c>
      <c r="B704" s="36"/>
      <c r="C704" s="36"/>
      <c r="D704" s="36"/>
      <c r="E704" s="36"/>
    </row>
    <row r="705" spans="1:133" x14ac:dyDescent="0.25">
      <c r="A705" s="57" t="s">
        <v>8</v>
      </c>
      <c r="B705" s="58" t="s">
        <v>9</v>
      </c>
      <c r="C705" s="34" t="s">
        <v>10</v>
      </c>
      <c r="D705" s="34" t="s">
        <v>340</v>
      </c>
      <c r="E705" s="16" t="s">
        <v>65</v>
      </c>
    </row>
    <row r="706" spans="1:133" ht="49.2" x14ac:dyDescent="0.25">
      <c r="A706" s="15" t="s">
        <v>99</v>
      </c>
      <c r="B706" s="25" t="s">
        <v>95</v>
      </c>
      <c r="C706" s="35" t="s">
        <v>100</v>
      </c>
      <c r="D706" s="35" t="s">
        <v>101</v>
      </c>
      <c r="E706" s="16">
        <v>0</v>
      </c>
    </row>
    <row r="708" spans="1:133" x14ac:dyDescent="0.25">
      <c r="A708" s="57" t="s">
        <v>8</v>
      </c>
      <c r="B708" s="58" t="s">
        <v>9</v>
      </c>
      <c r="C708" s="34" t="s">
        <v>10</v>
      </c>
      <c r="D708" s="34" t="s">
        <v>340</v>
      </c>
      <c r="E708" s="16" t="s">
        <v>65</v>
      </c>
    </row>
    <row r="709" spans="1:133" ht="18" x14ac:dyDescent="0.25">
      <c r="A709" s="59" t="s">
        <v>102</v>
      </c>
      <c r="B709" s="25" t="s">
        <v>103</v>
      </c>
      <c r="C709" s="35" t="s">
        <v>104</v>
      </c>
      <c r="D709" s="53" t="s">
        <v>380</v>
      </c>
      <c r="E709" s="18">
        <f>ROUNDDOWN(E659+E690+E685+E702+E706,0)</f>
        <v>2021</v>
      </c>
    </row>
    <row r="710" spans="1:133" s="165" customFormat="1" ht="38.4" customHeight="1" x14ac:dyDescent="0.25">
      <c r="A710" s="185" t="s">
        <v>233</v>
      </c>
      <c r="B710" s="186"/>
      <c r="C710" s="186"/>
      <c r="D710" s="186"/>
      <c r="E710" s="186"/>
      <c r="F710" s="186"/>
      <c r="G710" s="186"/>
      <c r="H710" s="186"/>
      <c r="I710" s="186"/>
      <c r="J710" s="186"/>
      <c r="K710" s="186"/>
      <c r="L710" s="186"/>
      <c r="M710" s="186"/>
      <c r="N710" s="186"/>
      <c r="O710" s="186"/>
      <c r="P710" s="186"/>
      <c r="Q710" s="186"/>
      <c r="R710" s="186"/>
      <c r="S710" s="186"/>
      <c r="T710" s="186"/>
      <c r="U710" s="186"/>
      <c r="V710" s="186"/>
      <c r="W710" s="186"/>
      <c r="X710" s="186"/>
      <c r="Y710" s="186"/>
      <c r="Z710" s="186"/>
      <c r="AA710" s="186"/>
      <c r="AB710" s="186"/>
      <c r="AC710" s="186"/>
      <c r="AD710" s="186"/>
      <c r="AE710" s="186"/>
      <c r="AF710" s="186"/>
      <c r="AG710" s="186"/>
      <c r="AH710" s="186"/>
      <c r="AI710" s="186"/>
      <c r="AJ710" s="186"/>
      <c r="AK710" s="186"/>
      <c r="AL710" s="186"/>
      <c r="AM710" s="186"/>
      <c r="AN710" s="186"/>
      <c r="AO710" s="186"/>
      <c r="AP710" s="186"/>
      <c r="AQ710" s="186"/>
      <c r="AR710" s="186"/>
      <c r="AS710" s="186"/>
      <c r="AT710" s="186"/>
      <c r="AU710" s="186"/>
      <c r="AV710" s="186"/>
      <c r="AW710" s="186"/>
      <c r="AX710" s="186"/>
      <c r="AY710" s="186"/>
      <c r="AZ710" s="186"/>
      <c r="BA710" s="186"/>
      <c r="BB710" s="186"/>
      <c r="BC710" s="186"/>
      <c r="BD710" s="186"/>
      <c r="BE710" s="186"/>
      <c r="BF710" s="186"/>
      <c r="BG710" s="186"/>
      <c r="BH710" s="186"/>
      <c r="BI710" s="186"/>
      <c r="BJ710" s="186"/>
      <c r="BK710" s="186"/>
      <c r="BL710" s="186"/>
      <c r="BM710" s="186"/>
      <c r="BN710" s="186"/>
      <c r="BO710" s="186"/>
      <c r="BP710" s="186"/>
      <c r="BQ710" s="186"/>
      <c r="BR710" s="186"/>
      <c r="BS710" s="186"/>
      <c r="BT710" s="186"/>
      <c r="BU710" s="186"/>
      <c r="BV710" s="186"/>
      <c r="BW710" s="186"/>
      <c r="BX710" s="186"/>
      <c r="BY710" s="186"/>
      <c r="BZ710" s="186"/>
      <c r="CA710" s="186"/>
      <c r="CB710" s="186"/>
      <c r="CC710" s="186"/>
      <c r="CD710" s="186"/>
      <c r="CE710" s="186"/>
      <c r="CF710" s="186"/>
      <c r="CG710" s="186"/>
      <c r="CH710" s="186"/>
      <c r="CI710" s="186"/>
      <c r="CJ710" s="186"/>
      <c r="CK710" s="186"/>
      <c r="CL710" s="186"/>
      <c r="CM710" s="186"/>
      <c r="CN710" s="186"/>
      <c r="CO710" s="186"/>
      <c r="CP710" s="186"/>
      <c r="CQ710" s="186"/>
      <c r="CR710" s="186"/>
      <c r="CS710" s="186"/>
      <c r="CT710" s="186"/>
      <c r="CU710" s="186"/>
      <c r="CV710" s="186"/>
      <c r="CW710" s="186"/>
      <c r="CX710" s="186"/>
      <c r="CY710" s="186"/>
      <c r="CZ710" s="186"/>
      <c r="DA710" s="186"/>
      <c r="DB710" s="186"/>
      <c r="DC710" s="186"/>
      <c r="DD710" s="186"/>
      <c r="DE710" s="186"/>
      <c r="DF710" s="186"/>
      <c r="DG710" s="186"/>
      <c r="DH710" s="186"/>
      <c r="DI710" s="186"/>
      <c r="DJ710" s="186"/>
      <c r="DK710" s="186"/>
      <c r="DL710" s="186"/>
      <c r="DM710" s="186"/>
      <c r="DN710" s="186"/>
      <c r="DO710" s="186"/>
      <c r="DP710" s="186"/>
      <c r="DQ710" s="186"/>
      <c r="DR710" s="186"/>
      <c r="DS710" s="186"/>
      <c r="DT710" s="186"/>
      <c r="DU710" s="186"/>
      <c r="DV710" s="186"/>
      <c r="DW710" s="186"/>
      <c r="DX710" s="186"/>
      <c r="DY710" s="186"/>
      <c r="DZ710" s="186"/>
      <c r="EA710" s="186"/>
      <c r="EB710" s="186"/>
      <c r="EC710" s="187"/>
    </row>
    <row r="711" spans="1:133" s="167" customFormat="1" ht="43.2" customHeight="1" x14ac:dyDescent="0.25">
      <c r="A711" s="171" t="s">
        <v>234</v>
      </c>
      <c r="B711" s="172"/>
      <c r="C711" s="172"/>
      <c r="D711" s="172"/>
      <c r="E711" s="172"/>
      <c r="F711" s="172"/>
      <c r="G711" s="172"/>
      <c r="H711" s="172"/>
      <c r="I711" s="172"/>
      <c r="J711" s="172"/>
      <c r="K711" s="172"/>
      <c r="L711" s="172"/>
      <c r="M711" s="172"/>
      <c r="N711" s="172"/>
      <c r="O711" s="172"/>
      <c r="P711" s="172"/>
      <c r="Q711" s="172"/>
      <c r="R711" s="172"/>
      <c r="S711" s="172"/>
      <c r="T711" s="172"/>
      <c r="U711" s="172"/>
      <c r="V711" s="172"/>
      <c r="W711" s="172"/>
      <c r="X711" s="172"/>
      <c r="Y711" s="172"/>
      <c r="Z711" s="172"/>
      <c r="AA711" s="172"/>
      <c r="AB711" s="172"/>
      <c r="AC711" s="172"/>
      <c r="AD711" s="172"/>
      <c r="AE711" s="172"/>
      <c r="AF711" s="172"/>
      <c r="AG711" s="172"/>
      <c r="AH711" s="172"/>
      <c r="AI711" s="172"/>
      <c r="AJ711" s="172"/>
      <c r="AK711" s="172"/>
      <c r="AL711" s="172"/>
      <c r="AM711" s="172"/>
      <c r="AN711" s="172"/>
      <c r="AO711" s="172"/>
      <c r="AP711" s="172"/>
      <c r="AQ711" s="172"/>
      <c r="AR711" s="172"/>
      <c r="AS711" s="172"/>
      <c r="AT711" s="172"/>
      <c r="AU711" s="172"/>
      <c r="AV711" s="172"/>
      <c r="AW711" s="172"/>
      <c r="AX711" s="172"/>
      <c r="AY711" s="172"/>
      <c r="AZ711" s="172"/>
      <c r="BA711" s="172"/>
      <c r="BB711" s="172"/>
      <c r="BC711" s="172"/>
      <c r="BD711" s="172"/>
      <c r="BE711" s="172"/>
      <c r="BF711" s="172"/>
      <c r="BG711" s="172"/>
      <c r="BH711" s="172"/>
      <c r="BI711" s="172"/>
      <c r="BJ711" s="172"/>
      <c r="BK711" s="172"/>
      <c r="BL711" s="172"/>
      <c r="BM711" s="172"/>
      <c r="BN711" s="172"/>
      <c r="BO711" s="172"/>
      <c r="BP711" s="172"/>
      <c r="BQ711" s="172"/>
      <c r="BR711" s="172"/>
      <c r="BS711" s="172"/>
      <c r="BT711" s="172"/>
      <c r="BU711" s="172"/>
      <c r="BV711" s="172"/>
      <c r="BW711" s="172"/>
      <c r="BX711" s="172"/>
      <c r="BY711" s="172"/>
      <c r="BZ711" s="172"/>
      <c r="CA711" s="172"/>
      <c r="CB711" s="172"/>
      <c r="CC711" s="172"/>
      <c r="CD711" s="172"/>
      <c r="CE711" s="172"/>
      <c r="CF711" s="172"/>
      <c r="CG711" s="172"/>
      <c r="CH711" s="172"/>
      <c r="CI711" s="172"/>
      <c r="CJ711" s="172"/>
      <c r="CK711" s="172"/>
      <c r="CL711" s="172"/>
      <c r="CM711" s="172"/>
      <c r="CN711" s="172"/>
      <c r="CO711" s="172"/>
      <c r="CP711" s="172"/>
      <c r="CQ711" s="172"/>
      <c r="CR711" s="172"/>
      <c r="CS711" s="172"/>
      <c r="CT711" s="172"/>
      <c r="CU711" s="172"/>
      <c r="CV711" s="172"/>
      <c r="CW711" s="172"/>
      <c r="CX711" s="172"/>
      <c r="CY711" s="172"/>
      <c r="CZ711" s="172"/>
      <c r="DA711" s="172"/>
      <c r="DB711" s="172"/>
      <c r="DC711" s="172"/>
      <c r="DD711" s="172"/>
      <c r="DE711" s="172"/>
      <c r="DF711" s="172"/>
      <c r="DG711" s="172"/>
      <c r="DH711" s="172"/>
      <c r="DI711" s="172"/>
      <c r="DJ711" s="172"/>
      <c r="DK711" s="172"/>
      <c r="DL711" s="172"/>
      <c r="DM711" s="172"/>
      <c r="DN711" s="172"/>
      <c r="DO711" s="172"/>
      <c r="DP711" s="172"/>
      <c r="DQ711" s="172"/>
      <c r="DR711" s="172"/>
      <c r="DS711" s="172"/>
      <c r="DT711" s="172"/>
      <c r="DU711" s="172"/>
      <c r="DV711" s="172"/>
      <c r="DW711" s="172"/>
      <c r="DX711" s="172"/>
      <c r="DY711" s="172"/>
      <c r="DZ711" s="172"/>
      <c r="EA711" s="172"/>
      <c r="EB711" s="172"/>
      <c r="EC711" s="173"/>
    </row>
    <row r="712" spans="1:133" s="56" customFormat="1" ht="31.2" x14ac:dyDescent="0.25">
      <c r="A712" s="92" t="s">
        <v>8</v>
      </c>
      <c r="B712" s="93" t="s">
        <v>9</v>
      </c>
      <c r="C712" s="94" t="s">
        <v>10</v>
      </c>
      <c r="D712" s="93" t="s">
        <v>341</v>
      </c>
      <c r="E712" s="93" t="s">
        <v>11</v>
      </c>
      <c r="F712" s="16" t="s">
        <v>322</v>
      </c>
      <c r="G712" s="16" t="s">
        <v>323</v>
      </c>
      <c r="H712" s="16" t="s">
        <v>324</v>
      </c>
      <c r="I712" s="16" t="s">
        <v>325</v>
      </c>
      <c r="J712" s="16" t="s">
        <v>326</v>
      </c>
      <c r="K712" s="16" t="s">
        <v>329</v>
      </c>
      <c r="L712" s="16" t="s">
        <v>292</v>
      </c>
      <c r="M712" s="16" t="s">
        <v>292</v>
      </c>
      <c r="N712" s="16" t="s">
        <v>292</v>
      </c>
      <c r="O712" s="16" t="s">
        <v>292</v>
      </c>
      <c r="P712" s="16" t="s">
        <v>292</v>
      </c>
      <c r="Q712" s="16" t="s">
        <v>292</v>
      </c>
      <c r="R712" s="54"/>
      <c r="S712" s="54"/>
      <c r="T712" s="54"/>
      <c r="U712" s="54"/>
      <c r="V712" s="54"/>
      <c r="W712" s="54"/>
      <c r="X712" s="54"/>
      <c r="Y712" s="54"/>
      <c r="Z712" s="54"/>
      <c r="AA712" s="54"/>
      <c r="AB712" s="54"/>
      <c r="AC712" s="54"/>
      <c r="AD712" s="54"/>
      <c r="AE712" s="54"/>
      <c r="AF712" s="54"/>
      <c r="AG712" s="54"/>
      <c r="AH712" s="54"/>
      <c r="AI712" s="54"/>
      <c r="AJ712" s="54"/>
      <c r="AK712" s="54"/>
      <c r="AL712" s="54"/>
      <c r="AM712" s="54"/>
      <c r="AN712" s="54"/>
      <c r="AO712" s="54"/>
      <c r="AP712" s="54"/>
      <c r="AQ712" s="54"/>
      <c r="AR712" s="54"/>
      <c r="AS712" s="54"/>
      <c r="AT712" s="54"/>
      <c r="AU712" s="54"/>
      <c r="AV712" s="54"/>
      <c r="AW712" s="54"/>
      <c r="AX712" s="54"/>
      <c r="AY712" s="54"/>
      <c r="AZ712" s="54"/>
      <c r="BA712" s="54"/>
      <c r="BB712" s="54"/>
      <c r="BC712" s="54"/>
      <c r="BD712" s="54"/>
      <c r="BE712" s="54"/>
      <c r="BF712" s="54"/>
      <c r="BG712" s="54"/>
      <c r="BH712" s="54"/>
      <c r="BI712" s="54"/>
      <c r="BJ712" s="54"/>
      <c r="BK712" s="54"/>
      <c r="BL712" s="54"/>
      <c r="BM712" s="54"/>
      <c r="BN712" s="54"/>
      <c r="BO712" s="54"/>
      <c r="BP712" s="54"/>
      <c r="BQ712" s="54"/>
      <c r="BR712" s="54"/>
      <c r="BS712" s="54"/>
      <c r="BT712" s="54"/>
      <c r="BU712" s="54"/>
      <c r="BV712" s="54"/>
      <c r="BW712" s="54"/>
      <c r="BX712" s="54"/>
      <c r="BY712" s="54"/>
      <c r="BZ712" s="54"/>
      <c r="CA712" s="54"/>
      <c r="CB712" s="54"/>
      <c r="CC712" s="54"/>
      <c r="CD712" s="54"/>
      <c r="CE712" s="54"/>
      <c r="CF712" s="54"/>
      <c r="CG712" s="54"/>
      <c r="CH712" s="54"/>
      <c r="CI712" s="54"/>
      <c r="CJ712" s="54"/>
      <c r="CK712" s="54"/>
      <c r="CL712" s="54"/>
      <c r="CM712" s="54"/>
      <c r="CN712" s="54"/>
      <c r="CO712" s="54"/>
      <c r="CP712" s="54"/>
      <c r="CQ712" s="54"/>
      <c r="CR712" s="54"/>
      <c r="CS712" s="54"/>
      <c r="CT712" s="54"/>
      <c r="CU712" s="54"/>
      <c r="CV712" s="54"/>
      <c r="CW712" s="54"/>
      <c r="CX712" s="54"/>
      <c r="CY712" s="54"/>
      <c r="CZ712" s="54"/>
      <c r="DA712" s="54"/>
      <c r="DB712" s="54"/>
      <c r="DC712" s="54"/>
      <c r="DD712" s="54"/>
      <c r="DE712" s="54"/>
      <c r="DF712" s="54"/>
      <c r="DG712" s="54"/>
      <c r="DH712" s="54"/>
      <c r="DI712" s="54"/>
      <c r="DJ712" s="54"/>
      <c r="DK712" s="54"/>
      <c r="DL712" s="54"/>
      <c r="DM712" s="54"/>
      <c r="DN712" s="54"/>
      <c r="DO712" s="54"/>
      <c r="DP712" s="54"/>
      <c r="DQ712" s="54"/>
      <c r="DR712" s="54"/>
      <c r="DS712" s="54"/>
      <c r="DT712" s="54"/>
      <c r="DU712" s="54"/>
      <c r="DV712" s="54"/>
      <c r="DW712" s="54"/>
      <c r="DX712" s="54"/>
      <c r="DY712" s="54"/>
      <c r="DZ712" s="54"/>
      <c r="EA712" s="54"/>
      <c r="EB712" s="54"/>
      <c r="EC712" s="54"/>
    </row>
    <row r="713" spans="1:133" s="56" customFormat="1" x14ac:dyDescent="0.25">
      <c r="A713" s="58" t="s">
        <v>12</v>
      </c>
      <c r="B713" s="58"/>
      <c r="C713" s="34"/>
      <c r="D713" s="34"/>
      <c r="E713" s="58"/>
      <c r="F713" s="16">
        <v>31</v>
      </c>
      <c r="G713" s="16">
        <v>28</v>
      </c>
      <c r="H713" s="16">
        <v>31</v>
      </c>
      <c r="I713" s="16">
        <v>30</v>
      </c>
      <c r="J713" s="16">
        <v>31</v>
      </c>
      <c r="K713" s="16">
        <v>30</v>
      </c>
      <c r="L713" s="16" t="s">
        <v>297</v>
      </c>
      <c r="M713" s="16" t="s">
        <v>297</v>
      </c>
      <c r="N713" s="16" t="s">
        <v>297</v>
      </c>
      <c r="O713" s="16" t="s">
        <v>297</v>
      </c>
      <c r="P713" s="16" t="s">
        <v>297</v>
      </c>
      <c r="Q713" s="16" t="s">
        <v>297</v>
      </c>
      <c r="R713" s="54"/>
      <c r="S713" s="54"/>
      <c r="T713" s="54"/>
      <c r="U713" s="54"/>
      <c r="V713" s="54"/>
      <c r="W713" s="54"/>
      <c r="X713" s="54"/>
      <c r="Y713" s="54"/>
      <c r="Z713" s="54"/>
      <c r="AA713" s="54"/>
      <c r="AB713" s="54"/>
      <c r="AC713" s="54"/>
      <c r="AD713" s="54"/>
      <c r="AE713" s="54"/>
      <c r="AF713" s="54"/>
      <c r="AG713" s="54"/>
      <c r="AH713" s="54"/>
      <c r="AI713" s="54"/>
      <c r="AJ713" s="54"/>
      <c r="AK713" s="54"/>
      <c r="AL713" s="54"/>
      <c r="AM713" s="54"/>
      <c r="AN713" s="54"/>
      <c r="AO713" s="54"/>
      <c r="AP713" s="54"/>
      <c r="AQ713" s="54"/>
      <c r="AR713" s="54"/>
      <c r="AS713" s="54"/>
      <c r="AT713" s="54"/>
      <c r="AU713" s="54"/>
      <c r="AV713" s="54"/>
      <c r="AW713" s="54"/>
      <c r="AX713" s="54"/>
      <c r="AY713" s="54"/>
      <c r="AZ713" s="54"/>
      <c r="BA713" s="54"/>
      <c r="BB713" s="54"/>
      <c r="BC713" s="54"/>
      <c r="BD713" s="54"/>
      <c r="BE713" s="54"/>
      <c r="BF713" s="54"/>
      <c r="BG713" s="54"/>
      <c r="BH713" s="54"/>
      <c r="BI713" s="54"/>
      <c r="BJ713" s="54"/>
      <c r="BK713" s="54"/>
      <c r="BL713" s="54"/>
      <c r="BM713" s="54"/>
      <c r="BN713" s="54"/>
      <c r="BO713" s="54"/>
      <c r="BP713" s="54"/>
      <c r="BQ713" s="54"/>
      <c r="BR713" s="54"/>
      <c r="BS713" s="54"/>
      <c r="BT713" s="54"/>
      <c r="BU713" s="54"/>
      <c r="BV713" s="54"/>
      <c r="BW713" s="54"/>
      <c r="BX713" s="54"/>
      <c r="BY713" s="54"/>
      <c r="BZ713" s="54"/>
      <c r="CA713" s="54"/>
      <c r="CB713" s="54"/>
      <c r="CC713" s="54"/>
      <c r="CD713" s="54"/>
      <c r="CE713" s="54"/>
      <c r="CF713" s="54"/>
      <c r="CG713" s="54"/>
      <c r="CH713" s="54"/>
      <c r="CI713" s="54"/>
      <c r="CJ713" s="54"/>
      <c r="CK713" s="54"/>
      <c r="CL713" s="54"/>
      <c r="CM713" s="54"/>
      <c r="CN713" s="54"/>
      <c r="CO713" s="54"/>
      <c r="CP713" s="54"/>
      <c r="CQ713" s="54"/>
      <c r="CR713" s="54"/>
      <c r="CS713" s="54"/>
      <c r="CT713" s="54"/>
      <c r="CU713" s="54"/>
      <c r="CV713" s="54"/>
      <c r="CW713" s="54"/>
      <c r="CX713" s="54"/>
      <c r="CY713" s="54"/>
      <c r="CZ713" s="54"/>
      <c r="DA713" s="54"/>
      <c r="DB713" s="54"/>
      <c r="DC713" s="54"/>
      <c r="DD713" s="54"/>
      <c r="DE713" s="54"/>
      <c r="DF713" s="54"/>
      <c r="DG713" s="54"/>
      <c r="DH713" s="54"/>
      <c r="DI713" s="54"/>
      <c r="DJ713" s="54"/>
      <c r="DK713" s="54"/>
      <c r="DL713" s="54"/>
      <c r="DM713" s="54"/>
      <c r="DN713" s="54"/>
      <c r="DO713" s="54"/>
      <c r="DP713" s="54"/>
      <c r="DQ713" s="54"/>
      <c r="DR713" s="54"/>
      <c r="DS713" s="54"/>
      <c r="DT713" s="54"/>
      <c r="DU713" s="54"/>
      <c r="DV713" s="54"/>
      <c r="DW713" s="54"/>
      <c r="DX713" s="54"/>
      <c r="DY713" s="54"/>
      <c r="DZ713" s="54"/>
      <c r="EA713" s="54"/>
      <c r="EB713" s="54"/>
      <c r="EC713" s="54"/>
    </row>
    <row r="714" spans="1:133" ht="46.8" x14ac:dyDescent="0.25">
      <c r="A714" s="59" t="s">
        <v>13</v>
      </c>
      <c r="B714" s="60" t="s">
        <v>14</v>
      </c>
      <c r="C714" s="53" t="s">
        <v>15</v>
      </c>
      <c r="D714" s="53" t="s">
        <v>369</v>
      </c>
      <c r="E714" s="61">
        <f>SUM(F714:K714)</f>
        <v>6483.358038605842</v>
      </c>
      <c r="F714" s="62">
        <f>$E$715*$E$716*F717*$E$728</f>
        <v>1103.7894023774068</v>
      </c>
      <c r="G714" s="62">
        <f t="shared" ref="G714:K714" si="91">$E$715*$E$716*G717*$E$728</f>
        <v>997.35936488820073</v>
      </c>
      <c r="H714" s="62">
        <f t="shared" si="91"/>
        <v>1103.6710092766746</v>
      </c>
      <c r="I714" s="62">
        <f t="shared" si="91"/>
        <v>1067.6395926124601</v>
      </c>
      <c r="J714" s="62">
        <f t="shared" si="91"/>
        <v>1161.2886579634721</v>
      </c>
      <c r="K714" s="62">
        <f t="shared" si="91"/>
        <v>1049.6100114876276</v>
      </c>
      <c r="L714" s="62" t="s">
        <v>297</v>
      </c>
      <c r="M714" s="62" t="s">
        <v>297</v>
      </c>
      <c r="N714" s="62" t="s">
        <v>297</v>
      </c>
      <c r="O714" s="62" t="s">
        <v>297</v>
      </c>
      <c r="P714" s="62" t="s">
        <v>297</v>
      </c>
      <c r="Q714" s="62" t="s">
        <v>297</v>
      </c>
    </row>
    <row r="715" spans="1:133" ht="31.2" x14ac:dyDescent="0.25">
      <c r="A715" s="63" t="s">
        <v>16</v>
      </c>
      <c r="B715" s="60" t="s">
        <v>193</v>
      </c>
      <c r="C715" s="35" t="s">
        <v>17</v>
      </c>
      <c r="D715" s="35" t="s">
        <v>205</v>
      </c>
      <c r="E715" s="168">
        <v>28</v>
      </c>
      <c r="F715" s="169"/>
      <c r="G715" s="169"/>
      <c r="H715" s="169"/>
      <c r="I715" s="169"/>
      <c r="J715" s="169"/>
      <c r="K715" s="169"/>
      <c r="L715" s="169"/>
      <c r="M715" s="169"/>
      <c r="N715" s="169"/>
      <c r="O715" s="169"/>
      <c r="P715" s="169"/>
      <c r="Q715" s="170"/>
    </row>
    <row r="716" spans="1:133" ht="64.8" x14ac:dyDescent="0.25">
      <c r="A716" s="63" t="s">
        <v>18</v>
      </c>
      <c r="B716" s="25" t="s">
        <v>194</v>
      </c>
      <c r="C716" s="35" t="s">
        <v>20</v>
      </c>
      <c r="D716" s="35" t="s">
        <v>394</v>
      </c>
      <c r="E716" s="168">
        <v>0.21</v>
      </c>
      <c r="F716" s="169"/>
      <c r="G716" s="169"/>
      <c r="H716" s="169"/>
      <c r="I716" s="169"/>
      <c r="J716" s="169"/>
      <c r="K716" s="169"/>
      <c r="L716" s="169"/>
      <c r="M716" s="169"/>
      <c r="N716" s="169"/>
      <c r="O716" s="169"/>
      <c r="P716" s="169"/>
      <c r="Q716" s="170"/>
    </row>
    <row r="717" spans="1:133" ht="46.8" x14ac:dyDescent="0.25">
      <c r="A717" s="35" t="s">
        <v>21</v>
      </c>
      <c r="B717" s="25" t="s">
        <v>195</v>
      </c>
      <c r="C717" s="53" t="s">
        <v>22</v>
      </c>
      <c r="D717" s="53" t="s">
        <v>370</v>
      </c>
      <c r="E717" s="64">
        <f t="shared" ref="E717:K717" si="92">E725*E718</f>
        <v>1752.6844913296361</v>
      </c>
      <c r="F717" s="64">
        <f t="shared" si="92"/>
        <v>298.39391187732343</v>
      </c>
      <c r="G717" s="64">
        <f t="shared" si="92"/>
        <v>269.62205090524674</v>
      </c>
      <c r="H717" s="64">
        <f t="shared" si="92"/>
        <v>298.36190597077041</v>
      </c>
      <c r="I717" s="64">
        <f t="shared" si="92"/>
        <v>288.6213201798945</v>
      </c>
      <c r="J717" s="64">
        <f t="shared" si="92"/>
        <v>313.93802542598172</v>
      </c>
      <c r="K717" s="64">
        <f t="shared" si="92"/>
        <v>283.74727697041925</v>
      </c>
      <c r="L717" s="64" t="s">
        <v>297</v>
      </c>
      <c r="M717" s="64" t="s">
        <v>297</v>
      </c>
      <c r="N717" s="64" t="s">
        <v>297</v>
      </c>
      <c r="O717" s="64" t="s">
        <v>297</v>
      </c>
      <c r="P717" s="64" t="s">
        <v>297</v>
      </c>
      <c r="Q717" s="64" t="s">
        <v>297</v>
      </c>
    </row>
    <row r="718" spans="1:133" ht="46.8" x14ac:dyDescent="0.25">
      <c r="A718" s="35" t="s">
        <v>23</v>
      </c>
      <c r="B718" s="25" t="s">
        <v>197</v>
      </c>
      <c r="C718" s="35" t="s">
        <v>191</v>
      </c>
      <c r="D718" s="35" t="s">
        <v>371</v>
      </c>
      <c r="E718" s="20">
        <f>SUM(F718:K718)</f>
        <v>1776.4577943656059</v>
      </c>
      <c r="F718" s="20">
        <f>F720*F723</f>
        <v>302.4413082719629</v>
      </c>
      <c r="G718" s="20">
        <f t="shared" ref="G718:K718" si="93">G720*G723</f>
        <v>273.27918757363102</v>
      </c>
      <c r="H718" s="20">
        <f t="shared" si="93"/>
        <v>302.40886823929122</v>
      </c>
      <c r="I718" s="20">
        <f t="shared" si="93"/>
        <v>292.53616175076559</v>
      </c>
      <c r="J718" s="20">
        <f t="shared" si="93"/>
        <v>318.19626120651509</v>
      </c>
      <c r="K718" s="20">
        <f t="shared" si="93"/>
        <v>287.59600732343995</v>
      </c>
      <c r="L718" s="20" t="s">
        <v>297</v>
      </c>
      <c r="M718" s="20" t="s">
        <v>297</v>
      </c>
      <c r="N718" s="20" t="s">
        <v>297</v>
      </c>
      <c r="O718" s="20" t="s">
        <v>297</v>
      </c>
      <c r="P718" s="20" t="s">
        <v>297</v>
      </c>
      <c r="Q718" s="20" t="s">
        <v>297</v>
      </c>
    </row>
    <row r="719" spans="1:133" ht="62.4" x14ac:dyDescent="0.25">
      <c r="A719" s="17" t="s">
        <v>335</v>
      </c>
      <c r="B719" s="60" t="s">
        <v>192</v>
      </c>
      <c r="C719" s="35" t="s">
        <v>25</v>
      </c>
      <c r="D719" s="35" t="s">
        <v>333</v>
      </c>
      <c r="E719" s="121">
        <f>AVERAGE(F719:K719)</f>
        <v>19432.831754966719</v>
      </c>
      <c r="F719" s="121">
        <v>18929.566258064515</v>
      </c>
      <c r="G719" s="121">
        <v>18932.799785714287</v>
      </c>
      <c r="H719" s="121">
        <v>18929.253774193552</v>
      </c>
      <c r="I719" s="121">
        <v>18923.03986666667</v>
      </c>
      <c r="J719" s="121">
        <v>19909.363645161284</v>
      </c>
      <c r="K719" s="121">
        <v>20972.967199999999</v>
      </c>
      <c r="L719" s="20" t="s">
        <v>297</v>
      </c>
      <c r="M719" s="20" t="s">
        <v>297</v>
      </c>
      <c r="N719" s="20" t="s">
        <v>297</v>
      </c>
      <c r="O719" s="20" t="s">
        <v>297</v>
      </c>
      <c r="P719" s="20" t="s">
        <v>297</v>
      </c>
      <c r="Q719" s="20" t="s">
        <v>297</v>
      </c>
    </row>
    <row r="720" spans="1:133" ht="46.8" x14ac:dyDescent="0.25">
      <c r="A720" s="35" t="s">
        <v>26</v>
      </c>
      <c r="B720" s="60" t="s">
        <v>198</v>
      </c>
      <c r="C720" s="35" t="s">
        <v>27</v>
      </c>
      <c r="D720" s="35" t="s">
        <v>206</v>
      </c>
      <c r="E720" s="65">
        <f>SUM(F720:K720)</f>
        <v>3517812.3</v>
      </c>
      <c r="F720" s="65">
        <f>F719*F713</f>
        <v>586816.554</v>
      </c>
      <c r="G720" s="65">
        <f t="shared" ref="G720:K720" si="94">G719*G713</f>
        <v>530118.39400000009</v>
      </c>
      <c r="H720" s="65">
        <f t="shared" si="94"/>
        <v>586806.86700000009</v>
      </c>
      <c r="I720" s="65">
        <f t="shared" si="94"/>
        <v>567691.19600000011</v>
      </c>
      <c r="J720" s="65">
        <f t="shared" si="94"/>
        <v>617190.27299999981</v>
      </c>
      <c r="K720" s="65">
        <f t="shared" si="94"/>
        <v>629189.01599999995</v>
      </c>
      <c r="L720" s="65" t="s">
        <v>297</v>
      </c>
      <c r="M720" s="65" t="s">
        <v>297</v>
      </c>
      <c r="N720" s="65" t="s">
        <v>297</v>
      </c>
      <c r="O720" s="65" t="s">
        <v>297</v>
      </c>
      <c r="P720" s="65" t="s">
        <v>297</v>
      </c>
      <c r="Q720" s="65" t="s">
        <v>297</v>
      </c>
    </row>
    <row r="721" spans="1:133" ht="62.4" x14ac:dyDescent="0.25">
      <c r="A721" s="35" t="s">
        <v>28</v>
      </c>
      <c r="B721" s="60" t="s">
        <v>199</v>
      </c>
      <c r="C721" s="35" t="s">
        <v>29</v>
      </c>
      <c r="D721" s="35" t="s">
        <v>332</v>
      </c>
      <c r="E721" s="125">
        <f>AVERAGE(F721:K721)</f>
        <v>505.70008853899981</v>
      </c>
      <c r="F721" s="125">
        <v>515.39327956989246</v>
      </c>
      <c r="G721" s="125">
        <v>515.50595238095241</v>
      </c>
      <c r="H721" s="125">
        <v>515.34650537634411</v>
      </c>
      <c r="I721" s="125">
        <v>515.30861111111108</v>
      </c>
      <c r="J721" s="125">
        <v>515.55618279569876</v>
      </c>
      <c r="K721" s="137">
        <v>457.09</v>
      </c>
      <c r="L721" s="66" t="s">
        <v>297</v>
      </c>
      <c r="M721" s="66" t="s">
        <v>297</v>
      </c>
      <c r="N721" s="66" t="s">
        <v>297</v>
      </c>
      <c r="O721" s="66" t="s">
        <v>297</v>
      </c>
      <c r="P721" s="66" t="s">
        <v>297</v>
      </c>
      <c r="Q721" s="66" t="s">
        <v>297</v>
      </c>
    </row>
    <row r="722" spans="1:133" ht="62.4" x14ac:dyDescent="0.25">
      <c r="A722" s="35" t="s">
        <v>30</v>
      </c>
      <c r="B722" s="60" t="s">
        <v>199</v>
      </c>
      <c r="C722" s="35" t="s">
        <v>31</v>
      </c>
      <c r="D722" s="35" t="s">
        <v>331</v>
      </c>
      <c r="E722" s="125">
        <f>AVERAGE(F722:K722)</f>
        <v>20.359298301757981</v>
      </c>
      <c r="F722" s="125">
        <v>20.750000000000004</v>
      </c>
      <c r="G722" s="125">
        <v>20.190476190476193</v>
      </c>
      <c r="H722" s="125">
        <v>20.199731182795702</v>
      </c>
      <c r="I722" s="125">
        <v>20.666111111111107</v>
      </c>
      <c r="J722" s="125">
        <v>20.26586021505376</v>
      </c>
      <c r="K722" s="137">
        <v>20.083611111111111</v>
      </c>
      <c r="L722" s="65" t="s">
        <v>297</v>
      </c>
      <c r="M722" s="65" t="s">
        <v>297</v>
      </c>
      <c r="N722" s="65" t="s">
        <v>297</v>
      </c>
      <c r="O722" s="65" t="s">
        <v>297</v>
      </c>
      <c r="P722" s="65" t="s">
        <v>297</v>
      </c>
      <c r="Q722" s="65" t="s">
        <v>297</v>
      </c>
    </row>
    <row r="723" spans="1:133" ht="62.4" x14ac:dyDescent="0.25">
      <c r="A723" s="35" t="s">
        <v>32</v>
      </c>
      <c r="B723" s="60" t="s">
        <v>200</v>
      </c>
      <c r="C723" s="35" t="s">
        <v>34</v>
      </c>
      <c r="D723" s="35" t="s">
        <v>338</v>
      </c>
      <c r="E723" s="122">
        <f>E721/1000000</f>
        <v>5.0570008853899979E-4</v>
      </c>
      <c r="F723" s="120">
        <f>F721/1000000</f>
        <v>5.1539327956989247E-4</v>
      </c>
      <c r="G723" s="120">
        <f t="shared" ref="G723:K724" si="95">G721/1000000</f>
        <v>5.155059523809524E-4</v>
      </c>
      <c r="H723" s="120">
        <f t="shared" si="95"/>
        <v>5.1534650537634415E-4</v>
      </c>
      <c r="I723" s="120">
        <f t="shared" si="95"/>
        <v>5.1530861111111106E-4</v>
      </c>
      <c r="J723" s="120">
        <f t="shared" si="95"/>
        <v>5.1555618279569874E-4</v>
      </c>
      <c r="K723" s="120">
        <f t="shared" si="95"/>
        <v>4.5708999999999995E-4</v>
      </c>
      <c r="L723" s="22" t="s">
        <v>297</v>
      </c>
      <c r="M723" s="22" t="s">
        <v>297</v>
      </c>
      <c r="N723" s="22" t="s">
        <v>297</v>
      </c>
      <c r="O723" s="22" t="s">
        <v>297</v>
      </c>
      <c r="P723" s="22" t="s">
        <v>297</v>
      </c>
      <c r="Q723" s="22" t="s">
        <v>297</v>
      </c>
    </row>
    <row r="724" spans="1:133" ht="62.4" x14ac:dyDescent="0.25">
      <c r="A724" s="35" t="s">
        <v>30</v>
      </c>
      <c r="B724" s="60" t="s">
        <v>33</v>
      </c>
      <c r="C724" s="35" t="s">
        <v>35</v>
      </c>
      <c r="D724" s="35" t="s">
        <v>339</v>
      </c>
      <c r="E724" s="122">
        <f>E722/1000000</f>
        <v>2.0359298301757982E-5</v>
      </c>
      <c r="F724" s="120">
        <f>F722/1000000</f>
        <v>2.0750000000000003E-5</v>
      </c>
      <c r="G724" s="120">
        <f t="shared" si="95"/>
        <v>2.0190476190476192E-5</v>
      </c>
      <c r="H724" s="120">
        <f t="shared" si="95"/>
        <v>2.0199731182795701E-5</v>
      </c>
      <c r="I724" s="120">
        <f t="shared" si="95"/>
        <v>2.0666111111111107E-5</v>
      </c>
      <c r="J724" s="120">
        <f t="shared" si="95"/>
        <v>2.026586021505376E-5</v>
      </c>
      <c r="K724" s="120">
        <f t="shared" si="95"/>
        <v>2.0083611111111111E-5</v>
      </c>
      <c r="L724" s="22" t="s">
        <v>297</v>
      </c>
      <c r="M724" s="22" t="s">
        <v>297</v>
      </c>
      <c r="N724" s="22" t="s">
        <v>297</v>
      </c>
      <c r="O724" s="22" t="s">
        <v>297</v>
      </c>
      <c r="P724" s="22" t="s">
        <v>297</v>
      </c>
      <c r="Q724" s="22" t="s">
        <v>297</v>
      </c>
    </row>
    <row r="725" spans="1:133" ht="46.8" x14ac:dyDescent="0.25">
      <c r="A725" s="63" t="s">
        <v>36</v>
      </c>
      <c r="B725" s="25" t="s">
        <v>201</v>
      </c>
      <c r="C725" s="35" t="s">
        <v>38</v>
      </c>
      <c r="D725" s="35" t="s">
        <v>368</v>
      </c>
      <c r="E725" s="68">
        <f>(1-(E726/E727))</f>
        <v>0.98661758072081895</v>
      </c>
      <c r="F725" s="68">
        <f>E725</f>
        <v>0.98661758072081895</v>
      </c>
      <c r="G725" s="68">
        <f>E725</f>
        <v>0.98661758072081895</v>
      </c>
      <c r="H725" s="68">
        <f>E725</f>
        <v>0.98661758072081895</v>
      </c>
      <c r="I725" s="68">
        <f>E725</f>
        <v>0.98661758072081895</v>
      </c>
      <c r="J725" s="68">
        <f>E725</f>
        <v>0.98661758072081895</v>
      </c>
      <c r="K725" s="68">
        <f>F725</f>
        <v>0.98661758072081895</v>
      </c>
      <c r="L725" s="68" t="s">
        <v>297</v>
      </c>
      <c r="M725" s="68" t="s">
        <v>297</v>
      </c>
      <c r="N725" s="68" t="s">
        <v>297</v>
      </c>
      <c r="O725" s="68" t="s">
        <v>297</v>
      </c>
      <c r="P725" s="68" t="s">
        <v>297</v>
      </c>
      <c r="Q725" s="68" t="s">
        <v>297</v>
      </c>
    </row>
    <row r="726" spans="1:133" ht="31.2" x14ac:dyDescent="0.25">
      <c r="A726" s="35" t="s">
        <v>39</v>
      </c>
      <c r="B726" s="25" t="s">
        <v>196</v>
      </c>
      <c r="C726" s="35" t="s">
        <v>40</v>
      </c>
      <c r="D726" s="35" t="s">
        <v>351</v>
      </c>
      <c r="E726" s="52">
        <f>SUM(F726:K726)</f>
        <v>23.390890730500001</v>
      </c>
      <c r="F726" s="52">
        <v>4.0061746554999997</v>
      </c>
      <c r="G726" s="52">
        <v>3.6184803340000005</v>
      </c>
      <c r="H726" s="52">
        <v>4.0061746554999997</v>
      </c>
      <c r="I726" s="52">
        <v>3.8769432150000003</v>
      </c>
      <c r="J726" s="52">
        <v>4.0061746554999997</v>
      </c>
      <c r="K726" s="52">
        <v>3.8769432150000003</v>
      </c>
      <c r="L726" s="69" t="s">
        <v>297</v>
      </c>
      <c r="M726" s="69" t="s">
        <v>297</v>
      </c>
      <c r="N726" s="69" t="s">
        <v>297</v>
      </c>
      <c r="O726" s="69" t="s">
        <v>297</v>
      </c>
      <c r="P726" s="69" t="s">
        <v>297</v>
      </c>
      <c r="Q726" s="69" t="s">
        <v>297</v>
      </c>
    </row>
    <row r="727" spans="1:133" ht="31.2" x14ac:dyDescent="0.25">
      <c r="A727" s="63" t="s">
        <v>41</v>
      </c>
      <c r="B727" s="25" t="s">
        <v>24</v>
      </c>
      <c r="C727" s="35" t="s">
        <v>42</v>
      </c>
      <c r="D727" s="35" t="s">
        <v>351</v>
      </c>
      <c r="E727" s="52">
        <f>SUM(F727:K727)</f>
        <v>1747.8820714344999</v>
      </c>
      <c r="F727" s="52">
        <v>299.36101775949999</v>
      </c>
      <c r="G727" s="52">
        <v>270.39059668599998</v>
      </c>
      <c r="H727" s="52">
        <v>299.36101775949999</v>
      </c>
      <c r="I727" s="52">
        <v>289.704210735</v>
      </c>
      <c r="J727" s="52">
        <v>299.36101775949999</v>
      </c>
      <c r="K727" s="52">
        <v>289.704210735</v>
      </c>
      <c r="L727" s="69" t="s">
        <v>297</v>
      </c>
      <c r="M727" s="69" t="s">
        <v>297</v>
      </c>
      <c r="N727" s="69" t="s">
        <v>297</v>
      </c>
      <c r="O727" s="69" t="s">
        <v>297</v>
      </c>
      <c r="P727" s="69" t="s">
        <v>297</v>
      </c>
      <c r="Q727" s="69" t="s">
        <v>297</v>
      </c>
    </row>
    <row r="728" spans="1:133" ht="31.2" x14ac:dyDescent="0.25">
      <c r="A728" s="53" t="s">
        <v>43</v>
      </c>
      <c r="B728" s="25" t="s">
        <v>201</v>
      </c>
      <c r="C728" s="53" t="s">
        <v>44</v>
      </c>
      <c r="D728" s="35" t="s">
        <v>372</v>
      </c>
      <c r="E728" s="159">
        <f>E729*E730*0.89</f>
        <v>0.62909891471171264</v>
      </c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1"/>
    </row>
    <row r="729" spans="1:133" ht="31.2" x14ac:dyDescent="0.25">
      <c r="A729" s="70" t="s">
        <v>45</v>
      </c>
      <c r="B729" s="25" t="s">
        <v>201</v>
      </c>
      <c r="C729" s="53" t="s">
        <v>46</v>
      </c>
      <c r="D729" s="35" t="s">
        <v>373</v>
      </c>
      <c r="E729" s="162">
        <v>0.7</v>
      </c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4"/>
    </row>
    <row r="730" spans="1:133" ht="36" customHeight="1" x14ac:dyDescent="0.25">
      <c r="A730" s="70" t="s">
        <v>47</v>
      </c>
      <c r="B730" s="25" t="s">
        <v>37</v>
      </c>
      <c r="C730" s="53" t="s">
        <v>48</v>
      </c>
      <c r="D730" s="35" t="s">
        <v>374</v>
      </c>
      <c r="E730" s="159">
        <f>(F731*F736+G731*G736+H731*H736+I731*I736+J731*J736+K731*K736)/(F725*F720*F723+G725*G723*G720+H725*H720*H723+I725*I723*I720+J725*J723*J720+K725*K723*K720)</f>
        <v>1.0097895902274683</v>
      </c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1"/>
    </row>
    <row r="731" spans="1:133" s="9" customFormat="1" ht="46.8" x14ac:dyDescent="0.4">
      <c r="A731" s="71" t="s">
        <v>49</v>
      </c>
      <c r="B731" s="25" t="s">
        <v>37</v>
      </c>
      <c r="C731" s="53" t="s">
        <v>50</v>
      </c>
      <c r="D731" s="53" t="s">
        <v>375</v>
      </c>
      <c r="E731" s="72">
        <f>AVERAGE(F731:K731)</f>
        <v>0.51463670965197228</v>
      </c>
      <c r="F731" s="72">
        <f>IF(F735&lt;283,0,IF(F735&gt;303,1,EXP(($E$732*(F735-$E$733))/($E$734*$E$733*F735))))</f>
        <v>0.30881657019391506</v>
      </c>
      <c r="G731" s="72">
        <f t="shared" ref="G731:K731" si="96">IF(G735&lt;283,0,IF(G735&gt;303,1,EXP(($E$732*(G735-$E$733))/($E$734*$E$733*G735))))</f>
        <v>0.25708890533410012</v>
      </c>
      <c r="H731" s="72">
        <f t="shared" si="96"/>
        <v>0.46225423409862509</v>
      </c>
      <c r="I731" s="72">
        <f t="shared" si="96"/>
        <v>0.55084569341606926</v>
      </c>
      <c r="J731" s="72">
        <f t="shared" si="96"/>
        <v>0.62729263560178183</v>
      </c>
      <c r="K731" s="72">
        <f t="shared" si="96"/>
        <v>0.88152221926734242</v>
      </c>
      <c r="L731" s="72" t="s">
        <v>297</v>
      </c>
      <c r="M731" s="72" t="s">
        <v>297</v>
      </c>
      <c r="N731" s="72" t="s">
        <v>297</v>
      </c>
      <c r="O731" s="72" t="s">
        <v>297</v>
      </c>
      <c r="P731" s="72" t="s">
        <v>297</v>
      </c>
      <c r="Q731" s="72" t="s">
        <v>297</v>
      </c>
      <c r="R731" s="78"/>
      <c r="S731" s="78"/>
      <c r="T731" s="78"/>
      <c r="U731" s="78"/>
      <c r="V731" s="78"/>
      <c r="W731" s="78"/>
      <c r="X731" s="78"/>
      <c r="Y731" s="78"/>
      <c r="Z731" s="78"/>
      <c r="AA731" s="78"/>
      <c r="AB731" s="78"/>
      <c r="AC731" s="78"/>
      <c r="AD731" s="78"/>
      <c r="AE731" s="78"/>
      <c r="AF731" s="78"/>
      <c r="AG731" s="78"/>
      <c r="AH731" s="78"/>
      <c r="AI731" s="78"/>
      <c r="AJ731" s="78"/>
      <c r="AK731" s="78"/>
      <c r="AL731" s="78"/>
      <c r="AM731" s="78"/>
      <c r="AN731" s="78"/>
      <c r="AO731" s="78"/>
      <c r="AP731" s="78"/>
      <c r="AQ731" s="78"/>
      <c r="AR731" s="78"/>
      <c r="AS731" s="78"/>
      <c r="AT731" s="78"/>
      <c r="AU731" s="78"/>
      <c r="AV731" s="78"/>
      <c r="AW731" s="78"/>
      <c r="AX731" s="78"/>
      <c r="AY731" s="78"/>
      <c r="AZ731" s="78"/>
      <c r="BA731" s="78"/>
      <c r="BB731" s="78"/>
      <c r="BC731" s="78"/>
      <c r="BD731" s="78"/>
      <c r="BE731" s="78"/>
      <c r="BF731" s="78"/>
      <c r="BG731" s="78"/>
      <c r="BH731" s="78"/>
      <c r="BI731" s="78"/>
      <c r="BJ731" s="78"/>
      <c r="BK731" s="78"/>
      <c r="BL731" s="78"/>
      <c r="BM731" s="78"/>
      <c r="BN731" s="78"/>
      <c r="BO731" s="78"/>
      <c r="BP731" s="78"/>
      <c r="BQ731" s="78"/>
      <c r="BR731" s="78"/>
      <c r="BS731" s="78"/>
      <c r="BT731" s="78"/>
      <c r="BU731" s="78"/>
      <c r="BV731" s="78"/>
      <c r="BW731" s="78"/>
      <c r="BX731" s="78"/>
      <c r="BY731" s="78"/>
      <c r="BZ731" s="78"/>
      <c r="CA731" s="78"/>
      <c r="CB731" s="78"/>
      <c r="CC731" s="78"/>
      <c r="CD731" s="78"/>
      <c r="CE731" s="78"/>
      <c r="CF731" s="78"/>
      <c r="CG731" s="78"/>
      <c r="CH731" s="78"/>
      <c r="CI731" s="78"/>
      <c r="CJ731" s="78"/>
      <c r="CK731" s="78"/>
      <c r="CL731" s="78"/>
      <c r="CM731" s="78"/>
      <c r="CN731" s="78"/>
      <c r="CO731" s="78"/>
      <c r="CP731" s="78"/>
      <c r="CQ731" s="78"/>
      <c r="CR731" s="78"/>
      <c r="CS731" s="78"/>
      <c r="CT731" s="78"/>
      <c r="CU731" s="78"/>
      <c r="CV731" s="78"/>
      <c r="CW731" s="78"/>
      <c r="CX731" s="78"/>
      <c r="CY731" s="78"/>
      <c r="CZ731" s="78"/>
      <c r="DA731" s="78"/>
      <c r="DB731" s="78"/>
      <c r="DC731" s="78"/>
      <c r="DD731" s="78"/>
      <c r="DE731" s="78"/>
      <c r="DF731" s="78"/>
      <c r="DG731" s="78"/>
      <c r="DH731" s="78"/>
      <c r="DI731" s="78"/>
      <c r="DJ731" s="78"/>
      <c r="DK731" s="78"/>
      <c r="DL731" s="78"/>
      <c r="DM731" s="78"/>
      <c r="DN731" s="78"/>
      <c r="DO731" s="78"/>
      <c r="DP731" s="78"/>
      <c r="DQ731" s="78"/>
      <c r="DR731" s="78"/>
      <c r="DS731" s="78"/>
      <c r="DT731" s="78"/>
      <c r="DU731" s="78"/>
      <c r="DV731" s="78"/>
      <c r="DW731" s="78"/>
      <c r="DX731" s="78"/>
      <c r="DY731" s="78"/>
      <c r="DZ731" s="78"/>
      <c r="EA731" s="78"/>
      <c r="EB731" s="78"/>
      <c r="EC731" s="78"/>
    </row>
    <row r="732" spans="1:133" s="9" customFormat="1" x14ac:dyDescent="0.25">
      <c r="A732" s="73" t="s">
        <v>51</v>
      </c>
      <c r="B732" s="60" t="s">
        <v>202</v>
      </c>
      <c r="C732" s="53" t="s">
        <v>53</v>
      </c>
      <c r="D732" s="53" t="s">
        <v>376</v>
      </c>
      <c r="E732" s="162">
        <v>15175</v>
      </c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4"/>
      <c r="R732" s="78"/>
      <c r="S732" s="78"/>
      <c r="T732" s="78"/>
      <c r="U732" s="78"/>
      <c r="V732" s="78"/>
      <c r="W732" s="78"/>
      <c r="X732" s="78"/>
      <c r="Y732" s="78"/>
      <c r="Z732" s="78"/>
      <c r="AA732" s="78"/>
      <c r="AB732" s="78"/>
      <c r="AC732" s="78"/>
      <c r="AD732" s="78"/>
      <c r="AE732" s="78"/>
      <c r="AF732" s="78"/>
      <c r="AG732" s="78"/>
      <c r="AH732" s="78"/>
      <c r="AI732" s="78"/>
      <c r="AJ732" s="78"/>
      <c r="AK732" s="78"/>
      <c r="AL732" s="78"/>
      <c r="AM732" s="78"/>
      <c r="AN732" s="78"/>
      <c r="AO732" s="78"/>
      <c r="AP732" s="78"/>
      <c r="AQ732" s="78"/>
      <c r="AR732" s="78"/>
      <c r="AS732" s="78"/>
      <c r="AT732" s="78"/>
      <c r="AU732" s="78"/>
      <c r="AV732" s="78"/>
      <c r="AW732" s="78"/>
      <c r="AX732" s="78"/>
      <c r="AY732" s="78"/>
      <c r="AZ732" s="78"/>
      <c r="BA732" s="78"/>
      <c r="BB732" s="78"/>
      <c r="BC732" s="78"/>
      <c r="BD732" s="78"/>
      <c r="BE732" s="78"/>
      <c r="BF732" s="78"/>
      <c r="BG732" s="78"/>
      <c r="BH732" s="78"/>
      <c r="BI732" s="78"/>
      <c r="BJ732" s="78"/>
      <c r="BK732" s="78"/>
      <c r="BL732" s="78"/>
      <c r="BM732" s="78"/>
      <c r="BN732" s="78"/>
      <c r="BO732" s="78"/>
      <c r="BP732" s="78"/>
      <c r="BQ732" s="78"/>
      <c r="BR732" s="78"/>
      <c r="BS732" s="78"/>
      <c r="BT732" s="78"/>
      <c r="BU732" s="78"/>
      <c r="BV732" s="78"/>
      <c r="BW732" s="78"/>
      <c r="BX732" s="78"/>
      <c r="BY732" s="78"/>
      <c r="BZ732" s="78"/>
      <c r="CA732" s="78"/>
      <c r="CB732" s="78"/>
      <c r="CC732" s="78"/>
      <c r="CD732" s="78"/>
      <c r="CE732" s="78"/>
      <c r="CF732" s="78"/>
      <c r="CG732" s="78"/>
      <c r="CH732" s="78"/>
      <c r="CI732" s="78"/>
      <c r="CJ732" s="78"/>
      <c r="CK732" s="78"/>
      <c r="CL732" s="78"/>
      <c r="CM732" s="78"/>
      <c r="CN732" s="78"/>
      <c r="CO732" s="78"/>
      <c r="CP732" s="78"/>
      <c r="CQ732" s="78"/>
      <c r="CR732" s="78"/>
      <c r="CS732" s="78"/>
      <c r="CT732" s="78"/>
      <c r="CU732" s="78"/>
      <c r="CV732" s="78"/>
      <c r="CW732" s="78"/>
      <c r="CX732" s="78"/>
      <c r="CY732" s="78"/>
      <c r="CZ732" s="78"/>
      <c r="DA732" s="78"/>
      <c r="DB732" s="78"/>
      <c r="DC732" s="78"/>
      <c r="DD732" s="78"/>
      <c r="DE732" s="78"/>
      <c r="DF732" s="78"/>
      <c r="DG732" s="78"/>
      <c r="DH732" s="78"/>
      <c r="DI732" s="78"/>
      <c r="DJ732" s="78"/>
      <c r="DK732" s="78"/>
      <c r="DL732" s="78"/>
      <c r="DM732" s="78"/>
      <c r="DN732" s="78"/>
      <c r="DO732" s="78"/>
      <c r="DP732" s="78"/>
      <c r="DQ732" s="78"/>
      <c r="DR732" s="78"/>
      <c r="DS732" s="78"/>
      <c r="DT732" s="78"/>
      <c r="DU732" s="78"/>
      <c r="DV732" s="78"/>
      <c r="DW732" s="78"/>
      <c r="DX732" s="78"/>
      <c r="DY732" s="78"/>
      <c r="DZ732" s="78"/>
      <c r="EA732" s="78"/>
      <c r="EB732" s="78"/>
      <c r="EC732" s="78"/>
    </row>
    <row r="733" spans="1:133" s="9" customFormat="1" ht="18" x14ac:dyDescent="0.25">
      <c r="A733" s="73" t="s">
        <v>54</v>
      </c>
      <c r="B733" s="60" t="s">
        <v>203</v>
      </c>
      <c r="C733" s="53" t="s">
        <v>56</v>
      </c>
      <c r="D733" s="53" t="s">
        <v>376</v>
      </c>
      <c r="E733" s="162">
        <v>303.16000000000003</v>
      </c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4"/>
      <c r="R733" s="78"/>
      <c r="S733" s="78"/>
      <c r="T733" s="78"/>
      <c r="U733" s="78"/>
      <c r="V733" s="78"/>
      <c r="W733" s="78"/>
      <c r="X733" s="78"/>
      <c r="Y733" s="78"/>
      <c r="Z733" s="78"/>
      <c r="AA733" s="78"/>
      <c r="AB733" s="78"/>
      <c r="AC733" s="78"/>
      <c r="AD733" s="78"/>
      <c r="AE733" s="78"/>
      <c r="AF733" s="78"/>
      <c r="AG733" s="78"/>
      <c r="AH733" s="78"/>
      <c r="AI733" s="78"/>
      <c r="AJ733" s="78"/>
      <c r="AK733" s="78"/>
      <c r="AL733" s="78"/>
      <c r="AM733" s="78"/>
      <c r="AN733" s="78"/>
      <c r="AO733" s="78"/>
      <c r="AP733" s="78"/>
      <c r="AQ733" s="78"/>
      <c r="AR733" s="78"/>
      <c r="AS733" s="78"/>
      <c r="AT733" s="78"/>
      <c r="AU733" s="78"/>
      <c r="AV733" s="78"/>
      <c r="AW733" s="78"/>
      <c r="AX733" s="78"/>
      <c r="AY733" s="78"/>
      <c r="AZ733" s="78"/>
      <c r="BA733" s="78"/>
      <c r="BB733" s="78"/>
      <c r="BC733" s="78"/>
      <c r="BD733" s="78"/>
      <c r="BE733" s="78"/>
      <c r="BF733" s="78"/>
      <c r="BG733" s="78"/>
      <c r="BH733" s="78"/>
      <c r="BI733" s="78"/>
      <c r="BJ733" s="78"/>
      <c r="BK733" s="78"/>
      <c r="BL733" s="78"/>
      <c r="BM733" s="78"/>
      <c r="BN733" s="78"/>
      <c r="BO733" s="78"/>
      <c r="BP733" s="78"/>
      <c r="BQ733" s="78"/>
      <c r="BR733" s="78"/>
      <c r="BS733" s="78"/>
      <c r="BT733" s="78"/>
      <c r="BU733" s="78"/>
      <c r="BV733" s="78"/>
      <c r="BW733" s="78"/>
      <c r="BX733" s="78"/>
      <c r="BY733" s="78"/>
      <c r="BZ733" s="78"/>
      <c r="CA733" s="78"/>
      <c r="CB733" s="78"/>
      <c r="CC733" s="78"/>
      <c r="CD733" s="78"/>
      <c r="CE733" s="78"/>
      <c r="CF733" s="78"/>
      <c r="CG733" s="78"/>
      <c r="CH733" s="78"/>
      <c r="CI733" s="78"/>
      <c r="CJ733" s="78"/>
      <c r="CK733" s="78"/>
      <c r="CL733" s="78"/>
      <c r="CM733" s="78"/>
      <c r="CN733" s="78"/>
      <c r="CO733" s="78"/>
      <c r="CP733" s="78"/>
      <c r="CQ733" s="78"/>
      <c r="CR733" s="78"/>
      <c r="CS733" s="78"/>
      <c r="CT733" s="78"/>
      <c r="CU733" s="78"/>
      <c r="CV733" s="78"/>
      <c r="CW733" s="78"/>
      <c r="CX733" s="78"/>
      <c r="CY733" s="78"/>
      <c r="CZ733" s="78"/>
      <c r="DA733" s="78"/>
      <c r="DB733" s="78"/>
      <c r="DC733" s="78"/>
      <c r="DD733" s="78"/>
      <c r="DE733" s="78"/>
      <c r="DF733" s="78"/>
      <c r="DG733" s="78"/>
      <c r="DH733" s="78"/>
      <c r="DI733" s="78"/>
      <c r="DJ733" s="78"/>
      <c r="DK733" s="78"/>
      <c r="DL733" s="78"/>
      <c r="DM733" s="78"/>
      <c r="DN733" s="78"/>
      <c r="DO733" s="78"/>
      <c r="DP733" s="78"/>
      <c r="DQ733" s="78"/>
      <c r="DR733" s="78"/>
      <c r="DS733" s="78"/>
      <c r="DT733" s="78"/>
      <c r="DU733" s="78"/>
      <c r="DV733" s="78"/>
      <c r="DW733" s="78"/>
      <c r="DX733" s="78"/>
      <c r="DY733" s="78"/>
      <c r="DZ733" s="78"/>
      <c r="EA733" s="78"/>
      <c r="EB733" s="78"/>
      <c r="EC733" s="78"/>
    </row>
    <row r="734" spans="1:133" s="9" customFormat="1" x14ac:dyDescent="0.25">
      <c r="A734" s="73" t="s">
        <v>57</v>
      </c>
      <c r="B734" s="60" t="s">
        <v>204</v>
      </c>
      <c r="C734" s="53" t="s">
        <v>59</v>
      </c>
      <c r="D734" s="53" t="s">
        <v>376</v>
      </c>
      <c r="E734" s="162">
        <v>1.9870000000000001</v>
      </c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4"/>
      <c r="R734" s="78"/>
      <c r="S734" s="78"/>
      <c r="T734" s="78"/>
      <c r="U734" s="78"/>
      <c r="V734" s="78"/>
      <c r="W734" s="78"/>
      <c r="X734" s="78"/>
      <c r="Y734" s="78"/>
      <c r="Z734" s="78"/>
      <c r="AA734" s="78"/>
      <c r="AB734" s="78"/>
      <c r="AC734" s="78"/>
      <c r="AD734" s="78"/>
      <c r="AE734" s="78"/>
      <c r="AF734" s="78"/>
      <c r="AG734" s="78"/>
      <c r="AH734" s="78"/>
      <c r="AI734" s="78"/>
      <c r="AJ734" s="78"/>
      <c r="AK734" s="78"/>
      <c r="AL734" s="78"/>
      <c r="AM734" s="78"/>
      <c r="AN734" s="78"/>
      <c r="AO734" s="78"/>
      <c r="AP734" s="78"/>
      <c r="AQ734" s="78"/>
      <c r="AR734" s="78"/>
      <c r="AS734" s="78"/>
      <c r="AT734" s="78"/>
      <c r="AU734" s="78"/>
      <c r="AV734" s="78"/>
      <c r="AW734" s="78"/>
      <c r="AX734" s="78"/>
      <c r="AY734" s="78"/>
      <c r="AZ734" s="78"/>
      <c r="BA734" s="78"/>
      <c r="BB734" s="78"/>
      <c r="BC734" s="78"/>
      <c r="BD734" s="78"/>
      <c r="BE734" s="78"/>
      <c r="BF734" s="78"/>
      <c r="BG734" s="78"/>
      <c r="BH734" s="78"/>
      <c r="BI734" s="78"/>
      <c r="BJ734" s="78"/>
      <c r="BK734" s="78"/>
      <c r="BL734" s="78"/>
      <c r="BM734" s="78"/>
      <c r="BN734" s="78"/>
      <c r="BO734" s="78"/>
      <c r="BP734" s="78"/>
      <c r="BQ734" s="78"/>
      <c r="BR734" s="78"/>
      <c r="BS734" s="78"/>
      <c r="BT734" s="78"/>
      <c r="BU734" s="78"/>
      <c r="BV734" s="78"/>
      <c r="BW734" s="78"/>
      <c r="BX734" s="78"/>
      <c r="BY734" s="78"/>
      <c r="BZ734" s="78"/>
      <c r="CA734" s="78"/>
      <c r="CB734" s="78"/>
      <c r="CC734" s="78"/>
      <c r="CD734" s="78"/>
      <c r="CE734" s="78"/>
      <c r="CF734" s="78"/>
      <c r="CG734" s="78"/>
      <c r="CH734" s="78"/>
      <c r="CI734" s="78"/>
      <c r="CJ734" s="78"/>
      <c r="CK734" s="78"/>
      <c r="CL734" s="78"/>
      <c r="CM734" s="78"/>
      <c r="CN734" s="78"/>
      <c r="CO734" s="78"/>
      <c r="CP734" s="78"/>
      <c r="CQ734" s="78"/>
      <c r="CR734" s="78"/>
      <c r="CS734" s="78"/>
      <c r="CT734" s="78"/>
      <c r="CU734" s="78"/>
      <c r="CV734" s="78"/>
      <c r="CW734" s="78"/>
      <c r="CX734" s="78"/>
      <c r="CY734" s="78"/>
      <c r="CZ734" s="78"/>
      <c r="DA734" s="78"/>
      <c r="DB734" s="78"/>
      <c r="DC734" s="78"/>
      <c r="DD734" s="78"/>
      <c r="DE734" s="78"/>
      <c r="DF734" s="78"/>
      <c r="DG734" s="78"/>
      <c r="DH734" s="78"/>
      <c r="DI734" s="78"/>
      <c r="DJ734" s="78"/>
      <c r="DK734" s="78"/>
      <c r="DL734" s="78"/>
      <c r="DM734" s="78"/>
      <c r="DN734" s="78"/>
      <c r="DO734" s="78"/>
      <c r="DP734" s="78"/>
      <c r="DQ734" s="78"/>
      <c r="DR734" s="78"/>
      <c r="DS734" s="78"/>
      <c r="DT734" s="78"/>
      <c r="DU734" s="78"/>
      <c r="DV734" s="78"/>
      <c r="DW734" s="78"/>
      <c r="DX734" s="78"/>
      <c r="DY734" s="78"/>
      <c r="DZ734" s="78"/>
      <c r="EA734" s="78"/>
      <c r="EB734" s="78"/>
      <c r="EC734" s="78"/>
    </row>
    <row r="735" spans="1:133" s="9" customFormat="1" ht="31.2" x14ac:dyDescent="0.25">
      <c r="A735" s="73" t="s">
        <v>60</v>
      </c>
      <c r="B735" s="60" t="s">
        <v>203</v>
      </c>
      <c r="C735" s="53" t="s">
        <v>61</v>
      </c>
      <c r="D735" s="143" t="s">
        <v>364</v>
      </c>
      <c r="E735" s="98">
        <f>AVERAGE(F735:K735)</f>
        <v>294.48333333333335</v>
      </c>
      <c r="F735" s="60">
        <v>289.64999999999998</v>
      </c>
      <c r="G735" s="60">
        <v>287.64999999999998</v>
      </c>
      <c r="H735" s="60">
        <v>294.14999999999998</v>
      </c>
      <c r="I735" s="60">
        <v>296.14999999999998</v>
      </c>
      <c r="J735" s="60">
        <v>297.64999999999998</v>
      </c>
      <c r="K735" s="60">
        <v>301.64999999999998</v>
      </c>
      <c r="L735" s="60" t="s">
        <v>297</v>
      </c>
      <c r="M735" s="60" t="s">
        <v>297</v>
      </c>
      <c r="N735" s="60" t="s">
        <v>297</v>
      </c>
      <c r="O735" s="60" t="s">
        <v>297</v>
      </c>
      <c r="P735" s="60" t="s">
        <v>297</v>
      </c>
      <c r="Q735" s="60" t="s">
        <v>297</v>
      </c>
      <c r="R735" s="78"/>
      <c r="S735" s="78"/>
      <c r="T735" s="78"/>
      <c r="U735" s="78"/>
      <c r="V735" s="78"/>
      <c r="W735" s="78"/>
      <c r="X735" s="78"/>
      <c r="Y735" s="78"/>
      <c r="Z735" s="78"/>
      <c r="AA735" s="78"/>
      <c r="AB735" s="78"/>
      <c r="AC735" s="78"/>
      <c r="AD735" s="78"/>
      <c r="AE735" s="78"/>
      <c r="AF735" s="78"/>
      <c r="AG735" s="78"/>
      <c r="AH735" s="78"/>
      <c r="AI735" s="78"/>
      <c r="AJ735" s="78"/>
      <c r="AK735" s="78"/>
      <c r="AL735" s="78"/>
      <c r="AM735" s="78"/>
      <c r="AN735" s="78"/>
      <c r="AO735" s="78"/>
      <c r="AP735" s="78"/>
      <c r="AQ735" s="78"/>
      <c r="AR735" s="78"/>
      <c r="AS735" s="78"/>
      <c r="AT735" s="78"/>
      <c r="AU735" s="78"/>
      <c r="AV735" s="78"/>
      <c r="AW735" s="78"/>
      <c r="AX735" s="78"/>
      <c r="AY735" s="78"/>
      <c r="AZ735" s="78"/>
      <c r="BA735" s="78"/>
      <c r="BB735" s="78"/>
      <c r="BC735" s="78"/>
      <c r="BD735" s="78"/>
      <c r="BE735" s="78"/>
      <c r="BF735" s="78"/>
      <c r="BG735" s="78"/>
      <c r="BH735" s="78"/>
      <c r="BI735" s="78"/>
      <c r="BJ735" s="78"/>
      <c r="BK735" s="78"/>
      <c r="BL735" s="78"/>
      <c r="BM735" s="78"/>
      <c r="BN735" s="78"/>
      <c r="BO735" s="78"/>
      <c r="BP735" s="78"/>
      <c r="BQ735" s="78"/>
      <c r="BR735" s="78"/>
      <c r="BS735" s="78"/>
      <c r="BT735" s="78"/>
      <c r="BU735" s="78"/>
      <c r="BV735" s="78"/>
      <c r="BW735" s="78"/>
      <c r="BX735" s="78"/>
      <c r="BY735" s="78"/>
      <c r="BZ735" s="78"/>
      <c r="CA735" s="78"/>
      <c r="CB735" s="78"/>
      <c r="CC735" s="78"/>
      <c r="CD735" s="78"/>
      <c r="CE735" s="78"/>
      <c r="CF735" s="78"/>
      <c r="CG735" s="78"/>
      <c r="CH735" s="78"/>
      <c r="CI735" s="78"/>
      <c r="CJ735" s="78"/>
      <c r="CK735" s="78"/>
      <c r="CL735" s="78"/>
      <c r="CM735" s="78"/>
      <c r="CN735" s="78"/>
      <c r="CO735" s="78"/>
      <c r="CP735" s="78"/>
      <c r="CQ735" s="78"/>
      <c r="CR735" s="78"/>
      <c r="CS735" s="78"/>
      <c r="CT735" s="78"/>
      <c r="CU735" s="78"/>
      <c r="CV735" s="78"/>
      <c r="CW735" s="78"/>
      <c r="CX735" s="78"/>
      <c r="CY735" s="78"/>
      <c r="CZ735" s="78"/>
      <c r="DA735" s="78"/>
      <c r="DB735" s="78"/>
      <c r="DC735" s="78"/>
      <c r="DD735" s="78"/>
      <c r="DE735" s="78"/>
      <c r="DF735" s="78"/>
      <c r="DG735" s="78"/>
      <c r="DH735" s="78"/>
      <c r="DI735" s="78"/>
      <c r="DJ735" s="78"/>
      <c r="DK735" s="78"/>
      <c r="DL735" s="78"/>
      <c r="DM735" s="78"/>
      <c r="DN735" s="78"/>
      <c r="DO735" s="78"/>
      <c r="DP735" s="78"/>
      <c r="DQ735" s="78"/>
      <c r="DR735" s="78"/>
      <c r="DS735" s="78"/>
      <c r="DT735" s="78"/>
      <c r="DU735" s="78"/>
      <c r="DV735" s="78"/>
      <c r="DW735" s="78"/>
      <c r="DX735" s="78"/>
      <c r="DY735" s="78"/>
      <c r="DZ735" s="78"/>
      <c r="EA735" s="78"/>
      <c r="EB735" s="78"/>
      <c r="EC735" s="78"/>
    </row>
    <row r="736" spans="1:133" s="9" customFormat="1" ht="31.2" x14ac:dyDescent="0.4">
      <c r="A736" s="71" t="s">
        <v>62</v>
      </c>
      <c r="B736" s="60" t="s">
        <v>196</v>
      </c>
      <c r="C736" s="53" t="s">
        <v>63</v>
      </c>
      <c r="D736" s="53" t="s">
        <v>377</v>
      </c>
      <c r="E736" s="74">
        <f>SUM(F736:K736)</f>
        <v>3807.1735333678698</v>
      </c>
      <c r="F736" s="74">
        <f>F725*F720*F723+(1-F731)*'Baseline Emissions 2021'!Q736</f>
        <v>737.79813273011678</v>
      </c>
      <c r="G736" s="74">
        <f t="shared" ref="G736:K736" si="97">G725*G720*G723+(1-G731)*F736</f>
        <v>817.74046933423472</v>
      </c>
      <c r="H736" s="74">
        <f t="shared" si="97"/>
        <v>738.09838096145825</v>
      </c>
      <c r="I736" s="74">
        <f t="shared" si="97"/>
        <v>620.14138667136024</v>
      </c>
      <c r="J736" s="74">
        <f t="shared" si="97"/>
        <v>545.0692872065207</v>
      </c>
      <c r="K736" s="74">
        <f t="shared" si="97"/>
        <v>348.32587646417937</v>
      </c>
      <c r="L736" s="74" t="s">
        <v>297</v>
      </c>
      <c r="M736" s="74" t="s">
        <v>297</v>
      </c>
      <c r="N736" s="74" t="s">
        <v>297</v>
      </c>
      <c r="O736" s="74" t="s">
        <v>297</v>
      </c>
      <c r="P736" s="74" t="s">
        <v>297</v>
      </c>
      <c r="Q736" s="74" t="s">
        <v>297</v>
      </c>
      <c r="R736" s="78"/>
      <c r="S736" s="78"/>
      <c r="T736" s="78"/>
      <c r="U736" s="78"/>
      <c r="V736" s="78"/>
      <c r="W736" s="78"/>
      <c r="X736" s="78"/>
      <c r="Y736" s="78"/>
      <c r="Z736" s="78"/>
      <c r="AA736" s="78"/>
      <c r="AB736" s="78"/>
      <c r="AC736" s="78"/>
      <c r="AD736" s="78"/>
      <c r="AE736" s="78"/>
      <c r="AF736" s="78"/>
      <c r="AG736" s="78"/>
      <c r="AH736" s="78"/>
      <c r="AI736" s="78"/>
      <c r="AJ736" s="78"/>
      <c r="AK736" s="78"/>
      <c r="AL736" s="78"/>
      <c r="AM736" s="78"/>
      <c r="AN736" s="78"/>
      <c r="AO736" s="78"/>
      <c r="AP736" s="78"/>
      <c r="AQ736" s="78"/>
      <c r="AR736" s="78"/>
      <c r="AS736" s="78"/>
      <c r="AT736" s="78"/>
      <c r="AU736" s="78"/>
      <c r="AV736" s="78"/>
      <c r="AW736" s="78"/>
      <c r="AX736" s="78"/>
      <c r="AY736" s="78"/>
      <c r="AZ736" s="78"/>
      <c r="BA736" s="78"/>
      <c r="BB736" s="78"/>
      <c r="BC736" s="78"/>
      <c r="BD736" s="78"/>
      <c r="BE736" s="78"/>
      <c r="BF736" s="78"/>
      <c r="BG736" s="78"/>
      <c r="BH736" s="78"/>
      <c r="BI736" s="78"/>
      <c r="BJ736" s="78"/>
      <c r="BK736" s="78"/>
      <c r="BL736" s="78"/>
      <c r="BM736" s="78"/>
      <c r="BN736" s="78"/>
      <c r="BO736" s="78"/>
      <c r="BP736" s="78"/>
      <c r="BQ736" s="78"/>
      <c r="BR736" s="78"/>
      <c r="BS736" s="78"/>
      <c r="BT736" s="78"/>
      <c r="BU736" s="78"/>
      <c r="BV736" s="78"/>
      <c r="BW736" s="78"/>
      <c r="BX736" s="78"/>
      <c r="BY736" s="78"/>
      <c r="BZ736" s="78"/>
      <c r="CA736" s="78"/>
      <c r="CB736" s="78"/>
      <c r="CC736" s="78"/>
      <c r="CD736" s="78"/>
      <c r="CE736" s="78"/>
      <c r="CF736" s="78"/>
      <c r="CG736" s="78"/>
      <c r="CH736" s="78"/>
      <c r="CI736" s="78"/>
      <c r="CJ736" s="78"/>
      <c r="CK736" s="78"/>
      <c r="CL736" s="78"/>
      <c r="CM736" s="78"/>
      <c r="CN736" s="78"/>
      <c r="CO736" s="78"/>
      <c r="CP736" s="78"/>
      <c r="CQ736" s="78"/>
      <c r="CR736" s="78"/>
      <c r="CS736" s="78"/>
      <c r="CT736" s="78"/>
      <c r="CU736" s="78"/>
      <c r="CV736" s="78"/>
      <c r="CW736" s="78"/>
      <c r="CX736" s="78"/>
      <c r="CY736" s="78"/>
      <c r="CZ736" s="78"/>
      <c r="DA736" s="78"/>
      <c r="DB736" s="78"/>
      <c r="DC736" s="78"/>
      <c r="DD736" s="78"/>
      <c r="DE736" s="78"/>
      <c r="DF736" s="78"/>
      <c r="DG736" s="78"/>
      <c r="DH736" s="78"/>
      <c r="DI736" s="78"/>
      <c r="DJ736" s="78"/>
      <c r="DK736" s="78"/>
      <c r="DL736" s="78"/>
      <c r="DM736" s="78"/>
      <c r="DN736" s="78"/>
      <c r="DO736" s="78"/>
      <c r="DP736" s="78"/>
      <c r="DQ736" s="78"/>
      <c r="DR736" s="78"/>
      <c r="DS736" s="78"/>
      <c r="DT736" s="78"/>
      <c r="DU736" s="78"/>
      <c r="DV736" s="78"/>
      <c r="DW736" s="78"/>
      <c r="DX736" s="78"/>
      <c r="DY736" s="78"/>
      <c r="DZ736" s="78"/>
      <c r="EA736" s="78"/>
      <c r="EB736" s="78"/>
      <c r="EC736" s="78"/>
    </row>
    <row r="738" spans="1:5" ht="15.6" customHeight="1" x14ac:dyDescent="0.25">
      <c r="A738" s="36" t="s">
        <v>64</v>
      </c>
      <c r="B738" s="36"/>
      <c r="C738" s="36"/>
      <c r="D738" s="36"/>
      <c r="E738" s="36"/>
    </row>
    <row r="739" spans="1:5" x14ac:dyDescent="0.25">
      <c r="A739" s="57" t="s">
        <v>8</v>
      </c>
      <c r="B739" s="58" t="s">
        <v>9</v>
      </c>
      <c r="C739" s="34" t="s">
        <v>10</v>
      </c>
      <c r="D739" s="34" t="s">
        <v>340</v>
      </c>
      <c r="E739" s="16" t="s">
        <v>65</v>
      </c>
    </row>
    <row r="740" spans="1:5" ht="62.4" x14ac:dyDescent="0.25">
      <c r="A740" s="59" t="s">
        <v>66</v>
      </c>
      <c r="B740" s="60" t="s">
        <v>14</v>
      </c>
      <c r="C740" s="53" t="s">
        <v>67</v>
      </c>
      <c r="D740" s="53" t="s">
        <v>68</v>
      </c>
      <c r="E740" s="75">
        <v>0</v>
      </c>
    </row>
    <row r="741" spans="1:5" ht="46.8" x14ac:dyDescent="0.25">
      <c r="A741" s="63" t="s">
        <v>69</v>
      </c>
      <c r="B741" s="25" t="s">
        <v>70</v>
      </c>
      <c r="C741" s="35" t="s">
        <v>71</v>
      </c>
      <c r="D741" s="53" t="str">
        <f>D747</f>
        <v>Historical data on site in the FSR (It was calculated with conservative value)</v>
      </c>
      <c r="E741" s="74">
        <f>E747</f>
        <v>654.82299842042573</v>
      </c>
    </row>
    <row r="743" spans="1:5" ht="15.6" customHeight="1" x14ac:dyDescent="0.25">
      <c r="A743" s="90" t="s">
        <v>72</v>
      </c>
      <c r="B743" s="90"/>
      <c r="C743" s="91"/>
      <c r="D743" s="91"/>
      <c r="E743" s="90"/>
    </row>
    <row r="744" spans="1:5" x14ac:dyDescent="0.25">
      <c r="A744" s="59" t="s">
        <v>8</v>
      </c>
      <c r="B744" s="16" t="s">
        <v>9</v>
      </c>
      <c r="C744" s="38" t="s">
        <v>10</v>
      </c>
      <c r="D744" s="38" t="s">
        <v>340</v>
      </c>
      <c r="E744" s="16" t="s">
        <v>65</v>
      </c>
    </row>
    <row r="745" spans="1:5" ht="33.6" x14ac:dyDescent="0.4">
      <c r="A745" s="76" t="s">
        <v>73</v>
      </c>
      <c r="B745" s="25" t="s">
        <v>74</v>
      </c>
      <c r="C745" s="35" t="s">
        <v>75</v>
      </c>
      <c r="D745" s="35" t="s">
        <v>378</v>
      </c>
      <c r="E745" s="50">
        <f>E746*E749*E750*E751*E752*E753</f>
        <v>2.6597148559051975</v>
      </c>
    </row>
    <row r="746" spans="1:5" ht="46.8" x14ac:dyDescent="0.4">
      <c r="A746" s="77" t="s">
        <v>207</v>
      </c>
      <c r="B746" s="25" t="s">
        <v>76</v>
      </c>
      <c r="C746" s="35" t="s">
        <v>77</v>
      </c>
      <c r="D746" s="35" t="s">
        <v>379</v>
      </c>
      <c r="E746" s="52">
        <f>E747/E748</f>
        <v>130.96459968408516</v>
      </c>
    </row>
    <row r="747" spans="1:5" ht="46.8" x14ac:dyDescent="0.25">
      <c r="A747" s="63" t="s">
        <v>208</v>
      </c>
      <c r="B747" s="25" t="s">
        <v>78</v>
      </c>
      <c r="C747" s="35" t="s">
        <v>79</v>
      </c>
      <c r="D747" s="53" t="s">
        <v>352</v>
      </c>
      <c r="E747" s="52">
        <f>0.000186144951059619*E720</f>
        <v>654.82299842042573</v>
      </c>
    </row>
    <row r="748" spans="1:5" ht="31.2" x14ac:dyDescent="0.25">
      <c r="A748" s="63" t="s">
        <v>209</v>
      </c>
      <c r="B748" s="25" t="s">
        <v>80</v>
      </c>
      <c r="C748" s="35" t="s">
        <v>81</v>
      </c>
      <c r="D748" s="35" t="s">
        <v>353</v>
      </c>
      <c r="E748" s="25">
        <f>5</f>
        <v>5</v>
      </c>
    </row>
    <row r="749" spans="1:5" ht="62.4" x14ac:dyDescent="0.25">
      <c r="A749" s="63" t="s">
        <v>210</v>
      </c>
      <c r="B749" s="25" t="s">
        <v>82</v>
      </c>
      <c r="C749" s="35" t="s">
        <v>83</v>
      </c>
      <c r="D749" s="53" t="s">
        <v>354</v>
      </c>
      <c r="E749" s="25">
        <f>15*2</f>
        <v>30</v>
      </c>
    </row>
    <row r="750" spans="1:5" ht="172.2" x14ac:dyDescent="0.25">
      <c r="A750" s="63" t="s">
        <v>211</v>
      </c>
      <c r="B750" s="25" t="s">
        <v>84</v>
      </c>
      <c r="C750" s="35" t="s">
        <v>85</v>
      </c>
      <c r="D750" s="35" t="s">
        <v>355</v>
      </c>
      <c r="E750" s="25">
        <f>25.1/100</f>
        <v>0.251</v>
      </c>
    </row>
    <row r="751" spans="1:5" ht="156" x14ac:dyDescent="0.25">
      <c r="A751" s="63" t="s">
        <v>212</v>
      </c>
      <c r="B751" s="25" t="s">
        <v>87</v>
      </c>
      <c r="C751" s="35" t="s">
        <v>86</v>
      </c>
      <c r="D751" s="35" t="s">
        <v>356</v>
      </c>
      <c r="E751" s="25">
        <f>0.84/1000</f>
        <v>8.3999999999999993E-4</v>
      </c>
    </row>
    <row r="752" spans="1:5" ht="171.6" x14ac:dyDescent="0.25">
      <c r="A752" s="63" t="s">
        <v>213</v>
      </c>
      <c r="B752" s="25" t="s">
        <v>88</v>
      </c>
      <c r="C752" s="35" t="s">
        <v>89</v>
      </c>
      <c r="D752" s="35" t="s">
        <v>357</v>
      </c>
      <c r="E752" s="25">
        <f>43.33/1000</f>
        <v>4.333E-2</v>
      </c>
    </row>
    <row r="753" spans="1:133" ht="62.4" x14ac:dyDescent="0.25">
      <c r="A753" s="63" t="s">
        <v>214</v>
      </c>
      <c r="B753" s="25" t="s">
        <v>90</v>
      </c>
      <c r="C753" s="35" t="s">
        <v>91</v>
      </c>
      <c r="D753" s="35" t="s">
        <v>358</v>
      </c>
      <c r="E753" s="25">
        <v>74.099999999999994</v>
      </c>
    </row>
    <row r="755" spans="1:133" ht="15.6" customHeight="1" x14ac:dyDescent="0.25">
      <c r="A755" s="36" t="s">
        <v>93</v>
      </c>
      <c r="B755" s="36"/>
      <c r="C755" s="36"/>
      <c r="D755" s="36"/>
      <c r="E755" s="36"/>
    </row>
    <row r="756" spans="1:133" x14ac:dyDescent="0.25">
      <c r="A756" s="57" t="s">
        <v>8</v>
      </c>
      <c r="B756" s="58" t="s">
        <v>9</v>
      </c>
      <c r="C756" s="34" t="s">
        <v>10</v>
      </c>
      <c r="D756" s="34" t="s">
        <v>340</v>
      </c>
      <c r="E756" s="16" t="s">
        <v>65</v>
      </c>
    </row>
    <row r="757" spans="1:133" ht="64.8" x14ac:dyDescent="0.25">
      <c r="A757" s="15" t="s">
        <v>94</v>
      </c>
      <c r="B757" s="25" t="s">
        <v>95</v>
      </c>
      <c r="C757" s="35" t="s">
        <v>96</v>
      </c>
      <c r="D757" s="35" t="s">
        <v>97</v>
      </c>
      <c r="E757" s="16">
        <v>0</v>
      </c>
    </row>
    <row r="759" spans="1:133" ht="15.6" customHeight="1" x14ac:dyDescent="0.25">
      <c r="A759" s="36" t="s">
        <v>98</v>
      </c>
      <c r="B759" s="36"/>
      <c r="C759" s="36"/>
      <c r="D759" s="36"/>
      <c r="E759" s="36"/>
    </row>
    <row r="760" spans="1:133" x14ac:dyDescent="0.25">
      <c r="A760" s="57" t="s">
        <v>8</v>
      </c>
      <c r="B760" s="58" t="s">
        <v>9</v>
      </c>
      <c r="C760" s="34" t="s">
        <v>10</v>
      </c>
      <c r="D760" s="34" t="s">
        <v>340</v>
      </c>
      <c r="E760" s="16" t="s">
        <v>65</v>
      </c>
    </row>
    <row r="761" spans="1:133" ht="49.2" x14ac:dyDescent="0.25">
      <c r="A761" s="15" t="s">
        <v>99</v>
      </c>
      <c r="B761" s="25" t="s">
        <v>95</v>
      </c>
      <c r="C761" s="35" t="s">
        <v>100</v>
      </c>
      <c r="D761" s="35" t="s">
        <v>101</v>
      </c>
      <c r="E761" s="16">
        <v>0</v>
      </c>
    </row>
    <row r="763" spans="1:133" x14ac:dyDescent="0.25">
      <c r="A763" s="57" t="s">
        <v>8</v>
      </c>
      <c r="B763" s="58" t="s">
        <v>9</v>
      </c>
      <c r="C763" s="34" t="s">
        <v>10</v>
      </c>
      <c r="D763" s="34" t="s">
        <v>340</v>
      </c>
      <c r="E763" s="16" t="s">
        <v>65</v>
      </c>
    </row>
    <row r="764" spans="1:133" ht="18" x14ac:dyDescent="0.25">
      <c r="A764" s="59" t="s">
        <v>102</v>
      </c>
      <c r="B764" s="25" t="s">
        <v>103</v>
      </c>
      <c r="C764" s="35" t="s">
        <v>104</v>
      </c>
      <c r="D764" s="53" t="s">
        <v>380</v>
      </c>
      <c r="E764" s="18">
        <f>ROUNDDOWN(E714+E745+E740+E757+E761,0)</f>
        <v>6486</v>
      </c>
    </row>
    <row r="765" spans="1:133" s="167" customFormat="1" ht="43.2" customHeight="1" x14ac:dyDescent="0.25">
      <c r="A765" s="171" t="s">
        <v>256</v>
      </c>
      <c r="B765" s="172"/>
      <c r="C765" s="172"/>
      <c r="D765" s="172"/>
      <c r="E765" s="172"/>
      <c r="F765" s="172"/>
      <c r="G765" s="172"/>
      <c r="H765" s="172"/>
      <c r="I765" s="172"/>
      <c r="J765" s="172"/>
      <c r="K765" s="172"/>
      <c r="L765" s="172"/>
      <c r="M765" s="172"/>
      <c r="N765" s="172"/>
      <c r="O765" s="172"/>
      <c r="P765" s="172"/>
      <c r="Q765" s="172"/>
      <c r="R765" s="172"/>
      <c r="S765" s="172"/>
      <c r="T765" s="172"/>
      <c r="U765" s="172"/>
      <c r="V765" s="172"/>
      <c r="W765" s="172"/>
      <c r="X765" s="172"/>
      <c r="Y765" s="172"/>
      <c r="Z765" s="172"/>
      <c r="AA765" s="172"/>
      <c r="AB765" s="172"/>
      <c r="AC765" s="172"/>
      <c r="AD765" s="172"/>
      <c r="AE765" s="172"/>
      <c r="AF765" s="172"/>
      <c r="AG765" s="172"/>
      <c r="AH765" s="172"/>
      <c r="AI765" s="172"/>
      <c r="AJ765" s="172"/>
      <c r="AK765" s="172"/>
      <c r="AL765" s="172"/>
      <c r="AM765" s="172"/>
      <c r="AN765" s="172"/>
      <c r="AO765" s="172"/>
      <c r="AP765" s="172"/>
      <c r="AQ765" s="172"/>
      <c r="AR765" s="172"/>
      <c r="AS765" s="172"/>
      <c r="AT765" s="172"/>
      <c r="AU765" s="172"/>
      <c r="AV765" s="172"/>
      <c r="AW765" s="172"/>
      <c r="AX765" s="172"/>
      <c r="AY765" s="172"/>
      <c r="AZ765" s="172"/>
      <c r="BA765" s="172"/>
      <c r="BB765" s="172"/>
      <c r="BC765" s="172"/>
      <c r="BD765" s="172"/>
      <c r="BE765" s="172"/>
      <c r="BF765" s="172"/>
      <c r="BG765" s="172"/>
      <c r="BH765" s="172"/>
      <c r="BI765" s="172"/>
      <c r="BJ765" s="172"/>
      <c r="BK765" s="172"/>
      <c r="BL765" s="172"/>
      <c r="BM765" s="172"/>
      <c r="BN765" s="172"/>
      <c r="BO765" s="172"/>
      <c r="BP765" s="172"/>
      <c r="BQ765" s="172"/>
      <c r="BR765" s="172"/>
      <c r="BS765" s="172"/>
      <c r="BT765" s="172"/>
      <c r="BU765" s="172"/>
      <c r="BV765" s="172"/>
      <c r="BW765" s="172"/>
      <c r="BX765" s="172"/>
      <c r="BY765" s="172"/>
      <c r="BZ765" s="172"/>
      <c r="CA765" s="172"/>
      <c r="CB765" s="172"/>
      <c r="CC765" s="172"/>
      <c r="CD765" s="172"/>
      <c r="CE765" s="172"/>
      <c r="CF765" s="172"/>
      <c r="CG765" s="172"/>
      <c r="CH765" s="172"/>
      <c r="CI765" s="172"/>
      <c r="CJ765" s="172"/>
      <c r="CK765" s="172"/>
      <c r="CL765" s="172"/>
      <c r="CM765" s="172"/>
      <c r="CN765" s="172"/>
      <c r="CO765" s="172"/>
      <c r="CP765" s="172"/>
      <c r="CQ765" s="172"/>
      <c r="CR765" s="172"/>
      <c r="CS765" s="172"/>
      <c r="CT765" s="172"/>
      <c r="CU765" s="172"/>
      <c r="CV765" s="172"/>
      <c r="CW765" s="172"/>
      <c r="CX765" s="172"/>
      <c r="CY765" s="172"/>
      <c r="CZ765" s="172"/>
      <c r="DA765" s="172"/>
      <c r="DB765" s="172"/>
      <c r="DC765" s="172"/>
      <c r="DD765" s="172"/>
      <c r="DE765" s="172"/>
      <c r="DF765" s="172"/>
      <c r="DG765" s="172"/>
      <c r="DH765" s="172"/>
      <c r="DI765" s="172"/>
      <c r="DJ765" s="172"/>
      <c r="DK765" s="172"/>
      <c r="DL765" s="172"/>
      <c r="DM765" s="172"/>
      <c r="DN765" s="172"/>
      <c r="DO765" s="172"/>
      <c r="DP765" s="172"/>
      <c r="DQ765" s="172"/>
      <c r="DR765" s="172"/>
      <c r="DS765" s="172"/>
      <c r="DT765" s="172"/>
      <c r="DU765" s="172"/>
      <c r="DV765" s="172"/>
      <c r="DW765" s="172"/>
      <c r="DX765" s="172"/>
      <c r="DY765" s="172"/>
      <c r="DZ765" s="172"/>
      <c r="EA765" s="172"/>
      <c r="EB765" s="172"/>
      <c r="EC765" s="173"/>
    </row>
    <row r="766" spans="1:133" s="56" customFormat="1" ht="31.2" x14ac:dyDescent="0.25">
      <c r="A766" s="92" t="s">
        <v>8</v>
      </c>
      <c r="B766" s="93" t="s">
        <v>9</v>
      </c>
      <c r="C766" s="94" t="s">
        <v>10</v>
      </c>
      <c r="D766" s="93" t="s">
        <v>341</v>
      </c>
      <c r="E766" s="93" t="s">
        <v>11</v>
      </c>
      <c r="F766" s="16" t="s">
        <v>322</v>
      </c>
      <c r="G766" s="16" t="s">
        <v>323</v>
      </c>
      <c r="H766" s="16" t="s">
        <v>324</v>
      </c>
      <c r="I766" s="16" t="s">
        <v>325</v>
      </c>
      <c r="J766" s="16" t="s">
        <v>326</v>
      </c>
      <c r="K766" s="16" t="s">
        <v>329</v>
      </c>
      <c r="L766" s="16" t="s">
        <v>292</v>
      </c>
      <c r="M766" s="16" t="s">
        <v>292</v>
      </c>
      <c r="N766" s="16" t="s">
        <v>292</v>
      </c>
      <c r="O766" s="16" t="s">
        <v>292</v>
      </c>
      <c r="P766" s="16" t="s">
        <v>292</v>
      </c>
      <c r="Q766" s="16" t="s">
        <v>292</v>
      </c>
      <c r="R766" s="54"/>
      <c r="S766" s="54"/>
      <c r="T766" s="54"/>
      <c r="U766" s="54"/>
      <c r="V766" s="54"/>
      <c r="W766" s="54"/>
      <c r="X766" s="54"/>
      <c r="Y766" s="54"/>
      <c r="Z766" s="54"/>
      <c r="AA766" s="54"/>
      <c r="AB766" s="54"/>
      <c r="AC766" s="54"/>
      <c r="AD766" s="54"/>
      <c r="AE766" s="54"/>
      <c r="AF766" s="54"/>
      <c r="AG766" s="54"/>
      <c r="AH766" s="54"/>
      <c r="AI766" s="54"/>
      <c r="AJ766" s="54"/>
      <c r="AK766" s="54"/>
      <c r="AL766" s="54"/>
      <c r="AM766" s="54"/>
      <c r="AN766" s="54"/>
      <c r="AO766" s="54"/>
      <c r="AP766" s="54"/>
      <c r="AQ766" s="54"/>
      <c r="AR766" s="54"/>
      <c r="AS766" s="54"/>
      <c r="AT766" s="54"/>
      <c r="AU766" s="54"/>
      <c r="AV766" s="54"/>
      <c r="AW766" s="54"/>
      <c r="AX766" s="54"/>
      <c r="AY766" s="54"/>
      <c r="AZ766" s="54"/>
      <c r="BA766" s="54"/>
      <c r="BB766" s="54"/>
      <c r="BC766" s="54"/>
      <c r="BD766" s="54"/>
      <c r="BE766" s="54"/>
      <c r="BF766" s="54"/>
      <c r="BG766" s="54"/>
      <c r="BH766" s="54"/>
      <c r="BI766" s="54"/>
      <c r="BJ766" s="54"/>
      <c r="BK766" s="54"/>
      <c r="BL766" s="54"/>
      <c r="BM766" s="54"/>
      <c r="BN766" s="54"/>
      <c r="BO766" s="54"/>
      <c r="BP766" s="54"/>
      <c r="BQ766" s="54"/>
      <c r="BR766" s="54"/>
      <c r="BS766" s="54"/>
      <c r="BT766" s="54"/>
      <c r="BU766" s="54"/>
      <c r="BV766" s="54"/>
      <c r="BW766" s="54"/>
      <c r="BX766" s="54"/>
      <c r="BY766" s="54"/>
      <c r="BZ766" s="54"/>
      <c r="CA766" s="54"/>
      <c r="CB766" s="54"/>
      <c r="CC766" s="54"/>
      <c r="CD766" s="54"/>
      <c r="CE766" s="54"/>
      <c r="CF766" s="54"/>
      <c r="CG766" s="54"/>
      <c r="CH766" s="54"/>
      <c r="CI766" s="54"/>
      <c r="CJ766" s="54"/>
      <c r="CK766" s="54"/>
      <c r="CL766" s="54"/>
      <c r="CM766" s="54"/>
      <c r="CN766" s="54"/>
      <c r="CO766" s="54"/>
      <c r="CP766" s="54"/>
      <c r="CQ766" s="54"/>
      <c r="CR766" s="54"/>
      <c r="CS766" s="54"/>
      <c r="CT766" s="54"/>
      <c r="CU766" s="54"/>
      <c r="CV766" s="54"/>
      <c r="CW766" s="54"/>
      <c r="CX766" s="54"/>
      <c r="CY766" s="54"/>
      <c r="CZ766" s="54"/>
      <c r="DA766" s="54"/>
      <c r="DB766" s="54"/>
      <c r="DC766" s="54"/>
      <c r="DD766" s="54"/>
      <c r="DE766" s="54"/>
      <c r="DF766" s="54"/>
      <c r="DG766" s="54"/>
      <c r="DH766" s="54"/>
      <c r="DI766" s="54"/>
      <c r="DJ766" s="54"/>
      <c r="DK766" s="54"/>
      <c r="DL766" s="54"/>
      <c r="DM766" s="54"/>
      <c r="DN766" s="54"/>
      <c r="DO766" s="54"/>
      <c r="DP766" s="54"/>
      <c r="DQ766" s="54"/>
      <c r="DR766" s="54"/>
      <c r="DS766" s="54"/>
      <c r="DT766" s="54"/>
      <c r="DU766" s="54"/>
      <c r="DV766" s="54"/>
      <c r="DW766" s="54"/>
      <c r="DX766" s="54"/>
      <c r="DY766" s="54"/>
      <c r="DZ766" s="54"/>
      <c r="EA766" s="54"/>
      <c r="EB766" s="54"/>
      <c r="EC766" s="54"/>
    </row>
    <row r="767" spans="1:133" s="56" customFormat="1" x14ac:dyDescent="0.25">
      <c r="A767" s="58" t="s">
        <v>12</v>
      </c>
      <c r="B767" s="58"/>
      <c r="C767" s="34"/>
      <c r="D767" s="34"/>
      <c r="E767" s="58"/>
      <c r="F767" s="16">
        <v>31</v>
      </c>
      <c r="G767" s="16">
        <v>28</v>
      </c>
      <c r="H767" s="16">
        <v>31</v>
      </c>
      <c r="I767" s="16">
        <v>30</v>
      </c>
      <c r="J767" s="16">
        <v>31</v>
      </c>
      <c r="K767" s="16">
        <v>30</v>
      </c>
      <c r="L767" s="16" t="s">
        <v>297</v>
      </c>
      <c r="M767" s="16" t="s">
        <v>297</v>
      </c>
      <c r="N767" s="16" t="s">
        <v>297</v>
      </c>
      <c r="O767" s="16" t="s">
        <v>297</v>
      </c>
      <c r="P767" s="16" t="s">
        <v>297</v>
      </c>
      <c r="Q767" s="16" t="s">
        <v>297</v>
      </c>
      <c r="R767" s="54"/>
      <c r="S767" s="54"/>
      <c r="T767" s="54"/>
      <c r="U767" s="54"/>
      <c r="V767" s="54"/>
      <c r="W767" s="54"/>
      <c r="X767" s="54"/>
      <c r="Y767" s="54"/>
      <c r="Z767" s="54"/>
      <c r="AA767" s="54"/>
      <c r="AB767" s="54"/>
      <c r="AC767" s="54"/>
      <c r="AD767" s="54"/>
      <c r="AE767" s="54"/>
      <c r="AF767" s="54"/>
      <c r="AG767" s="54"/>
      <c r="AH767" s="54"/>
      <c r="AI767" s="54"/>
      <c r="AJ767" s="54"/>
      <c r="AK767" s="54"/>
      <c r="AL767" s="54"/>
      <c r="AM767" s="54"/>
      <c r="AN767" s="54"/>
      <c r="AO767" s="54"/>
      <c r="AP767" s="54"/>
      <c r="AQ767" s="54"/>
      <c r="AR767" s="54"/>
      <c r="AS767" s="54"/>
      <c r="AT767" s="54"/>
      <c r="AU767" s="54"/>
      <c r="AV767" s="54"/>
      <c r="AW767" s="54"/>
      <c r="AX767" s="54"/>
      <c r="AY767" s="54"/>
      <c r="AZ767" s="54"/>
      <c r="BA767" s="54"/>
      <c r="BB767" s="54"/>
      <c r="BC767" s="54"/>
      <c r="BD767" s="54"/>
      <c r="BE767" s="54"/>
      <c r="BF767" s="54"/>
      <c r="BG767" s="54"/>
      <c r="BH767" s="54"/>
      <c r="BI767" s="54"/>
      <c r="BJ767" s="54"/>
      <c r="BK767" s="54"/>
      <c r="BL767" s="54"/>
      <c r="BM767" s="54"/>
      <c r="BN767" s="54"/>
      <c r="BO767" s="54"/>
      <c r="BP767" s="54"/>
      <c r="BQ767" s="54"/>
      <c r="BR767" s="54"/>
      <c r="BS767" s="54"/>
      <c r="BT767" s="54"/>
      <c r="BU767" s="54"/>
      <c r="BV767" s="54"/>
      <c r="BW767" s="54"/>
      <c r="BX767" s="54"/>
      <c r="BY767" s="54"/>
      <c r="BZ767" s="54"/>
      <c r="CA767" s="54"/>
      <c r="CB767" s="54"/>
      <c r="CC767" s="54"/>
      <c r="CD767" s="54"/>
      <c r="CE767" s="54"/>
      <c r="CF767" s="54"/>
      <c r="CG767" s="54"/>
      <c r="CH767" s="54"/>
      <c r="CI767" s="54"/>
      <c r="CJ767" s="54"/>
      <c r="CK767" s="54"/>
      <c r="CL767" s="54"/>
      <c r="CM767" s="54"/>
      <c r="CN767" s="54"/>
      <c r="CO767" s="54"/>
      <c r="CP767" s="54"/>
      <c r="CQ767" s="54"/>
      <c r="CR767" s="54"/>
      <c r="CS767" s="54"/>
      <c r="CT767" s="54"/>
      <c r="CU767" s="54"/>
      <c r="CV767" s="54"/>
      <c r="CW767" s="54"/>
      <c r="CX767" s="54"/>
      <c r="CY767" s="54"/>
      <c r="CZ767" s="54"/>
      <c r="DA767" s="54"/>
      <c r="DB767" s="54"/>
      <c r="DC767" s="54"/>
      <c r="DD767" s="54"/>
      <c r="DE767" s="54"/>
      <c r="DF767" s="54"/>
      <c r="DG767" s="54"/>
      <c r="DH767" s="54"/>
      <c r="DI767" s="54"/>
      <c r="DJ767" s="54"/>
      <c r="DK767" s="54"/>
      <c r="DL767" s="54"/>
      <c r="DM767" s="54"/>
      <c r="DN767" s="54"/>
      <c r="DO767" s="54"/>
      <c r="DP767" s="54"/>
      <c r="DQ767" s="54"/>
      <c r="DR767" s="54"/>
      <c r="DS767" s="54"/>
      <c r="DT767" s="54"/>
      <c r="DU767" s="54"/>
      <c r="DV767" s="54"/>
      <c r="DW767" s="54"/>
      <c r="DX767" s="54"/>
      <c r="DY767" s="54"/>
      <c r="DZ767" s="54"/>
      <c r="EA767" s="54"/>
      <c r="EB767" s="54"/>
      <c r="EC767" s="54"/>
    </row>
    <row r="768" spans="1:133" ht="46.8" x14ac:dyDescent="0.25">
      <c r="A768" s="59" t="s">
        <v>13</v>
      </c>
      <c r="B768" s="60" t="s">
        <v>14</v>
      </c>
      <c r="C768" s="53" t="s">
        <v>15</v>
      </c>
      <c r="D768" s="53" t="s">
        <v>369</v>
      </c>
      <c r="E768" s="61">
        <f>SUM(F768:K768)</f>
        <v>6664.5257587559445</v>
      </c>
      <c r="F768" s="62">
        <f>$E$769*$E$770*F771*$E$782</f>
        <v>1150.0529555463913</v>
      </c>
      <c r="G768" s="62">
        <f t="shared" ref="G768:K768" si="98">$E$769*$E$770*G771*$E$782</f>
        <v>1039.064259489184</v>
      </c>
      <c r="H768" s="62">
        <f t="shared" si="98"/>
        <v>1150.4367041965816</v>
      </c>
      <c r="I768" s="62">
        <f t="shared" si="98"/>
        <v>1113.439419092944</v>
      </c>
      <c r="J768" s="62">
        <f t="shared" si="98"/>
        <v>1190.2296037065253</v>
      </c>
      <c r="K768" s="62">
        <f t="shared" si="98"/>
        <v>1021.3028167243181</v>
      </c>
      <c r="L768" s="62" t="s">
        <v>297</v>
      </c>
      <c r="M768" s="62" t="s">
        <v>297</v>
      </c>
      <c r="N768" s="62" t="s">
        <v>297</v>
      </c>
      <c r="O768" s="62" t="s">
        <v>297</v>
      </c>
      <c r="P768" s="62" t="s">
        <v>297</v>
      </c>
      <c r="Q768" s="62" t="s">
        <v>297</v>
      </c>
    </row>
    <row r="769" spans="1:17" ht="31.2" x14ac:dyDescent="0.25">
      <c r="A769" s="63" t="s">
        <v>16</v>
      </c>
      <c r="B769" s="60" t="s">
        <v>193</v>
      </c>
      <c r="C769" s="35" t="s">
        <v>17</v>
      </c>
      <c r="D769" s="35" t="s">
        <v>205</v>
      </c>
      <c r="E769" s="168">
        <v>28</v>
      </c>
      <c r="F769" s="169"/>
      <c r="G769" s="169"/>
      <c r="H769" s="169"/>
      <c r="I769" s="169"/>
      <c r="J769" s="169"/>
      <c r="K769" s="169"/>
      <c r="L769" s="169"/>
      <c r="M769" s="169"/>
      <c r="N769" s="169"/>
      <c r="O769" s="169"/>
      <c r="P769" s="169"/>
      <c r="Q769" s="170"/>
    </row>
    <row r="770" spans="1:17" ht="64.8" x14ac:dyDescent="0.25">
      <c r="A770" s="63" t="s">
        <v>18</v>
      </c>
      <c r="B770" s="25" t="s">
        <v>194</v>
      </c>
      <c r="C770" s="35" t="s">
        <v>20</v>
      </c>
      <c r="D770" s="35" t="s">
        <v>394</v>
      </c>
      <c r="E770" s="168">
        <v>0.21</v>
      </c>
      <c r="F770" s="169"/>
      <c r="G770" s="169"/>
      <c r="H770" s="169"/>
      <c r="I770" s="169"/>
      <c r="J770" s="169"/>
      <c r="K770" s="169"/>
      <c r="L770" s="169"/>
      <c r="M770" s="169"/>
      <c r="N770" s="169"/>
      <c r="O770" s="169"/>
      <c r="P770" s="169"/>
      <c r="Q770" s="170"/>
    </row>
    <row r="771" spans="1:17" ht="46.8" x14ac:dyDescent="0.25">
      <c r="A771" s="35" t="s">
        <v>21</v>
      </c>
      <c r="B771" s="25" t="s">
        <v>195</v>
      </c>
      <c r="C771" s="53" t="s">
        <v>22</v>
      </c>
      <c r="D771" s="53" t="s">
        <v>370</v>
      </c>
      <c r="E771" s="64">
        <f t="shared" ref="E771:K771" si="99">E779*E772</f>
        <v>1799.2861774784185</v>
      </c>
      <c r="F771" s="64">
        <f t="shared" si="99"/>
        <v>310.49086779568421</v>
      </c>
      <c r="G771" s="64">
        <f t="shared" si="99"/>
        <v>280.52618104963665</v>
      </c>
      <c r="H771" s="64">
        <f t="shared" si="99"/>
        <v>310.59447211306662</v>
      </c>
      <c r="I771" s="64">
        <f t="shared" si="99"/>
        <v>300.60595888633861</v>
      </c>
      <c r="J771" s="64">
        <f t="shared" si="99"/>
        <v>321.33774427402449</v>
      </c>
      <c r="K771" s="64">
        <f t="shared" si="99"/>
        <v>275.73095335966781</v>
      </c>
      <c r="L771" s="64" t="s">
        <v>297</v>
      </c>
      <c r="M771" s="64" t="s">
        <v>297</v>
      </c>
      <c r="N771" s="64" t="s">
        <v>297</v>
      </c>
      <c r="O771" s="64" t="s">
        <v>297</v>
      </c>
      <c r="P771" s="64" t="s">
        <v>297</v>
      </c>
      <c r="Q771" s="64" t="s">
        <v>297</v>
      </c>
    </row>
    <row r="772" spans="1:17" ht="46.8" x14ac:dyDescent="0.25">
      <c r="A772" s="35" t="s">
        <v>23</v>
      </c>
      <c r="B772" s="25" t="s">
        <v>197</v>
      </c>
      <c r="C772" s="35" t="s">
        <v>191</v>
      </c>
      <c r="D772" s="35" t="s">
        <v>371</v>
      </c>
      <c r="E772" s="20">
        <f>SUM(F772:K772)</f>
        <v>1875.5054434397662</v>
      </c>
      <c r="F772" s="20">
        <f>F774*F777</f>
        <v>323.64352040164954</v>
      </c>
      <c r="G772" s="20">
        <f t="shared" ref="G772:K772" si="100">G774*G777</f>
        <v>292.40950448654996</v>
      </c>
      <c r="H772" s="20">
        <f t="shared" si="100"/>
        <v>323.75151348448804</v>
      </c>
      <c r="I772" s="20">
        <f t="shared" si="100"/>
        <v>313.33987849107507</v>
      </c>
      <c r="J772" s="20">
        <f t="shared" si="100"/>
        <v>334.9498796312613</v>
      </c>
      <c r="K772" s="20">
        <f t="shared" si="100"/>
        <v>287.4111469447422</v>
      </c>
      <c r="L772" s="20" t="s">
        <v>297</v>
      </c>
      <c r="M772" s="20" t="s">
        <v>297</v>
      </c>
      <c r="N772" s="20" t="s">
        <v>297</v>
      </c>
      <c r="O772" s="20" t="s">
        <v>297</v>
      </c>
      <c r="P772" s="20" t="s">
        <v>297</v>
      </c>
      <c r="Q772" s="20" t="s">
        <v>297</v>
      </c>
    </row>
    <row r="773" spans="1:17" ht="62.4" x14ac:dyDescent="0.25">
      <c r="A773" s="17" t="s">
        <v>335</v>
      </c>
      <c r="B773" s="60" t="s">
        <v>192</v>
      </c>
      <c r="C773" s="35" t="s">
        <v>25</v>
      </c>
      <c r="D773" s="35" t="s">
        <v>333</v>
      </c>
      <c r="E773" s="121">
        <f>AVERAGE(F773:K773)</f>
        <v>20498.286123937534</v>
      </c>
      <c r="F773" s="121">
        <v>20254.768580645163</v>
      </c>
      <c r="G773" s="121">
        <v>20261.08542857143</v>
      </c>
      <c r="H773" s="121">
        <v>20265.659709677424</v>
      </c>
      <c r="I773" s="121">
        <v>20264.830700000002</v>
      </c>
      <c r="J773" s="121">
        <v>20972.314258064518</v>
      </c>
      <c r="K773" s="121">
        <v>20971.058066666668</v>
      </c>
      <c r="L773" s="20" t="s">
        <v>297</v>
      </c>
      <c r="M773" s="20" t="s">
        <v>297</v>
      </c>
      <c r="N773" s="20" t="s">
        <v>297</v>
      </c>
      <c r="O773" s="20" t="s">
        <v>297</v>
      </c>
      <c r="P773" s="20" t="s">
        <v>297</v>
      </c>
      <c r="Q773" s="20" t="s">
        <v>297</v>
      </c>
    </row>
    <row r="774" spans="1:17" ht="46.8" x14ac:dyDescent="0.25">
      <c r="A774" s="35" t="s">
        <v>26</v>
      </c>
      <c r="B774" s="60" t="s">
        <v>198</v>
      </c>
      <c r="C774" s="35" t="s">
        <v>27</v>
      </c>
      <c r="D774" s="35" t="s">
        <v>206</v>
      </c>
      <c r="E774" s="65">
        <f>SUM(F774:K774)</f>
        <v>3710662.074</v>
      </c>
      <c r="F774" s="65">
        <f>F773*F767</f>
        <v>627897.826</v>
      </c>
      <c r="G774" s="65">
        <f t="shared" ref="G774:K774" si="101">G773*G767</f>
        <v>567310.39199999999</v>
      </c>
      <c r="H774" s="65">
        <f t="shared" si="101"/>
        <v>628235.45100000012</v>
      </c>
      <c r="I774" s="65">
        <f t="shared" si="101"/>
        <v>607944.92100000009</v>
      </c>
      <c r="J774" s="65">
        <f t="shared" si="101"/>
        <v>650141.74200000009</v>
      </c>
      <c r="K774" s="65">
        <f t="shared" si="101"/>
        <v>629131.74200000009</v>
      </c>
      <c r="L774" s="65" t="s">
        <v>297</v>
      </c>
      <c r="M774" s="65" t="s">
        <v>297</v>
      </c>
      <c r="N774" s="65" t="s">
        <v>297</v>
      </c>
      <c r="O774" s="65" t="s">
        <v>297</v>
      </c>
      <c r="P774" s="65" t="s">
        <v>297</v>
      </c>
      <c r="Q774" s="65" t="s">
        <v>297</v>
      </c>
    </row>
    <row r="775" spans="1:17" ht="62.4" x14ac:dyDescent="0.25">
      <c r="A775" s="35" t="s">
        <v>28</v>
      </c>
      <c r="B775" s="60" t="s">
        <v>199</v>
      </c>
      <c r="C775" s="35" t="s">
        <v>29</v>
      </c>
      <c r="D775" s="35" t="s">
        <v>332</v>
      </c>
      <c r="E775" s="125">
        <f>AVERAGE(F775:K775)</f>
        <v>505.60783079450425</v>
      </c>
      <c r="F775" s="125">
        <v>515.43978494623673</v>
      </c>
      <c r="G775" s="125">
        <v>515.43124999999998</v>
      </c>
      <c r="H775" s="125">
        <v>515.33467741935499</v>
      </c>
      <c r="I775" s="125">
        <v>515.4083333333333</v>
      </c>
      <c r="J775" s="125">
        <v>515.19516129032252</v>
      </c>
      <c r="K775" s="137">
        <v>456.83777777777772</v>
      </c>
      <c r="L775" s="66" t="s">
        <v>297</v>
      </c>
      <c r="M775" s="66" t="s">
        <v>297</v>
      </c>
      <c r="N775" s="66" t="s">
        <v>297</v>
      </c>
      <c r="O775" s="66" t="s">
        <v>297</v>
      </c>
      <c r="P775" s="66" t="s">
        <v>297</v>
      </c>
      <c r="Q775" s="66" t="s">
        <v>297</v>
      </c>
    </row>
    <row r="776" spans="1:17" ht="62.4" x14ac:dyDescent="0.25">
      <c r="A776" s="35" t="s">
        <v>30</v>
      </c>
      <c r="B776" s="60" t="s">
        <v>199</v>
      </c>
      <c r="C776" s="35" t="s">
        <v>31</v>
      </c>
      <c r="D776" s="35" t="s">
        <v>331</v>
      </c>
      <c r="E776" s="125">
        <f>AVERAGE(F776:K776)</f>
        <v>20.160916752005459</v>
      </c>
      <c r="F776" s="125">
        <v>19.781451612903222</v>
      </c>
      <c r="G776" s="125">
        <v>20.06369047619048</v>
      </c>
      <c r="H776" s="125">
        <v>20.756182795698919</v>
      </c>
      <c r="I776" s="125">
        <v>20.193611111111114</v>
      </c>
      <c r="J776" s="125">
        <v>20.633064516129032</v>
      </c>
      <c r="K776" s="137">
        <v>19.537500000000005</v>
      </c>
      <c r="L776" s="65" t="s">
        <v>297</v>
      </c>
      <c r="M776" s="65" t="s">
        <v>297</v>
      </c>
      <c r="N776" s="65" t="s">
        <v>297</v>
      </c>
      <c r="O776" s="65" t="s">
        <v>297</v>
      </c>
      <c r="P776" s="65" t="s">
        <v>297</v>
      </c>
      <c r="Q776" s="65" t="s">
        <v>297</v>
      </c>
    </row>
    <row r="777" spans="1:17" ht="62.4" x14ac:dyDescent="0.25">
      <c r="A777" s="35" t="s">
        <v>32</v>
      </c>
      <c r="B777" s="60" t="s">
        <v>200</v>
      </c>
      <c r="C777" s="35" t="s">
        <v>34</v>
      </c>
      <c r="D777" s="35" t="s">
        <v>338</v>
      </c>
      <c r="E777" s="122">
        <f>E775/1000000</f>
        <v>5.056078307945043E-4</v>
      </c>
      <c r="F777" s="120">
        <f>F775/1000000</f>
        <v>5.1543978494623672E-4</v>
      </c>
      <c r="G777" s="120">
        <f t="shared" ref="G777:K778" si="102">G775/1000000</f>
        <v>5.1543124999999998E-4</v>
      </c>
      <c r="H777" s="120">
        <f t="shared" si="102"/>
        <v>5.1533467741935498E-4</v>
      </c>
      <c r="I777" s="120">
        <f t="shared" si="102"/>
        <v>5.1540833333333334E-4</v>
      </c>
      <c r="J777" s="120">
        <f t="shared" si="102"/>
        <v>5.1519516129032255E-4</v>
      </c>
      <c r="K777" s="120">
        <f t="shared" si="102"/>
        <v>4.5683777777777771E-4</v>
      </c>
      <c r="L777" s="22" t="s">
        <v>297</v>
      </c>
      <c r="M777" s="22" t="s">
        <v>297</v>
      </c>
      <c r="N777" s="22" t="s">
        <v>297</v>
      </c>
      <c r="O777" s="22" t="s">
        <v>297</v>
      </c>
      <c r="P777" s="22" t="s">
        <v>297</v>
      </c>
      <c r="Q777" s="22" t="s">
        <v>297</v>
      </c>
    </row>
    <row r="778" spans="1:17" ht="62.4" x14ac:dyDescent="0.25">
      <c r="A778" s="35" t="s">
        <v>30</v>
      </c>
      <c r="B778" s="60" t="s">
        <v>33</v>
      </c>
      <c r="C778" s="35" t="s">
        <v>35</v>
      </c>
      <c r="D778" s="35" t="s">
        <v>339</v>
      </c>
      <c r="E778" s="122">
        <f>E776/1000000</f>
        <v>2.0160916752005458E-5</v>
      </c>
      <c r="F778" s="120">
        <f>F776/1000000</f>
        <v>1.9781451612903221E-5</v>
      </c>
      <c r="G778" s="120">
        <f t="shared" si="102"/>
        <v>2.006369047619048E-5</v>
      </c>
      <c r="H778" s="120">
        <f t="shared" si="102"/>
        <v>2.0756182795698919E-5</v>
      </c>
      <c r="I778" s="120">
        <f t="shared" si="102"/>
        <v>2.0193611111111115E-5</v>
      </c>
      <c r="J778" s="120">
        <f t="shared" si="102"/>
        <v>2.0633064516129032E-5</v>
      </c>
      <c r="K778" s="120">
        <f t="shared" si="102"/>
        <v>1.9537500000000004E-5</v>
      </c>
      <c r="L778" s="22" t="s">
        <v>297</v>
      </c>
      <c r="M778" s="22" t="s">
        <v>297</v>
      </c>
      <c r="N778" s="22" t="s">
        <v>297</v>
      </c>
      <c r="O778" s="22" t="s">
        <v>297</v>
      </c>
      <c r="P778" s="22" t="s">
        <v>297</v>
      </c>
      <c r="Q778" s="22" t="s">
        <v>297</v>
      </c>
    </row>
    <row r="779" spans="1:17" ht="46.8" x14ac:dyDescent="0.25">
      <c r="A779" s="63" t="s">
        <v>36</v>
      </c>
      <c r="B779" s="25" t="s">
        <v>201</v>
      </c>
      <c r="C779" s="35" t="s">
        <v>38</v>
      </c>
      <c r="D779" s="35" t="s">
        <v>368</v>
      </c>
      <c r="E779" s="68">
        <f>(1-(E780/E781))</f>
        <v>0.95936067995539487</v>
      </c>
      <c r="F779" s="68">
        <f>E779</f>
        <v>0.95936067995539487</v>
      </c>
      <c r="G779" s="68">
        <f>E779</f>
        <v>0.95936067995539487</v>
      </c>
      <c r="H779" s="68">
        <f>E779</f>
        <v>0.95936067995539487</v>
      </c>
      <c r="I779" s="68">
        <f>E779</f>
        <v>0.95936067995539487</v>
      </c>
      <c r="J779" s="68">
        <f>E779</f>
        <v>0.95936067995539487</v>
      </c>
      <c r="K779" s="68">
        <f>F779</f>
        <v>0.95936067995539487</v>
      </c>
      <c r="L779" s="68" t="s">
        <v>297</v>
      </c>
      <c r="M779" s="68" t="s">
        <v>297</v>
      </c>
      <c r="N779" s="68" t="s">
        <v>297</v>
      </c>
      <c r="O779" s="68" t="s">
        <v>297</v>
      </c>
      <c r="P779" s="68" t="s">
        <v>297</v>
      </c>
      <c r="Q779" s="68" t="s">
        <v>297</v>
      </c>
    </row>
    <row r="780" spans="1:17" ht="31.2" x14ac:dyDescent="0.25">
      <c r="A780" s="35" t="s">
        <v>39</v>
      </c>
      <c r="B780" s="25" t="s">
        <v>196</v>
      </c>
      <c r="C780" s="35" t="s">
        <v>40</v>
      </c>
      <c r="D780" s="35" t="s">
        <v>351</v>
      </c>
      <c r="E780" s="52">
        <f>SUM(F780:K780)</f>
        <v>75.955803028600002</v>
      </c>
      <c r="F780" s="52">
        <v>13.009004938600002</v>
      </c>
      <c r="G780" s="52">
        <v>11.7500689768</v>
      </c>
      <c r="H780" s="52">
        <v>13.009004938600002</v>
      </c>
      <c r="I780" s="52">
        <v>12.589359618000001</v>
      </c>
      <c r="J780" s="52">
        <v>13.009004938600002</v>
      </c>
      <c r="K780" s="52">
        <v>12.589359618000001</v>
      </c>
      <c r="L780" s="69" t="s">
        <v>297</v>
      </c>
      <c r="M780" s="69" t="s">
        <v>297</v>
      </c>
      <c r="N780" s="69" t="s">
        <v>297</v>
      </c>
      <c r="O780" s="69" t="s">
        <v>297</v>
      </c>
      <c r="P780" s="69" t="s">
        <v>297</v>
      </c>
      <c r="Q780" s="69" t="s">
        <v>297</v>
      </c>
    </row>
    <row r="781" spans="1:17" ht="31.2" x14ac:dyDescent="0.25">
      <c r="A781" s="63" t="s">
        <v>41</v>
      </c>
      <c r="B781" s="25" t="s">
        <v>24</v>
      </c>
      <c r="C781" s="35" t="s">
        <v>42</v>
      </c>
      <c r="D781" s="35" t="s">
        <v>351</v>
      </c>
      <c r="E781" s="52">
        <f>SUM(F781:K781)</f>
        <v>1869.0224872176</v>
      </c>
      <c r="F781" s="52">
        <v>320.10882377759998</v>
      </c>
      <c r="G781" s="52">
        <v>289.13055050880001</v>
      </c>
      <c r="H781" s="52">
        <v>320.10882377759998</v>
      </c>
      <c r="I781" s="52">
        <v>309.78273268800001</v>
      </c>
      <c r="J781" s="52">
        <v>320.10882377759998</v>
      </c>
      <c r="K781" s="52">
        <v>309.78273268800001</v>
      </c>
      <c r="L781" s="69" t="s">
        <v>297</v>
      </c>
      <c r="M781" s="69" t="s">
        <v>297</v>
      </c>
      <c r="N781" s="69" t="s">
        <v>297</v>
      </c>
      <c r="O781" s="69" t="s">
        <v>297</v>
      </c>
      <c r="P781" s="69" t="s">
        <v>297</v>
      </c>
      <c r="Q781" s="69" t="s">
        <v>297</v>
      </c>
    </row>
    <row r="782" spans="1:17" ht="31.2" x14ac:dyDescent="0.25">
      <c r="A782" s="53" t="s">
        <v>43</v>
      </c>
      <c r="B782" s="25" t="s">
        <v>201</v>
      </c>
      <c r="C782" s="53" t="s">
        <v>44</v>
      </c>
      <c r="D782" s="35" t="s">
        <v>372</v>
      </c>
      <c r="E782" s="159">
        <f>E783*E784*0.89</f>
        <v>0.62992911426472653</v>
      </c>
      <c r="F782" s="160"/>
      <c r="G782" s="160"/>
      <c r="H782" s="160"/>
      <c r="I782" s="160"/>
      <c r="J782" s="160"/>
      <c r="K782" s="160"/>
      <c r="L782" s="160"/>
      <c r="M782" s="160"/>
      <c r="N782" s="160"/>
      <c r="O782" s="160"/>
      <c r="P782" s="160"/>
      <c r="Q782" s="161"/>
    </row>
    <row r="783" spans="1:17" ht="31.2" x14ac:dyDescent="0.25">
      <c r="A783" s="70" t="s">
        <v>45</v>
      </c>
      <c r="B783" s="25" t="s">
        <v>201</v>
      </c>
      <c r="C783" s="53" t="s">
        <v>46</v>
      </c>
      <c r="D783" s="35" t="s">
        <v>373</v>
      </c>
      <c r="E783" s="162">
        <v>0.7</v>
      </c>
      <c r="F783" s="163"/>
      <c r="G783" s="163"/>
      <c r="H783" s="163"/>
      <c r="I783" s="163"/>
      <c r="J783" s="163"/>
      <c r="K783" s="163"/>
      <c r="L783" s="163"/>
      <c r="M783" s="163"/>
      <c r="N783" s="163"/>
      <c r="O783" s="163"/>
      <c r="P783" s="163"/>
      <c r="Q783" s="164"/>
    </row>
    <row r="784" spans="1:17" ht="36" customHeight="1" x14ac:dyDescent="0.25">
      <c r="A784" s="70" t="s">
        <v>47</v>
      </c>
      <c r="B784" s="25" t="s">
        <v>37</v>
      </c>
      <c r="C784" s="53" t="s">
        <v>48</v>
      </c>
      <c r="D784" s="35" t="s">
        <v>374</v>
      </c>
      <c r="E784" s="159">
        <f>(F785*F790+G785*G790+H785*H790+I785*I790+J785*J790+K785*K790)/(F779*F774*F777+G779*G777*G774+H779*H774*H777+I779*I777*I774+J779*J777*J774+K779*K777*K774)</f>
        <v>1.0111221737796574</v>
      </c>
      <c r="F784" s="160"/>
      <c r="G784" s="160"/>
      <c r="H784" s="160"/>
      <c r="I784" s="160"/>
      <c r="J784" s="160"/>
      <c r="K784" s="160"/>
      <c r="L784" s="160"/>
      <c r="M784" s="160"/>
      <c r="N784" s="160"/>
      <c r="O784" s="160"/>
      <c r="P784" s="160"/>
      <c r="Q784" s="161"/>
    </row>
    <row r="785" spans="1:133" s="9" customFormat="1" ht="46.8" x14ac:dyDescent="0.4">
      <c r="A785" s="71" t="s">
        <v>49</v>
      </c>
      <c r="B785" s="25" t="s">
        <v>37</v>
      </c>
      <c r="C785" s="53" t="s">
        <v>50</v>
      </c>
      <c r="D785" s="53" t="s">
        <v>375</v>
      </c>
      <c r="E785" s="72">
        <f>AVERAGE(F785:K785)</f>
        <v>0.51463670965197228</v>
      </c>
      <c r="F785" s="72">
        <f>IF(F789&lt;283,0,IF(F789&gt;303,1,EXP(($E$786*(F789-$E$787))/($E$788*$E$787*F789))))</f>
        <v>0.30881657019391506</v>
      </c>
      <c r="G785" s="72">
        <f t="shared" ref="G785:K785" si="103">IF(G789&lt;283,0,IF(G789&gt;303,1,EXP(($E$786*(G789-$E$787))/($E$788*$E$787*G789))))</f>
        <v>0.25708890533410012</v>
      </c>
      <c r="H785" s="72">
        <f t="shared" si="103"/>
        <v>0.46225423409862509</v>
      </c>
      <c r="I785" s="72">
        <f t="shared" si="103"/>
        <v>0.55084569341606926</v>
      </c>
      <c r="J785" s="72">
        <f t="shared" si="103"/>
        <v>0.62729263560178183</v>
      </c>
      <c r="K785" s="72">
        <f t="shared" si="103"/>
        <v>0.88152221926734242</v>
      </c>
      <c r="L785" s="72" t="s">
        <v>297</v>
      </c>
      <c r="M785" s="72" t="s">
        <v>297</v>
      </c>
      <c r="N785" s="72" t="s">
        <v>297</v>
      </c>
      <c r="O785" s="72" t="s">
        <v>297</v>
      </c>
      <c r="P785" s="72" t="s">
        <v>297</v>
      </c>
      <c r="Q785" s="72" t="s">
        <v>297</v>
      </c>
      <c r="R785" s="78"/>
      <c r="S785" s="78"/>
      <c r="T785" s="78"/>
      <c r="U785" s="78"/>
      <c r="V785" s="78"/>
      <c r="W785" s="78"/>
      <c r="X785" s="78"/>
      <c r="Y785" s="78"/>
      <c r="Z785" s="78"/>
      <c r="AA785" s="78"/>
      <c r="AB785" s="78"/>
      <c r="AC785" s="78"/>
      <c r="AD785" s="78"/>
      <c r="AE785" s="78"/>
      <c r="AF785" s="78"/>
      <c r="AG785" s="78"/>
      <c r="AH785" s="78"/>
      <c r="AI785" s="78"/>
      <c r="AJ785" s="78"/>
      <c r="AK785" s="78"/>
      <c r="AL785" s="78"/>
      <c r="AM785" s="78"/>
      <c r="AN785" s="78"/>
      <c r="AO785" s="78"/>
      <c r="AP785" s="78"/>
      <c r="AQ785" s="78"/>
      <c r="AR785" s="78"/>
      <c r="AS785" s="78"/>
      <c r="AT785" s="78"/>
      <c r="AU785" s="78"/>
      <c r="AV785" s="78"/>
      <c r="AW785" s="78"/>
      <c r="AX785" s="78"/>
      <c r="AY785" s="78"/>
      <c r="AZ785" s="78"/>
      <c r="BA785" s="78"/>
      <c r="BB785" s="78"/>
      <c r="BC785" s="78"/>
      <c r="BD785" s="78"/>
      <c r="BE785" s="78"/>
      <c r="BF785" s="78"/>
      <c r="BG785" s="78"/>
      <c r="BH785" s="78"/>
      <c r="BI785" s="78"/>
      <c r="BJ785" s="78"/>
      <c r="BK785" s="78"/>
      <c r="BL785" s="78"/>
      <c r="BM785" s="78"/>
      <c r="BN785" s="78"/>
      <c r="BO785" s="78"/>
      <c r="BP785" s="78"/>
      <c r="BQ785" s="78"/>
      <c r="BR785" s="78"/>
      <c r="BS785" s="78"/>
      <c r="BT785" s="78"/>
      <c r="BU785" s="78"/>
      <c r="BV785" s="78"/>
      <c r="BW785" s="78"/>
      <c r="BX785" s="78"/>
      <c r="BY785" s="78"/>
      <c r="BZ785" s="78"/>
      <c r="CA785" s="78"/>
      <c r="CB785" s="78"/>
      <c r="CC785" s="78"/>
      <c r="CD785" s="78"/>
      <c r="CE785" s="78"/>
      <c r="CF785" s="78"/>
      <c r="CG785" s="78"/>
      <c r="CH785" s="78"/>
      <c r="CI785" s="78"/>
      <c r="CJ785" s="78"/>
      <c r="CK785" s="78"/>
      <c r="CL785" s="78"/>
      <c r="CM785" s="78"/>
      <c r="CN785" s="78"/>
      <c r="CO785" s="78"/>
      <c r="CP785" s="78"/>
      <c r="CQ785" s="78"/>
      <c r="CR785" s="78"/>
      <c r="CS785" s="78"/>
      <c r="CT785" s="78"/>
      <c r="CU785" s="78"/>
      <c r="CV785" s="78"/>
      <c r="CW785" s="78"/>
      <c r="CX785" s="78"/>
      <c r="CY785" s="78"/>
      <c r="CZ785" s="78"/>
      <c r="DA785" s="78"/>
      <c r="DB785" s="78"/>
      <c r="DC785" s="78"/>
      <c r="DD785" s="78"/>
      <c r="DE785" s="78"/>
      <c r="DF785" s="78"/>
      <c r="DG785" s="78"/>
      <c r="DH785" s="78"/>
      <c r="DI785" s="78"/>
      <c r="DJ785" s="78"/>
      <c r="DK785" s="78"/>
      <c r="DL785" s="78"/>
      <c r="DM785" s="78"/>
      <c r="DN785" s="78"/>
      <c r="DO785" s="78"/>
      <c r="DP785" s="78"/>
      <c r="DQ785" s="78"/>
      <c r="DR785" s="78"/>
      <c r="DS785" s="78"/>
      <c r="DT785" s="78"/>
      <c r="DU785" s="78"/>
      <c r="DV785" s="78"/>
      <c r="DW785" s="78"/>
      <c r="DX785" s="78"/>
      <c r="DY785" s="78"/>
      <c r="DZ785" s="78"/>
      <c r="EA785" s="78"/>
      <c r="EB785" s="78"/>
      <c r="EC785" s="78"/>
    </row>
    <row r="786" spans="1:133" s="9" customFormat="1" x14ac:dyDescent="0.25">
      <c r="A786" s="73" t="s">
        <v>51</v>
      </c>
      <c r="B786" s="60" t="s">
        <v>202</v>
      </c>
      <c r="C786" s="53" t="s">
        <v>53</v>
      </c>
      <c r="D786" s="53" t="s">
        <v>376</v>
      </c>
      <c r="E786" s="162">
        <v>15175</v>
      </c>
      <c r="F786" s="163"/>
      <c r="G786" s="163"/>
      <c r="H786" s="163"/>
      <c r="I786" s="163"/>
      <c r="J786" s="163"/>
      <c r="K786" s="163"/>
      <c r="L786" s="163"/>
      <c r="M786" s="163"/>
      <c r="N786" s="163"/>
      <c r="O786" s="163"/>
      <c r="P786" s="163"/>
      <c r="Q786" s="164"/>
      <c r="R786" s="78"/>
      <c r="S786" s="78"/>
      <c r="T786" s="78"/>
      <c r="U786" s="78"/>
      <c r="V786" s="78"/>
      <c r="W786" s="78"/>
      <c r="X786" s="78"/>
      <c r="Y786" s="78"/>
      <c r="Z786" s="78"/>
      <c r="AA786" s="78"/>
      <c r="AB786" s="78"/>
      <c r="AC786" s="78"/>
      <c r="AD786" s="78"/>
      <c r="AE786" s="78"/>
      <c r="AF786" s="78"/>
      <c r="AG786" s="78"/>
      <c r="AH786" s="78"/>
      <c r="AI786" s="78"/>
      <c r="AJ786" s="78"/>
      <c r="AK786" s="78"/>
      <c r="AL786" s="78"/>
      <c r="AM786" s="78"/>
      <c r="AN786" s="78"/>
      <c r="AO786" s="78"/>
      <c r="AP786" s="78"/>
      <c r="AQ786" s="78"/>
      <c r="AR786" s="78"/>
      <c r="AS786" s="78"/>
      <c r="AT786" s="78"/>
      <c r="AU786" s="78"/>
      <c r="AV786" s="78"/>
      <c r="AW786" s="78"/>
      <c r="AX786" s="78"/>
      <c r="AY786" s="78"/>
      <c r="AZ786" s="78"/>
      <c r="BA786" s="78"/>
      <c r="BB786" s="78"/>
      <c r="BC786" s="78"/>
      <c r="BD786" s="78"/>
      <c r="BE786" s="78"/>
      <c r="BF786" s="78"/>
      <c r="BG786" s="78"/>
      <c r="BH786" s="78"/>
      <c r="BI786" s="78"/>
      <c r="BJ786" s="78"/>
      <c r="BK786" s="78"/>
      <c r="BL786" s="78"/>
      <c r="BM786" s="78"/>
      <c r="BN786" s="78"/>
      <c r="BO786" s="78"/>
      <c r="BP786" s="78"/>
      <c r="BQ786" s="78"/>
      <c r="BR786" s="78"/>
      <c r="BS786" s="78"/>
      <c r="BT786" s="78"/>
      <c r="BU786" s="78"/>
      <c r="BV786" s="78"/>
      <c r="BW786" s="78"/>
      <c r="BX786" s="78"/>
      <c r="BY786" s="78"/>
      <c r="BZ786" s="78"/>
      <c r="CA786" s="78"/>
      <c r="CB786" s="78"/>
      <c r="CC786" s="78"/>
      <c r="CD786" s="78"/>
      <c r="CE786" s="78"/>
      <c r="CF786" s="78"/>
      <c r="CG786" s="78"/>
      <c r="CH786" s="78"/>
      <c r="CI786" s="78"/>
      <c r="CJ786" s="78"/>
      <c r="CK786" s="78"/>
      <c r="CL786" s="78"/>
      <c r="CM786" s="78"/>
      <c r="CN786" s="78"/>
      <c r="CO786" s="78"/>
      <c r="CP786" s="78"/>
      <c r="CQ786" s="78"/>
      <c r="CR786" s="78"/>
      <c r="CS786" s="78"/>
      <c r="CT786" s="78"/>
      <c r="CU786" s="78"/>
      <c r="CV786" s="78"/>
      <c r="CW786" s="78"/>
      <c r="CX786" s="78"/>
      <c r="CY786" s="78"/>
      <c r="CZ786" s="78"/>
      <c r="DA786" s="78"/>
      <c r="DB786" s="78"/>
      <c r="DC786" s="78"/>
      <c r="DD786" s="78"/>
      <c r="DE786" s="78"/>
      <c r="DF786" s="78"/>
      <c r="DG786" s="78"/>
      <c r="DH786" s="78"/>
      <c r="DI786" s="78"/>
      <c r="DJ786" s="78"/>
      <c r="DK786" s="78"/>
      <c r="DL786" s="78"/>
      <c r="DM786" s="78"/>
      <c r="DN786" s="78"/>
      <c r="DO786" s="78"/>
      <c r="DP786" s="78"/>
      <c r="DQ786" s="78"/>
      <c r="DR786" s="78"/>
      <c r="DS786" s="78"/>
      <c r="DT786" s="78"/>
      <c r="DU786" s="78"/>
      <c r="DV786" s="78"/>
      <c r="DW786" s="78"/>
      <c r="DX786" s="78"/>
      <c r="DY786" s="78"/>
      <c r="DZ786" s="78"/>
      <c r="EA786" s="78"/>
      <c r="EB786" s="78"/>
      <c r="EC786" s="78"/>
    </row>
    <row r="787" spans="1:133" s="9" customFormat="1" ht="18" x14ac:dyDescent="0.25">
      <c r="A787" s="73" t="s">
        <v>54</v>
      </c>
      <c r="B787" s="60" t="s">
        <v>203</v>
      </c>
      <c r="C787" s="53" t="s">
        <v>56</v>
      </c>
      <c r="D787" s="53" t="s">
        <v>376</v>
      </c>
      <c r="E787" s="162">
        <v>303.16000000000003</v>
      </c>
      <c r="F787" s="163"/>
      <c r="G787" s="163"/>
      <c r="H787" s="163"/>
      <c r="I787" s="163"/>
      <c r="J787" s="163"/>
      <c r="K787" s="163"/>
      <c r="L787" s="163"/>
      <c r="M787" s="163"/>
      <c r="N787" s="163"/>
      <c r="O787" s="163"/>
      <c r="P787" s="163"/>
      <c r="Q787" s="164"/>
      <c r="R787" s="78"/>
      <c r="S787" s="78"/>
      <c r="T787" s="78"/>
      <c r="U787" s="78"/>
      <c r="V787" s="78"/>
      <c r="W787" s="78"/>
      <c r="X787" s="78"/>
      <c r="Y787" s="78"/>
      <c r="Z787" s="78"/>
      <c r="AA787" s="78"/>
      <c r="AB787" s="78"/>
      <c r="AC787" s="78"/>
      <c r="AD787" s="78"/>
      <c r="AE787" s="78"/>
      <c r="AF787" s="78"/>
      <c r="AG787" s="78"/>
      <c r="AH787" s="78"/>
      <c r="AI787" s="78"/>
      <c r="AJ787" s="78"/>
      <c r="AK787" s="78"/>
      <c r="AL787" s="78"/>
      <c r="AM787" s="78"/>
      <c r="AN787" s="78"/>
      <c r="AO787" s="78"/>
      <c r="AP787" s="78"/>
      <c r="AQ787" s="78"/>
      <c r="AR787" s="78"/>
      <c r="AS787" s="78"/>
      <c r="AT787" s="78"/>
      <c r="AU787" s="78"/>
      <c r="AV787" s="78"/>
      <c r="AW787" s="78"/>
      <c r="AX787" s="78"/>
      <c r="AY787" s="78"/>
      <c r="AZ787" s="78"/>
      <c r="BA787" s="78"/>
      <c r="BB787" s="78"/>
      <c r="BC787" s="78"/>
      <c r="BD787" s="78"/>
      <c r="BE787" s="78"/>
      <c r="BF787" s="78"/>
      <c r="BG787" s="78"/>
      <c r="BH787" s="78"/>
      <c r="BI787" s="78"/>
      <c r="BJ787" s="78"/>
      <c r="BK787" s="78"/>
      <c r="BL787" s="78"/>
      <c r="BM787" s="78"/>
      <c r="BN787" s="78"/>
      <c r="BO787" s="78"/>
      <c r="BP787" s="78"/>
      <c r="BQ787" s="78"/>
      <c r="BR787" s="78"/>
      <c r="BS787" s="78"/>
      <c r="BT787" s="78"/>
      <c r="BU787" s="78"/>
      <c r="BV787" s="78"/>
      <c r="BW787" s="78"/>
      <c r="BX787" s="78"/>
      <c r="BY787" s="78"/>
      <c r="BZ787" s="78"/>
      <c r="CA787" s="78"/>
      <c r="CB787" s="78"/>
      <c r="CC787" s="78"/>
      <c r="CD787" s="78"/>
      <c r="CE787" s="78"/>
      <c r="CF787" s="78"/>
      <c r="CG787" s="78"/>
      <c r="CH787" s="78"/>
      <c r="CI787" s="78"/>
      <c r="CJ787" s="78"/>
      <c r="CK787" s="78"/>
      <c r="CL787" s="78"/>
      <c r="CM787" s="78"/>
      <c r="CN787" s="78"/>
      <c r="CO787" s="78"/>
      <c r="CP787" s="78"/>
      <c r="CQ787" s="78"/>
      <c r="CR787" s="78"/>
      <c r="CS787" s="78"/>
      <c r="CT787" s="78"/>
      <c r="CU787" s="78"/>
      <c r="CV787" s="78"/>
      <c r="CW787" s="78"/>
      <c r="CX787" s="78"/>
      <c r="CY787" s="78"/>
      <c r="CZ787" s="78"/>
      <c r="DA787" s="78"/>
      <c r="DB787" s="78"/>
      <c r="DC787" s="78"/>
      <c r="DD787" s="78"/>
      <c r="DE787" s="78"/>
      <c r="DF787" s="78"/>
      <c r="DG787" s="78"/>
      <c r="DH787" s="78"/>
      <c r="DI787" s="78"/>
      <c r="DJ787" s="78"/>
      <c r="DK787" s="78"/>
      <c r="DL787" s="78"/>
      <c r="DM787" s="78"/>
      <c r="DN787" s="78"/>
      <c r="DO787" s="78"/>
      <c r="DP787" s="78"/>
      <c r="DQ787" s="78"/>
      <c r="DR787" s="78"/>
      <c r="DS787" s="78"/>
      <c r="DT787" s="78"/>
      <c r="DU787" s="78"/>
      <c r="DV787" s="78"/>
      <c r="DW787" s="78"/>
      <c r="DX787" s="78"/>
      <c r="DY787" s="78"/>
      <c r="DZ787" s="78"/>
      <c r="EA787" s="78"/>
      <c r="EB787" s="78"/>
      <c r="EC787" s="78"/>
    </row>
    <row r="788" spans="1:133" s="9" customFormat="1" x14ac:dyDescent="0.25">
      <c r="A788" s="73" t="s">
        <v>57</v>
      </c>
      <c r="B788" s="60" t="s">
        <v>204</v>
      </c>
      <c r="C788" s="53" t="s">
        <v>59</v>
      </c>
      <c r="D788" s="53" t="s">
        <v>376</v>
      </c>
      <c r="E788" s="162">
        <v>1.9870000000000001</v>
      </c>
      <c r="F788" s="163"/>
      <c r="G788" s="163"/>
      <c r="H788" s="163"/>
      <c r="I788" s="163"/>
      <c r="J788" s="163"/>
      <c r="K788" s="163"/>
      <c r="L788" s="163"/>
      <c r="M788" s="163"/>
      <c r="N788" s="163"/>
      <c r="O788" s="163"/>
      <c r="P788" s="163"/>
      <c r="Q788" s="164"/>
      <c r="R788" s="78"/>
      <c r="S788" s="78"/>
      <c r="T788" s="78"/>
      <c r="U788" s="78"/>
      <c r="V788" s="78"/>
      <c r="W788" s="78"/>
      <c r="X788" s="78"/>
      <c r="Y788" s="78"/>
      <c r="Z788" s="78"/>
      <c r="AA788" s="78"/>
      <c r="AB788" s="78"/>
      <c r="AC788" s="78"/>
      <c r="AD788" s="78"/>
      <c r="AE788" s="78"/>
      <c r="AF788" s="78"/>
      <c r="AG788" s="78"/>
      <c r="AH788" s="78"/>
      <c r="AI788" s="78"/>
      <c r="AJ788" s="78"/>
      <c r="AK788" s="78"/>
      <c r="AL788" s="78"/>
      <c r="AM788" s="78"/>
      <c r="AN788" s="78"/>
      <c r="AO788" s="78"/>
      <c r="AP788" s="78"/>
      <c r="AQ788" s="78"/>
      <c r="AR788" s="78"/>
      <c r="AS788" s="78"/>
      <c r="AT788" s="78"/>
      <c r="AU788" s="78"/>
      <c r="AV788" s="78"/>
      <c r="AW788" s="78"/>
      <c r="AX788" s="78"/>
      <c r="AY788" s="78"/>
      <c r="AZ788" s="78"/>
      <c r="BA788" s="78"/>
      <c r="BB788" s="78"/>
      <c r="BC788" s="78"/>
      <c r="BD788" s="78"/>
      <c r="BE788" s="78"/>
      <c r="BF788" s="78"/>
      <c r="BG788" s="78"/>
      <c r="BH788" s="78"/>
      <c r="BI788" s="78"/>
      <c r="BJ788" s="78"/>
      <c r="BK788" s="78"/>
      <c r="BL788" s="78"/>
      <c r="BM788" s="78"/>
      <c r="BN788" s="78"/>
      <c r="BO788" s="78"/>
      <c r="BP788" s="78"/>
      <c r="BQ788" s="78"/>
      <c r="BR788" s="78"/>
      <c r="BS788" s="78"/>
      <c r="BT788" s="78"/>
      <c r="BU788" s="78"/>
      <c r="BV788" s="78"/>
      <c r="BW788" s="78"/>
      <c r="BX788" s="78"/>
      <c r="BY788" s="78"/>
      <c r="BZ788" s="78"/>
      <c r="CA788" s="78"/>
      <c r="CB788" s="78"/>
      <c r="CC788" s="78"/>
      <c r="CD788" s="78"/>
      <c r="CE788" s="78"/>
      <c r="CF788" s="78"/>
      <c r="CG788" s="78"/>
      <c r="CH788" s="78"/>
      <c r="CI788" s="78"/>
      <c r="CJ788" s="78"/>
      <c r="CK788" s="78"/>
      <c r="CL788" s="78"/>
      <c r="CM788" s="78"/>
      <c r="CN788" s="78"/>
      <c r="CO788" s="78"/>
      <c r="CP788" s="78"/>
      <c r="CQ788" s="78"/>
      <c r="CR788" s="78"/>
      <c r="CS788" s="78"/>
      <c r="CT788" s="78"/>
      <c r="CU788" s="78"/>
      <c r="CV788" s="78"/>
      <c r="CW788" s="78"/>
      <c r="CX788" s="78"/>
      <c r="CY788" s="78"/>
      <c r="CZ788" s="78"/>
      <c r="DA788" s="78"/>
      <c r="DB788" s="78"/>
      <c r="DC788" s="78"/>
      <c r="DD788" s="78"/>
      <c r="DE788" s="78"/>
      <c r="DF788" s="78"/>
      <c r="DG788" s="78"/>
      <c r="DH788" s="78"/>
      <c r="DI788" s="78"/>
      <c r="DJ788" s="78"/>
      <c r="DK788" s="78"/>
      <c r="DL788" s="78"/>
      <c r="DM788" s="78"/>
      <c r="DN788" s="78"/>
      <c r="DO788" s="78"/>
      <c r="DP788" s="78"/>
      <c r="DQ788" s="78"/>
      <c r="DR788" s="78"/>
      <c r="DS788" s="78"/>
      <c r="DT788" s="78"/>
      <c r="DU788" s="78"/>
      <c r="DV788" s="78"/>
      <c r="DW788" s="78"/>
      <c r="DX788" s="78"/>
      <c r="DY788" s="78"/>
      <c r="DZ788" s="78"/>
      <c r="EA788" s="78"/>
      <c r="EB788" s="78"/>
      <c r="EC788" s="78"/>
    </row>
    <row r="789" spans="1:133" s="9" customFormat="1" ht="31.2" x14ac:dyDescent="0.25">
      <c r="A789" s="73" t="s">
        <v>60</v>
      </c>
      <c r="B789" s="60" t="s">
        <v>203</v>
      </c>
      <c r="C789" s="53" t="s">
        <v>61</v>
      </c>
      <c r="D789" s="143" t="s">
        <v>363</v>
      </c>
      <c r="E789" s="98">
        <f>AVERAGE(F789:K789)</f>
        <v>294.48333333333335</v>
      </c>
      <c r="F789" s="60">
        <v>289.64999999999998</v>
      </c>
      <c r="G789" s="60">
        <v>287.64999999999998</v>
      </c>
      <c r="H789" s="60">
        <v>294.14999999999998</v>
      </c>
      <c r="I789" s="60">
        <v>296.14999999999998</v>
      </c>
      <c r="J789" s="60">
        <v>297.64999999999998</v>
      </c>
      <c r="K789" s="60">
        <v>301.64999999999998</v>
      </c>
      <c r="L789" s="60" t="s">
        <v>297</v>
      </c>
      <c r="M789" s="60" t="s">
        <v>297</v>
      </c>
      <c r="N789" s="60" t="s">
        <v>297</v>
      </c>
      <c r="O789" s="60" t="s">
        <v>297</v>
      </c>
      <c r="P789" s="60" t="s">
        <v>297</v>
      </c>
      <c r="Q789" s="60" t="s">
        <v>297</v>
      </c>
      <c r="R789" s="78"/>
      <c r="S789" s="78"/>
      <c r="T789" s="78"/>
      <c r="U789" s="78"/>
      <c r="V789" s="78"/>
      <c r="W789" s="78"/>
      <c r="X789" s="78"/>
      <c r="Y789" s="78"/>
      <c r="Z789" s="78"/>
      <c r="AA789" s="78"/>
      <c r="AB789" s="78"/>
      <c r="AC789" s="78"/>
      <c r="AD789" s="78"/>
      <c r="AE789" s="78"/>
      <c r="AF789" s="78"/>
      <c r="AG789" s="78"/>
      <c r="AH789" s="78"/>
      <c r="AI789" s="78"/>
      <c r="AJ789" s="78"/>
      <c r="AK789" s="78"/>
      <c r="AL789" s="78"/>
      <c r="AM789" s="78"/>
      <c r="AN789" s="78"/>
      <c r="AO789" s="78"/>
      <c r="AP789" s="78"/>
      <c r="AQ789" s="78"/>
      <c r="AR789" s="78"/>
      <c r="AS789" s="78"/>
      <c r="AT789" s="78"/>
      <c r="AU789" s="78"/>
      <c r="AV789" s="78"/>
      <c r="AW789" s="78"/>
      <c r="AX789" s="78"/>
      <c r="AY789" s="78"/>
      <c r="AZ789" s="78"/>
      <c r="BA789" s="78"/>
      <c r="BB789" s="78"/>
      <c r="BC789" s="78"/>
      <c r="BD789" s="78"/>
      <c r="BE789" s="78"/>
      <c r="BF789" s="78"/>
      <c r="BG789" s="78"/>
      <c r="BH789" s="78"/>
      <c r="BI789" s="78"/>
      <c r="BJ789" s="78"/>
      <c r="BK789" s="78"/>
      <c r="BL789" s="78"/>
      <c r="BM789" s="78"/>
      <c r="BN789" s="78"/>
      <c r="BO789" s="78"/>
      <c r="BP789" s="78"/>
      <c r="BQ789" s="78"/>
      <c r="BR789" s="78"/>
      <c r="BS789" s="78"/>
      <c r="BT789" s="78"/>
      <c r="BU789" s="78"/>
      <c r="BV789" s="78"/>
      <c r="BW789" s="78"/>
      <c r="BX789" s="78"/>
      <c r="BY789" s="78"/>
      <c r="BZ789" s="78"/>
      <c r="CA789" s="78"/>
      <c r="CB789" s="78"/>
      <c r="CC789" s="78"/>
      <c r="CD789" s="78"/>
      <c r="CE789" s="78"/>
      <c r="CF789" s="78"/>
      <c r="CG789" s="78"/>
      <c r="CH789" s="78"/>
      <c r="CI789" s="78"/>
      <c r="CJ789" s="78"/>
      <c r="CK789" s="78"/>
      <c r="CL789" s="78"/>
      <c r="CM789" s="78"/>
      <c r="CN789" s="78"/>
      <c r="CO789" s="78"/>
      <c r="CP789" s="78"/>
      <c r="CQ789" s="78"/>
      <c r="CR789" s="78"/>
      <c r="CS789" s="78"/>
      <c r="CT789" s="78"/>
      <c r="CU789" s="78"/>
      <c r="CV789" s="78"/>
      <c r="CW789" s="78"/>
      <c r="CX789" s="78"/>
      <c r="CY789" s="78"/>
      <c r="CZ789" s="78"/>
      <c r="DA789" s="78"/>
      <c r="DB789" s="78"/>
      <c r="DC789" s="78"/>
      <c r="DD789" s="78"/>
      <c r="DE789" s="78"/>
      <c r="DF789" s="78"/>
      <c r="DG789" s="78"/>
      <c r="DH789" s="78"/>
      <c r="DI789" s="78"/>
      <c r="DJ789" s="78"/>
      <c r="DK789" s="78"/>
      <c r="DL789" s="78"/>
      <c r="DM789" s="78"/>
      <c r="DN789" s="78"/>
      <c r="DO789" s="78"/>
      <c r="DP789" s="78"/>
      <c r="DQ789" s="78"/>
      <c r="DR789" s="78"/>
      <c r="DS789" s="78"/>
      <c r="DT789" s="78"/>
      <c r="DU789" s="78"/>
      <c r="DV789" s="78"/>
      <c r="DW789" s="78"/>
      <c r="DX789" s="78"/>
      <c r="DY789" s="78"/>
      <c r="DZ789" s="78"/>
      <c r="EA789" s="78"/>
      <c r="EB789" s="78"/>
      <c r="EC789" s="78"/>
    </row>
    <row r="790" spans="1:133" s="9" customFormat="1" ht="31.2" x14ac:dyDescent="0.4">
      <c r="A790" s="71" t="s">
        <v>62</v>
      </c>
      <c r="B790" s="60" t="s">
        <v>196</v>
      </c>
      <c r="C790" s="53" t="s">
        <v>63</v>
      </c>
      <c r="D790" s="53" t="s">
        <v>377</v>
      </c>
      <c r="E790" s="74">
        <f>SUM(F790:K790)</f>
        <v>3932.2437289061422</v>
      </c>
      <c r="F790" s="74">
        <f>F779*F774*F777+(1-F785)*'Baseline Emissions 2021'!Q790</f>
        <v>765.88442555631252</v>
      </c>
      <c r="G790" s="74">
        <f t="shared" ref="G790:K790" si="104">G779*G774*G777+(1-G785)*F790</f>
        <v>849.51021802724074</v>
      </c>
      <c r="H790" s="74">
        <f t="shared" si="104"/>
        <v>767.41499494716925</v>
      </c>
      <c r="I790" s="74">
        <f t="shared" si="104"/>
        <v>645.29370880394504</v>
      </c>
      <c r="J790" s="74">
        <f t="shared" si="104"/>
        <v>561.84346174509415</v>
      </c>
      <c r="K790" s="74">
        <f t="shared" si="104"/>
        <v>342.2969198263803</v>
      </c>
      <c r="L790" s="74" t="s">
        <v>297</v>
      </c>
      <c r="M790" s="74" t="s">
        <v>297</v>
      </c>
      <c r="N790" s="74" t="s">
        <v>297</v>
      </c>
      <c r="O790" s="74" t="s">
        <v>297</v>
      </c>
      <c r="P790" s="74" t="s">
        <v>297</v>
      </c>
      <c r="Q790" s="74" t="s">
        <v>297</v>
      </c>
      <c r="R790" s="78"/>
      <c r="S790" s="78"/>
      <c r="T790" s="78"/>
      <c r="U790" s="78"/>
      <c r="V790" s="78"/>
      <c r="W790" s="78"/>
      <c r="X790" s="78"/>
      <c r="Y790" s="78"/>
      <c r="Z790" s="78"/>
      <c r="AA790" s="78"/>
      <c r="AB790" s="78"/>
      <c r="AC790" s="78"/>
      <c r="AD790" s="78"/>
      <c r="AE790" s="78"/>
      <c r="AF790" s="78"/>
      <c r="AG790" s="78"/>
      <c r="AH790" s="78"/>
      <c r="AI790" s="78"/>
      <c r="AJ790" s="78"/>
      <c r="AK790" s="78"/>
      <c r="AL790" s="78"/>
      <c r="AM790" s="78"/>
      <c r="AN790" s="78"/>
      <c r="AO790" s="78"/>
      <c r="AP790" s="78"/>
      <c r="AQ790" s="78"/>
      <c r="AR790" s="78"/>
      <c r="AS790" s="78"/>
      <c r="AT790" s="78"/>
      <c r="AU790" s="78"/>
      <c r="AV790" s="78"/>
      <c r="AW790" s="78"/>
      <c r="AX790" s="78"/>
      <c r="AY790" s="78"/>
      <c r="AZ790" s="78"/>
      <c r="BA790" s="78"/>
      <c r="BB790" s="78"/>
      <c r="BC790" s="78"/>
      <c r="BD790" s="78"/>
      <c r="BE790" s="78"/>
      <c r="BF790" s="78"/>
      <c r="BG790" s="78"/>
      <c r="BH790" s="78"/>
      <c r="BI790" s="78"/>
      <c r="BJ790" s="78"/>
      <c r="BK790" s="78"/>
      <c r="BL790" s="78"/>
      <c r="BM790" s="78"/>
      <c r="BN790" s="78"/>
      <c r="BO790" s="78"/>
      <c r="BP790" s="78"/>
      <c r="BQ790" s="78"/>
      <c r="BR790" s="78"/>
      <c r="BS790" s="78"/>
      <c r="BT790" s="78"/>
      <c r="BU790" s="78"/>
      <c r="BV790" s="78"/>
      <c r="BW790" s="78"/>
      <c r="BX790" s="78"/>
      <c r="BY790" s="78"/>
      <c r="BZ790" s="78"/>
      <c r="CA790" s="78"/>
      <c r="CB790" s="78"/>
      <c r="CC790" s="78"/>
      <c r="CD790" s="78"/>
      <c r="CE790" s="78"/>
      <c r="CF790" s="78"/>
      <c r="CG790" s="78"/>
      <c r="CH790" s="78"/>
      <c r="CI790" s="78"/>
      <c r="CJ790" s="78"/>
      <c r="CK790" s="78"/>
      <c r="CL790" s="78"/>
      <c r="CM790" s="78"/>
      <c r="CN790" s="78"/>
      <c r="CO790" s="78"/>
      <c r="CP790" s="78"/>
      <c r="CQ790" s="78"/>
      <c r="CR790" s="78"/>
      <c r="CS790" s="78"/>
      <c r="CT790" s="78"/>
      <c r="CU790" s="78"/>
      <c r="CV790" s="78"/>
      <c r="CW790" s="78"/>
      <c r="CX790" s="78"/>
      <c r="CY790" s="78"/>
      <c r="CZ790" s="78"/>
      <c r="DA790" s="78"/>
      <c r="DB790" s="78"/>
      <c r="DC790" s="78"/>
      <c r="DD790" s="78"/>
      <c r="DE790" s="78"/>
      <c r="DF790" s="78"/>
      <c r="DG790" s="78"/>
      <c r="DH790" s="78"/>
      <c r="DI790" s="78"/>
      <c r="DJ790" s="78"/>
      <c r="DK790" s="78"/>
      <c r="DL790" s="78"/>
      <c r="DM790" s="78"/>
      <c r="DN790" s="78"/>
      <c r="DO790" s="78"/>
      <c r="DP790" s="78"/>
      <c r="DQ790" s="78"/>
      <c r="DR790" s="78"/>
      <c r="DS790" s="78"/>
      <c r="DT790" s="78"/>
      <c r="DU790" s="78"/>
      <c r="DV790" s="78"/>
      <c r="DW790" s="78"/>
      <c r="DX790" s="78"/>
      <c r="DY790" s="78"/>
      <c r="DZ790" s="78"/>
      <c r="EA790" s="78"/>
      <c r="EB790" s="78"/>
      <c r="EC790" s="78"/>
    </row>
    <row r="792" spans="1:133" ht="15.6" customHeight="1" x14ac:dyDescent="0.25">
      <c r="A792" s="36" t="s">
        <v>64</v>
      </c>
      <c r="B792" s="36"/>
      <c r="C792" s="36"/>
      <c r="D792" s="36"/>
      <c r="E792" s="36"/>
    </row>
    <row r="793" spans="1:133" x14ac:dyDescent="0.25">
      <c r="A793" s="57" t="s">
        <v>8</v>
      </c>
      <c r="B793" s="58" t="s">
        <v>9</v>
      </c>
      <c r="C793" s="34" t="s">
        <v>10</v>
      </c>
      <c r="D793" s="34" t="s">
        <v>340</v>
      </c>
      <c r="E793" s="16" t="s">
        <v>65</v>
      </c>
    </row>
    <row r="794" spans="1:133" ht="62.4" x14ac:dyDescent="0.25">
      <c r="A794" s="59" t="s">
        <v>66</v>
      </c>
      <c r="B794" s="60" t="s">
        <v>14</v>
      </c>
      <c r="C794" s="53" t="s">
        <v>67</v>
      </c>
      <c r="D794" s="53" t="s">
        <v>68</v>
      </c>
      <c r="E794" s="75">
        <v>0</v>
      </c>
    </row>
    <row r="795" spans="1:133" ht="46.8" x14ac:dyDescent="0.25">
      <c r="A795" s="63" t="s">
        <v>69</v>
      </c>
      <c r="B795" s="25" t="s">
        <v>70</v>
      </c>
      <c r="C795" s="35" t="s">
        <v>71</v>
      </c>
      <c r="D795" s="53" t="str">
        <f>D801</f>
        <v>Historical data on site in the FSR (It was calculated with conservative value)</v>
      </c>
      <c r="E795" s="74">
        <f>E801</f>
        <v>690.20084397925677</v>
      </c>
    </row>
    <row r="797" spans="1:133" ht="15.6" customHeight="1" x14ac:dyDescent="0.25">
      <c r="A797" s="90" t="s">
        <v>72</v>
      </c>
      <c r="B797" s="90"/>
      <c r="C797" s="91"/>
      <c r="D797" s="91"/>
      <c r="E797" s="90"/>
    </row>
    <row r="798" spans="1:133" x14ac:dyDescent="0.25">
      <c r="A798" s="59" t="s">
        <v>8</v>
      </c>
      <c r="B798" s="16" t="s">
        <v>9</v>
      </c>
      <c r="C798" s="38" t="s">
        <v>10</v>
      </c>
      <c r="D798" s="38" t="s">
        <v>340</v>
      </c>
      <c r="E798" s="16" t="s">
        <v>65</v>
      </c>
    </row>
    <row r="799" spans="1:133" ht="33.6" x14ac:dyDescent="0.4">
      <c r="A799" s="76" t="s">
        <v>73</v>
      </c>
      <c r="B799" s="25" t="s">
        <v>74</v>
      </c>
      <c r="C799" s="35" t="s">
        <v>75</v>
      </c>
      <c r="D799" s="35" t="s">
        <v>378</v>
      </c>
      <c r="E799" s="50">
        <f>E800*E803*E804*E805*E806*E807</f>
        <v>2.8034101470445125</v>
      </c>
    </row>
    <row r="800" spans="1:133" s="13" customFormat="1" ht="46.8" x14ac:dyDescent="0.4">
      <c r="A800" s="77" t="s">
        <v>207</v>
      </c>
      <c r="B800" s="25" t="s">
        <v>76</v>
      </c>
      <c r="C800" s="35" t="s">
        <v>77</v>
      </c>
      <c r="D800" s="35" t="s">
        <v>379</v>
      </c>
      <c r="E800" s="52">
        <f>E801/E802</f>
        <v>138.04016879585134</v>
      </c>
      <c r="R800" s="14"/>
      <c r="S800" s="14"/>
      <c r="T800" s="14"/>
      <c r="U800" s="14"/>
      <c r="V800" s="14"/>
      <c r="W800" s="14"/>
      <c r="X800" s="14"/>
      <c r="Y800" s="14"/>
      <c r="Z800" s="14"/>
      <c r="AA800" s="14"/>
      <c r="AB800" s="14"/>
      <c r="AC800" s="14"/>
      <c r="AD800" s="14"/>
      <c r="AE800" s="14"/>
      <c r="AF800" s="14"/>
      <c r="AG800" s="14"/>
      <c r="AH800" s="14"/>
      <c r="AI800" s="14"/>
      <c r="AJ800" s="14"/>
      <c r="AK800" s="14"/>
      <c r="AL800" s="14"/>
      <c r="AM800" s="14"/>
      <c r="AN800" s="14"/>
      <c r="AO800" s="14"/>
      <c r="AP800" s="14"/>
      <c r="AQ800" s="14"/>
      <c r="AR800" s="14"/>
      <c r="AS800" s="14"/>
      <c r="AT800" s="14"/>
      <c r="AU800" s="14"/>
      <c r="AV800" s="14"/>
      <c r="AW800" s="14"/>
      <c r="AX800" s="14"/>
      <c r="AY800" s="14"/>
      <c r="AZ800" s="14"/>
      <c r="BA800" s="14"/>
      <c r="BB800" s="14"/>
      <c r="BC800" s="14"/>
      <c r="BD800" s="14"/>
      <c r="BE800" s="14"/>
      <c r="BF800" s="14"/>
      <c r="BG800" s="14"/>
      <c r="BH800" s="14"/>
      <c r="BI800" s="14"/>
      <c r="BJ800" s="14"/>
      <c r="BK800" s="14"/>
      <c r="BL800" s="14"/>
      <c r="BM800" s="14"/>
      <c r="BN800" s="14"/>
      <c r="BO800" s="14"/>
      <c r="BP800" s="14"/>
      <c r="BQ800" s="14"/>
      <c r="BR800" s="14"/>
      <c r="BS800" s="14"/>
      <c r="BT800" s="14"/>
      <c r="BU800" s="14"/>
      <c r="BV800" s="14"/>
      <c r="BW800" s="14"/>
      <c r="BX800" s="14"/>
      <c r="BY800" s="14"/>
      <c r="BZ800" s="14"/>
      <c r="CA800" s="14"/>
      <c r="CB800" s="14"/>
      <c r="CC800" s="14"/>
      <c r="CD800" s="14"/>
      <c r="CE800" s="14"/>
      <c r="CF800" s="14"/>
      <c r="CG800" s="14"/>
      <c r="CH800" s="14"/>
      <c r="CI800" s="14"/>
      <c r="CJ800" s="14"/>
      <c r="CK800" s="14"/>
      <c r="CL800" s="14"/>
      <c r="CM800" s="14"/>
      <c r="CN800" s="14"/>
      <c r="CO800" s="14"/>
      <c r="CP800" s="14"/>
      <c r="CQ800" s="14"/>
      <c r="CR800" s="14"/>
      <c r="CS800" s="14"/>
      <c r="CT800" s="14"/>
      <c r="CU800" s="14"/>
      <c r="CV800" s="14"/>
      <c r="CW800" s="14"/>
      <c r="CX800" s="14"/>
      <c r="CY800" s="14"/>
      <c r="CZ800" s="14"/>
      <c r="DA800" s="14"/>
      <c r="DB800" s="14"/>
      <c r="DC800" s="14"/>
      <c r="DD800" s="14"/>
      <c r="DE800" s="14"/>
      <c r="DF800" s="14"/>
      <c r="DG800" s="14"/>
      <c r="DH800" s="14"/>
      <c r="DI800" s="14"/>
      <c r="DJ800" s="14"/>
      <c r="DK800" s="14"/>
      <c r="DL800" s="14"/>
      <c r="DM800" s="14"/>
      <c r="DN800" s="14"/>
      <c r="DO800" s="14"/>
      <c r="DP800" s="14"/>
      <c r="DQ800" s="14"/>
      <c r="DR800" s="14"/>
      <c r="DS800" s="14"/>
      <c r="DT800" s="14"/>
      <c r="DU800" s="14"/>
      <c r="DV800" s="14"/>
      <c r="DW800" s="14"/>
      <c r="DX800" s="14"/>
      <c r="DY800" s="14"/>
      <c r="DZ800" s="14"/>
      <c r="EA800" s="14"/>
      <c r="EB800" s="14"/>
      <c r="EC800" s="14"/>
    </row>
    <row r="801" spans="1:133" s="13" customFormat="1" ht="46.8" x14ac:dyDescent="0.25">
      <c r="A801" s="63" t="s">
        <v>208</v>
      </c>
      <c r="B801" s="25" t="s">
        <v>78</v>
      </c>
      <c r="C801" s="35" t="s">
        <v>79</v>
      </c>
      <c r="D801" s="53" t="s">
        <v>352</v>
      </c>
      <c r="E801" s="52">
        <f>0.000186004769557266*E774</f>
        <v>690.20084397925677</v>
      </c>
      <c r="R801" s="14"/>
      <c r="S801" s="14"/>
      <c r="T801" s="14"/>
      <c r="U801" s="14"/>
      <c r="V801" s="14"/>
      <c r="W801" s="14"/>
      <c r="X801" s="14"/>
      <c r="Y801" s="14"/>
      <c r="Z801" s="14"/>
      <c r="AA801" s="14"/>
      <c r="AB801" s="14"/>
      <c r="AC801" s="14"/>
      <c r="AD801" s="14"/>
      <c r="AE801" s="14"/>
      <c r="AF801" s="14"/>
      <c r="AG801" s="14"/>
      <c r="AH801" s="14"/>
      <c r="AI801" s="14"/>
      <c r="AJ801" s="14"/>
      <c r="AK801" s="14"/>
      <c r="AL801" s="14"/>
      <c r="AM801" s="14"/>
      <c r="AN801" s="14"/>
      <c r="AO801" s="14"/>
      <c r="AP801" s="14"/>
      <c r="AQ801" s="14"/>
      <c r="AR801" s="14"/>
      <c r="AS801" s="14"/>
      <c r="AT801" s="14"/>
      <c r="AU801" s="14"/>
      <c r="AV801" s="14"/>
      <c r="AW801" s="14"/>
      <c r="AX801" s="14"/>
      <c r="AY801" s="14"/>
      <c r="AZ801" s="14"/>
      <c r="BA801" s="14"/>
      <c r="BB801" s="14"/>
      <c r="BC801" s="14"/>
      <c r="BD801" s="14"/>
      <c r="BE801" s="14"/>
      <c r="BF801" s="14"/>
      <c r="BG801" s="14"/>
      <c r="BH801" s="14"/>
      <c r="BI801" s="14"/>
      <c r="BJ801" s="14"/>
      <c r="BK801" s="14"/>
      <c r="BL801" s="14"/>
      <c r="BM801" s="14"/>
      <c r="BN801" s="14"/>
      <c r="BO801" s="14"/>
      <c r="BP801" s="14"/>
      <c r="BQ801" s="14"/>
      <c r="BR801" s="14"/>
      <c r="BS801" s="14"/>
      <c r="BT801" s="14"/>
      <c r="BU801" s="14"/>
      <c r="BV801" s="14"/>
      <c r="BW801" s="14"/>
      <c r="BX801" s="14"/>
      <c r="BY801" s="14"/>
      <c r="BZ801" s="14"/>
      <c r="CA801" s="14"/>
      <c r="CB801" s="14"/>
      <c r="CC801" s="14"/>
      <c r="CD801" s="14"/>
      <c r="CE801" s="14"/>
      <c r="CF801" s="14"/>
      <c r="CG801" s="14"/>
      <c r="CH801" s="14"/>
      <c r="CI801" s="14"/>
      <c r="CJ801" s="14"/>
      <c r="CK801" s="14"/>
      <c r="CL801" s="14"/>
      <c r="CM801" s="14"/>
      <c r="CN801" s="14"/>
      <c r="CO801" s="14"/>
      <c r="CP801" s="14"/>
      <c r="CQ801" s="14"/>
      <c r="CR801" s="14"/>
      <c r="CS801" s="14"/>
      <c r="CT801" s="14"/>
      <c r="CU801" s="14"/>
      <c r="CV801" s="14"/>
      <c r="CW801" s="14"/>
      <c r="CX801" s="14"/>
      <c r="CY801" s="14"/>
      <c r="CZ801" s="14"/>
      <c r="DA801" s="14"/>
      <c r="DB801" s="14"/>
      <c r="DC801" s="14"/>
      <c r="DD801" s="14"/>
      <c r="DE801" s="14"/>
      <c r="DF801" s="14"/>
      <c r="DG801" s="14"/>
      <c r="DH801" s="14"/>
      <c r="DI801" s="14"/>
      <c r="DJ801" s="14"/>
      <c r="DK801" s="14"/>
      <c r="DL801" s="14"/>
      <c r="DM801" s="14"/>
      <c r="DN801" s="14"/>
      <c r="DO801" s="14"/>
      <c r="DP801" s="14"/>
      <c r="DQ801" s="14"/>
      <c r="DR801" s="14"/>
      <c r="DS801" s="14"/>
      <c r="DT801" s="14"/>
      <c r="DU801" s="14"/>
      <c r="DV801" s="14"/>
      <c r="DW801" s="14"/>
      <c r="DX801" s="14"/>
      <c r="DY801" s="14"/>
      <c r="DZ801" s="14"/>
      <c r="EA801" s="14"/>
      <c r="EB801" s="14"/>
      <c r="EC801" s="14"/>
    </row>
    <row r="802" spans="1:133" s="13" customFormat="1" ht="31.2" x14ac:dyDescent="0.25">
      <c r="A802" s="63" t="s">
        <v>209</v>
      </c>
      <c r="B802" s="25" t="s">
        <v>80</v>
      </c>
      <c r="C802" s="35" t="s">
        <v>81</v>
      </c>
      <c r="D802" s="35" t="s">
        <v>353</v>
      </c>
      <c r="E802" s="25">
        <f>5</f>
        <v>5</v>
      </c>
      <c r="R802" s="14"/>
      <c r="S802" s="14"/>
      <c r="T802" s="14"/>
      <c r="U802" s="14"/>
      <c r="V802" s="14"/>
      <c r="W802" s="14"/>
      <c r="X802" s="14"/>
      <c r="Y802" s="14"/>
      <c r="Z802" s="14"/>
      <c r="AA802" s="14"/>
      <c r="AB802" s="14"/>
      <c r="AC802" s="14"/>
      <c r="AD802" s="14"/>
      <c r="AE802" s="14"/>
      <c r="AF802" s="14"/>
      <c r="AG802" s="14"/>
      <c r="AH802" s="14"/>
      <c r="AI802" s="14"/>
      <c r="AJ802" s="14"/>
      <c r="AK802" s="14"/>
      <c r="AL802" s="14"/>
      <c r="AM802" s="14"/>
      <c r="AN802" s="14"/>
      <c r="AO802" s="14"/>
      <c r="AP802" s="14"/>
      <c r="AQ802" s="14"/>
      <c r="AR802" s="14"/>
      <c r="AS802" s="14"/>
      <c r="AT802" s="14"/>
      <c r="AU802" s="14"/>
      <c r="AV802" s="14"/>
      <c r="AW802" s="14"/>
      <c r="AX802" s="14"/>
      <c r="AY802" s="14"/>
      <c r="AZ802" s="14"/>
      <c r="BA802" s="14"/>
      <c r="BB802" s="14"/>
      <c r="BC802" s="14"/>
      <c r="BD802" s="14"/>
      <c r="BE802" s="14"/>
      <c r="BF802" s="14"/>
      <c r="BG802" s="14"/>
      <c r="BH802" s="14"/>
      <c r="BI802" s="14"/>
      <c r="BJ802" s="14"/>
      <c r="BK802" s="14"/>
      <c r="BL802" s="14"/>
      <c r="BM802" s="14"/>
      <c r="BN802" s="14"/>
      <c r="BO802" s="14"/>
      <c r="BP802" s="14"/>
      <c r="BQ802" s="14"/>
      <c r="BR802" s="14"/>
      <c r="BS802" s="14"/>
      <c r="BT802" s="14"/>
      <c r="BU802" s="14"/>
      <c r="BV802" s="14"/>
      <c r="BW802" s="14"/>
      <c r="BX802" s="14"/>
      <c r="BY802" s="14"/>
      <c r="BZ802" s="14"/>
      <c r="CA802" s="14"/>
      <c r="CB802" s="14"/>
      <c r="CC802" s="14"/>
      <c r="CD802" s="14"/>
      <c r="CE802" s="14"/>
      <c r="CF802" s="14"/>
      <c r="CG802" s="14"/>
      <c r="CH802" s="14"/>
      <c r="CI802" s="14"/>
      <c r="CJ802" s="14"/>
      <c r="CK802" s="14"/>
      <c r="CL802" s="14"/>
      <c r="CM802" s="14"/>
      <c r="CN802" s="14"/>
      <c r="CO802" s="14"/>
      <c r="CP802" s="14"/>
      <c r="CQ802" s="14"/>
      <c r="CR802" s="14"/>
      <c r="CS802" s="14"/>
      <c r="CT802" s="14"/>
      <c r="CU802" s="14"/>
      <c r="CV802" s="14"/>
      <c r="CW802" s="14"/>
      <c r="CX802" s="14"/>
      <c r="CY802" s="14"/>
      <c r="CZ802" s="14"/>
      <c r="DA802" s="14"/>
      <c r="DB802" s="14"/>
      <c r="DC802" s="14"/>
      <c r="DD802" s="14"/>
      <c r="DE802" s="14"/>
      <c r="DF802" s="14"/>
      <c r="DG802" s="14"/>
      <c r="DH802" s="14"/>
      <c r="DI802" s="14"/>
      <c r="DJ802" s="14"/>
      <c r="DK802" s="14"/>
      <c r="DL802" s="14"/>
      <c r="DM802" s="14"/>
      <c r="DN802" s="14"/>
      <c r="DO802" s="14"/>
      <c r="DP802" s="14"/>
      <c r="DQ802" s="14"/>
      <c r="DR802" s="14"/>
      <c r="DS802" s="14"/>
      <c r="DT802" s="14"/>
      <c r="DU802" s="14"/>
      <c r="DV802" s="14"/>
      <c r="DW802" s="14"/>
      <c r="DX802" s="14"/>
      <c r="DY802" s="14"/>
      <c r="DZ802" s="14"/>
      <c r="EA802" s="14"/>
      <c r="EB802" s="14"/>
      <c r="EC802" s="14"/>
    </row>
    <row r="803" spans="1:133" s="13" customFormat="1" ht="62.4" x14ac:dyDescent="0.25">
      <c r="A803" s="63" t="s">
        <v>210</v>
      </c>
      <c r="B803" s="25" t="s">
        <v>82</v>
      </c>
      <c r="C803" s="35" t="s">
        <v>83</v>
      </c>
      <c r="D803" s="53" t="s">
        <v>354</v>
      </c>
      <c r="E803" s="25">
        <f>15*2</f>
        <v>30</v>
      </c>
      <c r="R803" s="14"/>
      <c r="S803" s="14"/>
      <c r="T803" s="14"/>
      <c r="U803" s="14"/>
      <c r="V803" s="14"/>
      <c r="W803" s="14"/>
      <c r="X803" s="14"/>
      <c r="Y803" s="14"/>
      <c r="Z803" s="14"/>
      <c r="AA803" s="14"/>
      <c r="AB803" s="14"/>
      <c r="AC803" s="14"/>
      <c r="AD803" s="14"/>
      <c r="AE803" s="14"/>
      <c r="AF803" s="14"/>
      <c r="AG803" s="14"/>
      <c r="AH803" s="14"/>
      <c r="AI803" s="14"/>
      <c r="AJ803" s="14"/>
      <c r="AK803" s="14"/>
      <c r="AL803" s="14"/>
      <c r="AM803" s="14"/>
      <c r="AN803" s="14"/>
      <c r="AO803" s="14"/>
      <c r="AP803" s="14"/>
      <c r="AQ803" s="14"/>
      <c r="AR803" s="14"/>
      <c r="AS803" s="14"/>
      <c r="AT803" s="14"/>
      <c r="AU803" s="14"/>
      <c r="AV803" s="14"/>
      <c r="AW803" s="14"/>
      <c r="AX803" s="14"/>
      <c r="AY803" s="14"/>
      <c r="AZ803" s="14"/>
      <c r="BA803" s="14"/>
      <c r="BB803" s="14"/>
      <c r="BC803" s="14"/>
      <c r="BD803" s="14"/>
      <c r="BE803" s="14"/>
      <c r="BF803" s="14"/>
      <c r="BG803" s="14"/>
      <c r="BH803" s="14"/>
      <c r="BI803" s="14"/>
      <c r="BJ803" s="14"/>
      <c r="BK803" s="14"/>
      <c r="BL803" s="14"/>
      <c r="BM803" s="14"/>
      <c r="BN803" s="14"/>
      <c r="BO803" s="14"/>
      <c r="BP803" s="14"/>
      <c r="BQ803" s="14"/>
      <c r="BR803" s="14"/>
      <c r="BS803" s="14"/>
      <c r="BT803" s="14"/>
      <c r="BU803" s="14"/>
      <c r="BV803" s="14"/>
      <c r="BW803" s="14"/>
      <c r="BX803" s="14"/>
      <c r="BY803" s="14"/>
      <c r="BZ803" s="14"/>
      <c r="CA803" s="14"/>
      <c r="CB803" s="14"/>
      <c r="CC803" s="14"/>
      <c r="CD803" s="14"/>
      <c r="CE803" s="14"/>
      <c r="CF803" s="14"/>
      <c r="CG803" s="14"/>
      <c r="CH803" s="14"/>
      <c r="CI803" s="14"/>
      <c r="CJ803" s="14"/>
      <c r="CK803" s="14"/>
      <c r="CL803" s="14"/>
      <c r="CM803" s="14"/>
      <c r="CN803" s="14"/>
      <c r="CO803" s="14"/>
      <c r="CP803" s="14"/>
      <c r="CQ803" s="14"/>
      <c r="CR803" s="14"/>
      <c r="CS803" s="14"/>
      <c r="CT803" s="14"/>
      <c r="CU803" s="14"/>
      <c r="CV803" s="14"/>
      <c r="CW803" s="14"/>
      <c r="CX803" s="14"/>
      <c r="CY803" s="14"/>
      <c r="CZ803" s="14"/>
      <c r="DA803" s="14"/>
      <c r="DB803" s="14"/>
      <c r="DC803" s="14"/>
      <c r="DD803" s="14"/>
      <c r="DE803" s="14"/>
      <c r="DF803" s="14"/>
      <c r="DG803" s="14"/>
      <c r="DH803" s="14"/>
      <c r="DI803" s="14"/>
      <c r="DJ803" s="14"/>
      <c r="DK803" s="14"/>
      <c r="DL803" s="14"/>
      <c r="DM803" s="14"/>
      <c r="DN803" s="14"/>
      <c r="DO803" s="14"/>
      <c r="DP803" s="14"/>
      <c r="DQ803" s="14"/>
      <c r="DR803" s="14"/>
      <c r="DS803" s="14"/>
      <c r="DT803" s="14"/>
      <c r="DU803" s="14"/>
      <c r="DV803" s="14"/>
      <c r="DW803" s="14"/>
      <c r="DX803" s="14"/>
      <c r="DY803" s="14"/>
      <c r="DZ803" s="14"/>
      <c r="EA803" s="14"/>
      <c r="EB803" s="14"/>
      <c r="EC803" s="14"/>
    </row>
    <row r="804" spans="1:133" s="13" customFormat="1" ht="172.2" x14ac:dyDescent="0.25">
      <c r="A804" s="63" t="s">
        <v>211</v>
      </c>
      <c r="B804" s="25" t="s">
        <v>84</v>
      </c>
      <c r="C804" s="35" t="s">
        <v>85</v>
      </c>
      <c r="D804" s="35" t="s">
        <v>355</v>
      </c>
      <c r="E804" s="25">
        <f>25.1/100</f>
        <v>0.251</v>
      </c>
      <c r="R804" s="14"/>
      <c r="S804" s="14"/>
      <c r="T804" s="14"/>
      <c r="U804" s="14"/>
      <c r="V804" s="14"/>
      <c r="W804" s="14"/>
      <c r="X804" s="14"/>
      <c r="Y804" s="14"/>
      <c r="Z804" s="14"/>
      <c r="AA804" s="14"/>
      <c r="AB804" s="14"/>
      <c r="AC804" s="14"/>
      <c r="AD804" s="14"/>
      <c r="AE804" s="14"/>
      <c r="AF804" s="14"/>
      <c r="AG804" s="14"/>
      <c r="AH804" s="14"/>
      <c r="AI804" s="14"/>
      <c r="AJ804" s="14"/>
      <c r="AK804" s="14"/>
      <c r="AL804" s="14"/>
      <c r="AM804" s="14"/>
      <c r="AN804" s="14"/>
      <c r="AO804" s="14"/>
      <c r="AP804" s="14"/>
      <c r="AQ804" s="14"/>
      <c r="AR804" s="14"/>
      <c r="AS804" s="14"/>
      <c r="AT804" s="14"/>
      <c r="AU804" s="14"/>
      <c r="AV804" s="14"/>
      <c r="AW804" s="14"/>
      <c r="AX804" s="14"/>
      <c r="AY804" s="14"/>
      <c r="AZ804" s="14"/>
      <c r="BA804" s="14"/>
      <c r="BB804" s="14"/>
      <c r="BC804" s="14"/>
      <c r="BD804" s="14"/>
      <c r="BE804" s="14"/>
      <c r="BF804" s="14"/>
      <c r="BG804" s="14"/>
      <c r="BH804" s="14"/>
      <c r="BI804" s="14"/>
      <c r="BJ804" s="14"/>
      <c r="BK804" s="14"/>
      <c r="BL804" s="14"/>
      <c r="BM804" s="14"/>
      <c r="BN804" s="14"/>
      <c r="BO804" s="14"/>
      <c r="BP804" s="14"/>
      <c r="BQ804" s="14"/>
      <c r="BR804" s="14"/>
      <c r="BS804" s="14"/>
      <c r="BT804" s="14"/>
      <c r="BU804" s="14"/>
      <c r="BV804" s="14"/>
      <c r="BW804" s="14"/>
      <c r="BX804" s="14"/>
      <c r="BY804" s="14"/>
      <c r="BZ804" s="14"/>
      <c r="CA804" s="14"/>
      <c r="CB804" s="14"/>
      <c r="CC804" s="14"/>
      <c r="CD804" s="14"/>
      <c r="CE804" s="14"/>
      <c r="CF804" s="14"/>
      <c r="CG804" s="14"/>
      <c r="CH804" s="14"/>
      <c r="CI804" s="14"/>
      <c r="CJ804" s="14"/>
      <c r="CK804" s="14"/>
      <c r="CL804" s="14"/>
      <c r="CM804" s="14"/>
      <c r="CN804" s="14"/>
      <c r="CO804" s="14"/>
      <c r="CP804" s="14"/>
      <c r="CQ804" s="14"/>
      <c r="CR804" s="14"/>
      <c r="CS804" s="14"/>
      <c r="CT804" s="14"/>
      <c r="CU804" s="14"/>
      <c r="CV804" s="14"/>
      <c r="CW804" s="14"/>
      <c r="CX804" s="14"/>
      <c r="CY804" s="14"/>
      <c r="CZ804" s="14"/>
      <c r="DA804" s="14"/>
      <c r="DB804" s="14"/>
      <c r="DC804" s="14"/>
      <c r="DD804" s="14"/>
      <c r="DE804" s="14"/>
      <c r="DF804" s="14"/>
      <c r="DG804" s="14"/>
      <c r="DH804" s="14"/>
      <c r="DI804" s="14"/>
      <c r="DJ804" s="14"/>
      <c r="DK804" s="14"/>
      <c r="DL804" s="14"/>
      <c r="DM804" s="14"/>
      <c r="DN804" s="14"/>
      <c r="DO804" s="14"/>
      <c r="DP804" s="14"/>
      <c r="DQ804" s="14"/>
      <c r="DR804" s="14"/>
      <c r="DS804" s="14"/>
      <c r="DT804" s="14"/>
      <c r="DU804" s="14"/>
      <c r="DV804" s="14"/>
      <c r="DW804" s="14"/>
      <c r="DX804" s="14"/>
      <c r="DY804" s="14"/>
      <c r="DZ804" s="14"/>
      <c r="EA804" s="14"/>
      <c r="EB804" s="14"/>
      <c r="EC804" s="14"/>
    </row>
    <row r="805" spans="1:133" s="13" customFormat="1" ht="156" x14ac:dyDescent="0.25">
      <c r="A805" s="63" t="s">
        <v>212</v>
      </c>
      <c r="B805" s="25" t="s">
        <v>87</v>
      </c>
      <c r="C805" s="35" t="s">
        <v>86</v>
      </c>
      <c r="D805" s="35" t="s">
        <v>356</v>
      </c>
      <c r="E805" s="25">
        <f>0.84/1000</f>
        <v>8.3999999999999993E-4</v>
      </c>
      <c r="R805" s="14"/>
      <c r="S805" s="14"/>
      <c r="T805" s="14"/>
      <c r="U805" s="14"/>
      <c r="V805" s="14"/>
      <c r="W805" s="14"/>
      <c r="X805" s="14"/>
      <c r="Y805" s="14"/>
      <c r="Z805" s="14"/>
      <c r="AA805" s="14"/>
      <c r="AB805" s="14"/>
      <c r="AC805" s="14"/>
      <c r="AD805" s="14"/>
      <c r="AE805" s="14"/>
      <c r="AF805" s="14"/>
      <c r="AG805" s="14"/>
      <c r="AH805" s="14"/>
      <c r="AI805" s="14"/>
      <c r="AJ805" s="14"/>
      <c r="AK805" s="14"/>
      <c r="AL805" s="14"/>
      <c r="AM805" s="14"/>
      <c r="AN805" s="14"/>
      <c r="AO805" s="14"/>
      <c r="AP805" s="14"/>
      <c r="AQ805" s="14"/>
      <c r="AR805" s="14"/>
      <c r="AS805" s="14"/>
      <c r="AT805" s="14"/>
      <c r="AU805" s="14"/>
      <c r="AV805" s="14"/>
      <c r="AW805" s="14"/>
      <c r="AX805" s="14"/>
      <c r="AY805" s="14"/>
      <c r="AZ805" s="14"/>
      <c r="BA805" s="14"/>
      <c r="BB805" s="14"/>
      <c r="BC805" s="14"/>
      <c r="BD805" s="14"/>
      <c r="BE805" s="14"/>
      <c r="BF805" s="14"/>
      <c r="BG805" s="14"/>
      <c r="BH805" s="14"/>
      <c r="BI805" s="14"/>
      <c r="BJ805" s="14"/>
      <c r="BK805" s="14"/>
      <c r="BL805" s="14"/>
      <c r="BM805" s="14"/>
      <c r="BN805" s="14"/>
      <c r="BO805" s="14"/>
      <c r="BP805" s="14"/>
      <c r="BQ805" s="14"/>
      <c r="BR805" s="14"/>
      <c r="BS805" s="14"/>
      <c r="BT805" s="14"/>
      <c r="BU805" s="14"/>
      <c r="BV805" s="14"/>
      <c r="BW805" s="14"/>
      <c r="BX805" s="14"/>
      <c r="BY805" s="14"/>
      <c r="BZ805" s="14"/>
      <c r="CA805" s="14"/>
      <c r="CB805" s="14"/>
      <c r="CC805" s="14"/>
      <c r="CD805" s="14"/>
      <c r="CE805" s="14"/>
      <c r="CF805" s="14"/>
      <c r="CG805" s="14"/>
      <c r="CH805" s="14"/>
      <c r="CI805" s="14"/>
      <c r="CJ805" s="14"/>
      <c r="CK805" s="14"/>
      <c r="CL805" s="14"/>
      <c r="CM805" s="14"/>
      <c r="CN805" s="14"/>
      <c r="CO805" s="14"/>
      <c r="CP805" s="14"/>
      <c r="CQ805" s="14"/>
      <c r="CR805" s="14"/>
      <c r="CS805" s="14"/>
      <c r="CT805" s="14"/>
      <c r="CU805" s="14"/>
      <c r="CV805" s="14"/>
      <c r="CW805" s="14"/>
      <c r="CX805" s="14"/>
      <c r="CY805" s="14"/>
      <c r="CZ805" s="14"/>
      <c r="DA805" s="14"/>
      <c r="DB805" s="14"/>
      <c r="DC805" s="14"/>
      <c r="DD805" s="14"/>
      <c r="DE805" s="14"/>
      <c r="DF805" s="14"/>
      <c r="DG805" s="14"/>
      <c r="DH805" s="14"/>
      <c r="DI805" s="14"/>
      <c r="DJ805" s="14"/>
      <c r="DK805" s="14"/>
      <c r="DL805" s="14"/>
      <c r="DM805" s="14"/>
      <c r="DN805" s="14"/>
      <c r="DO805" s="14"/>
      <c r="DP805" s="14"/>
      <c r="DQ805" s="14"/>
      <c r="DR805" s="14"/>
      <c r="DS805" s="14"/>
      <c r="DT805" s="14"/>
      <c r="DU805" s="14"/>
      <c r="DV805" s="14"/>
      <c r="DW805" s="14"/>
      <c r="DX805" s="14"/>
      <c r="DY805" s="14"/>
      <c r="DZ805" s="14"/>
      <c r="EA805" s="14"/>
      <c r="EB805" s="14"/>
      <c r="EC805" s="14"/>
    </row>
    <row r="806" spans="1:133" s="13" customFormat="1" ht="171.6" x14ac:dyDescent="0.25">
      <c r="A806" s="63" t="s">
        <v>213</v>
      </c>
      <c r="B806" s="25" t="s">
        <v>88</v>
      </c>
      <c r="C806" s="35" t="s">
        <v>89</v>
      </c>
      <c r="D806" s="35" t="s">
        <v>357</v>
      </c>
      <c r="E806" s="25">
        <f>43.33/1000</f>
        <v>4.333E-2</v>
      </c>
      <c r="R806" s="14"/>
      <c r="S806" s="14"/>
      <c r="T806" s="14"/>
      <c r="U806" s="14"/>
      <c r="V806" s="14"/>
      <c r="W806" s="14"/>
      <c r="X806" s="14"/>
      <c r="Y806" s="14"/>
      <c r="Z806" s="14"/>
      <c r="AA806" s="14"/>
      <c r="AB806" s="14"/>
      <c r="AC806" s="14"/>
      <c r="AD806" s="14"/>
      <c r="AE806" s="14"/>
      <c r="AF806" s="14"/>
      <c r="AG806" s="14"/>
      <c r="AH806" s="14"/>
      <c r="AI806" s="14"/>
      <c r="AJ806" s="14"/>
      <c r="AK806" s="14"/>
      <c r="AL806" s="14"/>
      <c r="AM806" s="14"/>
      <c r="AN806" s="14"/>
      <c r="AO806" s="14"/>
      <c r="AP806" s="14"/>
      <c r="AQ806" s="14"/>
      <c r="AR806" s="14"/>
      <c r="AS806" s="14"/>
      <c r="AT806" s="14"/>
      <c r="AU806" s="14"/>
      <c r="AV806" s="14"/>
      <c r="AW806" s="14"/>
      <c r="AX806" s="14"/>
      <c r="AY806" s="14"/>
      <c r="AZ806" s="14"/>
      <c r="BA806" s="14"/>
      <c r="BB806" s="14"/>
      <c r="BC806" s="14"/>
      <c r="BD806" s="14"/>
      <c r="BE806" s="14"/>
      <c r="BF806" s="14"/>
      <c r="BG806" s="14"/>
      <c r="BH806" s="14"/>
      <c r="BI806" s="14"/>
      <c r="BJ806" s="14"/>
      <c r="BK806" s="14"/>
      <c r="BL806" s="14"/>
      <c r="BM806" s="14"/>
      <c r="BN806" s="14"/>
      <c r="BO806" s="14"/>
      <c r="BP806" s="14"/>
      <c r="BQ806" s="14"/>
      <c r="BR806" s="14"/>
      <c r="BS806" s="14"/>
      <c r="BT806" s="14"/>
      <c r="BU806" s="14"/>
      <c r="BV806" s="14"/>
      <c r="BW806" s="14"/>
      <c r="BX806" s="14"/>
      <c r="BY806" s="14"/>
      <c r="BZ806" s="14"/>
      <c r="CA806" s="14"/>
      <c r="CB806" s="14"/>
      <c r="CC806" s="14"/>
      <c r="CD806" s="14"/>
      <c r="CE806" s="14"/>
      <c r="CF806" s="14"/>
      <c r="CG806" s="14"/>
      <c r="CH806" s="14"/>
      <c r="CI806" s="14"/>
      <c r="CJ806" s="14"/>
      <c r="CK806" s="14"/>
      <c r="CL806" s="14"/>
      <c r="CM806" s="14"/>
      <c r="CN806" s="14"/>
      <c r="CO806" s="14"/>
      <c r="CP806" s="14"/>
      <c r="CQ806" s="14"/>
      <c r="CR806" s="14"/>
      <c r="CS806" s="14"/>
      <c r="CT806" s="14"/>
      <c r="CU806" s="14"/>
      <c r="CV806" s="14"/>
      <c r="CW806" s="14"/>
      <c r="CX806" s="14"/>
      <c r="CY806" s="14"/>
      <c r="CZ806" s="14"/>
      <c r="DA806" s="14"/>
      <c r="DB806" s="14"/>
      <c r="DC806" s="14"/>
      <c r="DD806" s="14"/>
      <c r="DE806" s="14"/>
      <c r="DF806" s="14"/>
      <c r="DG806" s="14"/>
      <c r="DH806" s="14"/>
      <c r="DI806" s="14"/>
      <c r="DJ806" s="14"/>
      <c r="DK806" s="14"/>
      <c r="DL806" s="14"/>
      <c r="DM806" s="14"/>
      <c r="DN806" s="14"/>
      <c r="DO806" s="14"/>
      <c r="DP806" s="14"/>
      <c r="DQ806" s="14"/>
      <c r="DR806" s="14"/>
      <c r="DS806" s="14"/>
      <c r="DT806" s="14"/>
      <c r="DU806" s="14"/>
      <c r="DV806" s="14"/>
      <c r="DW806" s="14"/>
      <c r="DX806" s="14"/>
      <c r="DY806" s="14"/>
      <c r="DZ806" s="14"/>
      <c r="EA806" s="14"/>
      <c r="EB806" s="14"/>
      <c r="EC806" s="14"/>
    </row>
    <row r="807" spans="1:133" s="13" customFormat="1" ht="62.4" x14ac:dyDescent="0.25">
      <c r="A807" s="63" t="s">
        <v>214</v>
      </c>
      <c r="B807" s="25" t="s">
        <v>90</v>
      </c>
      <c r="C807" s="35" t="s">
        <v>91</v>
      </c>
      <c r="D807" s="35" t="s">
        <v>358</v>
      </c>
      <c r="E807" s="25">
        <v>74.099999999999994</v>
      </c>
      <c r="R807" s="14"/>
      <c r="S807" s="14"/>
      <c r="T807" s="14"/>
      <c r="U807" s="14"/>
      <c r="V807" s="14"/>
      <c r="W807" s="14"/>
      <c r="X807" s="14"/>
      <c r="Y807" s="14"/>
      <c r="Z807" s="14"/>
      <c r="AA807" s="14"/>
      <c r="AB807" s="14"/>
      <c r="AC807" s="14"/>
      <c r="AD807" s="14"/>
      <c r="AE807" s="14"/>
      <c r="AF807" s="14"/>
      <c r="AG807" s="14"/>
      <c r="AH807" s="14"/>
      <c r="AI807" s="14"/>
      <c r="AJ807" s="14"/>
      <c r="AK807" s="14"/>
      <c r="AL807" s="14"/>
      <c r="AM807" s="14"/>
      <c r="AN807" s="14"/>
      <c r="AO807" s="14"/>
      <c r="AP807" s="14"/>
      <c r="AQ807" s="14"/>
      <c r="AR807" s="14"/>
      <c r="AS807" s="14"/>
      <c r="AT807" s="14"/>
      <c r="AU807" s="14"/>
      <c r="AV807" s="14"/>
      <c r="AW807" s="14"/>
      <c r="AX807" s="14"/>
      <c r="AY807" s="14"/>
      <c r="AZ807" s="14"/>
      <c r="BA807" s="14"/>
      <c r="BB807" s="14"/>
      <c r="BC807" s="14"/>
      <c r="BD807" s="14"/>
      <c r="BE807" s="14"/>
      <c r="BF807" s="14"/>
      <c r="BG807" s="14"/>
      <c r="BH807" s="14"/>
      <c r="BI807" s="14"/>
      <c r="BJ807" s="14"/>
      <c r="BK807" s="14"/>
      <c r="BL807" s="14"/>
      <c r="BM807" s="14"/>
      <c r="BN807" s="14"/>
      <c r="BO807" s="14"/>
      <c r="BP807" s="14"/>
      <c r="BQ807" s="14"/>
      <c r="BR807" s="14"/>
      <c r="BS807" s="14"/>
      <c r="BT807" s="14"/>
      <c r="BU807" s="14"/>
      <c r="BV807" s="14"/>
      <c r="BW807" s="14"/>
      <c r="BX807" s="14"/>
      <c r="BY807" s="14"/>
      <c r="BZ807" s="14"/>
      <c r="CA807" s="14"/>
      <c r="CB807" s="14"/>
      <c r="CC807" s="14"/>
      <c r="CD807" s="14"/>
      <c r="CE807" s="14"/>
      <c r="CF807" s="14"/>
      <c r="CG807" s="14"/>
      <c r="CH807" s="14"/>
      <c r="CI807" s="14"/>
      <c r="CJ807" s="14"/>
      <c r="CK807" s="14"/>
      <c r="CL807" s="14"/>
      <c r="CM807" s="14"/>
      <c r="CN807" s="14"/>
      <c r="CO807" s="14"/>
      <c r="CP807" s="14"/>
      <c r="CQ807" s="14"/>
      <c r="CR807" s="14"/>
      <c r="CS807" s="14"/>
      <c r="CT807" s="14"/>
      <c r="CU807" s="14"/>
      <c r="CV807" s="14"/>
      <c r="CW807" s="14"/>
      <c r="CX807" s="14"/>
      <c r="CY807" s="14"/>
      <c r="CZ807" s="14"/>
      <c r="DA807" s="14"/>
      <c r="DB807" s="14"/>
      <c r="DC807" s="14"/>
      <c r="DD807" s="14"/>
      <c r="DE807" s="14"/>
      <c r="DF807" s="14"/>
      <c r="DG807" s="14"/>
      <c r="DH807" s="14"/>
      <c r="DI807" s="14"/>
      <c r="DJ807" s="14"/>
      <c r="DK807" s="14"/>
      <c r="DL807" s="14"/>
      <c r="DM807" s="14"/>
      <c r="DN807" s="14"/>
      <c r="DO807" s="14"/>
      <c r="DP807" s="14"/>
      <c r="DQ807" s="14"/>
      <c r="DR807" s="14"/>
      <c r="DS807" s="14"/>
      <c r="DT807" s="14"/>
      <c r="DU807" s="14"/>
      <c r="DV807" s="14"/>
      <c r="DW807" s="14"/>
      <c r="DX807" s="14"/>
      <c r="DY807" s="14"/>
      <c r="DZ807" s="14"/>
      <c r="EA807" s="14"/>
      <c r="EB807" s="14"/>
      <c r="EC807" s="14"/>
    </row>
    <row r="809" spans="1:133" s="13" customFormat="1" ht="15.6" customHeight="1" x14ac:dyDescent="0.25">
      <c r="A809" s="36" t="s">
        <v>93</v>
      </c>
      <c r="B809" s="36"/>
      <c r="C809" s="36"/>
      <c r="D809" s="36"/>
      <c r="E809" s="36"/>
      <c r="R809" s="14"/>
      <c r="S809" s="14"/>
      <c r="T809" s="14"/>
      <c r="U809" s="14"/>
      <c r="V809" s="14"/>
      <c r="W809" s="14"/>
      <c r="X809" s="14"/>
      <c r="Y809" s="14"/>
      <c r="Z809" s="14"/>
      <c r="AA809" s="14"/>
      <c r="AB809" s="14"/>
      <c r="AC809" s="14"/>
      <c r="AD809" s="14"/>
      <c r="AE809" s="14"/>
      <c r="AF809" s="14"/>
      <c r="AG809" s="14"/>
      <c r="AH809" s="14"/>
      <c r="AI809" s="14"/>
      <c r="AJ809" s="14"/>
      <c r="AK809" s="14"/>
      <c r="AL809" s="14"/>
      <c r="AM809" s="14"/>
      <c r="AN809" s="14"/>
      <c r="AO809" s="14"/>
      <c r="AP809" s="14"/>
      <c r="AQ809" s="14"/>
      <c r="AR809" s="14"/>
      <c r="AS809" s="14"/>
      <c r="AT809" s="14"/>
      <c r="AU809" s="14"/>
      <c r="AV809" s="14"/>
      <c r="AW809" s="14"/>
      <c r="AX809" s="14"/>
      <c r="AY809" s="14"/>
      <c r="AZ809" s="14"/>
      <c r="BA809" s="14"/>
      <c r="BB809" s="14"/>
      <c r="BC809" s="14"/>
      <c r="BD809" s="14"/>
      <c r="BE809" s="14"/>
      <c r="BF809" s="14"/>
      <c r="BG809" s="14"/>
      <c r="BH809" s="14"/>
      <c r="BI809" s="14"/>
      <c r="BJ809" s="14"/>
      <c r="BK809" s="14"/>
      <c r="BL809" s="14"/>
      <c r="BM809" s="14"/>
      <c r="BN809" s="14"/>
      <c r="BO809" s="14"/>
      <c r="BP809" s="14"/>
      <c r="BQ809" s="14"/>
      <c r="BR809" s="14"/>
      <c r="BS809" s="14"/>
      <c r="BT809" s="14"/>
      <c r="BU809" s="14"/>
      <c r="BV809" s="14"/>
      <c r="BW809" s="14"/>
      <c r="BX809" s="14"/>
      <c r="BY809" s="14"/>
      <c r="BZ809" s="14"/>
      <c r="CA809" s="14"/>
      <c r="CB809" s="14"/>
      <c r="CC809" s="14"/>
      <c r="CD809" s="14"/>
      <c r="CE809" s="14"/>
      <c r="CF809" s="14"/>
      <c r="CG809" s="14"/>
      <c r="CH809" s="14"/>
      <c r="CI809" s="14"/>
      <c r="CJ809" s="14"/>
      <c r="CK809" s="14"/>
      <c r="CL809" s="14"/>
      <c r="CM809" s="14"/>
      <c r="CN809" s="14"/>
      <c r="CO809" s="14"/>
      <c r="CP809" s="14"/>
      <c r="CQ809" s="14"/>
      <c r="CR809" s="14"/>
      <c r="CS809" s="14"/>
      <c r="CT809" s="14"/>
      <c r="CU809" s="14"/>
      <c r="CV809" s="14"/>
      <c r="CW809" s="14"/>
      <c r="CX809" s="14"/>
      <c r="CY809" s="14"/>
      <c r="CZ809" s="14"/>
      <c r="DA809" s="14"/>
      <c r="DB809" s="14"/>
      <c r="DC809" s="14"/>
      <c r="DD809" s="14"/>
      <c r="DE809" s="14"/>
      <c r="DF809" s="14"/>
      <c r="DG809" s="14"/>
      <c r="DH809" s="14"/>
      <c r="DI809" s="14"/>
      <c r="DJ809" s="14"/>
      <c r="DK809" s="14"/>
      <c r="DL809" s="14"/>
      <c r="DM809" s="14"/>
      <c r="DN809" s="14"/>
      <c r="DO809" s="14"/>
      <c r="DP809" s="14"/>
      <c r="DQ809" s="14"/>
      <c r="DR809" s="14"/>
      <c r="DS809" s="14"/>
      <c r="DT809" s="14"/>
      <c r="DU809" s="14"/>
      <c r="DV809" s="14"/>
      <c r="DW809" s="14"/>
      <c r="DX809" s="14"/>
      <c r="DY809" s="14"/>
      <c r="DZ809" s="14"/>
      <c r="EA809" s="14"/>
      <c r="EB809" s="14"/>
      <c r="EC809" s="14"/>
    </row>
    <row r="810" spans="1:133" s="13" customFormat="1" x14ac:dyDescent="0.25">
      <c r="A810" s="57" t="s">
        <v>8</v>
      </c>
      <c r="B810" s="58" t="s">
        <v>9</v>
      </c>
      <c r="C810" s="34" t="s">
        <v>10</v>
      </c>
      <c r="D810" s="34" t="s">
        <v>340</v>
      </c>
      <c r="E810" s="16" t="s">
        <v>65</v>
      </c>
      <c r="R810" s="14"/>
      <c r="S810" s="14"/>
      <c r="T810" s="14"/>
      <c r="U810" s="14"/>
      <c r="V810" s="14"/>
      <c r="W810" s="14"/>
      <c r="X810" s="14"/>
      <c r="Y810" s="14"/>
      <c r="Z810" s="14"/>
      <c r="AA810" s="14"/>
      <c r="AB810" s="14"/>
      <c r="AC810" s="14"/>
      <c r="AD810" s="14"/>
      <c r="AE810" s="14"/>
      <c r="AF810" s="14"/>
      <c r="AG810" s="14"/>
      <c r="AH810" s="14"/>
      <c r="AI810" s="14"/>
      <c r="AJ810" s="14"/>
      <c r="AK810" s="14"/>
      <c r="AL810" s="14"/>
      <c r="AM810" s="14"/>
      <c r="AN810" s="14"/>
      <c r="AO810" s="14"/>
      <c r="AP810" s="14"/>
      <c r="AQ810" s="14"/>
      <c r="AR810" s="14"/>
      <c r="AS810" s="14"/>
      <c r="AT810" s="14"/>
      <c r="AU810" s="14"/>
      <c r="AV810" s="14"/>
      <c r="AW810" s="14"/>
      <c r="AX810" s="14"/>
      <c r="AY810" s="14"/>
      <c r="AZ810" s="14"/>
      <c r="BA810" s="14"/>
      <c r="BB810" s="14"/>
      <c r="BC810" s="14"/>
      <c r="BD810" s="14"/>
      <c r="BE810" s="14"/>
      <c r="BF810" s="14"/>
      <c r="BG810" s="14"/>
      <c r="BH810" s="14"/>
      <c r="BI810" s="14"/>
      <c r="BJ810" s="14"/>
      <c r="BK810" s="14"/>
      <c r="BL810" s="14"/>
      <c r="BM810" s="14"/>
      <c r="BN810" s="14"/>
      <c r="BO810" s="14"/>
      <c r="BP810" s="14"/>
      <c r="BQ810" s="14"/>
      <c r="BR810" s="14"/>
      <c r="BS810" s="14"/>
      <c r="BT810" s="14"/>
      <c r="BU810" s="14"/>
      <c r="BV810" s="14"/>
      <c r="BW810" s="14"/>
      <c r="BX810" s="14"/>
      <c r="BY810" s="14"/>
      <c r="BZ810" s="14"/>
      <c r="CA810" s="14"/>
      <c r="CB810" s="14"/>
      <c r="CC810" s="14"/>
      <c r="CD810" s="14"/>
      <c r="CE810" s="14"/>
      <c r="CF810" s="14"/>
      <c r="CG810" s="14"/>
      <c r="CH810" s="14"/>
      <c r="CI810" s="14"/>
      <c r="CJ810" s="14"/>
      <c r="CK810" s="14"/>
      <c r="CL810" s="14"/>
      <c r="CM810" s="14"/>
      <c r="CN810" s="14"/>
      <c r="CO810" s="14"/>
      <c r="CP810" s="14"/>
      <c r="CQ810" s="14"/>
      <c r="CR810" s="14"/>
      <c r="CS810" s="14"/>
      <c r="CT810" s="14"/>
      <c r="CU810" s="14"/>
      <c r="CV810" s="14"/>
      <c r="CW810" s="14"/>
      <c r="CX810" s="14"/>
      <c r="CY810" s="14"/>
      <c r="CZ810" s="14"/>
      <c r="DA810" s="14"/>
      <c r="DB810" s="14"/>
      <c r="DC810" s="14"/>
      <c r="DD810" s="14"/>
      <c r="DE810" s="14"/>
      <c r="DF810" s="14"/>
      <c r="DG810" s="14"/>
      <c r="DH810" s="14"/>
      <c r="DI810" s="14"/>
      <c r="DJ810" s="14"/>
      <c r="DK810" s="14"/>
      <c r="DL810" s="14"/>
      <c r="DM810" s="14"/>
      <c r="DN810" s="14"/>
      <c r="DO810" s="14"/>
      <c r="DP810" s="14"/>
      <c r="DQ810" s="14"/>
      <c r="DR810" s="14"/>
      <c r="DS810" s="14"/>
      <c r="DT810" s="14"/>
      <c r="DU810" s="14"/>
      <c r="DV810" s="14"/>
      <c r="DW810" s="14"/>
      <c r="DX810" s="14"/>
      <c r="DY810" s="14"/>
      <c r="DZ810" s="14"/>
      <c r="EA810" s="14"/>
      <c r="EB810" s="14"/>
      <c r="EC810" s="14"/>
    </row>
    <row r="811" spans="1:133" s="13" customFormat="1" ht="64.8" x14ac:dyDescent="0.25">
      <c r="A811" s="15" t="s">
        <v>94</v>
      </c>
      <c r="B811" s="25" t="s">
        <v>95</v>
      </c>
      <c r="C811" s="35" t="s">
        <v>96</v>
      </c>
      <c r="D811" s="35" t="s">
        <v>97</v>
      </c>
      <c r="E811" s="16">
        <v>0</v>
      </c>
      <c r="R811" s="14"/>
      <c r="S811" s="14"/>
      <c r="T811" s="14"/>
      <c r="U811" s="14"/>
      <c r="V811" s="14"/>
      <c r="W811" s="14"/>
      <c r="X811" s="14"/>
      <c r="Y811" s="14"/>
      <c r="Z811" s="14"/>
      <c r="AA811" s="14"/>
      <c r="AB811" s="14"/>
      <c r="AC811" s="14"/>
      <c r="AD811" s="14"/>
      <c r="AE811" s="14"/>
      <c r="AF811" s="14"/>
      <c r="AG811" s="14"/>
      <c r="AH811" s="14"/>
      <c r="AI811" s="14"/>
      <c r="AJ811" s="14"/>
      <c r="AK811" s="14"/>
      <c r="AL811" s="14"/>
      <c r="AM811" s="14"/>
      <c r="AN811" s="14"/>
      <c r="AO811" s="14"/>
      <c r="AP811" s="14"/>
      <c r="AQ811" s="14"/>
      <c r="AR811" s="14"/>
      <c r="AS811" s="14"/>
      <c r="AT811" s="14"/>
      <c r="AU811" s="14"/>
      <c r="AV811" s="14"/>
      <c r="AW811" s="14"/>
      <c r="AX811" s="14"/>
      <c r="AY811" s="14"/>
      <c r="AZ811" s="14"/>
      <c r="BA811" s="14"/>
      <c r="BB811" s="14"/>
      <c r="BC811" s="14"/>
      <c r="BD811" s="14"/>
      <c r="BE811" s="14"/>
      <c r="BF811" s="14"/>
      <c r="BG811" s="14"/>
      <c r="BH811" s="14"/>
      <c r="BI811" s="14"/>
      <c r="BJ811" s="14"/>
      <c r="BK811" s="14"/>
      <c r="BL811" s="14"/>
      <c r="BM811" s="14"/>
      <c r="BN811" s="14"/>
      <c r="BO811" s="14"/>
      <c r="BP811" s="14"/>
      <c r="BQ811" s="14"/>
      <c r="BR811" s="14"/>
      <c r="BS811" s="14"/>
      <c r="BT811" s="14"/>
      <c r="BU811" s="14"/>
      <c r="BV811" s="14"/>
      <c r="BW811" s="14"/>
      <c r="BX811" s="14"/>
      <c r="BY811" s="14"/>
      <c r="BZ811" s="14"/>
      <c r="CA811" s="14"/>
      <c r="CB811" s="14"/>
      <c r="CC811" s="14"/>
      <c r="CD811" s="14"/>
      <c r="CE811" s="14"/>
      <c r="CF811" s="14"/>
      <c r="CG811" s="14"/>
      <c r="CH811" s="14"/>
      <c r="CI811" s="14"/>
      <c r="CJ811" s="14"/>
      <c r="CK811" s="14"/>
      <c r="CL811" s="14"/>
      <c r="CM811" s="14"/>
      <c r="CN811" s="14"/>
      <c r="CO811" s="14"/>
      <c r="CP811" s="14"/>
      <c r="CQ811" s="14"/>
      <c r="CR811" s="14"/>
      <c r="CS811" s="14"/>
      <c r="CT811" s="14"/>
      <c r="CU811" s="14"/>
      <c r="CV811" s="14"/>
      <c r="CW811" s="14"/>
      <c r="CX811" s="14"/>
      <c r="CY811" s="14"/>
      <c r="CZ811" s="14"/>
      <c r="DA811" s="14"/>
      <c r="DB811" s="14"/>
      <c r="DC811" s="14"/>
      <c r="DD811" s="14"/>
      <c r="DE811" s="14"/>
      <c r="DF811" s="14"/>
      <c r="DG811" s="14"/>
      <c r="DH811" s="14"/>
      <c r="DI811" s="14"/>
      <c r="DJ811" s="14"/>
      <c r="DK811" s="14"/>
      <c r="DL811" s="14"/>
      <c r="DM811" s="14"/>
      <c r="DN811" s="14"/>
      <c r="DO811" s="14"/>
      <c r="DP811" s="14"/>
      <c r="DQ811" s="14"/>
      <c r="DR811" s="14"/>
      <c r="DS811" s="14"/>
      <c r="DT811" s="14"/>
      <c r="DU811" s="14"/>
      <c r="DV811" s="14"/>
      <c r="DW811" s="14"/>
      <c r="DX811" s="14"/>
      <c r="DY811" s="14"/>
      <c r="DZ811" s="14"/>
      <c r="EA811" s="14"/>
      <c r="EB811" s="14"/>
      <c r="EC811" s="14"/>
    </row>
    <row r="813" spans="1:133" s="13" customFormat="1" ht="15.6" customHeight="1" x14ac:dyDescent="0.25">
      <c r="A813" s="36" t="s">
        <v>98</v>
      </c>
      <c r="B813" s="36"/>
      <c r="C813" s="36"/>
      <c r="D813" s="36"/>
      <c r="E813" s="36"/>
      <c r="R813" s="14"/>
      <c r="S813" s="14"/>
      <c r="T813" s="14"/>
      <c r="U813" s="14"/>
      <c r="V813" s="14"/>
      <c r="W813" s="14"/>
      <c r="X813" s="14"/>
      <c r="Y813" s="14"/>
      <c r="Z813" s="14"/>
      <c r="AA813" s="14"/>
      <c r="AB813" s="14"/>
      <c r="AC813" s="14"/>
      <c r="AD813" s="14"/>
      <c r="AE813" s="14"/>
      <c r="AF813" s="14"/>
      <c r="AG813" s="14"/>
      <c r="AH813" s="14"/>
      <c r="AI813" s="14"/>
      <c r="AJ813" s="14"/>
      <c r="AK813" s="14"/>
      <c r="AL813" s="14"/>
      <c r="AM813" s="14"/>
      <c r="AN813" s="14"/>
      <c r="AO813" s="14"/>
      <c r="AP813" s="14"/>
      <c r="AQ813" s="14"/>
      <c r="AR813" s="14"/>
      <c r="AS813" s="14"/>
      <c r="AT813" s="14"/>
      <c r="AU813" s="14"/>
      <c r="AV813" s="14"/>
      <c r="AW813" s="14"/>
      <c r="AX813" s="14"/>
      <c r="AY813" s="14"/>
      <c r="AZ813" s="14"/>
      <c r="BA813" s="14"/>
      <c r="BB813" s="14"/>
      <c r="BC813" s="14"/>
      <c r="BD813" s="14"/>
      <c r="BE813" s="14"/>
      <c r="BF813" s="14"/>
      <c r="BG813" s="14"/>
      <c r="BH813" s="14"/>
      <c r="BI813" s="14"/>
      <c r="BJ813" s="14"/>
      <c r="BK813" s="14"/>
      <c r="BL813" s="14"/>
      <c r="BM813" s="14"/>
      <c r="BN813" s="14"/>
      <c r="BO813" s="14"/>
      <c r="BP813" s="14"/>
      <c r="BQ813" s="14"/>
      <c r="BR813" s="14"/>
      <c r="BS813" s="14"/>
      <c r="BT813" s="14"/>
      <c r="BU813" s="14"/>
      <c r="BV813" s="14"/>
      <c r="BW813" s="14"/>
      <c r="BX813" s="14"/>
      <c r="BY813" s="14"/>
      <c r="BZ813" s="14"/>
      <c r="CA813" s="14"/>
      <c r="CB813" s="14"/>
      <c r="CC813" s="14"/>
      <c r="CD813" s="14"/>
      <c r="CE813" s="14"/>
      <c r="CF813" s="14"/>
      <c r="CG813" s="14"/>
      <c r="CH813" s="14"/>
      <c r="CI813" s="14"/>
      <c r="CJ813" s="14"/>
      <c r="CK813" s="14"/>
      <c r="CL813" s="14"/>
      <c r="CM813" s="14"/>
      <c r="CN813" s="14"/>
      <c r="CO813" s="14"/>
      <c r="CP813" s="14"/>
      <c r="CQ813" s="14"/>
      <c r="CR813" s="14"/>
      <c r="CS813" s="14"/>
      <c r="CT813" s="14"/>
      <c r="CU813" s="14"/>
      <c r="CV813" s="14"/>
      <c r="CW813" s="14"/>
      <c r="CX813" s="14"/>
      <c r="CY813" s="14"/>
      <c r="CZ813" s="14"/>
      <c r="DA813" s="14"/>
      <c r="DB813" s="14"/>
      <c r="DC813" s="14"/>
      <c r="DD813" s="14"/>
      <c r="DE813" s="14"/>
      <c r="DF813" s="14"/>
      <c r="DG813" s="14"/>
      <c r="DH813" s="14"/>
      <c r="DI813" s="14"/>
      <c r="DJ813" s="14"/>
      <c r="DK813" s="14"/>
      <c r="DL813" s="14"/>
      <c r="DM813" s="14"/>
      <c r="DN813" s="14"/>
      <c r="DO813" s="14"/>
      <c r="DP813" s="14"/>
      <c r="DQ813" s="14"/>
      <c r="DR813" s="14"/>
      <c r="DS813" s="14"/>
      <c r="DT813" s="14"/>
      <c r="DU813" s="14"/>
      <c r="DV813" s="14"/>
      <c r="DW813" s="14"/>
      <c r="DX813" s="14"/>
      <c r="DY813" s="14"/>
      <c r="DZ813" s="14"/>
      <c r="EA813" s="14"/>
      <c r="EB813" s="14"/>
      <c r="EC813" s="14"/>
    </row>
    <row r="814" spans="1:133" s="13" customFormat="1" x14ac:dyDescent="0.25">
      <c r="A814" s="57" t="s">
        <v>8</v>
      </c>
      <c r="B814" s="58" t="s">
        <v>9</v>
      </c>
      <c r="C814" s="34" t="s">
        <v>10</v>
      </c>
      <c r="D814" s="34" t="s">
        <v>340</v>
      </c>
      <c r="E814" s="16" t="s">
        <v>65</v>
      </c>
      <c r="R814" s="14"/>
      <c r="S814" s="14"/>
      <c r="T814" s="14"/>
      <c r="U814" s="14"/>
      <c r="V814" s="14"/>
      <c r="W814" s="14"/>
      <c r="X814" s="14"/>
      <c r="Y814" s="14"/>
      <c r="Z814" s="14"/>
      <c r="AA814" s="14"/>
      <c r="AB814" s="14"/>
      <c r="AC814" s="14"/>
      <c r="AD814" s="14"/>
      <c r="AE814" s="14"/>
      <c r="AF814" s="14"/>
      <c r="AG814" s="14"/>
      <c r="AH814" s="14"/>
      <c r="AI814" s="14"/>
      <c r="AJ814" s="14"/>
      <c r="AK814" s="14"/>
      <c r="AL814" s="14"/>
      <c r="AM814" s="14"/>
      <c r="AN814" s="14"/>
      <c r="AO814" s="14"/>
      <c r="AP814" s="14"/>
      <c r="AQ814" s="14"/>
      <c r="AR814" s="14"/>
      <c r="AS814" s="14"/>
      <c r="AT814" s="14"/>
      <c r="AU814" s="14"/>
      <c r="AV814" s="14"/>
      <c r="AW814" s="14"/>
      <c r="AX814" s="14"/>
      <c r="AY814" s="14"/>
      <c r="AZ814" s="14"/>
      <c r="BA814" s="14"/>
      <c r="BB814" s="14"/>
      <c r="BC814" s="14"/>
      <c r="BD814" s="14"/>
      <c r="BE814" s="14"/>
      <c r="BF814" s="14"/>
      <c r="BG814" s="14"/>
      <c r="BH814" s="14"/>
      <c r="BI814" s="14"/>
      <c r="BJ814" s="14"/>
      <c r="BK814" s="14"/>
      <c r="BL814" s="14"/>
      <c r="BM814" s="14"/>
      <c r="BN814" s="14"/>
      <c r="BO814" s="14"/>
      <c r="BP814" s="14"/>
      <c r="BQ814" s="14"/>
      <c r="BR814" s="14"/>
      <c r="BS814" s="14"/>
      <c r="BT814" s="14"/>
      <c r="BU814" s="14"/>
      <c r="BV814" s="14"/>
      <c r="BW814" s="14"/>
      <c r="BX814" s="14"/>
      <c r="BY814" s="14"/>
      <c r="BZ814" s="14"/>
      <c r="CA814" s="14"/>
      <c r="CB814" s="14"/>
      <c r="CC814" s="14"/>
      <c r="CD814" s="14"/>
      <c r="CE814" s="14"/>
      <c r="CF814" s="14"/>
      <c r="CG814" s="14"/>
      <c r="CH814" s="14"/>
      <c r="CI814" s="14"/>
      <c r="CJ814" s="14"/>
      <c r="CK814" s="14"/>
      <c r="CL814" s="14"/>
      <c r="CM814" s="14"/>
      <c r="CN814" s="14"/>
      <c r="CO814" s="14"/>
      <c r="CP814" s="14"/>
      <c r="CQ814" s="14"/>
      <c r="CR814" s="14"/>
      <c r="CS814" s="14"/>
      <c r="CT814" s="14"/>
      <c r="CU814" s="14"/>
      <c r="CV814" s="14"/>
      <c r="CW814" s="14"/>
      <c r="CX814" s="14"/>
      <c r="CY814" s="14"/>
      <c r="CZ814" s="14"/>
      <c r="DA814" s="14"/>
      <c r="DB814" s="14"/>
      <c r="DC814" s="14"/>
      <c r="DD814" s="14"/>
      <c r="DE814" s="14"/>
      <c r="DF814" s="14"/>
      <c r="DG814" s="14"/>
      <c r="DH814" s="14"/>
      <c r="DI814" s="14"/>
      <c r="DJ814" s="14"/>
      <c r="DK814" s="14"/>
      <c r="DL814" s="14"/>
      <c r="DM814" s="14"/>
      <c r="DN814" s="14"/>
      <c r="DO814" s="14"/>
      <c r="DP814" s="14"/>
      <c r="DQ814" s="14"/>
      <c r="DR814" s="14"/>
      <c r="DS814" s="14"/>
      <c r="DT814" s="14"/>
      <c r="DU814" s="14"/>
      <c r="DV814" s="14"/>
      <c r="DW814" s="14"/>
      <c r="DX814" s="14"/>
      <c r="DY814" s="14"/>
      <c r="DZ814" s="14"/>
      <c r="EA814" s="14"/>
      <c r="EB814" s="14"/>
      <c r="EC814" s="14"/>
    </row>
    <row r="815" spans="1:133" s="13" customFormat="1" ht="49.2" x14ac:dyDescent="0.25">
      <c r="A815" s="15" t="s">
        <v>99</v>
      </c>
      <c r="B815" s="25" t="s">
        <v>95</v>
      </c>
      <c r="C815" s="35" t="s">
        <v>100</v>
      </c>
      <c r="D815" s="35" t="s">
        <v>101</v>
      </c>
      <c r="E815" s="16">
        <v>0</v>
      </c>
      <c r="R815" s="14"/>
      <c r="S815" s="14"/>
      <c r="T815" s="14"/>
      <c r="U815" s="14"/>
      <c r="V815" s="14"/>
      <c r="W815" s="14"/>
      <c r="X815" s="14"/>
      <c r="Y815" s="14"/>
      <c r="Z815" s="14"/>
      <c r="AA815" s="14"/>
      <c r="AB815" s="14"/>
      <c r="AC815" s="14"/>
      <c r="AD815" s="14"/>
      <c r="AE815" s="14"/>
      <c r="AF815" s="14"/>
      <c r="AG815" s="14"/>
      <c r="AH815" s="14"/>
      <c r="AI815" s="14"/>
      <c r="AJ815" s="14"/>
      <c r="AK815" s="14"/>
      <c r="AL815" s="14"/>
      <c r="AM815" s="14"/>
      <c r="AN815" s="14"/>
      <c r="AO815" s="14"/>
      <c r="AP815" s="14"/>
      <c r="AQ815" s="14"/>
      <c r="AR815" s="14"/>
      <c r="AS815" s="14"/>
      <c r="AT815" s="14"/>
      <c r="AU815" s="14"/>
      <c r="AV815" s="14"/>
      <c r="AW815" s="14"/>
      <c r="AX815" s="14"/>
      <c r="AY815" s="14"/>
      <c r="AZ815" s="14"/>
      <c r="BA815" s="14"/>
      <c r="BB815" s="14"/>
      <c r="BC815" s="14"/>
      <c r="BD815" s="14"/>
      <c r="BE815" s="14"/>
      <c r="BF815" s="14"/>
      <c r="BG815" s="14"/>
      <c r="BH815" s="14"/>
      <c r="BI815" s="14"/>
      <c r="BJ815" s="14"/>
      <c r="BK815" s="14"/>
      <c r="BL815" s="14"/>
      <c r="BM815" s="14"/>
      <c r="BN815" s="14"/>
      <c r="BO815" s="14"/>
      <c r="BP815" s="14"/>
      <c r="BQ815" s="14"/>
      <c r="BR815" s="14"/>
      <c r="BS815" s="14"/>
      <c r="BT815" s="14"/>
      <c r="BU815" s="14"/>
      <c r="BV815" s="14"/>
      <c r="BW815" s="14"/>
      <c r="BX815" s="14"/>
      <c r="BY815" s="14"/>
      <c r="BZ815" s="14"/>
      <c r="CA815" s="14"/>
      <c r="CB815" s="14"/>
      <c r="CC815" s="14"/>
      <c r="CD815" s="14"/>
      <c r="CE815" s="14"/>
      <c r="CF815" s="14"/>
      <c r="CG815" s="14"/>
      <c r="CH815" s="14"/>
      <c r="CI815" s="14"/>
      <c r="CJ815" s="14"/>
      <c r="CK815" s="14"/>
      <c r="CL815" s="14"/>
      <c r="CM815" s="14"/>
      <c r="CN815" s="14"/>
      <c r="CO815" s="14"/>
      <c r="CP815" s="14"/>
      <c r="CQ815" s="14"/>
      <c r="CR815" s="14"/>
      <c r="CS815" s="14"/>
      <c r="CT815" s="14"/>
      <c r="CU815" s="14"/>
      <c r="CV815" s="14"/>
      <c r="CW815" s="14"/>
      <c r="CX815" s="14"/>
      <c r="CY815" s="14"/>
      <c r="CZ815" s="14"/>
      <c r="DA815" s="14"/>
      <c r="DB815" s="14"/>
      <c r="DC815" s="14"/>
      <c r="DD815" s="14"/>
      <c r="DE815" s="14"/>
      <c r="DF815" s="14"/>
      <c r="DG815" s="14"/>
      <c r="DH815" s="14"/>
      <c r="DI815" s="14"/>
      <c r="DJ815" s="14"/>
      <c r="DK815" s="14"/>
      <c r="DL815" s="14"/>
      <c r="DM815" s="14"/>
      <c r="DN815" s="14"/>
      <c r="DO815" s="14"/>
      <c r="DP815" s="14"/>
      <c r="DQ815" s="14"/>
      <c r="DR815" s="14"/>
      <c r="DS815" s="14"/>
      <c r="DT815" s="14"/>
      <c r="DU815" s="14"/>
      <c r="DV815" s="14"/>
      <c r="DW815" s="14"/>
      <c r="DX815" s="14"/>
      <c r="DY815" s="14"/>
      <c r="DZ815" s="14"/>
      <c r="EA815" s="14"/>
      <c r="EB815" s="14"/>
      <c r="EC815" s="14"/>
    </row>
    <row r="817" spans="1:133" x14ac:dyDescent="0.25">
      <c r="A817" s="57" t="s">
        <v>8</v>
      </c>
      <c r="B817" s="58" t="s">
        <v>9</v>
      </c>
      <c r="C817" s="34" t="s">
        <v>10</v>
      </c>
      <c r="D817" s="34" t="s">
        <v>340</v>
      </c>
      <c r="E817" s="16" t="s">
        <v>65</v>
      </c>
    </row>
    <row r="818" spans="1:133" ht="18" x14ac:dyDescent="0.25">
      <c r="A818" s="59" t="s">
        <v>102</v>
      </c>
      <c r="B818" s="25" t="s">
        <v>103</v>
      </c>
      <c r="C818" s="35" t="s">
        <v>104</v>
      </c>
      <c r="D818" s="53" t="s">
        <v>380</v>
      </c>
      <c r="E818" s="18">
        <f>ROUNDDOWN(E768+E799+E794+E811+E815,0)</f>
        <v>6667</v>
      </c>
    </row>
    <row r="819" spans="1:133" s="167" customFormat="1" ht="43.2" customHeight="1" x14ac:dyDescent="0.25">
      <c r="A819" s="171" t="s">
        <v>238</v>
      </c>
      <c r="B819" s="172"/>
      <c r="C819" s="172"/>
      <c r="D819" s="172"/>
      <c r="E819" s="172"/>
      <c r="F819" s="172"/>
      <c r="G819" s="172"/>
      <c r="H819" s="172"/>
      <c r="I819" s="172"/>
      <c r="J819" s="172"/>
      <c r="K819" s="172"/>
      <c r="L819" s="172"/>
      <c r="M819" s="172"/>
      <c r="N819" s="172"/>
      <c r="O819" s="172"/>
      <c r="P819" s="172"/>
      <c r="Q819" s="172"/>
      <c r="R819" s="172"/>
      <c r="S819" s="172"/>
      <c r="T819" s="172"/>
      <c r="U819" s="172"/>
      <c r="V819" s="172"/>
      <c r="W819" s="172"/>
      <c r="X819" s="172"/>
      <c r="Y819" s="172"/>
      <c r="Z819" s="172"/>
      <c r="AA819" s="172"/>
      <c r="AB819" s="172"/>
      <c r="AC819" s="172"/>
      <c r="AD819" s="172"/>
      <c r="AE819" s="172"/>
      <c r="AF819" s="172"/>
      <c r="AG819" s="172"/>
      <c r="AH819" s="172"/>
      <c r="AI819" s="172"/>
      <c r="AJ819" s="172"/>
      <c r="AK819" s="172"/>
      <c r="AL819" s="172"/>
      <c r="AM819" s="172"/>
      <c r="AN819" s="172"/>
      <c r="AO819" s="172"/>
      <c r="AP819" s="172"/>
      <c r="AQ819" s="172"/>
      <c r="AR819" s="172"/>
      <c r="AS819" s="172"/>
      <c r="AT819" s="172"/>
      <c r="AU819" s="172"/>
      <c r="AV819" s="172"/>
      <c r="AW819" s="172"/>
      <c r="AX819" s="172"/>
      <c r="AY819" s="172"/>
      <c r="AZ819" s="172"/>
      <c r="BA819" s="172"/>
      <c r="BB819" s="172"/>
      <c r="BC819" s="172"/>
      <c r="BD819" s="172"/>
      <c r="BE819" s="172"/>
      <c r="BF819" s="172"/>
      <c r="BG819" s="172"/>
      <c r="BH819" s="172"/>
      <c r="BI819" s="172"/>
      <c r="BJ819" s="172"/>
      <c r="BK819" s="172"/>
      <c r="BL819" s="172"/>
      <c r="BM819" s="172"/>
      <c r="BN819" s="172"/>
      <c r="BO819" s="172"/>
      <c r="BP819" s="172"/>
      <c r="BQ819" s="172"/>
      <c r="BR819" s="172"/>
      <c r="BS819" s="172"/>
      <c r="BT819" s="172"/>
      <c r="BU819" s="172"/>
      <c r="BV819" s="172"/>
      <c r="BW819" s="172"/>
      <c r="BX819" s="172"/>
      <c r="BY819" s="172"/>
      <c r="BZ819" s="172"/>
      <c r="CA819" s="172"/>
      <c r="CB819" s="172"/>
      <c r="CC819" s="172"/>
      <c r="CD819" s="172"/>
      <c r="CE819" s="172"/>
      <c r="CF819" s="172"/>
      <c r="CG819" s="172"/>
      <c r="CH819" s="172"/>
      <c r="CI819" s="172"/>
      <c r="CJ819" s="172"/>
      <c r="CK819" s="172"/>
      <c r="CL819" s="172"/>
      <c r="CM819" s="172"/>
      <c r="CN819" s="172"/>
      <c r="CO819" s="172"/>
      <c r="CP819" s="172"/>
      <c r="CQ819" s="172"/>
      <c r="CR819" s="172"/>
      <c r="CS819" s="172"/>
      <c r="CT819" s="172"/>
      <c r="CU819" s="172"/>
      <c r="CV819" s="172"/>
      <c r="CW819" s="172"/>
      <c r="CX819" s="172"/>
      <c r="CY819" s="172"/>
      <c r="CZ819" s="172"/>
      <c r="DA819" s="172"/>
      <c r="DB819" s="172"/>
      <c r="DC819" s="172"/>
      <c r="DD819" s="172"/>
      <c r="DE819" s="172"/>
      <c r="DF819" s="172"/>
      <c r="DG819" s="172"/>
      <c r="DH819" s="172"/>
      <c r="DI819" s="172"/>
      <c r="DJ819" s="172"/>
      <c r="DK819" s="172"/>
      <c r="DL819" s="172"/>
      <c r="DM819" s="172"/>
      <c r="DN819" s="172"/>
      <c r="DO819" s="172"/>
      <c r="DP819" s="172"/>
      <c r="DQ819" s="172"/>
      <c r="DR819" s="172"/>
      <c r="DS819" s="172"/>
      <c r="DT819" s="172"/>
      <c r="DU819" s="172"/>
      <c r="DV819" s="172"/>
      <c r="DW819" s="172"/>
      <c r="DX819" s="172"/>
      <c r="DY819" s="172"/>
      <c r="DZ819" s="172"/>
      <c r="EA819" s="172"/>
      <c r="EB819" s="172"/>
      <c r="EC819" s="173"/>
    </row>
    <row r="820" spans="1:133" s="56" customFormat="1" ht="31.2" x14ac:dyDescent="0.25">
      <c r="A820" s="92" t="s">
        <v>8</v>
      </c>
      <c r="B820" s="93" t="s">
        <v>9</v>
      </c>
      <c r="C820" s="94" t="s">
        <v>10</v>
      </c>
      <c r="D820" s="93" t="s">
        <v>342</v>
      </c>
      <c r="E820" s="93" t="s">
        <v>11</v>
      </c>
      <c r="F820" s="16" t="s">
        <v>322</v>
      </c>
      <c r="G820" s="16" t="s">
        <v>323</v>
      </c>
      <c r="H820" s="16" t="s">
        <v>324</v>
      </c>
      <c r="I820" s="16" t="s">
        <v>325</v>
      </c>
      <c r="J820" s="16" t="s">
        <v>326</v>
      </c>
      <c r="K820" s="16" t="s">
        <v>329</v>
      </c>
      <c r="L820" s="16" t="s">
        <v>292</v>
      </c>
      <c r="M820" s="16" t="s">
        <v>292</v>
      </c>
      <c r="N820" s="16" t="s">
        <v>292</v>
      </c>
      <c r="O820" s="16" t="s">
        <v>292</v>
      </c>
      <c r="P820" s="16" t="s">
        <v>292</v>
      </c>
      <c r="Q820" s="16" t="s">
        <v>292</v>
      </c>
      <c r="R820" s="54"/>
      <c r="S820" s="54"/>
      <c r="T820" s="54"/>
      <c r="U820" s="54"/>
      <c r="V820" s="54"/>
      <c r="W820" s="54"/>
      <c r="X820" s="54"/>
      <c r="Y820" s="54"/>
      <c r="Z820" s="54"/>
      <c r="AA820" s="54"/>
      <c r="AB820" s="54"/>
      <c r="AC820" s="54"/>
      <c r="AD820" s="54"/>
      <c r="AE820" s="54"/>
      <c r="AF820" s="54"/>
      <c r="AG820" s="54"/>
      <c r="AH820" s="54"/>
      <c r="AI820" s="54"/>
      <c r="AJ820" s="54"/>
      <c r="AK820" s="54"/>
      <c r="AL820" s="54"/>
      <c r="AM820" s="54"/>
      <c r="AN820" s="54"/>
      <c r="AO820" s="54"/>
      <c r="AP820" s="54"/>
      <c r="AQ820" s="54"/>
      <c r="AR820" s="54"/>
      <c r="AS820" s="54"/>
      <c r="AT820" s="54"/>
      <c r="AU820" s="54"/>
      <c r="AV820" s="54"/>
      <c r="AW820" s="54"/>
      <c r="AX820" s="54"/>
      <c r="AY820" s="54"/>
      <c r="AZ820" s="54"/>
      <c r="BA820" s="54"/>
      <c r="BB820" s="54"/>
      <c r="BC820" s="54"/>
      <c r="BD820" s="54"/>
      <c r="BE820" s="54"/>
      <c r="BF820" s="54"/>
      <c r="BG820" s="54"/>
      <c r="BH820" s="54"/>
      <c r="BI820" s="54"/>
      <c r="BJ820" s="54"/>
      <c r="BK820" s="54"/>
      <c r="BL820" s="54"/>
      <c r="BM820" s="54"/>
      <c r="BN820" s="54"/>
      <c r="BO820" s="54"/>
      <c r="BP820" s="54"/>
      <c r="BQ820" s="54"/>
      <c r="BR820" s="54"/>
      <c r="BS820" s="54"/>
      <c r="BT820" s="54"/>
      <c r="BU820" s="54"/>
      <c r="BV820" s="54"/>
      <c r="BW820" s="54"/>
      <c r="BX820" s="54"/>
      <c r="BY820" s="54"/>
      <c r="BZ820" s="54"/>
      <c r="CA820" s="54"/>
      <c r="CB820" s="54"/>
      <c r="CC820" s="54"/>
      <c r="CD820" s="54"/>
      <c r="CE820" s="54"/>
      <c r="CF820" s="54"/>
      <c r="CG820" s="54"/>
      <c r="CH820" s="54"/>
      <c r="CI820" s="54"/>
      <c r="CJ820" s="54"/>
      <c r="CK820" s="54"/>
      <c r="CL820" s="54"/>
      <c r="CM820" s="54"/>
      <c r="CN820" s="54"/>
      <c r="CO820" s="54"/>
      <c r="CP820" s="54"/>
      <c r="CQ820" s="54"/>
      <c r="CR820" s="54"/>
      <c r="CS820" s="54"/>
      <c r="CT820" s="54"/>
      <c r="CU820" s="54"/>
      <c r="CV820" s="54"/>
      <c r="CW820" s="54"/>
      <c r="CX820" s="54"/>
      <c r="CY820" s="54"/>
      <c r="CZ820" s="54"/>
      <c r="DA820" s="54"/>
      <c r="DB820" s="54"/>
      <c r="DC820" s="54"/>
      <c r="DD820" s="54"/>
      <c r="DE820" s="54"/>
      <c r="DF820" s="54"/>
      <c r="DG820" s="54"/>
      <c r="DH820" s="54"/>
      <c r="DI820" s="54"/>
      <c r="DJ820" s="54"/>
      <c r="DK820" s="54"/>
      <c r="DL820" s="54"/>
      <c r="DM820" s="54"/>
      <c r="DN820" s="54"/>
      <c r="DO820" s="54"/>
      <c r="DP820" s="54"/>
      <c r="DQ820" s="54"/>
      <c r="DR820" s="54"/>
      <c r="DS820" s="54"/>
      <c r="DT820" s="54"/>
      <c r="DU820" s="54"/>
      <c r="DV820" s="54"/>
      <c r="DW820" s="54"/>
      <c r="DX820" s="54"/>
      <c r="DY820" s="54"/>
      <c r="DZ820" s="54"/>
      <c r="EA820" s="54"/>
      <c r="EB820" s="54"/>
      <c r="EC820" s="54"/>
    </row>
    <row r="821" spans="1:133" s="56" customFormat="1" x14ac:dyDescent="0.25">
      <c r="A821" s="58" t="s">
        <v>12</v>
      </c>
      <c r="B821" s="58"/>
      <c r="C821" s="34"/>
      <c r="D821" s="34"/>
      <c r="E821" s="58"/>
      <c r="F821" s="16">
        <v>31</v>
      </c>
      <c r="G821" s="16">
        <v>28</v>
      </c>
      <c r="H821" s="16">
        <v>31</v>
      </c>
      <c r="I821" s="16">
        <v>30</v>
      </c>
      <c r="J821" s="16">
        <v>31</v>
      </c>
      <c r="K821" s="16">
        <v>30</v>
      </c>
      <c r="L821" s="16" t="s">
        <v>297</v>
      </c>
      <c r="M821" s="16" t="s">
        <v>297</v>
      </c>
      <c r="N821" s="16" t="s">
        <v>297</v>
      </c>
      <c r="O821" s="16" t="s">
        <v>297</v>
      </c>
      <c r="P821" s="16" t="s">
        <v>297</v>
      </c>
      <c r="Q821" s="16" t="s">
        <v>297</v>
      </c>
      <c r="R821" s="54"/>
      <c r="S821" s="54"/>
      <c r="T821" s="54"/>
      <c r="U821" s="54"/>
      <c r="V821" s="54"/>
      <c r="W821" s="54"/>
      <c r="X821" s="54"/>
      <c r="Y821" s="54"/>
      <c r="Z821" s="54"/>
      <c r="AA821" s="54"/>
      <c r="AB821" s="54"/>
      <c r="AC821" s="54"/>
      <c r="AD821" s="54"/>
      <c r="AE821" s="54"/>
      <c r="AF821" s="54"/>
      <c r="AG821" s="54"/>
      <c r="AH821" s="54"/>
      <c r="AI821" s="54"/>
      <c r="AJ821" s="54"/>
      <c r="AK821" s="54"/>
      <c r="AL821" s="54"/>
      <c r="AM821" s="54"/>
      <c r="AN821" s="54"/>
      <c r="AO821" s="54"/>
      <c r="AP821" s="54"/>
      <c r="AQ821" s="54"/>
      <c r="AR821" s="54"/>
      <c r="AS821" s="54"/>
      <c r="AT821" s="54"/>
      <c r="AU821" s="54"/>
      <c r="AV821" s="54"/>
      <c r="AW821" s="54"/>
      <c r="AX821" s="54"/>
      <c r="AY821" s="54"/>
      <c r="AZ821" s="54"/>
      <c r="BA821" s="54"/>
      <c r="BB821" s="54"/>
      <c r="BC821" s="54"/>
      <c r="BD821" s="54"/>
      <c r="BE821" s="54"/>
      <c r="BF821" s="54"/>
      <c r="BG821" s="54"/>
      <c r="BH821" s="54"/>
      <c r="BI821" s="54"/>
      <c r="BJ821" s="54"/>
      <c r="BK821" s="54"/>
      <c r="BL821" s="54"/>
      <c r="BM821" s="54"/>
      <c r="BN821" s="54"/>
      <c r="BO821" s="54"/>
      <c r="BP821" s="54"/>
      <c r="BQ821" s="54"/>
      <c r="BR821" s="54"/>
      <c r="BS821" s="54"/>
      <c r="BT821" s="54"/>
      <c r="BU821" s="54"/>
      <c r="BV821" s="54"/>
      <c r="BW821" s="54"/>
      <c r="BX821" s="54"/>
      <c r="BY821" s="54"/>
      <c r="BZ821" s="54"/>
      <c r="CA821" s="54"/>
      <c r="CB821" s="54"/>
      <c r="CC821" s="54"/>
      <c r="CD821" s="54"/>
      <c r="CE821" s="54"/>
      <c r="CF821" s="54"/>
      <c r="CG821" s="54"/>
      <c r="CH821" s="54"/>
      <c r="CI821" s="54"/>
      <c r="CJ821" s="54"/>
      <c r="CK821" s="54"/>
      <c r="CL821" s="54"/>
      <c r="CM821" s="54"/>
      <c r="CN821" s="54"/>
      <c r="CO821" s="54"/>
      <c r="CP821" s="54"/>
      <c r="CQ821" s="54"/>
      <c r="CR821" s="54"/>
      <c r="CS821" s="54"/>
      <c r="CT821" s="54"/>
      <c r="CU821" s="54"/>
      <c r="CV821" s="54"/>
      <c r="CW821" s="54"/>
      <c r="CX821" s="54"/>
      <c r="CY821" s="54"/>
      <c r="CZ821" s="54"/>
      <c r="DA821" s="54"/>
      <c r="DB821" s="54"/>
      <c r="DC821" s="54"/>
      <c r="DD821" s="54"/>
      <c r="DE821" s="54"/>
      <c r="DF821" s="54"/>
      <c r="DG821" s="54"/>
      <c r="DH821" s="54"/>
      <c r="DI821" s="54"/>
      <c r="DJ821" s="54"/>
      <c r="DK821" s="54"/>
      <c r="DL821" s="54"/>
      <c r="DM821" s="54"/>
      <c r="DN821" s="54"/>
      <c r="DO821" s="54"/>
      <c r="DP821" s="54"/>
      <c r="DQ821" s="54"/>
      <c r="DR821" s="54"/>
      <c r="DS821" s="54"/>
      <c r="DT821" s="54"/>
      <c r="DU821" s="54"/>
      <c r="DV821" s="54"/>
      <c r="DW821" s="54"/>
      <c r="DX821" s="54"/>
      <c r="DY821" s="54"/>
      <c r="DZ821" s="54"/>
      <c r="EA821" s="54"/>
      <c r="EB821" s="54"/>
      <c r="EC821" s="54"/>
    </row>
    <row r="822" spans="1:133" ht="46.8" x14ac:dyDescent="0.25">
      <c r="A822" s="59" t="s">
        <v>13</v>
      </c>
      <c r="B822" s="60" t="s">
        <v>14</v>
      </c>
      <c r="C822" s="53" t="s">
        <v>15</v>
      </c>
      <c r="D822" s="53" t="s">
        <v>369</v>
      </c>
      <c r="E822" s="61">
        <f>SUM(F822:K822)</f>
        <v>1344.3110109179138</v>
      </c>
      <c r="F822" s="62">
        <f>$E$823*$E$824*F825*$E$836</f>
        <v>224.54659836925043</v>
      </c>
      <c r="G822" s="62">
        <f t="shared" ref="G822:K822" si="105">$E$823*$E$824*G825*$E$836</f>
        <v>202.93672587769939</v>
      </c>
      <c r="H822" s="62">
        <f t="shared" si="105"/>
        <v>224.8427073827057</v>
      </c>
      <c r="I822" s="62">
        <f t="shared" si="105"/>
        <v>217.39113134257812</v>
      </c>
      <c r="J822" s="62">
        <f t="shared" si="105"/>
        <v>246.49656105030985</v>
      </c>
      <c r="K822" s="62">
        <f t="shared" si="105"/>
        <v>228.09728689537039</v>
      </c>
      <c r="L822" s="62" t="s">
        <v>297</v>
      </c>
      <c r="M822" s="62" t="s">
        <v>297</v>
      </c>
      <c r="N822" s="62" t="s">
        <v>297</v>
      </c>
      <c r="O822" s="62" t="s">
        <v>297</v>
      </c>
      <c r="P822" s="62" t="s">
        <v>297</v>
      </c>
      <c r="Q822" s="62" t="s">
        <v>297</v>
      </c>
    </row>
    <row r="823" spans="1:133" ht="31.2" x14ac:dyDescent="0.25">
      <c r="A823" s="63" t="s">
        <v>16</v>
      </c>
      <c r="B823" s="60" t="s">
        <v>193</v>
      </c>
      <c r="C823" s="35" t="s">
        <v>17</v>
      </c>
      <c r="D823" s="35" t="s">
        <v>205</v>
      </c>
      <c r="E823" s="168">
        <v>28</v>
      </c>
      <c r="F823" s="169"/>
      <c r="G823" s="169"/>
      <c r="H823" s="169"/>
      <c r="I823" s="169"/>
      <c r="J823" s="169"/>
      <c r="K823" s="169"/>
      <c r="L823" s="169"/>
      <c r="M823" s="169"/>
      <c r="N823" s="169"/>
      <c r="O823" s="169"/>
      <c r="P823" s="169"/>
      <c r="Q823" s="170"/>
    </row>
    <row r="824" spans="1:133" ht="64.8" x14ac:dyDescent="0.25">
      <c r="A824" s="63" t="s">
        <v>18</v>
      </c>
      <c r="B824" s="25" t="s">
        <v>194</v>
      </c>
      <c r="C824" s="35" t="s">
        <v>20</v>
      </c>
      <c r="D824" s="35" t="s">
        <v>394</v>
      </c>
      <c r="E824" s="168">
        <v>0.21</v>
      </c>
      <c r="F824" s="169"/>
      <c r="G824" s="169"/>
      <c r="H824" s="169"/>
      <c r="I824" s="169"/>
      <c r="J824" s="169"/>
      <c r="K824" s="169"/>
      <c r="L824" s="169"/>
      <c r="M824" s="169"/>
      <c r="N824" s="169"/>
      <c r="O824" s="169"/>
      <c r="P824" s="169"/>
      <c r="Q824" s="170"/>
    </row>
    <row r="825" spans="1:133" ht="46.8" x14ac:dyDescent="0.25">
      <c r="A825" s="35" t="s">
        <v>21</v>
      </c>
      <c r="B825" s="25" t="s">
        <v>195</v>
      </c>
      <c r="C825" s="53" t="s">
        <v>22</v>
      </c>
      <c r="D825" s="53" t="s">
        <v>370</v>
      </c>
      <c r="E825" s="64">
        <f t="shared" ref="E825:K825" si="106">E833*E826</f>
        <v>364.00236174445155</v>
      </c>
      <c r="F825" s="64">
        <f t="shared" si="106"/>
        <v>60.801028530057089</v>
      </c>
      <c r="G825" s="64">
        <f t="shared" si="106"/>
        <v>54.949670801052108</v>
      </c>
      <c r="H825" s="64">
        <f t="shared" si="106"/>
        <v>60.88120668775732</v>
      </c>
      <c r="I825" s="64">
        <f t="shared" si="106"/>
        <v>58.863525321394974</v>
      </c>
      <c r="J825" s="64">
        <f t="shared" si="106"/>
        <v>66.744473306762913</v>
      </c>
      <c r="K825" s="64">
        <f t="shared" si="106"/>
        <v>61.762457097427145</v>
      </c>
      <c r="L825" s="64" t="s">
        <v>297</v>
      </c>
      <c r="M825" s="64" t="s">
        <v>297</v>
      </c>
      <c r="N825" s="64" t="s">
        <v>297</v>
      </c>
      <c r="O825" s="64" t="s">
        <v>297</v>
      </c>
      <c r="P825" s="64" t="s">
        <v>297</v>
      </c>
      <c r="Q825" s="64" t="s">
        <v>297</v>
      </c>
    </row>
    <row r="826" spans="1:133" ht="46.8" x14ac:dyDescent="0.25">
      <c r="A826" s="35" t="s">
        <v>23</v>
      </c>
      <c r="B826" s="25" t="s">
        <v>197</v>
      </c>
      <c r="C826" s="35" t="s">
        <v>191</v>
      </c>
      <c r="D826" s="35" t="s">
        <v>371</v>
      </c>
      <c r="E826" s="20">
        <f>SUM(F826:K826)</f>
        <v>383.37531674493897</v>
      </c>
      <c r="F826" s="20">
        <f>F828*F831</f>
        <v>64.036984428945161</v>
      </c>
      <c r="G826" s="20">
        <f t="shared" ref="G826:K826" si="107">G828*G831</f>
        <v>57.87420539642855</v>
      </c>
      <c r="H826" s="20">
        <f t="shared" si="107"/>
        <v>64.121429833247049</v>
      </c>
      <c r="I826" s="20">
        <f t="shared" si="107"/>
        <v>61.996363311116667</v>
      </c>
      <c r="J826" s="20">
        <f t="shared" si="107"/>
        <v>70.296751571404855</v>
      </c>
      <c r="K826" s="20">
        <f t="shared" si="107"/>
        <v>65.049582203796675</v>
      </c>
      <c r="L826" s="20" t="s">
        <v>297</v>
      </c>
      <c r="M826" s="20" t="s">
        <v>297</v>
      </c>
      <c r="N826" s="20" t="s">
        <v>297</v>
      </c>
      <c r="O826" s="20" t="s">
        <v>297</v>
      </c>
      <c r="P826" s="20" t="s">
        <v>297</v>
      </c>
      <c r="Q826" s="20" t="s">
        <v>297</v>
      </c>
    </row>
    <row r="827" spans="1:133" ht="62.4" x14ac:dyDescent="0.25">
      <c r="A827" s="17" t="s">
        <v>335</v>
      </c>
      <c r="B827" s="60" t="s">
        <v>192</v>
      </c>
      <c r="C827" s="35" t="s">
        <v>25</v>
      </c>
      <c r="D827" s="35" t="s">
        <v>333</v>
      </c>
      <c r="E827" s="121">
        <f>AVERAGE(F827:K827)</f>
        <v>5008.1552861751152</v>
      </c>
      <c r="F827" s="121">
        <v>4851.3234516129032</v>
      </c>
      <c r="G827" s="121">
        <v>4851.8571428571431</v>
      </c>
      <c r="H827" s="121">
        <v>4851.6226129032257</v>
      </c>
      <c r="I827" s="121">
        <v>4850.8779999999997</v>
      </c>
      <c r="J827" s="121">
        <v>5320.7047096774195</v>
      </c>
      <c r="K827" s="121">
        <v>5322.5458000000008</v>
      </c>
      <c r="L827" s="20" t="s">
        <v>297</v>
      </c>
      <c r="M827" s="20" t="s">
        <v>297</v>
      </c>
      <c r="N827" s="20" t="s">
        <v>297</v>
      </c>
      <c r="O827" s="20" t="s">
        <v>297</v>
      </c>
      <c r="P827" s="20" t="s">
        <v>297</v>
      </c>
      <c r="Q827" s="20" t="s">
        <v>297</v>
      </c>
    </row>
    <row r="828" spans="1:133" ht="46.8" x14ac:dyDescent="0.25">
      <c r="A828" s="35" t="s">
        <v>26</v>
      </c>
      <c r="B828" s="60" t="s">
        <v>198</v>
      </c>
      <c r="C828" s="35" t="s">
        <v>27</v>
      </c>
      <c r="D828" s="35" t="s">
        <v>206</v>
      </c>
      <c r="E828" s="65">
        <f>SUM(F828:K828)</f>
        <v>906787.88800000004</v>
      </c>
      <c r="F828" s="65">
        <f>F827*F821</f>
        <v>150391.027</v>
      </c>
      <c r="G828" s="65">
        <f t="shared" ref="G828:K828" si="108">G827*G821</f>
        <v>135852</v>
      </c>
      <c r="H828" s="65">
        <f t="shared" si="108"/>
        <v>150400.30100000001</v>
      </c>
      <c r="I828" s="65">
        <f t="shared" si="108"/>
        <v>145526.34</v>
      </c>
      <c r="J828" s="65">
        <f t="shared" si="108"/>
        <v>164941.84599999999</v>
      </c>
      <c r="K828" s="65">
        <f t="shared" si="108"/>
        <v>159676.37400000001</v>
      </c>
      <c r="L828" s="65" t="s">
        <v>297</v>
      </c>
      <c r="M828" s="65" t="s">
        <v>297</v>
      </c>
      <c r="N828" s="65" t="s">
        <v>297</v>
      </c>
      <c r="O828" s="65" t="s">
        <v>297</v>
      </c>
      <c r="P828" s="65" t="s">
        <v>297</v>
      </c>
      <c r="Q828" s="65" t="s">
        <v>297</v>
      </c>
    </row>
    <row r="829" spans="1:133" ht="62.4" x14ac:dyDescent="0.25">
      <c r="A829" s="35" t="s">
        <v>28</v>
      </c>
      <c r="B829" s="60" t="s">
        <v>199</v>
      </c>
      <c r="C829" s="35" t="s">
        <v>29</v>
      </c>
      <c r="D829" s="35" t="s">
        <v>332</v>
      </c>
      <c r="E829" s="125">
        <f>AVERAGE(F829:K829)</f>
        <v>422.95677216675199</v>
      </c>
      <c r="F829" s="125">
        <v>425.80322580645162</v>
      </c>
      <c r="G829" s="125">
        <v>426.00922619047606</v>
      </c>
      <c r="H829" s="125">
        <v>426.33844086021503</v>
      </c>
      <c r="I829" s="125">
        <v>426.01472222222225</v>
      </c>
      <c r="J829" s="125">
        <v>426.19112903225817</v>
      </c>
      <c r="K829" s="137">
        <v>407.38388888888892</v>
      </c>
      <c r="L829" s="66" t="s">
        <v>297</v>
      </c>
      <c r="M829" s="66" t="s">
        <v>297</v>
      </c>
      <c r="N829" s="66" t="s">
        <v>297</v>
      </c>
      <c r="O829" s="66" t="s">
        <v>297</v>
      </c>
      <c r="P829" s="66" t="s">
        <v>297</v>
      </c>
      <c r="Q829" s="66" t="s">
        <v>297</v>
      </c>
    </row>
    <row r="830" spans="1:133" ht="62.4" x14ac:dyDescent="0.25">
      <c r="A830" s="35" t="s">
        <v>30</v>
      </c>
      <c r="B830" s="60" t="s">
        <v>199</v>
      </c>
      <c r="C830" s="35" t="s">
        <v>31</v>
      </c>
      <c r="D830" s="35" t="s">
        <v>331</v>
      </c>
      <c r="E830" s="125">
        <f>AVERAGE(F830:K830)</f>
        <v>19.691567460317462</v>
      </c>
      <c r="F830" s="125">
        <v>19.769354838709678</v>
      </c>
      <c r="G830" s="125">
        <v>19.507738095238093</v>
      </c>
      <c r="H830" s="125">
        <v>19.346505376344087</v>
      </c>
      <c r="I830" s="125">
        <v>19.989444444444441</v>
      </c>
      <c r="J830" s="125">
        <v>19.942473118279572</v>
      </c>
      <c r="K830" s="137">
        <v>19.593888888888891</v>
      </c>
      <c r="L830" s="65" t="s">
        <v>297</v>
      </c>
      <c r="M830" s="65" t="s">
        <v>297</v>
      </c>
      <c r="N830" s="65" t="s">
        <v>297</v>
      </c>
      <c r="O830" s="65" t="s">
        <v>297</v>
      </c>
      <c r="P830" s="65" t="s">
        <v>297</v>
      </c>
      <c r="Q830" s="65" t="s">
        <v>297</v>
      </c>
    </row>
    <row r="831" spans="1:133" ht="62.4" x14ac:dyDescent="0.25">
      <c r="A831" s="35" t="s">
        <v>32</v>
      </c>
      <c r="B831" s="60" t="s">
        <v>200</v>
      </c>
      <c r="C831" s="35" t="s">
        <v>34</v>
      </c>
      <c r="D831" s="35" t="s">
        <v>338</v>
      </c>
      <c r="E831" s="122">
        <f>E829/1000000</f>
        <v>4.2295677216675197E-4</v>
      </c>
      <c r="F831" s="120">
        <f>F829/1000000</f>
        <v>4.258032258064516E-4</v>
      </c>
      <c r="G831" s="120">
        <f t="shared" ref="G831:K832" si="109">G829/1000000</f>
        <v>4.2600922619047605E-4</v>
      </c>
      <c r="H831" s="120">
        <f t="shared" si="109"/>
        <v>4.2633844086021504E-4</v>
      </c>
      <c r="I831" s="120">
        <f t="shared" si="109"/>
        <v>4.2601472222222224E-4</v>
      </c>
      <c r="J831" s="120">
        <f t="shared" si="109"/>
        <v>4.2619112903225816E-4</v>
      </c>
      <c r="K831" s="120">
        <f t="shared" si="109"/>
        <v>4.0738388888888891E-4</v>
      </c>
      <c r="L831" s="22" t="s">
        <v>297</v>
      </c>
      <c r="M831" s="22" t="s">
        <v>297</v>
      </c>
      <c r="N831" s="22" t="s">
        <v>297</v>
      </c>
      <c r="O831" s="22" t="s">
        <v>297</v>
      </c>
      <c r="P831" s="22" t="s">
        <v>297</v>
      </c>
      <c r="Q831" s="22" t="s">
        <v>297</v>
      </c>
    </row>
    <row r="832" spans="1:133" ht="62.4" x14ac:dyDescent="0.25">
      <c r="A832" s="35" t="s">
        <v>30</v>
      </c>
      <c r="B832" s="60" t="s">
        <v>33</v>
      </c>
      <c r="C832" s="35" t="s">
        <v>35</v>
      </c>
      <c r="D832" s="35" t="s">
        <v>339</v>
      </c>
      <c r="E832" s="122">
        <f>E830/1000000</f>
        <v>1.9691567460317463E-5</v>
      </c>
      <c r="F832" s="120">
        <f>F830/1000000</f>
        <v>1.9769354838709678E-5</v>
      </c>
      <c r="G832" s="120">
        <f t="shared" si="109"/>
        <v>1.9507738095238094E-5</v>
      </c>
      <c r="H832" s="120">
        <f t="shared" si="109"/>
        <v>1.9346505376344086E-5</v>
      </c>
      <c r="I832" s="120">
        <f t="shared" si="109"/>
        <v>1.9989444444444441E-5</v>
      </c>
      <c r="J832" s="120">
        <f t="shared" si="109"/>
        <v>1.9942473118279573E-5</v>
      </c>
      <c r="K832" s="120">
        <f t="shared" si="109"/>
        <v>1.959388888888889E-5</v>
      </c>
      <c r="L832" s="22" t="s">
        <v>297</v>
      </c>
      <c r="M832" s="22" t="s">
        <v>297</v>
      </c>
      <c r="N832" s="22" t="s">
        <v>297</v>
      </c>
      <c r="O832" s="22" t="s">
        <v>297</v>
      </c>
      <c r="P832" s="22" t="s">
        <v>297</v>
      </c>
      <c r="Q832" s="22" t="s">
        <v>297</v>
      </c>
    </row>
    <row r="833" spans="1:133" ht="46.8" x14ac:dyDescent="0.25">
      <c r="A833" s="63" t="s">
        <v>36</v>
      </c>
      <c r="B833" s="25" t="s">
        <v>201</v>
      </c>
      <c r="C833" s="35" t="s">
        <v>38</v>
      </c>
      <c r="D833" s="35" t="s">
        <v>368</v>
      </c>
      <c r="E833" s="68">
        <f>(1-(E834/E835))</f>
        <v>0.94946739095001176</v>
      </c>
      <c r="F833" s="68">
        <f>E833</f>
        <v>0.94946739095001176</v>
      </c>
      <c r="G833" s="68">
        <f>E833</f>
        <v>0.94946739095001176</v>
      </c>
      <c r="H833" s="68">
        <f>E833</f>
        <v>0.94946739095001176</v>
      </c>
      <c r="I833" s="68">
        <f>E833</f>
        <v>0.94946739095001176</v>
      </c>
      <c r="J833" s="68">
        <f>E833</f>
        <v>0.94946739095001176</v>
      </c>
      <c r="K833" s="68">
        <f>F833</f>
        <v>0.94946739095001176</v>
      </c>
      <c r="L833" s="68" t="s">
        <v>297</v>
      </c>
      <c r="M833" s="68" t="s">
        <v>297</v>
      </c>
      <c r="N833" s="68" t="s">
        <v>297</v>
      </c>
      <c r="O833" s="68" t="s">
        <v>297</v>
      </c>
      <c r="P833" s="68" t="s">
        <v>297</v>
      </c>
      <c r="Q833" s="68" t="s">
        <v>297</v>
      </c>
    </row>
    <row r="834" spans="1:133" ht="31.2" x14ac:dyDescent="0.25">
      <c r="A834" s="35" t="s">
        <v>39</v>
      </c>
      <c r="B834" s="25" t="s">
        <v>196</v>
      </c>
      <c r="C834" s="35" t="s">
        <v>40</v>
      </c>
      <c r="D834" s="35" t="s">
        <v>351</v>
      </c>
      <c r="E834" s="52">
        <f>SUM(F834:K834)</f>
        <v>18.688457788000001</v>
      </c>
      <c r="F834" s="52">
        <v>3.2007855880000005</v>
      </c>
      <c r="G834" s="52">
        <v>2.8910321440000004</v>
      </c>
      <c r="H834" s="52">
        <v>3.2007855880000005</v>
      </c>
      <c r="I834" s="52">
        <v>3.0975344400000004</v>
      </c>
      <c r="J834" s="52">
        <v>3.2007855880000005</v>
      </c>
      <c r="K834" s="52">
        <v>3.0975344400000004</v>
      </c>
      <c r="L834" s="69" t="s">
        <v>297</v>
      </c>
      <c r="M834" s="69" t="s">
        <v>297</v>
      </c>
      <c r="N834" s="69" t="s">
        <v>297</v>
      </c>
      <c r="O834" s="69" t="s">
        <v>297</v>
      </c>
      <c r="P834" s="69" t="s">
        <v>297</v>
      </c>
      <c r="Q834" s="69" t="s">
        <v>297</v>
      </c>
    </row>
    <row r="835" spans="1:133" ht="31.2" x14ac:dyDescent="0.25">
      <c r="A835" s="63" t="s">
        <v>41</v>
      </c>
      <c r="B835" s="25" t="s">
        <v>24</v>
      </c>
      <c r="C835" s="35" t="s">
        <v>42</v>
      </c>
      <c r="D835" s="35" t="s">
        <v>351</v>
      </c>
      <c r="E835" s="52">
        <f>SUM(F835:K835)</f>
        <v>369.82966324799997</v>
      </c>
      <c r="F835" s="52">
        <v>63.34099204799999</v>
      </c>
      <c r="G835" s="52">
        <v>57.21121862399999</v>
      </c>
      <c r="H835" s="52">
        <v>63.34099204799999</v>
      </c>
      <c r="I835" s="52">
        <v>61.297734239999997</v>
      </c>
      <c r="J835" s="52">
        <v>63.34099204799999</v>
      </c>
      <c r="K835" s="52">
        <v>61.297734239999997</v>
      </c>
      <c r="L835" s="69" t="s">
        <v>297</v>
      </c>
      <c r="M835" s="69" t="s">
        <v>297</v>
      </c>
      <c r="N835" s="69" t="s">
        <v>297</v>
      </c>
      <c r="O835" s="69" t="s">
        <v>297</v>
      </c>
      <c r="P835" s="69" t="s">
        <v>297</v>
      </c>
      <c r="Q835" s="69" t="s">
        <v>297</v>
      </c>
    </row>
    <row r="836" spans="1:133" ht="31.2" x14ac:dyDescent="0.25">
      <c r="A836" s="53" t="s">
        <v>43</v>
      </c>
      <c r="B836" s="25" t="s">
        <v>201</v>
      </c>
      <c r="C836" s="53" t="s">
        <v>44</v>
      </c>
      <c r="D836" s="35" t="s">
        <v>372</v>
      </c>
      <c r="E836" s="159">
        <f>E837*E838*0.89</f>
        <v>0.62808472035460394</v>
      </c>
      <c r="F836" s="160"/>
      <c r="G836" s="160"/>
      <c r="H836" s="160"/>
      <c r="I836" s="160"/>
      <c r="J836" s="160"/>
      <c r="K836" s="160"/>
      <c r="L836" s="160"/>
      <c r="M836" s="160"/>
      <c r="N836" s="160"/>
      <c r="O836" s="160"/>
      <c r="P836" s="160"/>
      <c r="Q836" s="161"/>
    </row>
    <row r="837" spans="1:133" ht="31.2" x14ac:dyDescent="0.25">
      <c r="A837" s="70" t="s">
        <v>45</v>
      </c>
      <c r="B837" s="25" t="s">
        <v>201</v>
      </c>
      <c r="C837" s="53" t="s">
        <v>46</v>
      </c>
      <c r="D837" s="35" t="s">
        <v>373</v>
      </c>
      <c r="E837" s="162">
        <v>0.7</v>
      </c>
      <c r="F837" s="163"/>
      <c r="G837" s="163"/>
      <c r="H837" s="163"/>
      <c r="I837" s="163"/>
      <c r="J837" s="163"/>
      <c r="K837" s="163"/>
      <c r="L837" s="163"/>
      <c r="M837" s="163"/>
      <c r="N837" s="163"/>
      <c r="O837" s="163"/>
      <c r="P837" s="163"/>
      <c r="Q837" s="164"/>
    </row>
    <row r="838" spans="1:133" ht="36" customHeight="1" x14ac:dyDescent="0.25">
      <c r="A838" s="70" t="s">
        <v>47</v>
      </c>
      <c r="B838" s="25" t="s">
        <v>37</v>
      </c>
      <c r="C838" s="53" t="s">
        <v>48</v>
      </c>
      <c r="D838" s="35" t="s">
        <v>374</v>
      </c>
      <c r="E838" s="159">
        <f>(F839*F844+G839*G844+H839*H844+I839*I844+J839*J844+K839*K844)/(F833*F828*F831+G833*G831*G828+H833*H828*H831+I833*I831*I828+J833*J831*J828+K833*K831*K828)</f>
        <v>1.0081616699110818</v>
      </c>
      <c r="F838" s="160"/>
      <c r="G838" s="160"/>
      <c r="H838" s="160"/>
      <c r="I838" s="160"/>
      <c r="J838" s="160"/>
      <c r="K838" s="160"/>
      <c r="L838" s="160"/>
      <c r="M838" s="160"/>
      <c r="N838" s="160"/>
      <c r="O838" s="160"/>
      <c r="P838" s="160"/>
      <c r="Q838" s="161"/>
    </row>
    <row r="839" spans="1:133" s="9" customFormat="1" ht="46.8" x14ac:dyDescent="0.4">
      <c r="A839" s="71" t="s">
        <v>49</v>
      </c>
      <c r="B839" s="25" t="s">
        <v>37</v>
      </c>
      <c r="C839" s="53" t="s">
        <v>50</v>
      </c>
      <c r="D839" s="53" t="s">
        <v>375</v>
      </c>
      <c r="E839" s="72">
        <f>AVERAGE(F839:K839)</f>
        <v>0.51463670965197228</v>
      </c>
      <c r="F839" s="72">
        <f>IF(F843&lt;283,0,IF(F843&gt;303,1,EXP(($E$840*(F843-$E$841))/($E$842*$E$841*F843))))</f>
        <v>0.30881657019391506</v>
      </c>
      <c r="G839" s="72">
        <f t="shared" ref="G839:K839" si="110">IF(G843&lt;283,0,IF(G843&gt;303,1,EXP(($E$840*(G843-$E$841))/($E$842*$E$841*G843))))</f>
        <v>0.25708890533410012</v>
      </c>
      <c r="H839" s="72">
        <f t="shared" si="110"/>
        <v>0.46225423409862509</v>
      </c>
      <c r="I839" s="72">
        <f t="shared" si="110"/>
        <v>0.55084569341606926</v>
      </c>
      <c r="J839" s="72">
        <f t="shared" si="110"/>
        <v>0.62729263560178183</v>
      </c>
      <c r="K839" s="72">
        <f t="shared" si="110"/>
        <v>0.88152221926734242</v>
      </c>
      <c r="L839" s="72" t="s">
        <v>297</v>
      </c>
      <c r="M839" s="72" t="s">
        <v>297</v>
      </c>
      <c r="N839" s="72" t="s">
        <v>297</v>
      </c>
      <c r="O839" s="72" t="s">
        <v>297</v>
      </c>
      <c r="P839" s="72" t="s">
        <v>297</v>
      </c>
      <c r="Q839" s="72" t="s">
        <v>297</v>
      </c>
      <c r="R839" s="78"/>
      <c r="S839" s="78"/>
      <c r="T839" s="78"/>
      <c r="U839" s="78"/>
      <c r="V839" s="78"/>
      <c r="W839" s="78"/>
      <c r="X839" s="78"/>
      <c r="Y839" s="78"/>
      <c r="Z839" s="78"/>
      <c r="AA839" s="78"/>
      <c r="AB839" s="78"/>
      <c r="AC839" s="78"/>
      <c r="AD839" s="78"/>
      <c r="AE839" s="78"/>
      <c r="AF839" s="78"/>
      <c r="AG839" s="78"/>
      <c r="AH839" s="78"/>
      <c r="AI839" s="78"/>
      <c r="AJ839" s="78"/>
      <c r="AK839" s="78"/>
      <c r="AL839" s="78"/>
      <c r="AM839" s="78"/>
      <c r="AN839" s="78"/>
      <c r="AO839" s="78"/>
      <c r="AP839" s="78"/>
      <c r="AQ839" s="78"/>
      <c r="AR839" s="78"/>
      <c r="AS839" s="78"/>
      <c r="AT839" s="78"/>
      <c r="AU839" s="78"/>
      <c r="AV839" s="78"/>
      <c r="AW839" s="78"/>
      <c r="AX839" s="78"/>
      <c r="AY839" s="78"/>
      <c r="AZ839" s="78"/>
      <c r="BA839" s="78"/>
      <c r="BB839" s="78"/>
      <c r="BC839" s="78"/>
      <c r="BD839" s="78"/>
      <c r="BE839" s="78"/>
      <c r="BF839" s="78"/>
      <c r="BG839" s="78"/>
      <c r="BH839" s="78"/>
      <c r="BI839" s="78"/>
      <c r="BJ839" s="78"/>
      <c r="BK839" s="78"/>
      <c r="BL839" s="78"/>
      <c r="BM839" s="78"/>
      <c r="BN839" s="78"/>
      <c r="BO839" s="78"/>
      <c r="BP839" s="78"/>
      <c r="BQ839" s="78"/>
      <c r="BR839" s="78"/>
      <c r="BS839" s="78"/>
      <c r="BT839" s="78"/>
      <c r="BU839" s="78"/>
      <c r="BV839" s="78"/>
      <c r="BW839" s="78"/>
      <c r="BX839" s="78"/>
      <c r="BY839" s="78"/>
      <c r="BZ839" s="78"/>
      <c r="CA839" s="78"/>
      <c r="CB839" s="78"/>
      <c r="CC839" s="78"/>
      <c r="CD839" s="78"/>
      <c r="CE839" s="78"/>
      <c r="CF839" s="78"/>
      <c r="CG839" s="78"/>
      <c r="CH839" s="78"/>
      <c r="CI839" s="78"/>
      <c r="CJ839" s="78"/>
      <c r="CK839" s="78"/>
      <c r="CL839" s="78"/>
      <c r="CM839" s="78"/>
      <c r="CN839" s="78"/>
      <c r="CO839" s="78"/>
      <c r="CP839" s="78"/>
      <c r="CQ839" s="78"/>
      <c r="CR839" s="78"/>
      <c r="CS839" s="78"/>
      <c r="CT839" s="78"/>
      <c r="CU839" s="78"/>
      <c r="CV839" s="78"/>
      <c r="CW839" s="78"/>
      <c r="CX839" s="78"/>
      <c r="CY839" s="78"/>
      <c r="CZ839" s="78"/>
      <c r="DA839" s="78"/>
      <c r="DB839" s="78"/>
      <c r="DC839" s="78"/>
      <c r="DD839" s="78"/>
      <c r="DE839" s="78"/>
      <c r="DF839" s="78"/>
      <c r="DG839" s="78"/>
      <c r="DH839" s="78"/>
      <c r="DI839" s="78"/>
      <c r="DJ839" s="78"/>
      <c r="DK839" s="78"/>
      <c r="DL839" s="78"/>
      <c r="DM839" s="78"/>
      <c r="DN839" s="78"/>
      <c r="DO839" s="78"/>
      <c r="DP839" s="78"/>
      <c r="DQ839" s="78"/>
      <c r="DR839" s="78"/>
      <c r="DS839" s="78"/>
      <c r="DT839" s="78"/>
      <c r="DU839" s="78"/>
      <c r="DV839" s="78"/>
      <c r="DW839" s="78"/>
      <c r="DX839" s="78"/>
      <c r="DY839" s="78"/>
      <c r="DZ839" s="78"/>
      <c r="EA839" s="78"/>
      <c r="EB839" s="78"/>
      <c r="EC839" s="78"/>
    </row>
    <row r="840" spans="1:133" s="9" customFormat="1" x14ac:dyDescent="0.25">
      <c r="A840" s="73" t="s">
        <v>51</v>
      </c>
      <c r="B840" s="60" t="s">
        <v>202</v>
      </c>
      <c r="C840" s="53" t="s">
        <v>53</v>
      </c>
      <c r="D840" s="53" t="s">
        <v>376</v>
      </c>
      <c r="E840" s="162">
        <v>15175</v>
      </c>
      <c r="F840" s="163"/>
      <c r="G840" s="163"/>
      <c r="H840" s="163"/>
      <c r="I840" s="163"/>
      <c r="J840" s="163"/>
      <c r="K840" s="163"/>
      <c r="L840" s="163"/>
      <c r="M840" s="163"/>
      <c r="N840" s="163"/>
      <c r="O840" s="163"/>
      <c r="P840" s="163"/>
      <c r="Q840" s="164"/>
      <c r="R840" s="78"/>
      <c r="S840" s="78"/>
      <c r="T840" s="78"/>
      <c r="U840" s="78"/>
      <c r="V840" s="78"/>
      <c r="W840" s="78"/>
      <c r="X840" s="78"/>
      <c r="Y840" s="78"/>
      <c r="Z840" s="78"/>
      <c r="AA840" s="78"/>
      <c r="AB840" s="78"/>
      <c r="AC840" s="78"/>
      <c r="AD840" s="78"/>
      <c r="AE840" s="78"/>
      <c r="AF840" s="78"/>
      <c r="AG840" s="78"/>
      <c r="AH840" s="78"/>
      <c r="AI840" s="78"/>
      <c r="AJ840" s="78"/>
      <c r="AK840" s="78"/>
      <c r="AL840" s="78"/>
      <c r="AM840" s="78"/>
      <c r="AN840" s="78"/>
      <c r="AO840" s="78"/>
      <c r="AP840" s="78"/>
      <c r="AQ840" s="78"/>
      <c r="AR840" s="78"/>
      <c r="AS840" s="78"/>
      <c r="AT840" s="78"/>
      <c r="AU840" s="78"/>
      <c r="AV840" s="78"/>
      <c r="AW840" s="78"/>
      <c r="AX840" s="78"/>
      <c r="AY840" s="78"/>
      <c r="AZ840" s="78"/>
      <c r="BA840" s="78"/>
      <c r="BB840" s="78"/>
      <c r="BC840" s="78"/>
      <c r="BD840" s="78"/>
      <c r="BE840" s="78"/>
      <c r="BF840" s="78"/>
      <c r="BG840" s="78"/>
      <c r="BH840" s="78"/>
      <c r="BI840" s="78"/>
      <c r="BJ840" s="78"/>
      <c r="BK840" s="78"/>
      <c r="BL840" s="78"/>
      <c r="BM840" s="78"/>
      <c r="BN840" s="78"/>
      <c r="BO840" s="78"/>
      <c r="BP840" s="78"/>
      <c r="BQ840" s="78"/>
      <c r="BR840" s="78"/>
      <c r="BS840" s="78"/>
      <c r="BT840" s="78"/>
      <c r="BU840" s="78"/>
      <c r="BV840" s="78"/>
      <c r="BW840" s="78"/>
      <c r="BX840" s="78"/>
      <c r="BY840" s="78"/>
      <c r="BZ840" s="78"/>
      <c r="CA840" s="78"/>
      <c r="CB840" s="78"/>
      <c r="CC840" s="78"/>
      <c r="CD840" s="78"/>
      <c r="CE840" s="78"/>
      <c r="CF840" s="78"/>
      <c r="CG840" s="78"/>
      <c r="CH840" s="78"/>
      <c r="CI840" s="78"/>
      <c r="CJ840" s="78"/>
      <c r="CK840" s="78"/>
      <c r="CL840" s="78"/>
      <c r="CM840" s="78"/>
      <c r="CN840" s="78"/>
      <c r="CO840" s="78"/>
      <c r="CP840" s="78"/>
      <c r="CQ840" s="78"/>
      <c r="CR840" s="78"/>
      <c r="CS840" s="78"/>
      <c r="CT840" s="78"/>
      <c r="CU840" s="78"/>
      <c r="CV840" s="78"/>
      <c r="CW840" s="78"/>
      <c r="CX840" s="78"/>
      <c r="CY840" s="78"/>
      <c r="CZ840" s="78"/>
      <c r="DA840" s="78"/>
      <c r="DB840" s="78"/>
      <c r="DC840" s="78"/>
      <c r="DD840" s="78"/>
      <c r="DE840" s="78"/>
      <c r="DF840" s="78"/>
      <c r="DG840" s="78"/>
      <c r="DH840" s="78"/>
      <c r="DI840" s="78"/>
      <c r="DJ840" s="78"/>
      <c r="DK840" s="78"/>
      <c r="DL840" s="78"/>
      <c r="DM840" s="78"/>
      <c r="DN840" s="78"/>
      <c r="DO840" s="78"/>
      <c r="DP840" s="78"/>
      <c r="DQ840" s="78"/>
      <c r="DR840" s="78"/>
      <c r="DS840" s="78"/>
      <c r="DT840" s="78"/>
      <c r="DU840" s="78"/>
      <c r="DV840" s="78"/>
      <c r="DW840" s="78"/>
      <c r="DX840" s="78"/>
      <c r="DY840" s="78"/>
      <c r="DZ840" s="78"/>
      <c r="EA840" s="78"/>
      <c r="EB840" s="78"/>
      <c r="EC840" s="78"/>
    </row>
    <row r="841" spans="1:133" s="9" customFormat="1" ht="18" x14ac:dyDescent="0.25">
      <c r="A841" s="73" t="s">
        <v>54</v>
      </c>
      <c r="B841" s="60" t="s">
        <v>203</v>
      </c>
      <c r="C841" s="53" t="s">
        <v>56</v>
      </c>
      <c r="D841" s="53" t="s">
        <v>376</v>
      </c>
      <c r="E841" s="162">
        <v>303.16000000000003</v>
      </c>
      <c r="F841" s="163"/>
      <c r="G841" s="163"/>
      <c r="H841" s="163"/>
      <c r="I841" s="163"/>
      <c r="J841" s="163"/>
      <c r="K841" s="163"/>
      <c r="L841" s="163"/>
      <c r="M841" s="163"/>
      <c r="N841" s="163"/>
      <c r="O841" s="163"/>
      <c r="P841" s="163"/>
      <c r="Q841" s="164"/>
      <c r="R841" s="78"/>
      <c r="S841" s="78"/>
      <c r="T841" s="78"/>
      <c r="U841" s="78"/>
      <c r="V841" s="78"/>
      <c r="W841" s="78"/>
      <c r="X841" s="78"/>
      <c r="Y841" s="78"/>
      <c r="Z841" s="78"/>
      <c r="AA841" s="78"/>
      <c r="AB841" s="78"/>
      <c r="AC841" s="78"/>
      <c r="AD841" s="78"/>
      <c r="AE841" s="78"/>
      <c r="AF841" s="78"/>
      <c r="AG841" s="78"/>
      <c r="AH841" s="78"/>
      <c r="AI841" s="78"/>
      <c r="AJ841" s="78"/>
      <c r="AK841" s="78"/>
      <c r="AL841" s="78"/>
      <c r="AM841" s="78"/>
      <c r="AN841" s="78"/>
      <c r="AO841" s="78"/>
      <c r="AP841" s="78"/>
      <c r="AQ841" s="78"/>
      <c r="AR841" s="78"/>
      <c r="AS841" s="78"/>
      <c r="AT841" s="78"/>
      <c r="AU841" s="78"/>
      <c r="AV841" s="78"/>
      <c r="AW841" s="78"/>
      <c r="AX841" s="78"/>
      <c r="AY841" s="78"/>
      <c r="AZ841" s="78"/>
      <c r="BA841" s="78"/>
      <c r="BB841" s="78"/>
      <c r="BC841" s="78"/>
      <c r="BD841" s="78"/>
      <c r="BE841" s="78"/>
      <c r="BF841" s="78"/>
      <c r="BG841" s="78"/>
      <c r="BH841" s="78"/>
      <c r="BI841" s="78"/>
      <c r="BJ841" s="78"/>
      <c r="BK841" s="78"/>
      <c r="BL841" s="78"/>
      <c r="BM841" s="78"/>
      <c r="BN841" s="78"/>
      <c r="BO841" s="78"/>
      <c r="BP841" s="78"/>
      <c r="BQ841" s="78"/>
      <c r="BR841" s="78"/>
      <c r="BS841" s="78"/>
      <c r="BT841" s="78"/>
      <c r="BU841" s="78"/>
      <c r="BV841" s="78"/>
      <c r="BW841" s="78"/>
      <c r="BX841" s="78"/>
      <c r="BY841" s="78"/>
      <c r="BZ841" s="78"/>
      <c r="CA841" s="78"/>
      <c r="CB841" s="78"/>
      <c r="CC841" s="78"/>
      <c r="CD841" s="78"/>
      <c r="CE841" s="78"/>
      <c r="CF841" s="78"/>
      <c r="CG841" s="78"/>
      <c r="CH841" s="78"/>
      <c r="CI841" s="78"/>
      <c r="CJ841" s="78"/>
      <c r="CK841" s="78"/>
      <c r="CL841" s="78"/>
      <c r="CM841" s="78"/>
      <c r="CN841" s="78"/>
      <c r="CO841" s="78"/>
      <c r="CP841" s="78"/>
      <c r="CQ841" s="78"/>
      <c r="CR841" s="78"/>
      <c r="CS841" s="78"/>
      <c r="CT841" s="78"/>
      <c r="CU841" s="78"/>
      <c r="CV841" s="78"/>
      <c r="CW841" s="78"/>
      <c r="CX841" s="78"/>
      <c r="CY841" s="78"/>
      <c r="CZ841" s="78"/>
      <c r="DA841" s="78"/>
      <c r="DB841" s="78"/>
      <c r="DC841" s="78"/>
      <c r="DD841" s="78"/>
      <c r="DE841" s="78"/>
      <c r="DF841" s="78"/>
      <c r="DG841" s="78"/>
      <c r="DH841" s="78"/>
      <c r="DI841" s="78"/>
      <c r="DJ841" s="78"/>
      <c r="DK841" s="78"/>
      <c r="DL841" s="78"/>
      <c r="DM841" s="78"/>
      <c r="DN841" s="78"/>
      <c r="DO841" s="78"/>
      <c r="DP841" s="78"/>
      <c r="DQ841" s="78"/>
      <c r="DR841" s="78"/>
      <c r="DS841" s="78"/>
      <c r="DT841" s="78"/>
      <c r="DU841" s="78"/>
      <c r="DV841" s="78"/>
      <c r="DW841" s="78"/>
      <c r="DX841" s="78"/>
      <c r="DY841" s="78"/>
      <c r="DZ841" s="78"/>
      <c r="EA841" s="78"/>
      <c r="EB841" s="78"/>
      <c r="EC841" s="78"/>
    </row>
    <row r="842" spans="1:133" s="9" customFormat="1" x14ac:dyDescent="0.25">
      <c r="A842" s="73" t="s">
        <v>57</v>
      </c>
      <c r="B842" s="60" t="s">
        <v>204</v>
      </c>
      <c r="C842" s="53" t="s">
        <v>59</v>
      </c>
      <c r="D842" s="53" t="s">
        <v>376</v>
      </c>
      <c r="E842" s="162">
        <v>1.9870000000000001</v>
      </c>
      <c r="F842" s="163"/>
      <c r="G842" s="163"/>
      <c r="H842" s="163"/>
      <c r="I842" s="163"/>
      <c r="J842" s="163"/>
      <c r="K842" s="163"/>
      <c r="L842" s="163"/>
      <c r="M842" s="163"/>
      <c r="N842" s="163"/>
      <c r="O842" s="163"/>
      <c r="P842" s="163"/>
      <c r="Q842" s="164"/>
      <c r="R842" s="78"/>
      <c r="S842" s="78"/>
      <c r="T842" s="78"/>
      <c r="U842" s="78"/>
      <c r="V842" s="78"/>
      <c r="W842" s="78"/>
      <c r="X842" s="78"/>
      <c r="Y842" s="78"/>
      <c r="Z842" s="78"/>
      <c r="AA842" s="78"/>
      <c r="AB842" s="78"/>
      <c r="AC842" s="78"/>
      <c r="AD842" s="78"/>
      <c r="AE842" s="78"/>
      <c r="AF842" s="78"/>
      <c r="AG842" s="78"/>
      <c r="AH842" s="78"/>
      <c r="AI842" s="78"/>
      <c r="AJ842" s="78"/>
      <c r="AK842" s="78"/>
      <c r="AL842" s="78"/>
      <c r="AM842" s="78"/>
      <c r="AN842" s="78"/>
      <c r="AO842" s="78"/>
      <c r="AP842" s="78"/>
      <c r="AQ842" s="78"/>
      <c r="AR842" s="78"/>
      <c r="AS842" s="78"/>
      <c r="AT842" s="78"/>
      <c r="AU842" s="78"/>
      <c r="AV842" s="78"/>
      <c r="AW842" s="78"/>
      <c r="AX842" s="78"/>
      <c r="AY842" s="78"/>
      <c r="AZ842" s="78"/>
      <c r="BA842" s="78"/>
      <c r="BB842" s="78"/>
      <c r="BC842" s="78"/>
      <c r="BD842" s="78"/>
      <c r="BE842" s="78"/>
      <c r="BF842" s="78"/>
      <c r="BG842" s="78"/>
      <c r="BH842" s="78"/>
      <c r="BI842" s="78"/>
      <c r="BJ842" s="78"/>
      <c r="BK842" s="78"/>
      <c r="BL842" s="78"/>
      <c r="BM842" s="78"/>
      <c r="BN842" s="78"/>
      <c r="BO842" s="78"/>
      <c r="BP842" s="78"/>
      <c r="BQ842" s="78"/>
      <c r="BR842" s="78"/>
      <c r="BS842" s="78"/>
      <c r="BT842" s="78"/>
      <c r="BU842" s="78"/>
      <c r="BV842" s="78"/>
      <c r="BW842" s="78"/>
      <c r="BX842" s="78"/>
      <c r="BY842" s="78"/>
      <c r="BZ842" s="78"/>
      <c r="CA842" s="78"/>
      <c r="CB842" s="78"/>
      <c r="CC842" s="78"/>
      <c r="CD842" s="78"/>
      <c r="CE842" s="78"/>
      <c r="CF842" s="78"/>
      <c r="CG842" s="78"/>
      <c r="CH842" s="78"/>
      <c r="CI842" s="78"/>
      <c r="CJ842" s="78"/>
      <c r="CK842" s="78"/>
      <c r="CL842" s="78"/>
      <c r="CM842" s="78"/>
      <c r="CN842" s="78"/>
      <c r="CO842" s="78"/>
      <c r="CP842" s="78"/>
      <c r="CQ842" s="78"/>
      <c r="CR842" s="78"/>
      <c r="CS842" s="78"/>
      <c r="CT842" s="78"/>
      <c r="CU842" s="78"/>
      <c r="CV842" s="78"/>
      <c r="CW842" s="78"/>
      <c r="CX842" s="78"/>
      <c r="CY842" s="78"/>
      <c r="CZ842" s="78"/>
      <c r="DA842" s="78"/>
      <c r="DB842" s="78"/>
      <c r="DC842" s="78"/>
      <c r="DD842" s="78"/>
      <c r="DE842" s="78"/>
      <c r="DF842" s="78"/>
      <c r="DG842" s="78"/>
      <c r="DH842" s="78"/>
      <c r="DI842" s="78"/>
      <c r="DJ842" s="78"/>
      <c r="DK842" s="78"/>
      <c r="DL842" s="78"/>
      <c r="DM842" s="78"/>
      <c r="DN842" s="78"/>
      <c r="DO842" s="78"/>
      <c r="DP842" s="78"/>
      <c r="DQ842" s="78"/>
      <c r="DR842" s="78"/>
      <c r="DS842" s="78"/>
      <c r="DT842" s="78"/>
      <c r="DU842" s="78"/>
      <c r="DV842" s="78"/>
      <c r="DW842" s="78"/>
      <c r="DX842" s="78"/>
      <c r="DY842" s="78"/>
      <c r="DZ842" s="78"/>
      <c r="EA842" s="78"/>
      <c r="EB842" s="78"/>
      <c r="EC842" s="78"/>
    </row>
    <row r="843" spans="1:133" s="9" customFormat="1" ht="31.2" x14ac:dyDescent="0.25">
      <c r="A843" s="73" t="s">
        <v>60</v>
      </c>
      <c r="B843" s="60" t="s">
        <v>203</v>
      </c>
      <c r="C843" s="53" t="s">
        <v>61</v>
      </c>
      <c r="D843" s="143" t="s">
        <v>363</v>
      </c>
      <c r="E843" s="98">
        <f>AVERAGE(F843:K843)</f>
        <v>294.48333333333335</v>
      </c>
      <c r="F843" s="60">
        <v>289.64999999999998</v>
      </c>
      <c r="G843" s="60">
        <v>287.64999999999998</v>
      </c>
      <c r="H843" s="60">
        <v>294.14999999999998</v>
      </c>
      <c r="I843" s="60">
        <v>296.14999999999998</v>
      </c>
      <c r="J843" s="60">
        <v>297.64999999999998</v>
      </c>
      <c r="K843" s="60">
        <v>301.64999999999998</v>
      </c>
      <c r="L843" s="60" t="s">
        <v>297</v>
      </c>
      <c r="M843" s="60" t="s">
        <v>297</v>
      </c>
      <c r="N843" s="60" t="s">
        <v>297</v>
      </c>
      <c r="O843" s="60" t="s">
        <v>297</v>
      </c>
      <c r="P843" s="60" t="s">
        <v>297</v>
      </c>
      <c r="Q843" s="60" t="s">
        <v>297</v>
      </c>
      <c r="R843" s="78"/>
      <c r="S843" s="78"/>
      <c r="T843" s="78"/>
      <c r="U843" s="78"/>
      <c r="V843" s="78"/>
      <c r="W843" s="78"/>
      <c r="X843" s="78"/>
      <c r="Y843" s="78"/>
      <c r="Z843" s="78"/>
      <c r="AA843" s="78"/>
      <c r="AB843" s="78"/>
      <c r="AC843" s="78"/>
      <c r="AD843" s="78"/>
      <c r="AE843" s="78"/>
      <c r="AF843" s="78"/>
      <c r="AG843" s="78"/>
      <c r="AH843" s="78"/>
      <c r="AI843" s="78"/>
      <c r="AJ843" s="78"/>
      <c r="AK843" s="78"/>
      <c r="AL843" s="78"/>
      <c r="AM843" s="78"/>
      <c r="AN843" s="78"/>
      <c r="AO843" s="78"/>
      <c r="AP843" s="78"/>
      <c r="AQ843" s="78"/>
      <c r="AR843" s="78"/>
      <c r="AS843" s="78"/>
      <c r="AT843" s="78"/>
      <c r="AU843" s="78"/>
      <c r="AV843" s="78"/>
      <c r="AW843" s="78"/>
      <c r="AX843" s="78"/>
      <c r="AY843" s="78"/>
      <c r="AZ843" s="78"/>
      <c r="BA843" s="78"/>
      <c r="BB843" s="78"/>
      <c r="BC843" s="78"/>
      <c r="BD843" s="78"/>
      <c r="BE843" s="78"/>
      <c r="BF843" s="78"/>
      <c r="BG843" s="78"/>
      <c r="BH843" s="78"/>
      <c r="BI843" s="78"/>
      <c r="BJ843" s="78"/>
      <c r="BK843" s="78"/>
      <c r="BL843" s="78"/>
      <c r="BM843" s="78"/>
      <c r="BN843" s="78"/>
      <c r="BO843" s="78"/>
      <c r="BP843" s="78"/>
      <c r="BQ843" s="78"/>
      <c r="BR843" s="78"/>
      <c r="BS843" s="78"/>
      <c r="BT843" s="78"/>
      <c r="BU843" s="78"/>
      <c r="BV843" s="78"/>
      <c r="BW843" s="78"/>
      <c r="BX843" s="78"/>
      <c r="BY843" s="78"/>
      <c r="BZ843" s="78"/>
      <c r="CA843" s="78"/>
      <c r="CB843" s="78"/>
      <c r="CC843" s="78"/>
      <c r="CD843" s="78"/>
      <c r="CE843" s="78"/>
      <c r="CF843" s="78"/>
      <c r="CG843" s="78"/>
      <c r="CH843" s="78"/>
      <c r="CI843" s="78"/>
      <c r="CJ843" s="78"/>
      <c r="CK843" s="78"/>
      <c r="CL843" s="78"/>
      <c r="CM843" s="78"/>
      <c r="CN843" s="78"/>
      <c r="CO843" s="78"/>
      <c r="CP843" s="78"/>
      <c r="CQ843" s="78"/>
      <c r="CR843" s="78"/>
      <c r="CS843" s="78"/>
      <c r="CT843" s="78"/>
      <c r="CU843" s="78"/>
      <c r="CV843" s="78"/>
      <c r="CW843" s="78"/>
      <c r="CX843" s="78"/>
      <c r="CY843" s="78"/>
      <c r="CZ843" s="78"/>
      <c r="DA843" s="78"/>
      <c r="DB843" s="78"/>
      <c r="DC843" s="78"/>
      <c r="DD843" s="78"/>
      <c r="DE843" s="78"/>
      <c r="DF843" s="78"/>
      <c r="DG843" s="78"/>
      <c r="DH843" s="78"/>
      <c r="DI843" s="78"/>
      <c r="DJ843" s="78"/>
      <c r="DK843" s="78"/>
      <c r="DL843" s="78"/>
      <c r="DM843" s="78"/>
      <c r="DN843" s="78"/>
      <c r="DO843" s="78"/>
      <c r="DP843" s="78"/>
      <c r="DQ843" s="78"/>
      <c r="DR843" s="78"/>
      <c r="DS843" s="78"/>
      <c r="DT843" s="78"/>
      <c r="DU843" s="78"/>
      <c r="DV843" s="78"/>
      <c r="DW843" s="78"/>
      <c r="DX843" s="78"/>
      <c r="DY843" s="78"/>
      <c r="DZ843" s="78"/>
      <c r="EA843" s="78"/>
      <c r="EB843" s="78"/>
      <c r="EC843" s="78"/>
    </row>
    <row r="844" spans="1:133" s="9" customFormat="1" ht="31.2" x14ac:dyDescent="0.4">
      <c r="A844" s="71" t="s">
        <v>62</v>
      </c>
      <c r="B844" s="60" t="s">
        <v>196</v>
      </c>
      <c r="C844" s="53" t="s">
        <v>63</v>
      </c>
      <c r="D844" s="53" t="s">
        <v>377</v>
      </c>
      <c r="E844" s="74">
        <f>SUM(F844:K844)</f>
        <v>785.10042163663525</v>
      </c>
      <c r="F844" s="74">
        <f>F833*F828*F831+(1-F839)*'Baseline Emissions 2021'!Q844</f>
        <v>151.19274817071377</v>
      </c>
      <c r="G844" s="74">
        <f t="shared" ref="G844:K844" si="111">G833*G828*G831+(1-G839)*F844</f>
        <v>167.27244085010281</v>
      </c>
      <c r="H844" s="74">
        <f t="shared" si="111"/>
        <v>150.83125350688829</v>
      </c>
      <c r="I844" s="74">
        <f t="shared" si="111"/>
        <v>126.61003240146646</v>
      </c>
      <c r="J844" s="74">
        <f t="shared" si="111"/>
        <v>113.93296478948648</v>
      </c>
      <c r="K844" s="74">
        <f t="shared" si="111"/>
        <v>75.260981917977517</v>
      </c>
      <c r="L844" s="74" t="s">
        <v>297</v>
      </c>
      <c r="M844" s="74" t="s">
        <v>297</v>
      </c>
      <c r="N844" s="74" t="s">
        <v>297</v>
      </c>
      <c r="O844" s="74" t="s">
        <v>297</v>
      </c>
      <c r="P844" s="74" t="s">
        <v>297</v>
      </c>
      <c r="Q844" s="74" t="s">
        <v>297</v>
      </c>
      <c r="R844" s="78"/>
      <c r="S844" s="78"/>
      <c r="T844" s="78"/>
      <c r="U844" s="78"/>
      <c r="V844" s="78"/>
      <c r="W844" s="78"/>
      <c r="X844" s="78"/>
      <c r="Y844" s="78"/>
      <c r="Z844" s="78"/>
      <c r="AA844" s="78"/>
      <c r="AB844" s="78"/>
      <c r="AC844" s="78"/>
      <c r="AD844" s="78"/>
      <c r="AE844" s="78"/>
      <c r="AF844" s="78"/>
      <c r="AG844" s="78"/>
      <c r="AH844" s="78"/>
      <c r="AI844" s="78"/>
      <c r="AJ844" s="78"/>
      <c r="AK844" s="78"/>
      <c r="AL844" s="78"/>
      <c r="AM844" s="78"/>
      <c r="AN844" s="78"/>
      <c r="AO844" s="78"/>
      <c r="AP844" s="78"/>
      <c r="AQ844" s="78"/>
      <c r="AR844" s="78"/>
      <c r="AS844" s="78"/>
      <c r="AT844" s="78"/>
      <c r="AU844" s="78"/>
      <c r="AV844" s="78"/>
      <c r="AW844" s="78"/>
      <c r="AX844" s="78"/>
      <c r="AY844" s="78"/>
      <c r="AZ844" s="78"/>
      <c r="BA844" s="78"/>
      <c r="BB844" s="78"/>
      <c r="BC844" s="78"/>
      <c r="BD844" s="78"/>
      <c r="BE844" s="78"/>
      <c r="BF844" s="78"/>
      <c r="BG844" s="78"/>
      <c r="BH844" s="78"/>
      <c r="BI844" s="78"/>
      <c r="BJ844" s="78"/>
      <c r="BK844" s="78"/>
      <c r="BL844" s="78"/>
      <c r="BM844" s="78"/>
      <c r="BN844" s="78"/>
      <c r="BO844" s="78"/>
      <c r="BP844" s="78"/>
      <c r="BQ844" s="78"/>
      <c r="BR844" s="78"/>
      <c r="BS844" s="78"/>
      <c r="BT844" s="78"/>
      <c r="BU844" s="78"/>
      <c r="BV844" s="78"/>
      <c r="BW844" s="78"/>
      <c r="BX844" s="78"/>
      <c r="BY844" s="78"/>
      <c r="BZ844" s="78"/>
      <c r="CA844" s="78"/>
      <c r="CB844" s="78"/>
      <c r="CC844" s="78"/>
      <c r="CD844" s="78"/>
      <c r="CE844" s="78"/>
      <c r="CF844" s="78"/>
      <c r="CG844" s="78"/>
      <c r="CH844" s="78"/>
      <c r="CI844" s="78"/>
      <c r="CJ844" s="78"/>
      <c r="CK844" s="78"/>
      <c r="CL844" s="78"/>
      <c r="CM844" s="78"/>
      <c r="CN844" s="78"/>
      <c r="CO844" s="78"/>
      <c r="CP844" s="78"/>
      <c r="CQ844" s="78"/>
      <c r="CR844" s="78"/>
      <c r="CS844" s="78"/>
      <c r="CT844" s="78"/>
      <c r="CU844" s="78"/>
      <c r="CV844" s="78"/>
      <c r="CW844" s="78"/>
      <c r="CX844" s="78"/>
      <c r="CY844" s="78"/>
      <c r="CZ844" s="78"/>
      <c r="DA844" s="78"/>
      <c r="DB844" s="78"/>
      <c r="DC844" s="78"/>
      <c r="DD844" s="78"/>
      <c r="DE844" s="78"/>
      <c r="DF844" s="78"/>
      <c r="DG844" s="78"/>
      <c r="DH844" s="78"/>
      <c r="DI844" s="78"/>
      <c r="DJ844" s="78"/>
      <c r="DK844" s="78"/>
      <c r="DL844" s="78"/>
      <c r="DM844" s="78"/>
      <c r="DN844" s="78"/>
      <c r="DO844" s="78"/>
      <c r="DP844" s="78"/>
      <c r="DQ844" s="78"/>
      <c r="DR844" s="78"/>
      <c r="DS844" s="78"/>
      <c r="DT844" s="78"/>
      <c r="DU844" s="78"/>
      <c r="DV844" s="78"/>
      <c r="DW844" s="78"/>
      <c r="DX844" s="78"/>
      <c r="DY844" s="78"/>
      <c r="DZ844" s="78"/>
      <c r="EA844" s="78"/>
      <c r="EB844" s="78"/>
      <c r="EC844" s="78"/>
    </row>
    <row r="846" spans="1:133" ht="15.6" customHeight="1" x14ac:dyDescent="0.25">
      <c r="A846" s="36" t="s">
        <v>64</v>
      </c>
      <c r="B846" s="36"/>
      <c r="C846" s="36"/>
      <c r="D846" s="36"/>
      <c r="E846" s="36"/>
    </row>
    <row r="847" spans="1:133" x14ac:dyDescent="0.25">
      <c r="A847" s="57" t="s">
        <v>8</v>
      </c>
      <c r="B847" s="58" t="s">
        <v>9</v>
      </c>
      <c r="C847" s="34" t="s">
        <v>10</v>
      </c>
      <c r="D847" s="34" t="s">
        <v>340</v>
      </c>
      <c r="E847" s="16" t="s">
        <v>65</v>
      </c>
    </row>
    <row r="848" spans="1:133" s="13" customFormat="1" ht="62.4" x14ac:dyDescent="0.25">
      <c r="A848" s="59" t="s">
        <v>66</v>
      </c>
      <c r="B848" s="60" t="s">
        <v>14</v>
      </c>
      <c r="C848" s="53" t="s">
        <v>67</v>
      </c>
      <c r="D848" s="53" t="s">
        <v>68</v>
      </c>
      <c r="E848" s="75">
        <v>0</v>
      </c>
      <c r="R848" s="14"/>
      <c r="S848" s="14"/>
      <c r="T848" s="14"/>
      <c r="U848" s="14"/>
      <c r="V848" s="14"/>
      <c r="W848" s="14"/>
      <c r="X848" s="14"/>
      <c r="Y848" s="14"/>
      <c r="Z848" s="14"/>
      <c r="AA848" s="14"/>
      <c r="AB848" s="14"/>
      <c r="AC848" s="14"/>
      <c r="AD848" s="14"/>
      <c r="AE848" s="14"/>
      <c r="AF848" s="14"/>
      <c r="AG848" s="14"/>
      <c r="AH848" s="14"/>
      <c r="AI848" s="14"/>
      <c r="AJ848" s="14"/>
      <c r="AK848" s="14"/>
      <c r="AL848" s="14"/>
      <c r="AM848" s="14"/>
      <c r="AN848" s="14"/>
      <c r="AO848" s="14"/>
      <c r="AP848" s="14"/>
      <c r="AQ848" s="14"/>
      <c r="AR848" s="14"/>
      <c r="AS848" s="14"/>
      <c r="AT848" s="14"/>
      <c r="AU848" s="14"/>
      <c r="AV848" s="14"/>
      <c r="AW848" s="14"/>
      <c r="AX848" s="14"/>
      <c r="AY848" s="14"/>
      <c r="AZ848" s="14"/>
      <c r="BA848" s="14"/>
      <c r="BB848" s="14"/>
      <c r="BC848" s="14"/>
      <c r="BD848" s="14"/>
      <c r="BE848" s="14"/>
      <c r="BF848" s="14"/>
      <c r="BG848" s="14"/>
      <c r="BH848" s="14"/>
      <c r="BI848" s="14"/>
      <c r="BJ848" s="14"/>
      <c r="BK848" s="14"/>
      <c r="BL848" s="14"/>
      <c r="BM848" s="14"/>
      <c r="BN848" s="14"/>
      <c r="BO848" s="14"/>
      <c r="BP848" s="14"/>
      <c r="BQ848" s="14"/>
      <c r="BR848" s="14"/>
      <c r="BS848" s="14"/>
      <c r="BT848" s="14"/>
      <c r="BU848" s="14"/>
      <c r="BV848" s="14"/>
      <c r="BW848" s="14"/>
      <c r="BX848" s="14"/>
      <c r="BY848" s="14"/>
      <c r="BZ848" s="14"/>
      <c r="CA848" s="14"/>
      <c r="CB848" s="14"/>
      <c r="CC848" s="14"/>
      <c r="CD848" s="14"/>
      <c r="CE848" s="14"/>
      <c r="CF848" s="14"/>
      <c r="CG848" s="14"/>
      <c r="CH848" s="14"/>
      <c r="CI848" s="14"/>
      <c r="CJ848" s="14"/>
      <c r="CK848" s="14"/>
      <c r="CL848" s="14"/>
      <c r="CM848" s="14"/>
      <c r="CN848" s="14"/>
      <c r="CO848" s="14"/>
      <c r="CP848" s="14"/>
      <c r="CQ848" s="14"/>
      <c r="CR848" s="14"/>
      <c r="CS848" s="14"/>
      <c r="CT848" s="14"/>
      <c r="CU848" s="14"/>
      <c r="CV848" s="14"/>
      <c r="CW848" s="14"/>
      <c r="CX848" s="14"/>
      <c r="CY848" s="14"/>
      <c r="CZ848" s="14"/>
      <c r="DA848" s="14"/>
      <c r="DB848" s="14"/>
      <c r="DC848" s="14"/>
      <c r="DD848" s="14"/>
      <c r="DE848" s="14"/>
      <c r="DF848" s="14"/>
      <c r="DG848" s="14"/>
      <c r="DH848" s="14"/>
      <c r="DI848" s="14"/>
      <c r="DJ848" s="14"/>
      <c r="DK848" s="14"/>
      <c r="DL848" s="14"/>
      <c r="DM848" s="14"/>
      <c r="DN848" s="14"/>
      <c r="DO848" s="14"/>
      <c r="DP848" s="14"/>
      <c r="DQ848" s="14"/>
      <c r="DR848" s="14"/>
      <c r="DS848" s="14"/>
      <c r="DT848" s="14"/>
      <c r="DU848" s="14"/>
      <c r="DV848" s="14"/>
      <c r="DW848" s="14"/>
      <c r="DX848" s="14"/>
      <c r="DY848" s="14"/>
      <c r="DZ848" s="14"/>
      <c r="EA848" s="14"/>
      <c r="EB848" s="14"/>
      <c r="EC848" s="14"/>
    </row>
    <row r="849" spans="1:133" s="13" customFormat="1" ht="46.8" x14ac:dyDescent="0.25">
      <c r="A849" s="63" t="s">
        <v>69</v>
      </c>
      <c r="B849" s="25" t="s">
        <v>70</v>
      </c>
      <c r="C849" s="35" t="s">
        <v>71</v>
      </c>
      <c r="D849" s="53" t="str">
        <f>D855</f>
        <v>Historical data on site in the FSR (It was calculated with conservative value)</v>
      </c>
      <c r="E849" s="74">
        <f>E855</f>
        <v>168.73306018998926</v>
      </c>
      <c r="R849" s="14"/>
      <c r="S849" s="14"/>
      <c r="T849" s="14"/>
      <c r="U849" s="14"/>
      <c r="V849" s="14"/>
      <c r="W849" s="14"/>
      <c r="X849" s="14"/>
      <c r="Y849" s="14"/>
      <c r="Z849" s="14"/>
      <c r="AA849" s="14"/>
      <c r="AB849" s="14"/>
      <c r="AC849" s="14"/>
      <c r="AD849" s="14"/>
      <c r="AE849" s="14"/>
      <c r="AF849" s="14"/>
      <c r="AG849" s="14"/>
      <c r="AH849" s="14"/>
      <c r="AI849" s="14"/>
      <c r="AJ849" s="14"/>
      <c r="AK849" s="14"/>
      <c r="AL849" s="14"/>
      <c r="AM849" s="14"/>
      <c r="AN849" s="14"/>
      <c r="AO849" s="14"/>
      <c r="AP849" s="14"/>
      <c r="AQ849" s="14"/>
      <c r="AR849" s="14"/>
      <c r="AS849" s="14"/>
      <c r="AT849" s="14"/>
      <c r="AU849" s="14"/>
      <c r="AV849" s="14"/>
      <c r="AW849" s="14"/>
      <c r="AX849" s="14"/>
      <c r="AY849" s="14"/>
      <c r="AZ849" s="14"/>
      <c r="BA849" s="14"/>
      <c r="BB849" s="14"/>
      <c r="BC849" s="14"/>
      <c r="BD849" s="14"/>
      <c r="BE849" s="14"/>
      <c r="BF849" s="14"/>
      <c r="BG849" s="14"/>
      <c r="BH849" s="14"/>
      <c r="BI849" s="14"/>
      <c r="BJ849" s="14"/>
      <c r="BK849" s="14"/>
      <c r="BL849" s="14"/>
      <c r="BM849" s="14"/>
      <c r="BN849" s="14"/>
      <c r="BO849" s="14"/>
      <c r="BP849" s="14"/>
      <c r="BQ849" s="14"/>
      <c r="BR849" s="14"/>
      <c r="BS849" s="14"/>
      <c r="BT849" s="14"/>
      <c r="BU849" s="14"/>
      <c r="BV849" s="14"/>
      <c r="BW849" s="14"/>
      <c r="BX849" s="14"/>
      <c r="BY849" s="14"/>
      <c r="BZ849" s="14"/>
      <c r="CA849" s="14"/>
      <c r="CB849" s="14"/>
      <c r="CC849" s="14"/>
      <c r="CD849" s="14"/>
      <c r="CE849" s="14"/>
      <c r="CF849" s="14"/>
      <c r="CG849" s="14"/>
      <c r="CH849" s="14"/>
      <c r="CI849" s="14"/>
      <c r="CJ849" s="14"/>
      <c r="CK849" s="14"/>
      <c r="CL849" s="14"/>
      <c r="CM849" s="14"/>
      <c r="CN849" s="14"/>
      <c r="CO849" s="14"/>
      <c r="CP849" s="14"/>
      <c r="CQ849" s="14"/>
      <c r="CR849" s="14"/>
      <c r="CS849" s="14"/>
      <c r="CT849" s="14"/>
      <c r="CU849" s="14"/>
      <c r="CV849" s="14"/>
      <c r="CW849" s="14"/>
      <c r="CX849" s="14"/>
      <c r="CY849" s="14"/>
      <c r="CZ849" s="14"/>
      <c r="DA849" s="14"/>
      <c r="DB849" s="14"/>
      <c r="DC849" s="14"/>
      <c r="DD849" s="14"/>
      <c r="DE849" s="14"/>
      <c r="DF849" s="14"/>
      <c r="DG849" s="14"/>
      <c r="DH849" s="14"/>
      <c r="DI849" s="14"/>
      <c r="DJ849" s="14"/>
      <c r="DK849" s="14"/>
      <c r="DL849" s="14"/>
      <c r="DM849" s="14"/>
      <c r="DN849" s="14"/>
      <c r="DO849" s="14"/>
      <c r="DP849" s="14"/>
      <c r="DQ849" s="14"/>
      <c r="DR849" s="14"/>
      <c r="DS849" s="14"/>
      <c r="DT849" s="14"/>
      <c r="DU849" s="14"/>
      <c r="DV849" s="14"/>
      <c r="DW849" s="14"/>
      <c r="DX849" s="14"/>
      <c r="DY849" s="14"/>
      <c r="DZ849" s="14"/>
      <c r="EA849" s="14"/>
      <c r="EB849" s="14"/>
      <c r="EC849" s="14"/>
    </row>
    <row r="850" spans="1:133" s="13" customFormat="1" x14ac:dyDescent="0.25">
      <c r="A850" s="14"/>
      <c r="C850" s="12"/>
      <c r="D850" s="12"/>
      <c r="R850" s="14"/>
      <c r="S850" s="14"/>
      <c r="T850" s="14"/>
      <c r="U850" s="14"/>
      <c r="V850" s="14"/>
      <c r="W850" s="14"/>
      <c r="X850" s="14"/>
      <c r="Y850" s="14"/>
      <c r="Z850" s="14"/>
      <c r="AA850" s="14"/>
      <c r="AB850" s="14"/>
      <c r="AC850" s="14"/>
      <c r="AD850" s="14"/>
      <c r="AE850" s="14"/>
      <c r="AF850" s="14"/>
      <c r="AG850" s="14"/>
      <c r="AH850" s="14"/>
      <c r="AI850" s="14"/>
      <c r="AJ850" s="14"/>
      <c r="AK850" s="14"/>
      <c r="AL850" s="14"/>
      <c r="AM850" s="14"/>
      <c r="AN850" s="14"/>
      <c r="AO850" s="14"/>
      <c r="AP850" s="14"/>
      <c r="AQ850" s="14"/>
      <c r="AR850" s="14"/>
      <c r="AS850" s="14"/>
      <c r="AT850" s="14"/>
      <c r="AU850" s="14"/>
      <c r="AV850" s="14"/>
      <c r="AW850" s="14"/>
      <c r="AX850" s="14"/>
      <c r="AY850" s="14"/>
      <c r="AZ850" s="14"/>
      <c r="BA850" s="14"/>
      <c r="BB850" s="14"/>
      <c r="BC850" s="14"/>
      <c r="BD850" s="14"/>
      <c r="BE850" s="14"/>
      <c r="BF850" s="14"/>
      <c r="BG850" s="14"/>
      <c r="BH850" s="14"/>
      <c r="BI850" s="14"/>
      <c r="BJ850" s="14"/>
      <c r="BK850" s="14"/>
      <c r="BL850" s="14"/>
      <c r="BM850" s="14"/>
      <c r="BN850" s="14"/>
      <c r="BO850" s="14"/>
      <c r="BP850" s="14"/>
      <c r="BQ850" s="14"/>
      <c r="BR850" s="14"/>
      <c r="BS850" s="14"/>
      <c r="BT850" s="14"/>
      <c r="BU850" s="14"/>
      <c r="BV850" s="14"/>
      <c r="BW850" s="14"/>
      <c r="BX850" s="14"/>
      <c r="BY850" s="14"/>
      <c r="BZ850" s="14"/>
      <c r="CA850" s="14"/>
      <c r="CB850" s="14"/>
      <c r="CC850" s="14"/>
      <c r="CD850" s="14"/>
      <c r="CE850" s="14"/>
      <c r="CF850" s="14"/>
      <c r="CG850" s="14"/>
      <c r="CH850" s="14"/>
      <c r="CI850" s="14"/>
      <c r="CJ850" s="14"/>
      <c r="CK850" s="14"/>
      <c r="CL850" s="14"/>
      <c r="CM850" s="14"/>
      <c r="CN850" s="14"/>
      <c r="CO850" s="14"/>
      <c r="CP850" s="14"/>
      <c r="CQ850" s="14"/>
      <c r="CR850" s="14"/>
      <c r="CS850" s="14"/>
      <c r="CT850" s="14"/>
      <c r="CU850" s="14"/>
      <c r="CV850" s="14"/>
      <c r="CW850" s="14"/>
      <c r="CX850" s="14"/>
      <c r="CY850" s="14"/>
      <c r="CZ850" s="14"/>
      <c r="DA850" s="14"/>
      <c r="DB850" s="14"/>
      <c r="DC850" s="14"/>
      <c r="DD850" s="14"/>
      <c r="DE850" s="14"/>
      <c r="DF850" s="14"/>
      <c r="DG850" s="14"/>
      <c r="DH850" s="14"/>
      <c r="DI850" s="14"/>
      <c r="DJ850" s="14"/>
      <c r="DK850" s="14"/>
      <c r="DL850" s="14"/>
      <c r="DM850" s="14"/>
      <c r="DN850" s="14"/>
      <c r="DO850" s="14"/>
      <c r="DP850" s="14"/>
      <c r="DQ850" s="14"/>
      <c r="DR850" s="14"/>
      <c r="DS850" s="14"/>
      <c r="DT850" s="14"/>
      <c r="DU850" s="14"/>
      <c r="DV850" s="14"/>
      <c r="DW850" s="14"/>
      <c r="DX850" s="14"/>
      <c r="DY850" s="14"/>
      <c r="DZ850" s="14"/>
      <c r="EA850" s="14"/>
      <c r="EB850" s="14"/>
      <c r="EC850" s="14"/>
    </row>
    <row r="851" spans="1:133" s="13" customFormat="1" ht="15.6" customHeight="1" x14ac:dyDescent="0.25">
      <c r="A851" s="90" t="s">
        <v>72</v>
      </c>
      <c r="B851" s="90"/>
      <c r="C851" s="91"/>
      <c r="D851" s="91"/>
      <c r="E851" s="90"/>
      <c r="R851" s="14"/>
      <c r="S851" s="14"/>
      <c r="T851" s="14"/>
      <c r="U851" s="14"/>
      <c r="V851" s="14"/>
      <c r="W851" s="14"/>
      <c r="X851" s="14"/>
      <c r="Y851" s="14"/>
      <c r="Z851" s="14"/>
      <c r="AA851" s="14"/>
      <c r="AB851" s="14"/>
      <c r="AC851" s="14"/>
      <c r="AD851" s="14"/>
      <c r="AE851" s="14"/>
      <c r="AF851" s="14"/>
      <c r="AG851" s="14"/>
      <c r="AH851" s="14"/>
      <c r="AI851" s="14"/>
      <c r="AJ851" s="14"/>
      <c r="AK851" s="14"/>
      <c r="AL851" s="14"/>
      <c r="AM851" s="14"/>
      <c r="AN851" s="14"/>
      <c r="AO851" s="14"/>
      <c r="AP851" s="14"/>
      <c r="AQ851" s="14"/>
      <c r="AR851" s="14"/>
      <c r="AS851" s="14"/>
      <c r="AT851" s="14"/>
      <c r="AU851" s="14"/>
      <c r="AV851" s="14"/>
      <c r="AW851" s="14"/>
      <c r="AX851" s="14"/>
      <c r="AY851" s="14"/>
      <c r="AZ851" s="14"/>
      <c r="BA851" s="14"/>
      <c r="BB851" s="14"/>
      <c r="BC851" s="14"/>
      <c r="BD851" s="14"/>
      <c r="BE851" s="14"/>
      <c r="BF851" s="14"/>
      <c r="BG851" s="14"/>
      <c r="BH851" s="14"/>
      <c r="BI851" s="14"/>
      <c r="BJ851" s="14"/>
      <c r="BK851" s="14"/>
      <c r="BL851" s="14"/>
      <c r="BM851" s="14"/>
      <c r="BN851" s="14"/>
      <c r="BO851" s="14"/>
      <c r="BP851" s="14"/>
      <c r="BQ851" s="14"/>
      <c r="BR851" s="14"/>
      <c r="BS851" s="14"/>
      <c r="BT851" s="14"/>
      <c r="BU851" s="14"/>
      <c r="BV851" s="14"/>
      <c r="BW851" s="14"/>
      <c r="BX851" s="14"/>
      <c r="BY851" s="14"/>
      <c r="BZ851" s="14"/>
      <c r="CA851" s="14"/>
      <c r="CB851" s="14"/>
      <c r="CC851" s="14"/>
      <c r="CD851" s="14"/>
      <c r="CE851" s="14"/>
      <c r="CF851" s="14"/>
      <c r="CG851" s="14"/>
      <c r="CH851" s="14"/>
      <c r="CI851" s="14"/>
      <c r="CJ851" s="14"/>
      <c r="CK851" s="14"/>
      <c r="CL851" s="14"/>
      <c r="CM851" s="14"/>
      <c r="CN851" s="14"/>
      <c r="CO851" s="14"/>
      <c r="CP851" s="14"/>
      <c r="CQ851" s="14"/>
      <c r="CR851" s="14"/>
      <c r="CS851" s="14"/>
      <c r="CT851" s="14"/>
      <c r="CU851" s="14"/>
      <c r="CV851" s="14"/>
      <c r="CW851" s="14"/>
      <c r="CX851" s="14"/>
      <c r="CY851" s="14"/>
      <c r="CZ851" s="14"/>
      <c r="DA851" s="14"/>
      <c r="DB851" s="14"/>
      <c r="DC851" s="14"/>
      <c r="DD851" s="14"/>
      <c r="DE851" s="14"/>
      <c r="DF851" s="14"/>
      <c r="DG851" s="14"/>
      <c r="DH851" s="14"/>
      <c r="DI851" s="14"/>
      <c r="DJ851" s="14"/>
      <c r="DK851" s="14"/>
      <c r="DL851" s="14"/>
      <c r="DM851" s="14"/>
      <c r="DN851" s="14"/>
      <c r="DO851" s="14"/>
      <c r="DP851" s="14"/>
      <c r="DQ851" s="14"/>
      <c r="DR851" s="14"/>
      <c r="DS851" s="14"/>
      <c r="DT851" s="14"/>
      <c r="DU851" s="14"/>
      <c r="DV851" s="14"/>
      <c r="DW851" s="14"/>
      <c r="DX851" s="14"/>
      <c r="DY851" s="14"/>
      <c r="DZ851" s="14"/>
      <c r="EA851" s="14"/>
      <c r="EB851" s="14"/>
      <c r="EC851" s="14"/>
    </row>
    <row r="852" spans="1:133" s="13" customFormat="1" x14ac:dyDescent="0.25">
      <c r="A852" s="59" t="s">
        <v>8</v>
      </c>
      <c r="B852" s="16" t="s">
        <v>9</v>
      </c>
      <c r="C852" s="38" t="s">
        <v>10</v>
      </c>
      <c r="D852" s="38" t="s">
        <v>340</v>
      </c>
      <c r="E852" s="16" t="s">
        <v>65</v>
      </c>
      <c r="R852" s="14"/>
      <c r="S852" s="14"/>
      <c r="T852" s="14"/>
      <c r="U852" s="14"/>
      <c r="V852" s="14"/>
      <c r="W852" s="14"/>
      <c r="X852" s="14"/>
      <c r="Y852" s="14"/>
      <c r="Z852" s="14"/>
      <c r="AA852" s="14"/>
      <c r="AB852" s="14"/>
      <c r="AC852" s="14"/>
      <c r="AD852" s="14"/>
      <c r="AE852" s="14"/>
      <c r="AF852" s="14"/>
      <c r="AG852" s="14"/>
      <c r="AH852" s="14"/>
      <c r="AI852" s="14"/>
      <c r="AJ852" s="14"/>
      <c r="AK852" s="14"/>
      <c r="AL852" s="14"/>
      <c r="AM852" s="14"/>
      <c r="AN852" s="14"/>
      <c r="AO852" s="14"/>
      <c r="AP852" s="14"/>
      <c r="AQ852" s="14"/>
      <c r="AR852" s="14"/>
      <c r="AS852" s="14"/>
      <c r="AT852" s="14"/>
      <c r="AU852" s="14"/>
      <c r="AV852" s="14"/>
      <c r="AW852" s="14"/>
      <c r="AX852" s="14"/>
      <c r="AY852" s="14"/>
      <c r="AZ852" s="14"/>
      <c r="BA852" s="14"/>
      <c r="BB852" s="14"/>
      <c r="BC852" s="14"/>
      <c r="BD852" s="14"/>
      <c r="BE852" s="14"/>
      <c r="BF852" s="14"/>
      <c r="BG852" s="14"/>
      <c r="BH852" s="14"/>
      <c r="BI852" s="14"/>
      <c r="BJ852" s="14"/>
      <c r="BK852" s="14"/>
      <c r="BL852" s="14"/>
      <c r="BM852" s="14"/>
      <c r="BN852" s="14"/>
      <c r="BO852" s="14"/>
      <c r="BP852" s="14"/>
      <c r="BQ852" s="14"/>
      <c r="BR852" s="14"/>
      <c r="BS852" s="14"/>
      <c r="BT852" s="14"/>
      <c r="BU852" s="14"/>
      <c r="BV852" s="14"/>
      <c r="BW852" s="14"/>
      <c r="BX852" s="14"/>
      <c r="BY852" s="14"/>
      <c r="BZ852" s="14"/>
      <c r="CA852" s="14"/>
      <c r="CB852" s="14"/>
      <c r="CC852" s="14"/>
      <c r="CD852" s="14"/>
      <c r="CE852" s="14"/>
      <c r="CF852" s="14"/>
      <c r="CG852" s="14"/>
      <c r="CH852" s="14"/>
      <c r="CI852" s="14"/>
      <c r="CJ852" s="14"/>
      <c r="CK852" s="14"/>
      <c r="CL852" s="14"/>
      <c r="CM852" s="14"/>
      <c r="CN852" s="14"/>
      <c r="CO852" s="14"/>
      <c r="CP852" s="14"/>
      <c r="CQ852" s="14"/>
      <c r="CR852" s="14"/>
      <c r="CS852" s="14"/>
      <c r="CT852" s="14"/>
      <c r="CU852" s="14"/>
      <c r="CV852" s="14"/>
      <c r="CW852" s="14"/>
      <c r="CX852" s="14"/>
      <c r="CY852" s="14"/>
      <c r="CZ852" s="14"/>
      <c r="DA852" s="14"/>
      <c r="DB852" s="14"/>
      <c r="DC852" s="14"/>
      <c r="DD852" s="14"/>
      <c r="DE852" s="14"/>
      <c r="DF852" s="14"/>
      <c r="DG852" s="14"/>
      <c r="DH852" s="14"/>
      <c r="DI852" s="14"/>
      <c r="DJ852" s="14"/>
      <c r="DK852" s="14"/>
      <c r="DL852" s="14"/>
      <c r="DM852" s="14"/>
      <c r="DN852" s="14"/>
      <c r="DO852" s="14"/>
      <c r="DP852" s="14"/>
      <c r="DQ852" s="14"/>
      <c r="DR852" s="14"/>
      <c r="DS852" s="14"/>
      <c r="DT852" s="14"/>
      <c r="DU852" s="14"/>
      <c r="DV852" s="14"/>
      <c r="DW852" s="14"/>
      <c r="DX852" s="14"/>
      <c r="DY852" s="14"/>
      <c r="DZ852" s="14"/>
      <c r="EA852" s="14"/>
      <c r="EB852" s="14"/>
      <c r="EC852" s="14"/>
    </row>
    <row r="853" spans="1:133" s="13" customFormat="1" ht="33.6" x14ac:dyDescent="0.4">
      <c r="A853" s="76" t="s">
        <v>73</v>
      </c>
      <c r="B853" s="25" t="s">
        <v>74</v>
      </c>
      <c r="C853" s="35" t="s">
        <v>75</v>
      </c>
      <c r="D853" s="35" t="s">
        <v>378</v>
      </c>
      <c r="E853" s="50">
        <f>E854*E857*E858*E859*E860*E861</f>
        <v>0.68534829710046652</v>
      </c>
      <c r="R853" s="14"/>
      <c r="S853" s="14"/>
      <c r="T853" s="14"/>
      <c r="U853" s="14"/>
      <c r="V853" s="14"/>
      <c r="W853" s="14"/>
      <c r="X853" s="14"/>
      <c r="Y853" s="14"/>
      <c r="Z853" s="14"/>
      <c r="AA853" s="14"/>
      <c r="AB853" s="14"/>
      <c r="AC853" s="14"/>
      <c r="AD853" s="14"/>
      <c r="AE853" s="14"/>
      <c r="AF853" s="14"/>
      <c r="AG853" s="14"/>
      <c r="AH853" s="14"/>
      <c r="AI853" s="14"/>
      <c r="AJ853" s="14"/>
      <c r="AK853" s="14"/>
      <c r="AL853" s="14"/>
      <c r="AM853" s="14"/>
      <c r="AN853" s="14"/>
      <c r="AO853" s="14"/>
      <c r="AP853" s="14"/>
      <c r="AQ853" s="14"/>
      <c r="AR853" s="14"/>
      <c r="AS853" s="14"/>
      <c r="AT853" s="14"/>
      <c r="AU853" s="14"/>
      <c r="AV853" s="14"/>
      <c r="AW853" s="14"/>
      <c r="AX853" s="14"/>
      <c r="AY853" s="14"/>
      <c r="AZ853" s="14"/>
      <c r="BA853" s="14"/>
      <c r="BB853" s="14"/>
      <c r="BC853" s="14"/>
      <c r="BD853" s="14"/>
      <c r="BE853" s="14"/>
      <c r="BF853" s="14"/>
      <c r="BG853" s="14"/>
      <c r="BH853" s="14"/>
      <c r="BI853" s="14"/>
      <c r="BJ853" s="14"/>
      <c r="BK853" s="14"/>
      <c r="BL853" s="14"/>
      <c r="BM853" s="14"/>
      <c r="BN853" s="14"/>
      <c r="BO853" s="14"/>
      <c r="BP853" s="14"/>
      <c r="BQ853" s="14"/>
      <c r="BR853" s="14"/>
      <c r="BS853" s="14"/>
      <c r="BT853" s="14"/>
      <c r="BU853" s="14"/>
      <c r="BV853" s="14"/>
      <c r="BW853" s="14"/>
      <c r="BX853" s="14"/>
      <c r="BY853" s="14"/>
      <c r="BZ853" s="14"/>
      <c r="CA853" s="14"/>
      <c r="CB853" s="14"/>
      <c r="CC853" s="14"/>
      <c r="CD853" s="14"/>
      <c r="CE853" s="14"/>
      <c r="CF853" s="14"/>
      <c r="CG853" s="14"/>
      <c r="CH853" s="14"/>
      <c r="CI853" s="14"/>
      <c r="CJ853" s="14"/>
      <c r="CK853" s="14"/>
      <c r="CL853" s="14"/>
      <c r="CM853" s="14"/>
      <c r="CN853" s="14"/>
      <c r="CO853" s="14"/>
      <c r="CP853" s="14"/>
      <c r="CQ853" s="14"/>
      <c r="CR853" s="14"/>
      <c r="CS853" s="14"/>
      <c r="CT853" s="14"/>
      <c r="CU853" s="14"/>
      <c r="CV853" s="14"/>
      <c r="CW853" s="14"/>
      <c r="CX853" s="14"/>
      <c r="CY853" s="14"/>
      <c r="CZ853" s="14"/>
      <c r="DA853" s="14"/>
      <c r="DB853" s="14"/>
      <c r="DC853" s="14"/>
      <c r="DD853" s="14"/>
      <c r="DE853" s="14"/>
      <c r="DF853" s="14"/>
      <c r="DG853" s="14"/>
      <c r="DH853" s="14"/>
      <c r="DI853" s="14"/>
      <c r="DJ853" s="14"/>
      <c r="DK853" s="14"/>
      <c r="DL853" s="14"/>
      <c r="DM853" s="14"/>
      <c r="DN853" s="14"/>
      <c r="DO853" s="14"/>
      <c r="DP853" s="14"/>
      <c r="DQ853" s="14"/>
      <c r="DR853" s="14"/>
      <c r="DS853" s="14"/>
      <c r="DT853" s="14"/>
      <c r="DU853" s="14"/>
      <c r="DV853" s="14"/>
      <c r="DW853" s="14"/>
      <c r="DX853" s="14"/>
      <c r="DY853" s="14"/>
      <c r="DZ853" s="14"/>
      <c r="EA853" s="14"/>
      <c r="EB853" s="14"/>
      <c r="EC853" s="14"/>
    </row>
    <row r="854" spans="1:133" s="13" customFormat="1" ht="46.8" x14ac:dyDescent="0.4">
      <c r="A854" s="77" t="s">
        <v>207</v>
      </c>
      <c r="B854" s="25" t="s">
        <v>76</v>
      </c>
      <c r="C854" s="35" t="s">
        <v>77</v>
      </c>
      <c r="D854" s="35" t="s">
        <v>379</v>
      </c>
      <c r="E854" s="52">
        <f>E855/E856</f>
        <v>33.746612037997849</v>
      </c>
      <c r="R854" s="14"/>
      <c r="S854" s="14"/>
      <c r="T854" s="14"/>
      <c r="U854" s="14"/>
      <c r="V854" s="14"/>
      <c r="W854" s="14"/>
      <c r="X854" s="14"/>
      <c r="Y854" s="14"/>
      <c r="Z854" s="14"/>
      <c r="AA854" s="14"/>
      <c r="AB854" s="14"/>
      <c r="AC854" s="14"/>
      <c r="AD854" s="14"/>
      <c r="AE854" s="14"/>
      <c r="AF854" s="14"/>
      <c r="AG854" s="14"/>
      <c r="AH854" s="14"/>
      <c r="AI854" s="14"/>
      <c r="AJ854" s="14"/>
      <c r="AK854" s="14"/>
      <c r="AL854" s="14"/>
      <c r="AM854" s="14"/>
      <c r="AN854" s="14"/>
      <c r="AO854" s="14"/>
      <c r="AP854" s="14"/>
      <c r="AQ854" s="14"/>
      <c r="AR854" s="14"/>
      <c r="AS854" s="14"/>
      <c r="AT854" s="14"/>
      <c r="AU854" s="14"/>
      <c r="AV854" s="14"/>
      <c r="AW854" s="14"/>
      <c r="AX854" s="14"/>
      <c r="AY854" s="14"/>
      <c r="AZ854" s="14"/>
      <c r="BA854" s="14"/>
      <c r="BB854" s="14"/>
      <c r="BC854" s="14"/>
      <c r="BD854" s="14"/>
      <c r="BE854" s="14"/>
      <c r="BF854" s="14"/>
      <c r="BG854" s="14"/>
      <c r="BH854" s="14"/>
      <c r="BI854" s="14"/>
      <c r="BJ854" s="14"/>
      <c r="BK854" s="14"/>
      <c r="BL854" s="14"/>
      <c r="BM854" s="14"/>
      <c r="BN854" s="14"/>
      <c r="BO854" s="14"/>
      <c r="BP854" s="14"/>
      <c r="BQ854" s="14"/>
      <c r="BR854" s="14"/>
      <c r="BS854" s="14"/>
      <c r="BT854" s="14"/>
      <c r="BU854" s="14"/>
      <c r="BV854" s="14"/>
      <c r="BW854" s="14"/>
      <c r="BX854" s="14"/>
      <c r="BY854" s="14"/>
      <c r="BZ854" s="14"/>
      <c r="CA854" s="14"/>
      <c r="CB854" s="14"/>
      <c r="CC854" s="14"/>
      <c r="CD854" s="14"/>
      <c r="CE854" s="14"/>
      <c r="CF854" s="14"/>
      <c r="CG854" s="14"/>
      <c r="CH854" s="14"/>
      <c r="CI854" s="14"/>
      <c r="CJ854" s="14"/>
      <c r="CK854" s="14"/>
      <c r="CL854" s="14"/>
      <c r="CM854" s="14"/>
      <c r="CN854" s="14"/>
      <c r="CO854" s="14"/>
      <c r="CP854" s="14"/>
      <c r="CQ854" s="14"/>
      <c r="CR854" s="14"/>
      <c r="CS854" s="14"/>
      <c r="CT854" s="14"/>
      <c r="CU854" s="14"/>
      <c r="CV854" s="14"/>
      <c r="CW854" s="14"/>
      <c r="CX854" s="14"/>
      <c r="CY854" s="14"/>
      <c r="CZ854" s="14"/>
      <c r="DA854" s="14"/>
      <c r="DB854" s="14"/>
      <c r="DC854" s="14"/>
      <c r="DD854" s="14"/>
      <c r="DE854" s="14"/>
      <c r="DF854" s="14"/>
      <c r="DG854" s="14"/>
      <c r="DH854" s="14"/>
      <c r="DI854" s="14"/>
      <c r="DJ854" s="14"/>
      <c r="DK854" s="14"/>
      <c r="DL854" s="14"/>
      <c r="DM854" s="14"/>
      <c r="DN854" s="14"/>
      <c r="DO854" s="14"/>
      <c r="DP854" s="14"/>
      <c r="DQ854" s="14"/>
      <c r="DR854" s="14"/>
      <c r="DS854" s="14"/>
      <c r="DT854" s="14"/>
      <c r="DU854" s="14"/>
      <c r="DV854" s="14"/>
      <c r="DW854" s="14"/>
      <c r="DX854" s="14"/>
      <c r="DY854" s="14"/>
      <c r="DZ854" s="14"/>
      <c r="EA854" s="14"/>
      <c r="EB854" s="14"/>
      <c r="EC854" s="14"/>
    </row>
    <row r="855" spans="1:133" s="13" customFormat="1" ht="46.8" x14ac:dyDescent="0.25">
      <c r="A855" s="63" t="s">
        <v>208</v>
      </c>
      <c r="B855" s="25" t="s">
        <v>78</v>
      </c>
      <c r="C855" s="35" t="s">
        <v>79</v>
      </c>
      <c r="D855" s="53" t="s">
        <v>352</v>
      </c>
      <c r="E855" s="52">
        <f>0.000186077761318741*E828</f>
        <v>168.73306018998926</v>
      </c>
      <c r="R855" s="14"/>
      <c r="S855" s="14"/>
      <c r="T855" s="14"/>
      <c r="U855" s="14"/>
      <c r="V855" s="14"/>
      <c r="W855" s="14"/>
      <c r="X855" s="14"/>
      <c r="Y855" s="14"/>
      <c r="Z855" s="14"/>
      <c r="AA855" s="14"/>
      <c r="AB855" s="14"/>
      <c r="AC855" s="14"/>
      <c r="AD855" s="14"/>
      <c r="AE855" s="14"/>
      <c r="AF855" s="14"/>
      <c r="AG855" s="14"/>
      <c r="AH855" s="14"/>
      <c r="AI855" s="14"/>
      <c r="AJ855" s="14"/>
      <c r="AK855" s="14"/>
      <c r="AL855" s="14"/>
      <c r="AM855" s="14"/>
      <c r="AN855" s="14"/>
      <c r="AO855" s="14"/>
      <c r="AP855" s="14"/>
      <c r="AQ855" s="14"/>
      <c r="AR855" s="14"/>
      <c r="AS855" s="14"/>
      <c r="AT855" s="14"/>
      <c r="AU855" s="14"/>
      <c r="AV855" s="14"/>
      <c r="AW855" s="14"/>
      <c r="AX855" s="14"/>
      <c r="AY855" s="14"/>
      <c r="AZ855" s="14"/>
      <c r="BA855" s="14"/>
      <c r="BB855" s="14"/>
      <c r="BC855" s="14"/>
      <c r="BD855" s="14"/>
      <c r="BE855" s="14"/>
      <c r="BF855" s="14"/>
      <c r="BG855" s="14"/>
      <c r="BH855" s="14"/>
      <c r="BI855" s="14"/>
      <c r="BJ855" s="14"/>
      <c r="BK855" s="14"/>
      <c r="BL855" s="14"/>
      <c r="BM855" s="14"/>
      <c r="BN855" s="14"/>
      <c r="BO855" s="14"/>
      <c r="BP855" s="14"/>
      <c r="BQ855" s="14"/>
      <c r="BR855" s="14"/>
      <c r="BS855" s="14"/>
      <c r="BT855" s="14"/>
      <c r="BU855" s="14"/>
      <c r="BV855" s="14"/>
      <c r="BW855" s="14"/>
      <c r="BX855" s="14"/>
      <c r="BY855" s="14"/>
      <c r="BZ855" s="14"/>
      <c r="CA855" s="14"/>
      <c r="CB855" s="14"/>
      <c r="CC855" s="14"/>
      <c r="CD855" s="14"/>
      <c r="CE855" s="14"/>
      <c r="CF855" s="14"/>
      <c r="CG855" s="14"/>
      <c r="CH855" s="14"/>
      <c r="CI855" s="14"/>
      <c r="CJ855" s="14"/>
      <c r="CK855" s="14"/>
      <c r="CL855" s="14"/>
      <c r="CM855" s="14"/>
      <c r="CN855" s="14"/>
      <c r="CO855" s="14"/>
      <c r="CP855" s="14"/>
      <c r="CQ855" s="14"/>
      <c r="CR855" s="14"/>
      <c r="CS855" s="14"/>
      <c r="CT855" s="14"/>
      <c r="CU855" s="14"/>
      <c r="CV855" s="14"/>
      <c r="CW855" s="14"/>
      <c r="CX855" s="14"/>
      <c r="CY855" s="14"/>
      <c r="CZ855" s="14"/>
      <c r="DA855" s="14"/>
      <c r="DB855" s="14"/>
      <c r="DC855" s="14"/>
      <c r="DD855" s="14"/>
      <c r="DE855" s="14"/>
      <c r="DF855" s="14"/>
      <c r="DG855" s="14"/>
      <c r="DH855" s="14"/>
      <c r="DI855" s="14"/>
      <c r="DJ855" s="14"/>
      <c r="DK855" s="14"/>
      <c r="DL855" s="14"/>
      <c r="DM855" s="14"/>
      <c r="DN855" s="14"/>
      <c r="DO855" s="14"/>
      <c r="DP855" s="14"/>
      <c r="DQ855" s="14"/>
      <c r="DR855" s="14"/>
      <c r="DS855" s="14"/>
      <c r="DT855" s="14"/>
      <c r="DU855" s="14"/>
      <c r="DV855" s="14"/>
      <c r="DW855" s="14"/>
      <c r="DX855" s="14"/>
      <c r="DY855" s="14"/>
      <c r="DZ855" s="14"/>
      <c r="EA855" s="14"/>
      <c r="EB855" s="14"/>
      <c r="EC855" s="14"/>
    </row>
    <row r="856" spans="1:133" s="13" customFormat="1" ht="31.2" x14ac:dyDescent="0.25">
      <c r="A856" s="63" t="s">
        <v>209</v>
      </c>
      <c r="B856" s="25" t="s">
        <v>80</v>
      </c>
      <c r="C856" s="35" t="s">
        <v>81</v>
      </c>
      <c r="D856" s="35" t="s">
        <v>353</v>
      </c>
      <c r="E856" s="25">
        <f>5</f>
        <v>5</v>
      </c>
      <c r="R856" s="14"/>
      <c r="S856" s="14"/>
      <c r="T856" s="14"/>
      <c r="U856" s="14"/>
      <c r="V856" s="14"/>
      <c r="W856" s="14"/>
      <c r="X856" s="14"/>
      <c r="Y856" s="14"/>
      <c r="Z856" s="14"/>
      <c r="AA856" s="14"/>
      <c r="AB856" s="14"/>
      <c r="AC856" s="14"/>
      <c r="AD856" s="14"/>
      <c r="AE856" s="14"/>
      <c r="AF856" s="14"/>
      <c r="AG856" s="14"/>
      <c r="AH856" s="14"/>
      <c r="AI856" s="14"/>
      <c r="AJ856" s="14"/>
      <c r="AK856" s="14"/>
      <c r="AL856" s="14"/>
      <c r="AM856" s="14"/>
      <c r="AN856" s="14"/>
      <c r="AO856" s="14"/>
      <c r="AP856" s="14"/>
      <c r="AQ856" s="14"/>
      <c r="AR856" s="14"/>
      <c r="AS856" s="14"/>
      <c r="AT856" s="14"/>
      <c r="AU856" s="14"/>
      <c r="AV856" s="14"/>
      <c r="AW856" s="14"/>
      <c r="AX856" s="14"/>
      <c r="AY856" s="14"/>
      <c r="AZ856" s="14"/>
      <c r="BA856" s="14"/>
      <c r="BB856" s="14"/>
      <c r="BC856" s="14"/>
      <c r="BD856" s="14"/>
      <c r="BE856" s="14"/>
      <c r="BF856" s="14"/>
      <c r="BG856" s="14"/>
      <c r="BH856" s="14"/>
      <c r="BI856" s="14"/>
      <c r="BJ856" s="14"/>
      <c r="BK856" s="14"/>
      <c r="BL856" s="14"/>
      <c r="BM856" s="14"/>
      <c r="BN856" s="14"/>
      <c r="BO856" s="14"/>
      <c r="BP856" s="14"/>
      <c r="BQ856" s="14"/>
      <c r="BR856" s="14"/>
      <c r="BS856" s="14"/>
      <c r="BT856" s="14"/>
      <c r="BU856" s="14"/>
      <c r="BV856" s="14"/>
      <c r="BW856" s="14"/>
      <c r="BX856" s="14"/>
      <c r="BY856" s="14"/>
      <c r="BZ856" s="14"/>
      <c r="CA856" s="14"/>
      <c r="CB856" s="14"/>
      <c r="CC856" s="14"/>
      <c r="CD856" s="14"/>
      <c r="CE856" s="14"/>
      <c r="CF856" s="14"/>
      <c r="CG856" s="14"/>
      <c r="CH856" s="14"/>
      <c r="CI856" s="14"/>
      <c r="CJ856" s="14"/>
      <c r="CK856" s="14"/>
      <c r="CL856" s="14"/>
      <c r="CM856" s="14"/>
      <c r="CN856" s="14"/>
      <c r="CO856" s="14"/>
      <c r="CP856" s="14"/>
      <c r="CQ856" s="14"/>
      <c r="CR856" s="14"/>
      <c r="CS856" s="14"/>
      <c r="CT856" s="14"/>
      <c r="CU856" s="14"/>
      <c r="CV856" s="14"/>
      <c r="CW856" s="14"/>
      <c r="CX856" s="14"/>
      <c r="CY856" s="14"/>
      <c r="CZ856" s="14"/>
      <c r="DA856" s="14"/>
      <c r="DB856" s="14"/>
      <c r="DC856" s="14"/>
      <c r="DD856" s="14"/>
      <c r="DE856" s="14"/>
      <c r="DF856" s="14"/>
      <c r="DG856" s="14"/>
      <c r="DH856" s="14"/>
      <c r="DI856" s="14"/>
      <c r="DJ856" s="14"/>
      <c r="DK856" s="14"/>
      <c r="DL856" s="14"/>
      <c r="DM856" s="14"/>
      <c r="DN856" s="14"/>
      <c r="DO856" s="14"/>
      <c r="DP856" s="14"/>
      <c r="DQ856" s="14"/>
      <c r="DR856" s="14"/>
      <c r="DS856" s="14"/>
      <c r="DT856" s="14"/>
      <c r="DU856" s="14"/>
      <c r="DV856" s="14"/>
      <c r="DW856" s="14"/>
      <c r="DX856" s="14"/>
      <c r="DY856" s="14"/>
      <c r="DZ856" s="14"/>
      <c r="EA856" s="14"/>
      <c r="EB856" s="14"/>
      <c r="EC856" s="14"/>
    </row>
    <row r="857" spans="1:133" s="13" customFormat="1" ht="62.4" x14ac:dyDescent="0.25">
      <c r="A857" s="63" t="s">
        <v>210</v>
      </c>
      <c r="B857" s="25" t="s">
        <v>82</v>
      </c>
      <c r="C857" s="35" t="s">
        <v>83</v>
      </c>
      <c r="D857" s="53" t="s">
        <v>354</v>
      </c>
      <c r="E857" s="25">
        <f>15*2</f>
        <v>30</v>
      </c>
      <c r="R857" s="14"/>
      <c r="S857" s="14"/>
      <c r="T857" s="14"/>
      <c r="U857" s="14"/>
      <c r="V857" s="14"/>
      <c r="W857" s="14"/>
      <c r="X857" s="14"/>
      <c r="Y857" s="14"/>
      <c r="Z857" s="14"/>
      <c r="AA857" s="14"/>
      <c r="AB857" s="14"/>
      <c r="AC857" s="14"/>
      <c r="AD857" s="14"/>
      <c r="AE857" s="14"/>
      <c r="AF857" s="14"/>
      <c r="AG857" s="14"/>
      <c r="AH857" s="14"/>
      <c r="AI857" s="14"/>
      <c r="AJ857" s="14"/>
      <c r="AK857" s="14"/>
      <c r="AL857" s="14"/>
      <c r="AM857" s="14"/>
      <c r="AN857" s="14"/>
      <c r="AO857" s="14"/>
      <c r="AP857" s="14"/>
      <c r="AQ857" s="14"/>
      <c r="AR857" s="14"/>
      <c r="AS857" s="14"/>
      <c r="AT857" s="14"/>
      <c r="AU857" s="14"/>
      <c r="AV857" s="14"/>
      <c r="AW857" s="14"/>
      <c r="AX857" s="14"/>
      <c r="AY857" s="14"/>
      <c r="AZ857" s="14"/>
      <c r="BA857" s="14"/>
      <c r="BB857" s="14"/>
      <c r="BC857" s="14"/>
      <c r="BD857" s="14"/>
      <c r="BE857" s="14"/>
      <c r="BF857" s="14"/>
      <c r="BG857" s="14"/>
      <c r="BH857" s="14"/>
      <c r="BI857" s="14"/>
      <c r="BJ857" s="14"/>
      <c r="BK857" s="14"/>
      <c r="BL857" s="14"/>
      <c r="BM857" s="14"/>
      <c r="BN857" s="14"/>
      <c r="BO857" s="14"/>
      <c r="BP857" s="14"/>
      <c r="BQ857" s="14"/>
      <c r="BR857" s="14"/>
      <c r="BS857" s="14"/>
      <c r="BT857" s="14"/>
      <c r="BU857" s="14"/>
      <c r="BV857" s="14"/>
      <c r="BW857" s="14"/>
      <c r="BX857" s="14"/>
      <c r="BY857" s="14"/>
      <c r="BZ857" s="14"/>
      <c r="CA857" s="14"/>
      <c r="CB857" s="14"/>
      <c r="CC857" s="14"/>
      <c r="CD857" s="14"/>
      <c r="CE857" s="14"/>
      <c r="CF857" s="14"/>
      <c r="CG857" s="14"/>
      <c r="CH857" s="14"/>
      <c r="CI857" s="14"/>
      <c r="CJ857" s="14"/>
      <c r="CK857" s="14"/>
      <c r="CL857" s="14"/>
      <c r="CM857" s="14"/>
      <c r="CN857" s="14"/>
      <c r="CO857" s="14"/>
      <c r="CP857" s="14"/>
      <c r="CQ857" s="14"/>
      <c r="CR857" s="14"/>
      <c r="CS857" s="14"/>
      <c r="CT857" s="14"/>
      <c r="CU857" s="14"/>
      <c r="CV857" s="14"/>
      <c r="CW857" s="14"/>
      <c r="CX857" s="14"/>
      <c r="CY857" s="14"/>
      <c r="CZ857" s="14"/>
      <c r="DA857" s="14"/>
      <c r="DB857" s="14"/>
      <c r="DC857" s="14"/>
      <c r="DD857" s="14"/>
      <c r="DE857" s="14"/>
      <c r="DF857" s="14"/>
      <c r="DG857" s="14"/>
      <c r="DH857" s="14"/>
      <c r="DI857" s="14"/>
      <c r="DJ857" s="14"/>
      <c r="DK857" s="14"/>
      <c r="DL857" s="14"/>
      <c r="DM857" s="14"/>
      <c r="DN857" s="14"/>
      <c r="DO857" s="14"/>
      <c r="DP857" s="14"/>
      <c r="DQ857" s="14"/>
      <c r="DR857" s="14"/>
      <c r="DS857" s="14"/>
      <c r="DT857" s="14"/>
      <c r="DU857" s="14"/>
      <c r="DV857" s="14"/>
      <c r="DW857" s="14"/>
      <c r="DX857" s="14"/>
      <c r="DY857" s="14"/>
      <c r="DZ857" s="14"/>
      <c r="EA857" s="14"/>
      <c r="EB857" s="14"/>
      <c r="EC857" s="14"/>
    </row>
    <row r="858" spans="1:133" s="13" customFormat="1" ht="172.2" x14ac:dyDescent="0.25">
      <c r="A858" s="63" t="s">
        <v>211</v>
      </c>
      <c r="B858" s="25" t="s">
        <v>84</v>
      </c>
      <c r="C858" s="35" t="s">
        <v>85</v>
      </c>
      <c r="D858" s="35" t="s">
        <v>355</v>
      </c>
      <c r="E858" s="25">
        <f>25.1/100</f>
        <v>0.251</v>
      </c>
      <c r="R858" s="14"/>
      <c r="S858" s="14"/>
      <c r="T858" s="14"/>
      <c r="U858" s="14"/>
      <c r="V858" s="14"/>
      <c r="W858" s="14"/>
      <c r="X858" s="14"/>
      <c r="Y858" s="14"/>
      <c r="Z858" s="14"/>
      <c r="AA858" s="14"/>
      <c r="AB858" s="14"/>
      <c r="AC858" s="14"/>
      <c r="AD858" s="14"/>
      <c r="AE858" s="14"/>
      <c r="AF858" s="14"/>
      <c r="AG858" s="14"/>
      <c r="AH858" s="14"/>
      <c r="AI858" s="14"/>
      <c r="AJ858" s="14"/>
      <c r="AK858" s="14"/>
      <c r="AL858" s="14"/>
      <c r="AM858" s="14"/>
      <c r="AN858" s="14"/>
      <c r="AO858" s="14"/>
      <c r="AP858" s="14"/>
      <c r="AQ858" s="14"/>
      <c r="AR858" s="14"/>
      <c r="AS858" s="14"/>
      <c r="AT858" s="14"/>
      <c r="AU858" s="14"/>
      <c r="AV858" s="14"/>
      <c r="AW858" s="14"/>
      <c r="AX858" s="14"/>
      <c r="AY858" s="14"/>
      <c r="AZ858" s="14"/>
      <c r="BA858" s="14"/>
      <c r="BB858" s="14"/>
      <c r="BC858" s="14"/>
      <c r="BD858" s="14"/>
      <c r="BE858" s="14"/>
      <c r="BF858" s="14"/>
      <c r="BG858" s="14"/>
      <c r="BH858" s="14"/>
      <c r="BI858" s="14"/>
      <c r="BJ858" s="14"/>
      <c r="BK858" s="14"/>
      <c r="BL858" s="14"/>
      <c r="BM858" s="14"/>
      <c r="BN858" s="14"/>
      <c r="BO858" s="14"/>
      <c r="BP858" s="14"/>
      <c r="BQ858" s="14"/>
      <c r="BR858" s="14"/>
      <c r="BS858" s="14"/>
      <c r="BT858" s="14"/>
      <c r="BU858" s="14"/>
      <c r="BV858" s="14"/>
      <c r="BW858" s="14"/>
      <c r="BX858" s="14"/>
      <c r="BY858" s="14"/>
      <c r="BZ858" s="14"/>
      <c r="CA858" s="14"/>
      <c r="CB858" s="14"/>
      <c r="CC858" s="14"/>
      <c r="CD858" s="14"/>
      <c r="CE858" s="14"/>
      <c r="CF858" s="14"/>
      <c r="CG858" s="14"/>
      <c r="CH858" s="14"/>
      <c r="CI858" s="14"/>
      <c r="CJ858" s="14"/>
      <c r="CK858" s="14"/>
      <c r="CL858" s="14"/>
      <c r="CM858" s="14"/>
      <c r="CN858" s="14"/>
      <c r="CO858" s="14"/>
      <c r="CP858" s="14"/>
      <c r="CQ858" s="14"/>
      <c r="CR858" s="14"/>
      <c r="CS858" s="14"/>
      <c r="CT858" s="14"/>
      <c r="CU858" s="14"/>
      <c r="CV858" s="14"/>
      <c r="CW858" s="14"/>
      <c r="CX858" s="14"/>
      <c r="CY858" s="14"/>
      <c r="CZ858" s="14"/>
      <c r="DA858" s="14"/>
      <c r="DB858" s="14"/>
      <c r="DC858" s="14"/>
      <c r="DD858" s="14"/>
      <c r="DE858" s="14"/>
      <c r="DF858" s="14"/>
      <c r="DG858" s="14"/>
      <c r="DH858" s="14"/>
      <c r="DI858" s="14"/>
      <c r="DJ858" s="14"/>
      <c r="DK858" s="14"/>
      <c r="DL858" s="14"/>
      <c r="DM858" s="14"/>
      <c r="DN858" s="14"/>
      <c r="DO858" s="14"/>
      <c r="DP858" s="14"/>
      <c r="DQ858" s="14"/>
      <c r="DR858" s="14"/>
      <c r="DS858" s="14"/>
      <c r="DT858" s="14"/>
      <c r="DU858" s="14"/>
      <c r="DV858" s="14"/>
      <c r="DW858" s="14"/>
      <c r="DX858" s="14"/>
      <c r="DY858" s="14"/>
      <c r="DZ858" s="14"/>
      <c r="EA858" s="14"/>
      <c r="EB858" s="14"/>
      <c r="EC858" s="14"/>
    </row>
    <row r="859" spans="1:133" s="13" customFormat="1" ht="156" x14ac:dyDescent="0.25">
      <c r="A859" s="63" t="s">
        <v>212</v>
      </c>
      <c r="B859" s="25" t="s">
        <v>87</v>
      </c>
      <c r="C859" s="35" t="s">
        <v>86</v>
      </c>
      <c r="D859" s="35" t="s">
        <v>356</v>
      </c>
      <c r="E859" s="25">
        <f>0.84/1000</f>
        <v>8.3999999999999993E-4</v>
      </c>
      <c r="R859" s="14"/>
      <c r="S859" s="14"/>
      <c r="T859" s="14"/>
      <c r="U859" s="14"/>
      <c r="V859" s="14"/>
      <c r="W859" s="14"/>
      <c r="X859" s="14"/>
      <c r="Y859" s="14"/>
      <c r="Z859" s="14"/>
      <c r="AA859" s="14"/>
      <c r="AB859" s="14"/>
      <c r="AC859" s="14"/>
      <c r="AD859" s="14"/>
      <c r="AE859" s="14"/>
      <c r="AF859" s="14"/>
      <c r="AG859" s="14"/>
      <c r="AH859" s="14"/>
      <c r="AI859" s="14"/>
      <c r="AJ859" s="14"/>
      <c r="AK859" s="14"/>
      <c r="AL859" s="14"/>
      <c r="AM859" s="14"/>
      <c r="AN859" s="14"/>
      <c r="AO859" s="14"/>
      <c r="AP859" s="14"/>
      <c r="AQ859" s="14"/>
      <c r="AR859" s="14"/>
      <c r="AS859" s="14"/>
      <c r="AT859" s="14"/>
      <c r="AU859" s="14"/>
      <c r="AV859" s="14"/>
      <c r="AW859" s="14"/>
      <c r="AX859" s="14"/>
      <c r="AY859" s="14"/>
      <c r="AZ859" s="14"/>
      <c r="BA859" s="14"/>
      <c r="BB859" s="14"/>
      <c r="BC859" s="14"/>
      <c r="BD859" s="14"/>
      <c r="BE859" s="14"/>
      <c r="BF859" s="14"/>
      <c r="BG859" s="14"/>
      <c r="BH859" s="14"/>
      <c r="BI859" s="14"/>
      <c r="BJ859" s="14"/>
      <c r="BK859" s="14"/>
      <c r="BL859" s="14"/>
      <c r="BM859" s="14"/>
      <c r="BN859" s="14"/>
      <c r="BO859" s="14"/>
      <c r="BP859" s="14"/>
      <c r="BQ859" s="14"/>
      <c r="BR859" s="14"/>
      <c r="BS859" s="14"/>
      <c r="BT859" s="14"/>
      <c r="BU859" s="14"/>
      <c r="BV859" s="14"/>
      <c r="BW859" s="14"/>
      <c r="BX859" s="14"/>
      <c r="BY859" s="14"/>
      <c r="BZ859" s="14"/>
      <c r="CA859" s="14"/>
      <c r="CB859" s="14"/>
      <c r="CC859" s="14"/>
      <c r="CD859" s="14"/>
      <c r="CE859" s="14"/>
      <c r="CF859" s="14"/>
      <c r="CG859" s="14"/>
      <c r="CH859" s="14"/>
      <c r="CI859" s="14"/>
      <c r="CJ859" s="14"/>
      <c r="CK859" s="14"/>
      <c r="CL859" s="14"/>
      <c r="CM859" s="14"/>
      <c r="CN859" s="14"/>
      <c r="CO859" s="14"/>
      <c r="CP859" s="14"/>
      <c r="CQ859" s="14"/>
      <c r="CR859" s="14"/>
      <c r="CS859" s="14"/>
      <c r="CT859" s="14"/>
      <c r="CU859" s="14"/>
      <c r="CV859" s="14"/>
      <c r="CW859" s="14"/>
      <c r="CX859" s="14"/>
      <c r="CY859" s="14"/>
      <c r="CZ859" s="14"/>
      <c r="DA859" s="14"/>
      <c r="DB859" s="14"/>
      <c r="DC859" s="14"/>
      <c r="DD859" s="14"/>
      <c r="DE859" s="14"/>
      <c r="DF859" s="14"/>
      <c r="DG859" s="14"/>
      <c r="DH859" s="14"/>
      <c r="DI859" s="14"/>
      <c r="DJ859" s="14"/>
      <c r="DK859" s="14"/>
      <c r="DL859" s="14"/>
      <c r="DM859" s="14"/>
      <c r="DN859" s="14"/>
      <c r="DO859" s="14"/>
      <c r="DP859" s="14"/>
      <c r="DQ859" s="14"/>
      <c r="DR859" s="14"/>
      <c r="DS859" s="14"/>
      <c r="DT859" s="14"/>
      <c r="DU859" s="14"/>
      <c r="DV859" s="14"/>
      <c r="DW859" s="14"/>
      <c r="DX859" s="14"/>
      <c r="DY859" s="14"/>
      <c r="DZ859" s="14"/>
      <c r="EA859" s="14"/>
      <c r="EB859" s="14"/>
      <c r="EC859" s="14"/>
    </row>
    <row r="860" spans="1:133" s="13" customFormat="1" ht="171.6" x14ac:dyDescent="0.25">
      <c r="A860" s="63" t="s">
        <v>213</v>
      </c>
      <c r="B860" s="25" t="s">
        <v>88</v>
      </c>
      <c r="C860" s="35" t="s">
        <v>89</v>
      </c>
      <c r="D860" s="35" t="s">
        <v>357</v>
      </c>
      <c r="E860" s="25">
        <f>43.33/1000</f>
        <v>4.333E-2</v>
      </c>
      <c r="R860" s="14"/>
      <c r="S860" s="14"/>
      <c r="T860" s="14"/>
      <c r="U860" s="14"/>
      <c r="V860" s="14"/>
      <c r="W860" s="14"/>
      <c r="X860" s="14"/>
      <c r="Y860" s="14"/>
      <c r="Z860" s="14"/>
      <c r="AA860" s="14"/>
      <c r="AB860" s="14"/>
      <c r="AC860" s="14"/>
      <c r="AD860" s="14"/>
      <c r="AE860" s="14"/>
      <c r="AF860" s="14"/>
      <c r="AG860" s="14"/>
      <c r="AH860" s="14"/>
      <c r="AI860" s="14"/>
      <c r="AJ860" s="14"/>
      <c r="AK860" s="14"/>
      <c r="AL860" s="14"/>
      <c r="AM860" s="14"/>
      <c r="AN860" s="14"/>
      <c r="AO860" s="14"/>
      <c r="AP860" s="14"/>
      <c r="AQ860" s="14"/>
      <c r="AR860" s="14"/>
      <c r="AS860" s="14"/>
      <c r="AT860" s="14"/>
      <c r="AU860" s="14"/>
      <c r="AV860" s="14"/>
      <c r="AW860" s="14"/>
      <c r="AX860" s="14"/>
      <c r="AY860" s="14"/>
      <c r="AZ860" s="14"/>
      <c r="BA860" s="14"/>
      <c r="BB860" s="14"/>
      <c r="BC860" s="14"/>
      <c r="BD860" s="14"/>
      <c r="BE860" s="14"/>
      <c r="BF860" s="14"/>
      <c r="BG860" s="14"/>
      <c r="BH860" s="14"/>
      <c r="BI860" s="14"/>
      <c r="BJ860" s="14"/>
      <c r="BK860" s="14"/>
      <c r="BL860" s="14"/>
      <c r="BM860" s="14"/>
      <c r="BN860" s="14"/>
      <c r="BO860" s="14"/>
      <c r="BP860" s="14"/>
      <c r="BQ860" s="14"/>
      <c r="BR860" s="14"/>
      <c r="BS860" s="14"/>
      <c r="BT860" s="14"/>
      <c r="BU860" s="14"/>
      <c r="BV860" s="14"/>
      <c r="BW860" s="14"/>
      <c r="BX860" s="14"/>
      <c r="BY860" s="14"/>
      <c r="BZ860" s="14"/>
      <c r="CA860" s="14"/>
      <c r="CB860" s="14"/>
      <c r="CC860" s="14"/>
      <c r="CD860" s="14"/>
      <c r="CE860" s="14"/>
      <c r="CF860" s="14"/>
      <c r="CG860" s="14"/>
      <c r="CH860" s="14"/>
      <c r="CI860" s="14"/>
      <c r="CJ860" s="14"/>
      <c r="CK860" s="14"/>
      <c r="CL860" s="14"/>
      <c r="CM860" s="14"/>
      <c r="CN860" s="14"/>
      <c r="CO860" s="14"/>
      <c r="CP860" s="14"/>
      <c r="CQ860" s="14"/>
      <c r="CR860" s="14"/>
      <c r="CS860" s="14"/>
      <c r="CT860" s="14"/>
      <c r="CU860" s="14"/>
      <c r="CV860" s="14"/>
      <c r="CW860" s="14"/>
      <c r="CX860" s="14"/>
      <c r="CY860" s="14"/>
      <c r="CZ860" s="14"/>
      <c r="DA860" s="14"/>
      <c r="DB860" s="14"/>
      <c r="DC860" s="14"/>
      <c r="DD860" s="14"/>
      <c r="DE860" s="14"/>
      <c r="DF860" s="14"/>
      <c r="DG860" s="14"/>
      <c r="DH860" s="14"/>
      <c r="DI860" s="14"/>
      <c r="DJ860" s="14"/>
      <c r="DK860" s="14"/>
      <c r="DL860" s="14"/>
      <c r="DM860" s="14"/>
      <c r="DN860" s="14"/>
      <c r="DO860" s="14"/>
      <c r="DP860" s="14"/>
      <c r="DQ860" s="14"/>
      <c r="DR860" s="14"/>
      <c r="DS860" s="14"/>
      <c r="DT860" s="14"/>
      <c r="DU860" s="14"/>
      <c r="DV860" s="14"/>
      <c r="DW860" s="14"/>
      <c r="DX860" s="14"/>
      <c r="DY860" s="14"/>
      <c r="DZ860" s="14"/>
      <c r="EA860" s="14"/>
      <c r="EB860" s="14"/>
      <c r="EC860" s="14"/>
    </row>
    <row r="861" spans="1:133" s="13" customFormat="1" ht="62.4" x14ac:dyDescent="0.25">
      <c r="A861" s="63" t="s">
        <v>214</v>
      </c>
      <c r="B861" s="25" t="s">
        <v>90</v>
      </c>
      <c r="C861" s="35" t="s">
        <v>91</v>
      </c>
      <c r="D861" s="35" t="s">
        <v>358</v>
      </c>
      <c r="E861" s="25">
        <v>74.099999999999994</v>
      </c>
      <c r="R861" s="14"/>
      <c r="S861" s="14"/>
      <c r="T861" s="14"/>
      <c r="U861" s="14"/>
      <c r="V861" s="14"/>
      <c r="W861" s="14"/>
      <c r="X861" s="14"/>
      <c r="Y861" s="14"/>
      <c r="Z861" s="14"/>
      <c r="AA861" s="14"/>
      <c r="AB861" s="14"/>
      <c r="AC861" s="14"/>
      <c r="AD861" s="14"/>
      <c r="AE861" s="14"/>
      <c r="AF861" s="14"/>
      <c r="AG861" s="14"/>
      <c r="AH861" s="14"/>
      <c r="AI861" s="14"/>
      <c r="AJ861" s="14"/>
      <c r="AK861" s="14"/>
      <c r="AL861" s="14"/>
      <c r="AM861" s="14"/>
      <c r="AN861" s="14"/>
      <c r="AO861" s="14"/>
      <c r="AP861" s="14"/>
      <c r="AQ861" s="14"/>
      <c r="AR861" s="14"/>
      <c r="AS861" s="14"/>
      <c r="AT861" s="14"/>
      <c r="AU861" s="14"/>
      <c r="AV861" s="14"/>
      <c r="AW861" s="14"/>
      <c r="AX861" s="14"/>
      <c r="AY861" s="14"/>
      <c r="AZ861" s="14"/>
      <c r="BA861" s="14"/>
      <c r="BB861" s="14"/>
      <c r="BC861" s="14"/>
      <c r="BD861" s="14"/>
      <c r="BE861" s="14"/>
      <c r="BF861" s="14"/>
      <c r="BG861" s="14"/>
      <c r="BH861" s="14"/>
      <c r="BI861" s="14"/>
      <c r="BJ861" s="14"/>
      <c r="BK861" s="14"/>
      <c r="BL861" s="14"/>
      <c r="BM861" s="14"/>
      <c r="BN861" s="14"/>
      <c r="BO861" s="14"/>
      <c r="BP861" s="14"/>
      <c r="BQ861" s="14"/>
      <c r="BR861" s="14"/>
      <c r="BS861" s="14"/>
      <c r="BT861" s="14"/>
      <c r="BU861" s="14"/>
      <c r="BV861" s="14"/>
      <c r="BW861" s="14"/>
      <c r="BX861" s="14"/>
      <c r="BY861" s="14"/>
      <c r="BZ861" s="14"/>
      <c r="CA861" s="14"/>
      <c r="CB861" s="14"/>
      <c r="CC861" s="14"/>
      <c r="CD861" s="14"/>
      <c r="CE861" s="14"/>
      <c r="CF861" s="14"/>
      <c r="CG861" s="14"/>
      <c r="CH861" s="14"/>
      <c r="CI861" s="14"/>
      <c r="CJ861" s="14"/>
      <c r="CK861" s="14"/>
      <c r="CL861" s="14"/>
      <c r="CM861" s="14"/>
      <c r="CN861" s="14"/>
      <c r="CO861" s="14"/>
      <c r="CP861" s="14"/>
      <c r="CQ861" s="14"/>
      <c r="CR861" s="14"/>
      <c r="CS861" s="14"/>
      <c r="CT861" s="14"/>
      <c r="CU861" s="14"/>
      <c r="CV861" s="14"/>
      <c r="CW861" s="14"/>
      <c r="CX861" s="14"/>
      <c r="CY861" s="14"/>
      <c r="CZ861" s="14"/>
      <c r="DA861" s="14"/>
      <c r="DB861" s="14"/>
      <c r="DC861" s="14"/>
      <c r="DD861" s="14"/>
      <c r="DE861" s="14"/>
      <c r="DF861" s="14"/>
      <c r="DG861" s="14"/>
      <c r="DH861" s="14"/>
      <c r="DI861" s="14"/>
      <c r="DJ861" s="14"/>
      <c r="DK861" s="14"/>
      <c r="DL861" s="14"/>
      <c r="DM861" s="14"/>
      <c r="DN861" s="14"/>
      <c r="DO861" s="14"/>
      <c r="DP861" s="14"/>
      <c r="DQ861" s="14"/>
      <c r="DR861" s="14"/>
      <c r="DS861" s="14"/>
      <c r="DT861" s="14"/>
      <c r="DU861" s="14"/>
      <c r="DV861" s="14"/>
      <c r="DW861" s="14"/>
      <c r="DX861" s="14"/>
      <c r="DY861" s="14"/>
      <c r="DZ861" s="14"/>
      <c r="EA861" s="14"/>
      <c r="EB861" s="14"/>
      <c r="EC861" s="14"/>
    </row>
    <row r="863" spans="1:133" s="13" customFormat="1" ht="15.6" customHeight="1" x14ac:dyDescent="0.25">
      <c r="A863" s="36" t="s">
        <v>93</v>
      </c>
      <c r="B863" s="36"/>
      <c r="C863" s="36"/>
      <c r="D863" s="36"/>
      <c r="E863" s="36"/>
      <c r="R863" s="14"/>
      <c r="S863" s="14"/>
      <c r="T863" s="14"/>
      <c r="U863" s="14"/>
      <c r="V863" s="14"/>
      <c r="W863" s="14"/>
      <c r="X863" s="14"/>
      <c r="Y863" s="14"/>
      <c r="Z863" s="14"/>
      <c r="AA863" s="14"/>
      <c r="AB863" s="14"/>
      <c r="AC863" s="14"/>
      <c r="AD863" s="14"/>
      <c r="AE863" s="14"/>
      <c r="AF863" s="14"/>
      <c r="AG863" s="14"/>
      <c r="AH863" s="14"/>
      <c r="AI863" s="14"/>
      <c r="AJ863" s="14"/>
      <c r="AK863" s="14"/>
      <c r="AL863" s="14"/>
      <c r="AM863" s="14"/>
      <c r="AN863" s="14"/>
      <c r="AO863" s="14"/>
      <c r="AP863" s="14"/>
      <c r="AQ863" s="14"/>
      <c r="AR863" s="14"/>
      <c r="AS863" s="14"/>
      <c r="AT863" s="14"/>
      <c r="AU863" s="14"/>
      <c r="AV863" s="14"/>
      <c r="AW863" s="14"/>
      <c r="AX863" s="14"/>
      <c r="AY863" s="14"/>
      <c r="AZ863" s="14"/>
      <c r="BA863" s="14"/>
      <c r="BB863" s="14"/>
      <c r="BC863" s="14"/>
      <c r="BD863" s="14"/>
      <c r="BE863" s="14"/>
      <c r="BF863" s="14"/>
      <c r="BG863" s="14"/>
      <c r="BH863" s="14"/>
      <c r="BI863" s="14"/>
      <c r="BJ863" s="14"/>
      <c r="BK863" s="14"/>
      <c r="BL863" s="14"/>
      <c r="BM863" s="14"/>
      <c r="BN863" s="14"/>
      <c r="BO863" s="14"/>
      <c r="BP863" s="14"/>
      <c r="BQ863" s="14"/>
      <c r="BR863" s="14"/>
      <c r="BS863" s="14"/>
      <c r="BT863" s="14"/>
      <c r="BU863" s="14"/>
      <c r="BV863" s="14"/>
      <c r="BW863" s="14"/>
      <c r="BX863" s="14"/>
      <c r="BY863" s="14"/>
      <c r="BZ863" s="14"/>
      <c r="CA863" s="14"/>
      <c r="CB863" s="14"/>
      <c r="CC863" s="14"/>
      <c r="CD863" s="14"/>
      <c r="CE863" s="14"/>
      <c r="CF863" s="14"/>
      <c r="CG863" s="14"/>
      <c r="CH863" s="14"/>
      <c r="CI863" s="14"/>
      <c r="CJ863" s="14"/>
      <c r="CK863" s="14"/>
      <c r="CL863" s="14"/>
      <c r="CM863" s="14"/>
      <c r="CN863" s="14"/>
      <c r="CO863" s="14"/>
      <c r="CP863" s="14"/>
      <c r="CQ863" s="14"/>
      <c r="CR863" s="14"/>
      <c r="CS863" s="14"/>
      <c r="CT863" s="14"/>
      <c r="CU863" s="14"/>
      <c r="CV863" s="14"/>
      <c r="CW863" s="14"/>
      <c r="CX863" s="14"/>
      <c r="CY863" s="14"/>
      <c r="CZ863" s="14"/>
      <c r="DA863" s="14"/>
      <c r="DB863" s="14"/>
      <c r="DC863" s="14"/>
      <c r="DD863" s="14"/>
      <c r="DE863" s="14"/>
      <c r="DF863" s="14"/>
      <c r="DG863" s="14"/>
      <c r="DH863" s="14"/>
      <c r="DI863" s="14"/>
      <c r="DJ863" s="14"/>
      <c r="DK863" s="14"/>
      <c r="DL863" s="14"/>
      <c r="DM863" s="14"/>
      <c r="DN863" s="14"/>
      <c r="DO863" s="14"/>
      <c r="DP863" s="14"/>
      <c r="DQ863" s="14"/>
      <c r="DR863" s="14"/>
      <c r="DS863" s="14"/>
      <c r="DT863" s="14"/>
      <c r="DU863" s="14"/>
      <c r="DV863" s="14"/>
      <c r="DW863" s="14"/>
      <c r="DX863" s="14"/>
      <c r="DY863" s="14"/>
      <c r="DZ863" s="14"/>
      <c r="EA863" s="14"/>
      <c r="EB863" s="14"/>
      <c r="EC863" s="14"/>
    </row>
    <row r="864" spans="1:133" s="13" customFormat="1" x14ac:dyDescent="0.25">
      <c r="A864" s="57" t="s">
        <v>8</v>
      </c>
      <c r="B864" s="58" t="s">
        <v>9</v>
      </c>
      <c r="C864" s="34" t="s">
        <v>10</v>
      </c>
      <c r="D864" s="34" t="s">
        <v>340</v>
      </c>
      <c r="E864" s="16" t="s">
        <v>65</v>
      </c>
      <c r="R864" s="14"/>
      <c r="S864" s="14"/>
      <c r="T864" s="14"/>
      <c r="U864" s="14"/>
      <c r="V864" s="14"/>
      <c r="W864" s="14"/>
      <c r="X864" s="14"/>
      <c r="Y864" s="14"/>
      <c r="Z864" s="14"/>
      <c r="AA864" s="14"/>
      <c r="AB864" s="14"/>
      <c r="AC864" s="14"/>
      <c r="AD864" s="14"/>
      <c r="AE864" s="14"/>
      <c r="AF864" s="14"/>
      <c r="AG864" s="14"/>
      <c r="AH864" s="14"/>
      <c r="AI864" s="14"/>
      <c r="AJ864" s="14"/>
      <c r="AK864" s="14"/>
      <c r="AL864" s="14"/>
      <c r="AM864" s="14"/>
      <c r="AN864" s="14"/>
      <c r="AO864" s="14"/>
      <c r="AP864" s="14"/>
      <c r="AQ864" s="14"/>
      <c r="AR864" s="14"/>
      <c r="AS864" s="14"/>
      <c r="AT864" s="14"/>
      <c r="AU864" s="14"/>
      <c r="AV864" s="14"/>
      <c r="AW864" s="14"/>
      <c r="AX864" s="14"/>
      <c r="AY864" s="14"/>
      <c r="AZ864" s="14"/>
      <c r="BA864" s="14"/>
      <c r="BB864" s="14"/>
      <c r="BC864" s="14"/>
      <c r="BD864" s="14"/>
      <c r="BE864" s="14"/>
      <c r="BF864" s="14"/>
      <c r="BG864" s="14"/>
      <c r="BH864" s="14"/>
      <c r="BI864" s="14"/>
      <c r="BJ864" s="14"/>
      <c r="BK864" s="14"/>
      <c r="BL864" s="14"/>
      <c r="BM864" s="14"/>
      <c r="BN864" s="14"/>
      <c r="BO864" s="14"/>
      <c r="BP864" s="14"/>
      <c r="BQ864" s="14"/>
      <c r="BR864" s="14"/>
      <c r="BS864" s="14"/>
      <c r="BT864" s="14"/>
      <c r="BU864" s="14"/>
      <c r="BV864" s="14"/>
      <c r="BW864" s="14"/>
      <c r="BX864" s="14"/>
      <c r="BY864" s="14"/>
      <c r="BZ864" s="14"/>
      <c r="CA864" s="14"/>
      <c r="CB864" s="14"/>
      <c r="CC864" s="14"/>
      <c r="CD864" s="14"/>
      <c r="CE864" s="14"/>
      <c r="CF864" s="14"/>
      <c r="CG864" s="14"/>
      <c r="CH864" s="14"/>
      <c r="CI864" s="14"/>
      <c r="CJ864" s="14"/>
      <c r="CK864" s="14"/>
      <c r="CL864" s="14"/>
      <c r="CM864" s="14"/>
      <c r="CN864" s="14"/>
      <c r="CO864" s="14"/>
      <c r="CP864" s="14"/>
      <c r="CQ864" s="14"/>
      <c r="CR864" s="14"/>
      <c r="CS864" s="14"/>
      <c r="CT864" s="14"/>
      <c r="CU864" s="14"/>
      <c r="CV864" s="14"/>
      <c r="CW864" s="14"/>
      <c r="CX864" s="14"/>
      <c r="CY864" s="14"/>
      <c r="CZ864" s="14"/>
      <c r="DA864" s="14"/>
      <c r="DB864" s="14"/>
      <c r="DC864" s="14"/>
      <c r="DD864" s="14"/>
      <c r="DE864" s="14"/>
      <c r="DF864" s="14"/>
      <c r="DG864" s="14"/>
      <c r="DH864" s="14"/>
      <c r="DI864" s="14"/>
      <c r="DJ864" s="14"/>
      <c r="DK864" s="14"/>
      <c r="DL864" s="14"/>
      <c r="DM864" s="14"/>
      <c r="DN864" s="14"/>
      <c r="DO864" s="14"/>
      <c r="DP864" s="14"/>
      <c r="DQ864" s="14"/>
      <c r="DR864" s="14"/>
      <c r="DS864" s="14"/>
      <c r="DT864" s="14"/>
      <c r="DU864" s="14"/>
      <c r="DV864" s="14"/>
      <c r="DW864" s="14"/>
      <c r="DX864" s="14"/>
      <c r="DY864" s="14"/>
      <c r="DZ864" s="14"/>
      <c r="EA864" s="14"/>
      <c r="EB864" s="14"/>
      <c r="EC864" s="14"/>
    </row>
    <row r="865" spans="1:133" s="13" customFormat="1" ht="64.8" x14ac:dyDescent="0.25">
      <c r="A865" s="15" t="s">
        <v>94</v>
      </c>
      <c r="B865" s="25" t="s">
        <v>95</v>
      </c>
      <c r="C865" s="35" t="s">
        <v>96</v>
      </c>
      <c r="D865" s="35" t="s">
        <v>97</v>
      </c>
      <c r="E865" s="16">
        <v>0</v>
      </c>
      <c r="R865" s="14"/>
      <c r="S865" s="14"/>
      <c r="T865" s="14"/>
      <c r="U865" s="14"/>
      <c r="V865" s="14"/>
      <c r="W865" s="14"/>
      <c r="X865" s="14"/>
      <c r="Y865" s="14"/>
      <c r="Z865" s="14"/>
      <c r="AA865" s="14"/>
      <c r="AB865" s="14"/>
      <c r="AC865" s="14"/>
      <c r="AD865" s="14"/>
      <c r="AE865" s="14"/>
      <c r="AF865" s="14"/>
      <c r="AG865" s="14"/>
      <c r="AH865" s="14"/>
      <c r="AI865" s="14"/>
      <c r="AJ865" s="14"/>
      <c r="AK865" s="14"/>
      <c r="AL865" s="14"/>
      <c r="AM865" s="14"/>
      <c r="AN865" s="14"/>
      <c r="AO865" s="14"/>
      <c r="AP865" s="14"/>
      <c r="AQ865" s="14"/>
      <c r="AR865" s="14"/>
      <c r="AS865" s="14"/>
      <c r="AT865" s="14"/>
      <c r="AU865" s="14"/>
      <c r="AV865" s="14"/>
      <c r="AW865" s="14"/>
      <c r="AX865" s="14"/>
      <c r="AY865" s="14"/>
      <c r="AZ865" s="14"/>
      <c r="BA865" s="14"/>
      <c r="BB865" s="14"/>
      <c r="BC865" s="14"/>
      <c r="BD865" s="14"/>
      <c r="BE865" s="14"/>
      <c r="BF865" s="14"/>
      <c r="BG865" s="14"/>
      <c r="BH865" s="14"/>
      <c r="BI865" s="14"/>
      <c r="BJ865" s="14"/>
      <c r="BK865" s="14"/>
      <c r="BL865" s="14"/>
      <c r="BM865" s="14"/>
      <c r="BN865" s="14"/>
      <c r="BO865" s="14"/>
      <c r="BP865" s="14"/>
      <c r="BQ865" s="14"/>
      <c r="BR865" s="14"/>
      <c r="BS865" s="14"/>
      <c r="BT865" s="14"/>
      <c r="BU865" s="14"/>
      <c r="BV865" s="14"/>
      <c r="BW865" s="14"/>
      <c r="BX865" s="14"/>
      <c r="BY865" s="14"/>
      <c r="BZ865" s="14"/>
      <c r="CA865" s="14"/>
      <c r="CB865" s="14"/>
      <c r="CC865" s="14"/>
      <c r="CD865" s="14"/>
      <c r="CE865" s="14"/>
      <c r="CF865" s="14"/>
      <c r="CG865" s="14"/>
      <c r="CH865" s="14"/>
      <c r="CI865" s="14"/>
      <c r="CJ865" s="14"/>
      <c r="CK865" s="14"/>
      <c r="CL865" s="14"/>
      <c r="CM865" s="14"/>
      <c r="CN865" s="14"/>
      <c r="CO865" s="14"/>
      <c r="CP865" s="14"/>
      <c r="CQ865" s="14"/>
      <c r="CR865" s="14"/>
      <c r="CS865" s="14"/>
      <c r="CT865" s="14"/>
      <c r="CU865" s="14"/>
      <c r="CV865" s="14"/>
      <c r="CW865" s="14"/>
      <c r="CX865" s="14"/>
      <c r="CY865" s="14"/>
      <c r="CZ865" s="14"/>
      <c r="DA865" s="14"/>
      <c r="DB865" s="14"/>
      <c r="DC865" s="14"/>
      <c r="DD865" s="14"/>
      <c r="DE865" s="14"/>
      <c r="DF865" s="14"/>
      <c r="DG865" s="14"/>
      <c r="DH865" s="14"/>
      <c r="DI865" s="14"/>
      <c r="DJ865" s="14"/>
      <c r="DK865" s="14"/>
      <c r="DL865" s="14"/>
      <c r="DM865" s="14"/>
      <c r="DN865" s="14"/>
      <c r="DO865" s="14"/>
      <c r="DP865" s="14"/>
      <c r="DQ865" s="14"/>
      <c r="DR865" s="14"/>
      <c r="DS865" s="14"/>
      <c r="DT865" s="14"/>
      <c r="DU865" s="14"/>
      <c r="DV865" s="14"/>
      <c r="DW865" s="14"/>
      <c r="DX865" s="14"/>
      <c r="DY865" s="14"/>
      <c r="DZ865" s="14"/>
      <c r="EA865" s="14"/>
      <c r="EB865" s="14"/>
      <c r="EC865" s="14"/>
    </row>
    <row r="867" spans="1:133" s="13" customFormat="1" ht="15.6" customHeight="1" x14ac:dyDescent="0.25">
      <c r="A867" s="36" t="s">
        <v>98</v>
      </c>
      <c r="B867" s="36"/>
      <c r="C867" s="36"/>
      <c r="D867" s="36"/>
      <c r="E867" s="36"/>
      <c r="R867" s="14"/>
      <c r="S867" s="14"/>
      <c r="T867" s="14"/>
      <c r="U867" s="14"/>
      <c r="V867" s="14"/>
      <c r="W867" s="14"/>
      <c r="X867" s="14"/>
      <c r="Y867" s="14"/>
      <c r="Z867" s="14"/>
      <c r="AA867" s="14"/>
      <c r="AB867" s="14"/>
      <c r="AC867" s="14"/>
      <c r="AD867" s="14"/>
      <c r="AE867" s="14"/>
      <c r="AF867" s="14"/>
      <c r="AG867" s="14"/>
      <c r="AH867" s="14"/>
      <c r="AI867" s="14"/>
      <c r="AJ867" s="14"/>
      <c r="AK867" s="14"/>
      <c r="AL867" s="14"/>
      <c r="AM867" s="14"/>
      <c r="AN867" s="14"/>
      <c r="AO867" s="14"/>
      <c r="AP867" s="14"/>
      <c r="AQ867" s="14"/>
      <c r="AR867" s="14"/>
      <c r="AS867" s="14"/>
      <c r="AT867" s="14"/>
      <c r="AU867" s="14"/>
      <c r="AV867" s="14"/>
      <c r="AW867" s="14"/>
      <c r="AX867" s="14"/>
      <c r="AY867" s="14"/>
      <c r="AZ867" s="14"/>
      <c r="BA867" s="14"/>
      <c r="BB867" s="14"/>
      <c r="BC867" s="14"/>
      <c r="BD867" s="14"/>
      <c r="BE867" s="14"/>
      <c r="BF867" s="14"/>
      <c r="BG867" s="14"/>
      <c r="BH867" s="14"/>
      <c r="BI867" s="14"/>
      <c r="BJ867" s="14"/>
      <c r="BK867" s="14"/>
      <c r="BL867" s="14"/>
      <c r="BM867" s="14"/>
      <c r="BN867" s="14"/>
      <c r="BO867" s="14"/>
      <c r="BP867" s="14"/>
      <c r="BQ867" s="14"/>
      <c r="BR867" s="14"/>
      <c r="BS867" s="14"/>
      <c r="BT867" s="14"/>
      <c r="BU867" s="14"/>
      <c r="BV867" s="14"/>
      <c r="BW867" s="14"/>
      <c r="BX867" s="14"/>
      <c r="BY867" s="14"/>
      <c r="BZ867" s="14"/>
      <c r="CA867" s="14"/>
      <c r="CB867" s="14"/>
      <c r="CC867" s="14"/>
      <c r="CD867" s="14"/>
      <c r="CE867" s="14"/>
      <c r="CF867" s="14"/>
      <c r="CG867" s="14"/>
      <c r="CH867" s="14"/>
      <c r="CI867" s="14"/>
      <c r="CJ867" s="14"/>
      <c r="CK867" s="14"/>
      <c r="CL867" s="14"/>
      <c r="CM867" s="14"/>
      <c r="CN867" s="14"/>
      <c r="CO867" s="14"/>
      <c r="CP867" s="14"/>
      <c r="CQ867" s="14"/>
      <c r="CR867" s="14"/>
      <c r="CS867" s="14"/>
      <c r="CT867" s="14"/>
      <c r="CU867" s="14"/>
      <c r="CV867" s="14"/>
      <c r="CW867" s="14"/>
      <c r="CX867" s="14"/>
      <c r="CY867" s="14"/>
      <c r="CZ867" s="14"/>
      <c r="DA867" s="14"/>
      <c r="DB867" s="14"/>
      <c r="DC867" s="14"/>
      <c r="DD867" s="14"/>
      <c r="DE867" s="14"/>
      <c r="DF867" s="14"/>
      <c r="DG867" s="14"/>
      <c r="DH867" s="14"/>
      <c r="DI867" s="14"/>
      <c r="DJ867" s="14"/>
      <c r="DK867" s="14"/>
      <c r="DL867" s="14"/>
      <c r="DM867" s="14"/>
      <c r="DN867" s="14"/>
      <c r="DO867" s="14"/>
      <c r="DP867" s="14"/>
      <c r="DQ867" s="14"/>
      <c r="DR867" s="14"/>
      <c r="DS867" s="14"/>
      <c r="DT867" s="14"/>
      <c r="DU867" s="14"/>
      <c r="DV867" s="14"/>
      <c r="DW867" s="14"/>
      <c r="DX867" s="14"/>
      <c r="DY867" s="14"/>
      <c r="DZ867" s="14"/>
      <c r="EA867" s="14"/>
      <c r="EB867" s="14"/>
      <c r="EC867" s="14"/>
    </row>
    <row r="868" spans="1:133" s="13" customFormat="1" x14ac:dyDescent="0.25">
      <c r="A868" s="57" t="s">
        <v>8</v>
      </c>
      <c r="B868" s="58" t="s">
        <v>9</v>
      </c>
      <c r="C868" s="34" t="s">
        <v>10</v>
      </c>
      <c r="D868" s="34" t="s">
        <v>340</v>
      </c>
      <c r="E868" s="16" t="s">
        <v>65</v>
      </c>
      <c r="R868" s="14"/>
      <c r="S868" s="14"/>
      <c r="T868" s="14"/>
      <c r="U868" s="14"/>
      <c r="V868" s="14"/>
      <c r="W868" s="14"/>
      <c r="X868" s="14"/>
      <c r="Y868" s="14"/>
      <c r="Z868" s="14"/>
      <c r="AA868" s="14"/>
      <c r="AB868" s="14"/>
      <c r="AC868" s="14"/>
      <c r="AD868" s="14"/>
      <c r="AE868" s="14"/>
      <c r="AF868" s="14"/>
      <c r="AG868" s="14"/>
      <c r="AH868" s="14"/>
      <c r="AI868" s="14"/>
      <c r="AJ868" s="14"/>
      <c r="AK868" s="14"/>
      <c r="AL868" s="14"/>
      <c r="AM868" s="14"/>
      <c r="AN868" s="14"/>
      <c r="AO868" s="14"/>
      <c r="AP868" s="14"/>
      <c r="AQ868" s="14"/>
      <c r="AR868" s="14"/>
      <c r="AS868" s="14"/>
      <c r="AT868" s="14"/>
      <c r="AU868" s="14"/>
      <c r="AV868" s="14"/>
      <c r="AW868" s="14"/>
      <c r="AX868" s="14"/>
      <c r="AY868" s="14"/>
      <c r="AZ868" s="14"/>
      <c r="BA868" s="14"/>
      <c r="BB868" s="14"/>
      <c r="BC868" s="14"/>
      <c r="BD868" s="14"/>
      <c r="BE868" s="14"/>
      <c r="BF868" s="14"/>
      <c r="BG868" s="14"/>
      <c r="BH868" s="14"/>
      <c r="BI868" s="14"/>
      <c r="BJ868" s="14"/>
      <c r="BK868" s="14"/>
      <c r="BL868" s="14"/>
      <c r="BM868" s="14"/>
      <c r="BN868" s="14"/>
      <c r="BO868" s="14"/>
      <c r="BP868" s="14"/>
      <c r="BQ868" s="14"/>
      <c r="BR868" s="14"/>
      <c r="BS868" s="14"/>
      <c r="BT868" s="14"/>
      <c r="BU868" s="14"/>
      <c r="BV868" s="14"/>
      <c r="BW868" s="14"/>
      <c r="BX868" s="14"/>
      <c r="BY868" s="14"/>
      <c r="BZ868" s="14"/>
      <c r="CA868" s="14"/>
      <c r="CB868" s="14"/>
      <c r="CC868" s="14"/>
      <c r="CD868" s="14"/>
      <c r="CE868" s="14"/>
      <c r="CF868" s="14"/>
      <c r="CG868" s="14"/>
      <c r="CH868" s="14"/>
      <c r="CI868" s="14"/>
      <c r="CJ868" s="14"/>
      <c r="CK868" s="14"/>
      <c r="CL868" s="14"/>
      <c r="CM868" s="14"/>
      <c r="CN868" s="14"/>
      <c r="CO868" s="14"/>
      <c r="CP868" s="14"/>
      <c r="CQ868" s="14"/>
      <c r="CR868" s="14"/>
      <c r="CS868" s="14"/>
      <c r="CT868" s="14"/>
      <c r="CU868" s="14"/>
      <c r="CV868" s="14"/>
      <c r="CW868" s="14"/>
      <c r="CX868" s="14"/>
      <c r="CY868" s="14"/>
      <c r="CZ868" s="14"/>
      <c r="DA868" s="14"/>
      <c r="DB868" s="14"/>
      <c r="DC868" s="14"/>
      <c r="DD868" s="14"/>
      <c r="DE868" s="14"/>
      <c r="DF868" s="14"/>
      <c r="DG868" s="14"/>
      <c r="DH868" s="14"/>
      <c r="DI868" s="14"/>
      <c r="DJ868" s="14"/>
      <c r="DK868" s="14"/>
      <c r="DL868" s="14"/>
      <c r="DM868" s="14"/>
      <c r="DN868" s="14"/>
      <c r="DO868" s="14"/>
      <c r="DP868" s="14"/>
      <c r="DQ868" s="14"/>
      <c r="DR868" s="14"/>
      <c r="DS868" s="14"/>
      <c r="DT868" s="14"/>
      <c r="DU868" s="14"/>
      <c r="DV868" s="14"/>
      <c r="DW868" s="14"/>
      <c r="DX868" s="14"/>
      <c r="DY868" s="14"/>
      <c r="DZ868" s="14"/>
      <c r="EA868" s="14"/>
      <c r="EB868" s="14"/>
      <c r="EC868" s="14"/>
    </row>
    <row r="869" spans="1:133" s="13" customFormat="1" ht="49.2" x14ac:dyDescent="0.25">
      <c r="A869" s="15" t="s">
        <v>99</v>
      </c>
      <c r="B869" s="25" t="s">
        <v>95</v>
      </c>
      <c r="C869" s="35" t="s">
        <v>100</v>
      </c>
      <c r="D869" s="35" t="s">
        <v>101</v>
      </c>
      <c r="E869" s="16">
        <v>0</v>
      </c>
      <c r="R869" s="14"/>
      <c r="S869" s="14"/>
      <c r="T869" s="14"/>
      <c r="U869" s="14"/>
      <c r="V869" s="14"/>
      <c r="W869" s="14"/>
      <c r="X869" s="14"/>
      <c r="Y869" s="14"/>
      <c r="Z869" s="14"/>
      <c r="AA869" s="14"/>
      <c r="AB869" s="14"/>
      <c r="AC869" s="14"/>
      <c r="AD869" s="14"/>
      <c r="AE869" s="14"/>
      <c r="AF869" s="14"/>
      <c r="AG869" s="14"/>
      <c r="AH869" s="14"/>
      <c r="AI869" s="14"/>
      <c r="AJ869" s="14"/>
      <c r="AK869" s="14"/>
      <c r="AL869" s="14"/>
      <c r="AM869" s="14"/>
      <c r="AN869" s="14"/>
      <c r="AO869" s="14"/>
      <c r="AP869" s="14"/>
      <c r="AQ869" s="14"/>
      <c r="AR869" s="14"/>
      <c r="AS869" s="14"/>
      <c r="AT869" s="14"/>
      <c r="AU869" s="14"/>
      <c r="AV869" s="14"/>
      <c r="AW869" s="14"/>
      <c r="AX869" s="14"/>
      <c r="AY869" s="14"/>
      <c r="AZ869" s="14"/>
      <c r="BA869" s="14"/>
      <c r="BB869" s="14"/>
      <c r="BC869" s="14"/>
      <c r="BD869" s="14"/>
      <c r="BE869" s="14"/>
      <c r="BF869" s="14"/>
      <c r="BG869" s="14"/>
      <c r="BH869" s="14"/>
      <c r="BI869" s="14"/>
      <c r="BJ869" s="14"/>
      <c r="BK869" s="14"/>
      <c r="BL869" s="14"/>
      <c r="BM869" s="14"/>
      <c r="BN869" s="14"/>
      <c r="BO869" s="14"/>
      <c r="BP869" s="14"/>
      <c r="BQ869" s="14"/>
      <c r="BR869" s="14"/>
      <c r="BS869" s="14"/>
      <c r="BT869" s="14"/>
      <c r="BU869" s="14"/>
      <c r="BV869" s="14"/>
      <c r="BW869" s="14"/>
      <c r="BX869" s="14"/>
      <c r="BY869" s="14"/>
      <c r="BZ869" s="14"/>
      <c r="CA869" s="14"/>
      <c r="CB869" s="14"/>
      <c r="CC869" s="14"/>
      <c r="CD869" s="14"/>
      <c r="CE869" s="14"/>
      <c r="CF869" s="14"/>
      <c r="CG869" s="14"/>
      <c r="CH869" s="14"/>
      <c r="CI869" s="14"/>
      <c r="CJ869" s="14"/>
      <c r="CK869" s="14"/>
      <c r="CL869" s="14"/>
      <c r="CM869" s="14"/>
      <c r="CN869" s="14"/>
      <c r="CO869" s="14"/>
      <c r="CP869" s="14"/>
      <c r="CQ869" s="14"/>
      <c r="CR869" s="14"/>
      <c r="CS869" s="14"/>
      <c r="CT869" s="14"/>
      <c r="CU869" s="14"/>
      <c r="CV869" s="14"/>
      <c r="CW869" s="14"/>
      <c r="CX869" s="14"/>
      <c r="CY869" s="14"/>
      <c r="CZ869" s="14"/>
      <c r="DA869" s="14"/>
      <c r="DB869" s="14"/>
      <c r="DC869" s="14"/>
      <c r="DD869" s="14"/>
      <c r="DE869" s="14"/>
      <c r="DF869" s="14"/>
      <c r="DG869" s="14"/>
      <c r="DH869" s="14"/>
      <c r="DI869" s="14"/>
      <c r="DJ869" s="14"/>
      <c r="DK869" s="14"/>
      <c r="DL869" s="14"/>
      <c r="DM869" s="14"/>
      <c r="DN869" s="14"/>
      <c r="DO869" s="14"/>
      <c r="DP869" s="14"/>
      <c r="DQ869" s="14"/>
      <c r="DR869" s="14"/>
      <c r="DS869" s="14"/>
      <c r="DT869" s="14"/>
      <c r="DU869" s="14"/>
      <c r="DV869" s="14"/>
      <c r="DW869" s="14"/>
      <c r="DX869" s="14"/>
      <c r="DY869" s="14"/>
      <c r="DZ869" s="14"/>
      <c r="EA869" s="14"/>
      <c r="EB869" s="14"/>
      <c r="EC869" s="14"/>
    </row>
    <row r="871" spans="1:133" s="13" customFormat="1" x14ac:dyDescent="0.25">
      <c r="A871" s="57" t="s">
        <v>8</v>
      </c>
      <c r="B871" s="58" t="s">
        <v>9</v>
      </c>
      <c r="C871" s="34" t="s">
        <v>10</v>
      </c>
      <c r="D871" s="34" t="s">
        <v>340</v>
      </c>
      <c r="E871" s="16" t="s">
        <v>65</v>
      </c>
      <c r="R871" s="14"/>
      <c r="S871" s="14"/>
      <c r="T871" s="14"/>
      <c r="U871" s="14"/>
      <c r="V871" s="14"/>
      <c r="W871" s="14"/>
      <c r="X871" s="14"/>
      <c r="Y871" s="14"/>
      <c r="Z871" s="14"/>
      <c r="AA871" s="14"/>
      <c r="AB871" s="14"/>
      <c r="AC871" s="14"/>
      <c r="AD871" s="14"/>
      <c r="AE871" s="14"/>
      <c r="AF871" s="14"/>
      <c r="AG871" s="14"/>
      <c r="AH871" s="14"/>
      <c r="AI871" s="14"/>
      <c r="AJ871" s="14"/>
      <c r="AK871" s="14"/>
      <c r="AL871" s="14"/>
      <c r="AM871" s="14"/>
      <c r="AN871" s="14"/>
      <c r="AO871" s="14"/>
      <c r="AP871" s="14"/>
      <c r="AQ871" s="14"/>
      <c r="AR871" s="14"/>
      <c r="AS871" s="14"/>
      <c r="AT871" s="14"/>
      <c r="AU871" s="14"/>
      <c r="AV871" s="14"/>
      <c r="AW871" s="14"/>
      <c r="AX871" s="14"/>
      <c r="AY871" s="14"/>
      <c r="AZ871" s="14"/>
      <c r="BA871" s="14"/>
      <c r="BB871" s="14"/>
      <c r="BC871" s="14"/>
      <c r="BD871" s="14"/>
      <c r="BE871" s="14"/>
      <c r="BF871" s="14"/>
      <c r="BG871" s="14"/>
      <c r="BH871" s="14"/>
      <c r="BI871" s="14"/>
      <c r="BJ871" s="14"/>
      <c r="BK871" s="14"/>
      <c r="BL871" s="14"/>
      <c r="BM871" s="14"/>
      <c r="BN871" s="14"/>
      <c r="BO871" s="14"/>
      <c r="BP871" s="14"/>
      <c r="BQ871" s="14"/>
      <c r="BR871" s="14"/>
      <c r="BS871" s="14"/>
      <c r="BT871" s="14"/>
      <c r="BU871" s="14"/>
      <c r="BV871" s="14"/>
      <c r="BW871" s="14"/>
      <c r="BX871" s="14"/>
      <c r="BY871" s="14"/>
      <c r="BZ871" s="14"/>
      <c r="CA871" s="14"/>
      <c r="CB871" s="14"/>
      <c r="CC871" s="14"/>
      <c r="CD871" s="14"/>
      <c r="CE871" s="14"/>
      <c r="CF871" s="14"/>
      <c r="CG871" s="14"/>
      <c r="CH871" s="14"/>
      <c r="CI871" s="14"/>
      <c r="CJ871" s="14"/>
      <c r="CK871" s="14"/>
      <c r="CL871" s="14"/>
      <c r="CM871" s="14"/>
      <c r="CN871" s="14"/>
      <c r="CO871" s="14"/>
      <c r="CP871" s="14"/>
      <c r="CQ871" s="14"/>
      <c r="CR871" s="14"/>
      <c r="CS871" s="14"/>
      <c r="CT871" s="14"/>
      <c r="CU871" s="14"/>
      <c r="CV871" s="14"/>
      <c r="CW871" s="14"/>
      <c r="CX871" s="14"/>
      <c r="CY871" s="14"/>
      <c r="CZ871" s="14"/>
      <c r="DA871" s="14"/>
      <c r="DB871" s="14"/>
      <c r="DC871" s="14"/>
      <c r="DD871" s="14"/>
      <c r="DE871" s="14"/>
      <c r="DF871" s="14"/>
      <c r="DG871" s="14"/>
      <c r="DH871" s="14"/>
      <c r="DI871" s="14"/>
      <c r="DJ871" s="14"/>
      <c r="DK871" s="14"/>
      <c r="DL871" s="14"/>
      <c r="DM871" s="14"/>
      <c r="DN871" s="14"/>
      <c r="DO871" s="14"/>
      <c r="DP871" s="14"/>
      <c r="DQ871" s="14"/>
      <c r="DR871" s="14"/>
      <c r="DS871" s="14"/>
      <c r="DT871" s="14"/>
      <c r="DU871" s="14"/>
      <c r="DV871" s="14"/>
      <c r="DW871" s="14"/>
      <c r="DX871" s="14"/>
      <c r="DY871" s="14"/>
      <c r="DZ871" s="14"/>
      <c r="EA871" s="14"/>
      <c r="EB871" s="14"/>
      <c r="EC871" s="14"/>
    </row>
    <row r="872" spans="1:133" s="13" customFormat="1" ht="18" x14ac:dyDescent="0.25">
      <c r="A872" s="59" t="s">
        <v>102</v>
      </c>
      <c r="B872" s="25" t="s">
        <v>103</v>
      </c>
      <c r="C872" s="35" t="s">
        <v>104</v>
      </c>
      <c r="D872" s="53" t="s">
        <v>380</v>
      </c>
      <c r="E872" s="18">
        <f>ROUNDDOWN(E822+E853+E848+E865+E869,0)</f>
        <v>1344</v>
      </c>
      <c r="R872" s="14"/>
      <c r="S872" s="14"/>
      <c r="T872" s="14"/>
      <c r="U872" s="14"/>
      <c r="V872" s="14"/>
      <c r="W872" s="14"/>
      <c r="X872" s="14"/>
      <c r="Y872" s="14"/>
      <c r="Z872" s="14"/>
      <c r="AA872" s="14"/>
      <c r="AB872" s="14"/>
      <c r="AC872" s="14"/>
      <c r="AD872" s="14"/>
      <c r="AE872" s="14"/>
      <c r="AF872" s="14"/>
      <c r="AG872" s="14"/>
      <c r="AH872" s="14"/>
      <c r="AI872" s="14"/>
      <c r="AJ872" s="14"/>
      <c r="AK872" s="14"/>
      <c r="AL872" s="14"/>
      <c r="AM872" s="14"/>
      <c r="AN872" s="14"/>
      <c r="AO872" s="14"/>
      <c r="AP872" s="14"/>
      <c r="AQ872" s="14"/>
      <c r="AR872" s="14"/>
      <c r="AS872" s="14"/>
      <c r="AT872" s="14"/>
      <c r="AU872" s="14"/>
      <c r="AV872" s="14"/>
      <c r="AW872" s="14"/>
      <c r="AX872" s="14"/>
      <c r="AY872" s="14"/>
      <c r="AZ872" s="14"/>
      <c r="BA872" s="14"/>
      <c r="BB872" s="14"/>
      <c r="BC872" s="14"/>
      <c r="BD872" s="14"/>
      <c r="BE872" s="14"/>
      <c r="BF872" s="14"/>
      <c r="BG872" s="14"/>
      <c r="BH872" s="14"/>
      <c r="BI872" s="14"/>
      <c r="BJ872" s="14"/>
      <c r="BK872" s="14"/>
      <c r="BL872" s="14"/>
      <c r="BM872" s="14"/>
      <c r="BN872" s="14"/>
      <c r="BO872" s="14"/>
      <c r="BP872" s="14"/>
      <c r="BQ872" s="14"/>
      <c r="BR872" s="14"/>
      <c r="BS872" s="14"/>
      <c r="BT872" s="14"/>
      <c r="BU872" s="14"/>
      <c r="BV872" s="14"/>
      <c r="BW872" s="14"/>
      <c r="BX872" s="14"/>
      <c r="BY872" s="14"/>
      <c r="BZ872" s="14"/>
      <c r="CA872" s="14"/>
      <c r="CB872" s="14"/>
      <c r="CC872" s="14"/>
      <c r="CD872" s="14"/>
      <c r="CE872" s="14"/>
      <c r="CF872" s="14"/>
      <c r="CG872" s="14"/>
      <c r="CH872" s="14"/>
      <c r="CI872" s="14"/>
      <c r="CJ872" s="14"/>
      <c r="CK872" s="14"/>
      <c r="CL872" s="14"/>
      <c r="CM872" s="14"/>
      <c r="CN872" s="14"/>
      <c r="CO872" s="14"/>
      <c r="CP872" s="14"/>
      <c r="CQ872" s="14"/>
      <c r="CR872" s="14"/>
      <c r="CS872" s="14"/>
      <c r="CT872" s="14"/>
      <c r="CU872" s="14"/>
      <c r="CV872" s="14"/>
      <c r="CW872" s="14"/>
      <c r="CX872" s="14"/>
      <c r="CY872" s="14"/>
      <c r="CZ872" s="14"/>
      <c r="DA872" s="14"/>
      <c r="DB872" s="14"/>
      <c r="DC872" s="14"/>
      <c r="DD872" s="14"/>
      <c r="DE872" s="14"/>
      <c r="DF872" s="14"/>
      <c r="DG872" s="14"/>
      <c r="DH872" s="14"/>
      <c r="DI872" s="14"/>
      <c r="DJ872" s="14"/>
      <c r="DK872" s="14"/>
      <c r="DL872" s="14"/>
      <c r="DM872" s="14"/>
      <c r="DN872" s="14"/>
      <c r="DO872" s="14"/>
      <c r="DP872" s="14"/>
      <c r="DQ872" s="14"/>
      <c r="DR872" s="14"/>
      <c r="DS872" s="14"/>
      <c r="DT872" s="14"/>
      <c r="DU872" s="14"/>
      <c r="DV872" s="14"/>
      <c r="DW872" s="14"/>
      <c r="DX872" s="14"/>
      <c r="DY872" s="14"/>
      <c r="DZ872" s="14"/>
      <c r="EA872" s="14"/>
      <c r="EB872" s="14"/>
      <c r="EC872" s="14"/>
    </row>
    <row r="883" spans="1:133" s="13" customFormat="1" x14ac:dyDescent="0.25">
      <c r="A883" s="14"/>
      <c r="C883" s="12"/>
      <c r="D883" s="32"/>
      <c r="E883" s="100"/>
      <c r="R883" s="14"/>
      <c r="S883" s="14"/>
      <c r="T883" s="14"/>
      <c r="U883" s="14"/>
      <c r="V883" s="14"/>
      <c r="W883" s="14"/>
      <c r="X883" s="14"/>
      <c r="Y883" s="14"/>
      <c r="Z883" s="14"/>
      <c r="AA883" s="14"/>
      <c r="AB883" s="14"/>
      <c r="AC883" s="14"/>
      <c r="AD883" s="14"/>
      <c r="AE883" s="14"/>
      <c r="AF883" s="14"/>
      <c r="AG883" s="14"/>
      <c r="AH883" s="14"/>
      <c r="AI883" s="14"/>
      <c r="AJ883" s="14"/>
      <c r="AK883" s="14"/>
      <c r="AL883" s="14"/>
      <c r="AM883" s="14"/>
      <c r="AN883" s="14"/>
      <c r="AO883" s="14"/>
      <c r="AP883" s="14"/>
      <c r="AQ883" s="14"/>
      <c r="AR883" s="14"/>
      <c r="AS883" s="14"/>
      <c r="AT883" s="14"/>
      <c r="AU883" s="14"/>
      <c r="AV883" s="14"/>
      <c r="AW883" s="14"/>
      <c r="AX883" s="14"/>
      <c r="AY883" s="14"/>
      <c r="AZ883" s="14"/>
      <c r="BA883" s="14"/>
      <c r="BB883" s="14"/>
      <c r="BC883" s="14"/>
      <c r="BD883" s="14"/>
      <c r="BE883" s="14"/>
      <c r="BF883" s="14"/>
      <c r="BG883" s="14"/>
      <c r="BH883" s="14"/>
      <c r="BI883" s="14"/>
      <c r="BJ883" s="14"/>
      <c r="BK883" s="14"/>
      <c r="BL883" s="14"/>
      <c r="BM883" s="14"/>
      <c r="BN883" s="14"/>
      <c r="BO883" s="14"/>
      <c r="BP883" s="14"/>
      <c r="BQ883" s="14"/>
      <c r="BR883" s="14"/>
      <c r="BS883" s="14"/>
      <c r="BT883" s="14"/>
      <c r="BU883" s="14"/>
      <c r="BV883" s="14"/>
      <c r="BW883" s="14"/>
      <c r="BX883" s="14"/>
      <c r="BY883" s="14"/>
      <c r="BZ883" s="14"/>
      <c r="CA883" s="14"/>
      <c r="CB883" s="14"/>
      <c r="CC883" s="14"/>
      <c r="CD883" s="14"/>
      <c r="CE883" s="14"/>
      <c r="CF883" s="14"/>
      <c r="CG883" s="14"/>
      <c r="CH883" s="14"/>
      <c r="CI883" s="14"/>
      <c r="CJ883" s="14"/>
      <c r="CK883" s="14"/>
      <c r="CL883" s="14"/>
      <c r="CM883" s="14"/>
      <c r="CN883" s="14"/>
      <c r="CO883" s="14"/>
      <c r="CP883" s="14"/>
      <c r="CQ883" s="14"/>
      <c r="CR883" s="14"/>
      <c r="CS883" s="14"/>
      <c r="CT883" s="14"/>
      <c r="CU883" s="14"/>
      <c r="CV883" s="14"/>
      <c r="CW883" s="14"/>
      <c r="CX883" s="14"/>
      <c r="CY883" s="14"/>
      <c r="CZ883" s="14"/>
      <c r="DA883" s="14"/>
      <c r="DB883" s="14"/>
      <c r="DC883" s="14"/>
      <c r="DD883" s="14"/>
      <c r="DE883" s="14"/>
      <c r="DF883" s="14"/>
      <c r="DG883" s="14"/>
      <c r="DH883" s="14"/>
      <c r="DI883" s="14"/>
      <c r="DJ883" s="14"/>
      <c r="DK883" s="14"/>
      <c r="DL883" s="14"/>
      <c r="DM883" s="14"/>
      <c r="DN883" s="14"/>
      <c r="DO883" s="14"/>
      <c r="DP883" s="14"/>
      <c r="DQ883" s="14"/>
      <c r="DR883" s="14"/>
      <c r="DS883" s="14"/>
      <c r="DT883" s="14"/>
      <c r="DU883" s="14"/>
      <c r="DV883" s="14"/>
      <c r="DW883" s="14"/>
      <c r="DX883" s="14"/>
      <c r="DY883" s="14"/>
      <c r="DZ883" s="14"/>
      <c r="EA883" s="14"/>
      <c r="EB883" s="14"/>
      <c r="EC883" s="14"/>
    </row>
  </sheetData>
  <mergeCells count="195">
    <mergeCell ref="E841:Q841"/>
    <mergeCell ref="E842:Q842"/>
    <mergeCell ref="E823:Q823"/>
    <mergeCell ref="E824:Q824"/>
    <mergeCell ref="E836:Q836"/>
    <mergeCell ref="E837:Q837"/>
    <mergeCell ref="E838:Q838"/>
    <mergeCell ref="E840:Q840"/>
    <mergeCell ref="E783:Q783"/>
    <mergeCell ref="E784:Q784"/>
    <mergeCell ref="E786:Q786"/>
    <mergeCell ref="E787:Q787"/>
    <mergeCell ref="E788:Q788"/>
    <mergeCell ref="A819:XFD819"/>
    <mergeCell ref="E733:Q733"/>
    <mergeCell ref="E734:Q734"/>
    <mergeCell ref="A765:XFD765"/>
    <mergeCell ref="E769:Q769"/>
    <mergeCell ref="E770:Q770"/>
    <mergeCell ref="E782:Q782"/>
    <mergeCell ref="E715:Q715"/>
    <mergeCell ref="E716:Q716"/>
    <mergeCell ref="E728:Q728"/>
    <mergeCell ref="E729:Q729"/>
    <mergeCell ref="E730:Q730"/>
    <mergeCell ref="E732:Q732"/>
    <mergeCell ref="E675:Q675"/>
    <mergeCell ref="E677:Q677"/>
    <mergeCell ref="E678:Q678"/>
    <mergeCell ref="E679:Q679"/>
    <mergeCell ref="A710:XFD710"/>
    <mergeCell ref="A711:XFD711"/>
    <mergeCell ref="E623:Q623"/>
    <mergeCell ref="E624:Q624"/>
    <mergeCell ref="E625:Q625"/>
    <mergeCell ref="A656:XFD656"/>
    <mergeCell ref="E673:Q673"/>
    <mergeCell ref="E674:Q674"/>
    <mergeCell ref="E660:Q660"/>
    <mergeCell ref="E661:Q661"/>
    <mergeCell ref="E570:Q570"/>
    <mergeCell ref="A601:XFD601"/>
    <mergeCell ref="A602:XFD602"/>
    <mergeCell ref="E619:Q619"/>
    <mergeCell ref="E620:Q620"/>
    <mergeCell ref="E621:Q621"/>
    <mergeCell ref="A547:XFD547"/>
    <mergeCell ref="E564:Q564"/>
    <mergeCell ref="E565:Q565"/>
    <mergeCell ref="E566:Q566"/>
    <mergeCell ref="E568:Q568"/>
    <mergeCell ref="E569:Q569"/>
    <mergeCell ref="E551:Q551"/>
    <mergeCell ref="E552:Q552"/>
    <mergeCell ref="E606:Q606"/>
    <mergeCell ref="E607:Q607"/>
    <mergeCell ref="E510:Q510"/>
    <mergeCell ref="E511:Q511"/>
    <mergeCell ref="E512:Q512"/>
    <mergeCell ref="E514:Q514"/>
    <mergeCell ref="E515:Q515"/>
    <mergeCell ref="E516:Q516"/>
    <mergeCell ref="A465:E465"/>
    <mergeCell ref="A470:E470"/>
    <mergeCell ref="A482:E482"/>
    <mergeCell ref="A486:E486"/>
    <mergeCell ref="A492:XFD492"/>
    <mergeCell ref="A493:XFD493"/>
    <mergeCell ref="E497:Q497"/>
    <mergeCell ref="E498:Q498"/>
    <mergeCell ref="E455:Q455"/>
    <mergeCell ref="E456:Q456"/>
    <mergeCell ref="E457:Q457"/>
    <mergeCell ref="E459:Q459"/>
    <mergeCell ref="E460:Q460"/>
    <mergeCell ref="E461:Q461"/>
    <mergeCell ref="A427:E427"/>
    <mergeCell ref="A431:E431"/>
    <mergeCell ref="A438:XFD438"/>
    <mergeCell ref="A440:E440"/>
    <mergeCell ref="E442:Q442"/>
    <mergeCell ref="E443:Q443"/>
    <mergeCell ref="E402:Q402"/>
    <mergeCell ref="E404:Q404"/>
    <mergeCell ref="E405:Q405"/>
    <mergeCell ref="E406:Q406"/>
    <mergeCell ref="A410:E410"/>
    <mergeCell ref="A415:E415"/>
    <mergeCell ref="A383:XFD383"/>
    <mergeCell ref="A385:E385"/>
    <mergeCell ref="E387:Q387"/>
    <mergeCell ref="E388:Q388"/>
    <mergeCell ref="E400:Q400"/>
    <mergeCell ref="E401:Q401"/>
    <mergeCell ref="E351:Q351"/>
    <mergeCell ref="E352:Q352"/>
    <mergeCell ref="A356:E356"/>
    <mergeCell ref="A361:E361"/>
    <mergeCell ref="A373:E373"/>
    <mergeCell ref="A377:E377"/>
    <mergeCell ref="E333:Q333"/>
    <mergeCell ref="E334:Q334"/>
    <mergeCell ref="E346:Q346"/>
    <mergeCell ref="E347:Q347"/>
    <mergeCell ref="E348:Q348"/>
    <mergeCell ref="E350:Q350"/>
    <mergeCell ref="A302:E302"/>
    <mergeCell ref="A307:E307"/>
    <mergeCell ref="A319:E319"/>
    <mergeCell ref="A323:E323"/>
    <mergeCell ref="A329:XFD329"/>
    <mergeCell ref="A331:E331"/>
    <mergeCell ref="E292:Q292"/>
    <mergeCell ref="E293:Q293"/>
    <mergeCell ref="E294:Q294"/>
    <mergeCell ref="E296:Q296"/>
    <mergeCell ref="E297:Q297"/>
    <mergeCell ref="E298:Q298"/>
    <mergeCell ref="A265:E265"/>
    <mergeCell ref="A269:E269"/>
    <mergeCell ref="A275:XFD275"/>
    <mergeCell ref="A277:E277"/>
    <mergeCell ref="E279:Q279"/>
    <mergeCell ref="E280:Q280"/>
    <mergeCell ref="E240:Q240"/>
    <mergeCell ref="E242:Q242"/>
    <mergeCell ref="E243:Q243"/>
    <mergeCell ref="E244:Q244"/>
    <mergeCell ref="A248:E248"/>
    <mergeCell ref="A253:E253"/>
    <mergeCell ref="A221:XFD221"/>
    <mergeCell ref="A223:E223"/>
    <mergeCell ref="E225:Q225"/>
    <mergeCell ref="E226:Q226"/>
    <mergeCell ref="E238:Q238"/>
    <mergeCell ref="E239:Q239"/>
    <mergeCell ref="E189:Q189"/>
    <mergeCell ref="A193:E193"/>
    <mergeCell ref="A198:E198"/>
    <mergeCell ref="A210:E210"/>
    <mergeCell ref="A214:E214"/>
    <mergeCell ref="A220:XFD220"/>
    <mergeCell ref="E171:Q171"/>
    <mergeCell ref="E183:Q183"/>
    <mergeCell ref="E184:Q184"/>
    <mergeCell ref="E185:Q185"/>
    <mergeCell ref="E187:Q187"/>
    <mergeCell ref="E188:Q188"/>
    <mergeCell ref="A144:E144"/>
    <mergeCell ref="A156:E156"/>
    <mergeCell ref="A160:E160"/>
    <mergeCell ref="A166:XFD166"/>
    <mergeCell ref="A168:E168"/>
    <mergeCell ref="E170:Q170"/>
    <mergeCell ref="E130:Q130"/>
    <mergeCell ref="E131:Q131"/>
    <mergeCell ref="E133:Q133"/>
    <mergeCell ref="E134:Q134"/>
    <mergeCell ref="E135:Q135"/>
    <mergeCell ref="A139:E139"/>
    <mergeCell ref="A111:XFD111"/>
    <mergeCell ref="A112:XFD112"/>
    <mergeCell ref="A114:E114"/>
    <mergeCell ref="E116:Q116"/>
    <mergeCell ref="E117:Q117"/>
    <mergeCell ref="E129:Q129"/>
    <mergeCell ref="E80:Q80"/>
    <mergeCell ref="A84:E84"/>
    <mergeCell ref="A89:E89"/>
    <mergeCell ref="A101:E101"/>
    <mergeCell ref="A105:E105"/>
    <mergeCell ref="E61:Q61"/>
    <mergeCell ref="E62:Q62"/>
    <mergeCell ref="E74:Q74"/>
    <mergeCell ref="E75:Q75"/>
    <mergeCell ref="E76:Q76"/>
    <mergeCell ref="E78:Q78"/>
    <mergeCell ref="A57:XFD57"/>
    <mergeCell ref="A59:E59"/>
    <mergeCell ref="E19:Q19"/>
    <mergeCell ref="E20:Q20"/>
    <mergeCell ref="E21:Q21"/>
    <mergeCell ref="E23:Q23"/>
    <mergeCell ref="E24:Q24"/>
    <mergeCell ref="E25:Q25"/>
    <mergeCell ref="E79:Q79"/>
    <mergeCell ref="A1:XFD1"/>
    <mergeCell ref="A2:Q2"/>
    <mergeCell ref="A4:E4"/>
    <mergeCell ref="E6:Q6"/>
    <mergeCell ref="E7:Q7"/>
    <mergeCell ref="A29:E29"/>
    <mergeCell ref="A34:E34"/>
    <mergeCell ref="A46:E46"/>
    <mergeCell ref="A50:E50"/>
  </mergeCells>
  <phoneticPr fontId="24" type="noConversion"/>
  <hyperlinks>
    <hyperlink ref="D26" r:id="rId1" xr:uid="{92465E51-A270-4E7F-BF49-BA8AC9F22E34}"/>
    <hyperlink ref="D81" r:id="rId2" xr:uid="{F1909991-B4FE-4D18-A997-F918053CB340}"/>
    <hyperlink ref="D136" r:id="rId3" xr:uid="{135CDBF5-AA5F-43C8-868C-ECFADEFD3AD2}"/>
    <hyperlink ref="D190" r:id="rId4" xr:uid="{CBD3EA13-F5D0-4692-8326-45B7C30ED4CD}"/>
    <hyperlink ref="D245" r:id="rId5" xr:uid="{DD9A0B73-ACDF-4E53-A121-9D7C93A0C0C0}"/>
    <hyperlink ref="D299" r:id="rId6" xr:uid="{E3F251A7-29F9-41C8-9530-22F210163367}"/>
    <hyperlink ref="D353" r:id="rId7" xr:uid="{59A1C004-7648-41BD-9D86-38A4E58584D1}"/>
    <hyperlink ref="D462" r:id="rId8" xr:uid="{34D93805-375D-4776-8F46-029A77397EBC}"/>
    <hyperlink ref="D517" r:id="rId9" xr:uid="{737CE416-8854-4829-AE1D-1F3440930360}"/>
    <hyperlink ref="D571" r:id="rId10" xr:uid="{B127F031-0BD7-4782-BD7F-01F1BDF84AB5}"/>
    <hyperlink ref="D626" r:id="rId11" xr:uid="{A301D5CB-8479-47B2-AEC3-BDADAAA64EFA}"/>
    <hyperlink ref="D680" r:id="rId12" xr:uid="{88C965FC-53CB-4689-881D-5B034ACD810D}"/>
    <hyperlink ref="D735" r:id="rId13" xr:uid="{493FD91F-FD38-4A2D-A362-0A415AE680B1}"/>
    <hyperlink ref="D789" r:id="rId14" xr:uid="{4546B996-EF08-4CD7-9518-940F02221715}"/>
    <hyperlink ref="D843" r:id="rId15" xr:uid="{8F85C8EE-E1D9-42C2-9372-F41DF7F81988}"/>
    <hyperlink ref="D407" r:id="rId16" xr:uid="{428675F7-8883-445C-9B81-E4D73CEF428C}"/>
  </hyperlinks>
  <pageMargins left="0.7" right="0.7" top="0.75" bottom="0.75" header="0.3" footer="0.3"/>
  <pageSetup paperSize="9" scale="66" orientation="landscape" horizontalDpi="300" verticalDpi="300" r:id="rId17"/>
  <ignoredErrors>
    <ignoredError sqref="F5 F332 F386 F441 F496 F605 F659 F714 F768 F822 F736" evalError="1"/>
    <ignoredError sqref="E120:E121 E65:E66 E10:E11 E174:E175 E229:E230 E283:E284 E337:E338 E391:E392 E446:E447 E501:E502 E555:E556 E610:E611 E664:E665 E773:E774 E719:E720 E827:E828" formula="1"/>
    <ignoredError sqref="E13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C906"/>
  <sheetViews>
    <sheetView topLeftCell="A4" zoomScale="80" zoomScaleNormal="80" workbookViewId="0">
      <selection activeCell="D16" sqref="D16"/>
    </sheetView>
  </sheetViews>
  <sheetFormatPr defaultColWidth="11.44140625" defaultRowHeight="15.6" x14ac:dyDescent="0.25"/>
  <cols>
    <col min="1" max="1" width="16.33203125" style="11" customWidth="1"/>
    <col min="2" max="2" width="11.77734375" style="11" customWidth="1"/>
    <col min="3" max="3" width="53.5546875" style="12" customWidth="1"/>
    <col min="4" max="4" width="33.6640625" style="12" customWidth="1"/>
    <col min="5" max="5" width="18" style="13" customWidth="1"/>
    <col min="6" max="7" width="13.77734375" style="13" customWidth="1"/>
    <col min="8" max="8" width="14.33203125" style="13" customWidth="1"/>
    <col min="9" max="9" width="14" style="13" customWidth="1"/>
    <col min="10" max="10" width="13.6640625" style="13" customWidth="1"/>
    <col min="11" max="11" width="15" style="13" customWidth="1"/>
    <col min="12" max="12" width="14.21875" style="13" customWidth="1"/>
    <col min="13" max="13" width="16.44140625" style="13" customWidth="1"/>
    <col min="14" max="14" width="16.21875" style="13" customWidth="1"/>
    <col min="15" max="15" width="15.33203125" style="13" customWidth="1"/>
    <col min="16" max="16" width="14" style="13" customWidth="1"/>
    <col min="17" max="17" width="15.109375" style="13" customWidth="1"/>
    <col min="18" max="18" width="8.77734375" style="14" customWidth="1"/>
    <col min="19" max="19" width="11.44140625" style="14"/>
    <col min="20" max="16384" width="11.44140625" style="9"/>
  </cols>
  <sheetData>
    <row r="1" spans="1:133" s="212" customFormat="1" ht="36.6" customHeight="1" x14ac:dyDescent="0.25">
      <c r="A1" s="211" t="s">
        <v>220</v>
      </c>
    </row>
    <row r="2" spans="1:133" s="107" customFormat="1" ht="39.6" customHeight="1" x14ac:dyDescent="0.25">
      <c r="A2" s="213" t="s">
        <v>236</v>
      </c>
      <c r="B2" s="213"/>
      <c r="C2" s="214"/>
      <c r="D2" s="214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213"/>
      <c r="R2" s="106"/>
      <c r="S2" s="106"/>
      <c r="T2" s="106"/>
      <c r="U2" s="106"/>
      <c r="V2" s="106"/>
      <c r="W2" s="106"/>
      <c r="X2" s="106"/>
      <c r="Y2" s="106"/>
      <c r="Z2" s="106"/>
      <c r="AA2" s="106"/>
      <c r="AB2" s="106"/>
      <c r="AC2" s="106"/>
      <c r="AD2" s="106"/>
      <c r="AE2" s="106"/>
      <c r="AF2" s="106"/>
      <c r="AG2" s="106"/>
      <c r="AH2" s="106"/>
      <c r="AI2" s="106"/>
      <c r="AJ2" s="106"/>
      <c r="AK2" s="106"/>
      <c r="AL2" s="106"/>
      <c r="AM2" s="106"/>
      <c r="AN2" s="106"/>
      <c r="AO2" s="106"/>
      <c r="AP2" s="106"/>
      <c r="AQ2" s="106"/>
      <c r="AR2" s="106"/>
      <c r="AS2" s="106"/>
      <c r="AT2" s="106"/>
      <c r="AU2" s="106"/>
      <c r="AV2" s="106"/>
      <c r="AW2" s="106"/>
      <c r="AX2" s="106"/>
      <c r="AY2" s="106"/>
      <c r="AZ2" s="106"/>
      <c r="BA2" s="106"/>
      <c r="BB2" s="106"/>
      <c r="BC2" s="106"/>
      <c r="BD2" s="106"/>
      <c r="BE2" s="106"/>
      <c r="BF2" s="106"/>
      <c r="BG2" s="106"/>
      <c r="BH2" s="106"/>
      <c r="BI2" s="106"/>
      <c r="BJ2" s="106"/>
      <c r="BK2" s="106"/>
      <c r="BL2" s="106"/>
      <c r="BM2" s="106"/>
      <c r="BN2" s="106"/>
      <c r="BO2" s="106"/>
      <c r="BP2" s="106"/>
      <c r="BQ2" s="106"/>
      <c r="BR2" s="106"/>
      <c r="BS2" s="106"/>
      <c r="BT2" s="106"/>
      <c r="BU2" s="106"/>
      <c r="BV2" s="106"/>
      <c r="BW2" s="106"/>
      <c r="BX2" s="106"/>
      <c r="BY2" s="106"/>
      <c r="BZ2" s="106"/>
      <c r="CA2" s="106"/>
      <c r="CB2" s="106"/>
      <c r="CC2" s="106"/>
      <c r="CD2" s="106"/>
      <c r="CE2" s="106"/>
      <c r="CF2" s="106"/>
      <c r="CG2" s="106"/>
      <c r="CH2" s="106"/>
      <c r="CI2" s="106"/>
      <c r="CJ2" s="106"/>
      <c r="CK2" s="106"/>
      <c r="CL2" s="106"/>
      <c r="CM2" s="106"/>
      <c r="CN2" s="106"/>
      <c r="CO2" s="106"/>
      <c r="CP2" s="106"/>
      <c r="CQ2" s="106"/>
      <c r="CR2" s="106"/>
      <c r="CS2" s="106"/>
      <c r="CT2" s="106"/>
      <c r="CU2" s="106"/>
      <c r="CV2" s="106"/>
      <c r="CW2" s="106"/>
      <c r="CX2" s="106"/>
      <c r="CY2" s="106"/>
      <c r="CZ2" s="106"/>
      <c r="DA2" s="106"/>
      <c r="DB2" s="106"/>
      <c r="DC2" s="106"/>
      <c r="DD2" s="106"/>
      <c r="DE2" s="106"/>
      <c r="DF2" s="106"/>
      <c r="DG2" s="106"/>
      <c r="DH2" s="106"/>
      <c r="DI2" s="106"/>
      <c r="DJ2" s="106"/>
      <c r="DK2" s="106"/>
      <c r="DL2" s="106"/>
      <c r="DM2" s="106"/>
      <c r="DN2" s="106"/>
      <c r="DO2" s="106"/>
      <c r="DP2" s="106"/>
      <c r="DQ2" s="106"/>
      <c r="DR2" s="106"/>
      <c r="DS2" s="106"/>
      <c r="DT2" s="106"/>
      <c r="DU2" s="106"/>
      <c r="DV2" s="106"/>
      <c r="DW2" s="106"/>
      <c r="DX2" s="106"/>
      <c r="DY2" s="106"/>
      <c r="DZ2" s="106"/>
      <c r="EA2" s="106"/>
      <c r="EB2" s="106"/>
      <c r="EC2" s="106"/>
    </row>
    <row r="3" spans="1:133" ht="23.4" customHeight="1" x14ac:dyDescent="0.25">
      <c r="A3" s="201" t="s">
        <v>105</v>
      </c>
      <c r="B3" s="201"/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2"/>
    </row>
    <row r="4" spans="1:133" s="10" customFormat="1" ht="31.2" x14ac:dyDescent="0.25">
      <c r="A4" s="15" t="s">
        <v>8</v>
      </c>
      <c r="B4" s="15" t="s">
        <v>9</v>
      </c>
      <c r="C4" s="15" t="s">
        <v>10</v>
      </c>
      <c r="D4" s="15" t="s">
        <v>340</v>
      </c>
      <c r="E4" s="16" t="s">
        <v>11</v>
      </c>
      <c r="F4" s="16" t="s">
        <v>292</v>
      </c>
      <c r="G4" s="16" t="s">
        <v>292</v>
      </c>
      <c r="H4" s="16" t="s">
        <v>292</v>
      </c>
      <c r="I4" s="16" t="s">
        <v>292</v>
      </c>
      <c r="J4" s="16" t="s">
        <v>292</v>
      </c>
      <c r="K4" s="16" t="s">
        <v>292</v>
      </c>
      <c r="L4" s="16" t="s">
        <v>292</v>
      </c>
      <c r="M4" s="16" t="s">
        <v>292</v>
      </c>
      <c r="N4" s="16" t="s">
        <v>296</v>
      </c>
      <c r="O4" s="16" t="s">
        <v>293</v>
      </c>
      <c r="P4" s="16" t="s">
        <v>294</v>
      </c>
      <c r="Q4" s="16" t="s">
        <v>295</v>
      </c>
      <c r="R4" s="54"/>
      <c r="S4" s="54"/>
    </row>
    <row r="5" spans="1:133" s="10" customFormat="1" x14ac:dyDescent="0.25">
      <c r="A5" s="203" t="s">
        <v>106</v>
      </c>
      <c r="B5" s="203"/>
      <c r="C5" s="203"/>
      <c r="D5" s="203"/>
      <c r="E5" s="204"/>
      <c r="F5" s="16" t="s">
        <v>297</v>
      </c>
      <c r="G5" s="16" t="s">
        <v>297</v>
      </c>
      <c r="H5" s="16" t="s">
        <v>297</v>
      </c>
      <c r="I5" s="16" t="s">
        <v>297</v>
      </c>
      <c r="J5" s="16" t="s">
        <v>297</v>
      </c>
      <c r="K5" s="16" t="s">
        <v>297</v>
      </c>
      <c r="L5" s="16" t="s">
        <v>297</v>
      </c>
      <c r="M5" s="16" t="s">
        <v>297</v>
      </c>
      <c r="N5" s="16">
        <v>26</v>
      </c>
      <c r="O5" s="16">
        <v>31</v>
      </c>
      <c r="P5" s="16">
        <v>30</v>
      </c>
      <c r="Q5" s="16">
        <v>31</v>
      </c>
      <c r="R5" s="54"/>
      <c r="S5" s="54"/>
    </row>
    <row r="6" spans="1:133" s="10" customFormat="1" ht="31.2" x14ac:dyDescent="0.25">
      <c r="A6" s="15" t="s">
        <v>107</v>
      </c>
      <c r="B6" s="17" t="s">
        <v>103</v>
      </c>
      <c r="C6" s="17" t="s">
        <v>108</v>
      </c>
      <c r="D6" s="17" t="s">
        <v>381</v>
      </c>
      <c r="E6" s="18">
        <f>E7+E17</f>
        <v>0</v>
      </c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54"/>
      <c r="S6" s="54"/>
    </row>
    <row r="7" spans="1:133" ht="46.8" x14ac:dyDescent="0.25">
      <c r="A7" s="17" t="s">
        <v>109</v>
      </c>
      <c r="B7" s="17" t="s">
        <v>103</v>
      </c>
      <c r="C7" s="17" t="s">
        <v>110</v>
      </c>
      <c r="D7" s="17" t="s">
        <v>382</v>
      </c>
      <c r="E7" s="19">
        <f>SUM(F7:Q7)</f>
        <v>0</v>
      </c>
      <c r="F7" s="19" t="s">
        <v>297</v>
      </c>
      <c r="G7" s="19" t="s">
        <v>297</v>
      </c>
      <c r="H7" s="19" t="s">
        <v>297</v>
      </c>
      <c r="I7" s="19" t="s">
        <v>297</v>
      </c>
      <c r="J7" s="19" t="s">
        <v>297</v>
      </c>
      <c r="K7" s="19" t="s">
        <v>297</v>
      </c>
      <c r="L7" s="19" t="s">
        <v>297</v>
      </c>
      <c r="M7" s="19" t="s">
        <v>297</v>
      </c>
      <c r="N7" s="19">
        <f t="shared" ref="N7:Q7" si="0">IF(N8&gt;=0.8,0,$E$15*$E$16*0.4*(N9-N12)*N5)</f>
        <v>0</v>
      </c>
      <c r="O7" s="19">
        <f t="shared" si="0"/>
        <v>0</v>
      </c>
      <c r="P7" s="19">
        <f t="shared" si="0"/>
        <v>0</v>
      </c>
      <c r="Q7" s="19">
        <f t="shared" si="0"/>
        <v>0</v>
      </c>
    </row>
    <row r="8" spans="1:133" ht="62.4" x14ac:dyDescent="0.25">
      <c r="A8" s="17" t="s">
        <v>111</v>
      </c>
      <c r="B8" s="17" t="s">
        <v>37</v>
      </c>
      <c r="C8" s="17" t="s">
        <v>112</v>
      </c>
      <c r="D8" s="17" t="s">
        <v>383</v>
      </c>
      <c r="E8" s="20">
        <f>AVERAGE(F8:Q8)</f>
        <v>0.95454367721169797</v>
      </c>
      <c r="F8" s="20" t="s">
        <v>297</v>
      </c>
      <c r="G8" s="20" t="s">
        <v>297</v>
      </c>
      <c r="H8" s="20" t="s">
        <v>297</v>
      </c>
      <c r="I8" s="20" t="s">
        <v>297</v>
      </c>
      <c r="J8" s="20" t="s">
        <v>297</v>
      </c>
      <c r="K8" s="20" t="s">
        <v>297</v>
      </c>
      <c r="L8" s="20" t="s">
        <v>297</v>
      </c>
      <c r="M8" s="20" t="s">
        <v>297</v>
      </c>
      <c r="N8" s="20">
        <f t="shared" ref="N8:Q8" si="1">(N9-N12)/N9</f>
        <v>0.9536239796557695</v>
      </c>
      <c r="O8" s="20">
        <f t="shared" si="1"/>
        <v>0.9545092115209487</v>
      </c>
      <c r="P8" s="20">
        <f t="shared" si="1"/>
        <v>0.95505946506924999</v>
      </c>
      <c r="Q8" s="20">
        <f t="shared" si="1"/>
        <v>0.95498205260082369</v>
      </c>
    </row>
    <row r="9" spans="1:133" ht="46.8" x14ac:dyDescent="0.25">
      <c r="A9" s="17" t="s">
        <v>240</v>
      </c>
      <c r="B9" s="17" t="s">
        <v>24</v>
      </c>
      <c r="C9" s="17" t="s">
        <v>114</v>
      </c>
      <c r="D9" s="17" t="s">
        <v>384</v>
      </c>
      <c r="E9" s="121">
        <f>SUM(F9:Q9)</f>
        <v>6.6087664265489785</v>
      </c>
      <c r="F9" s="121" t="s">
        <v>297</v>
      </c>
      <c r="G9" s="121" t="s">
        <v>297</v>
      </c>
      <c r="H9" s="121" t="s">
        <v>297</v>
      </c>
      <c r="I9" s="121" t="s">
        <v>297</v>
      </c>
      <c r="J9" s="121" t="s">
        <v>297</v>
      </c>
      <c r="K9" s="121" t="s">
        <v>297</v>
      </c>
      <c r="L9" s="121" t="s">
        <v>297</v>
      </c>
      <c r="M9" s="121" t="s">
        <v>297</v>
      </c>
      <c r="N9" s="121">
        <f t="shared" ref="N9:Q9" si="2">N10*N11</f>
        <v>1.6503646542961545</v>
      </c>
      <c r="O9" s="121">
        <f t="shared" si="2"/>
        <v>1.6522225179904617</v>
      </c>
      <c r="P9" s="121">
        <f t="shared" si="2"/>
        <v>1.6529053110256469</v>
      </c>
      <c r="Q9" s="121">
        <f t="shared" si="2"/>
        <v>1.6532739432367161</v>
      </c>
    </row>
    <row r="10" spans="1:133" ht="65.400000000000006" customHeight="1" x14ac:dyDescent="0.25">
      <c r="A10" s="17" t="s">
        <v>115</v>
      </c>
      <c r="B10" s="17" t="s">
        <v>116</v>
      </c>
      <c r="C10" s="17" t="s">
        <v>239</v>
      </c>
      <c r="D10" s="17" t="s">
        <v>336</v>
      </c>
      <c r="E10" s="129">
        <f>SUM(N10:Q10)</f>
        <v>15512.384726881721</v>
      </c>
      <c r="F10" s="21" t="s">
        <v>297</v>
      </c>
      <c r="G10" s="21" t="s">
        <v>297</v>
      </c>
      <c r="H10" s="21" t="s">
        <v>297</v>
      </c>
      <c r="I10" s="21" t="s">
        <v>297</v>
      </c>
      <c r="J10" s="21" t="s">
        <v>297</v>
      </c>
      <c r="K10" s="21" t="s">
        <v>297</v>
      </c>
      <c r="L10" s="21" t="s">
        <v>297</v>
      </c>
      <c r="M10" s="21" t="s">
        <v>297</v>
      </c>
      <c r="N10" s="129">
        <f>'Baseline Emissions 2020'!N10</f>
        <v>3877.9935</v>
      </c>
      <c r="O10" s="129">
        <f>'Baseline Emissions 2020'!O10</f>
        <v>3877.6687096774199</v>
      </c>
      <c r="P10" s="129">
        <f>'Baseline Emissions 2020'!P10</f>
        <v>3878.3650333333298</v>
      </c>
      <c r="Q10" s="129">
        <f>'Baseline Emissions 2020'!Q10</f>
        <v>3878.3574838709701</v>
      </c>
    </row>
    <row r="11" spans="1:133" ht="46.8" x14ac:dyDescent="0.25">
      <c r="A11" s="17" t="s">
        <v>118</v>
      </c>
      <c r="B11" s="17" t="s">
        <v>119</v>
      </c>
      <c r="C11" s="17" t="s">
        <v>120</v>
      </c>
      <c r="D11" s="35" t="s">
        <v>338</v>
      </c>
      <c r="E11" s="120">
        <f>AVERAGE(N11:Q11)</f>
        <v>4.260316135925007E-4</v>
      </c>
      <c r="F11" s="23" t="str">
        <f>'Baseline Emissions 2020'!F14</f>
        <v>—</v>
      </c>
      <c r="G11" s="23" t="str">
        <f>'Baseline Emissions 2020'!G14</f>
        <v>—</v>
      </c>
      <c r="H11" s="23" t="str">
        <f>'Baseline Emissions 2020'!H14</f>
        <v>—</v>
      </c>
      <c r="I11" s="23" t="str">
        <f>'Baseline Emissions 2020'!I14</f>
        <v>—</v>
      </c>
      <c r="J11" s="23" t="str">
        <f>'Baseline Emissions 2020'!J14</f>
        <v>—</v>
      </c>
      <c r="K11" s="23" t="str">
        <f>'Baseline Emissions 2020'!K14</f>
        <v>—</v>
      </c>
      <c r="L11" s="23" t="str">
        <f>'Baseline Emissions 2020'!L14</f>
        <v>—</v>
      </c>
      <c r="M11" s="23" t="str">
        <f>'Baseline Emissions 2020'!M14</f>
        <v>—</v>
      </c>
      <c r="N11" s="130">
        <f>'Baseline Emissions 2020'!N14</f>
        <v>4.2557179487179503E-4</v>
      </c>
      <c r="O11" s="130">
        <f>'Baseline Emissions 2020'!O14</f>
        <v>4.2608655913978498E-4</v>
      </c>
      <c r="P11" s="130">
        <f>'Baseline Emissions 2020'!P14</f>
        <v>4.2618611111111114E-4</v>
      </c>
      <c r="Q11" s="130">
        <f>'Baseline Emissions 2020'!Q14</f>
        <v>4.2628198924731176E-4</v>
      </c>
    </row>
    <row r="12" spans="1:133" ht="46.8" x14ac:dyDescent="0.25">
      <c r="A12" s="17" t="s">
        <v>121</v>
      </c>
      <c r="B12" s="17" t="s">
        <v>24</v>
      </c>
      <c r="C12" s="17" t="s">
        <v>122</v>
      </c>
      <c r="D12" s="17" t="s">
        <v>384</v>
      </c>
      <c r="E12" s="20">
        <f>SUM(N12:Q12)</f>
        <v>0.30040769814969659</v>
      </c>
      <c r="F12" s="20" t="s">
        <v>297</v>
      </c>
      <c r="G12" s="20" t="s">
        <v>297</v>
      </c>
      <c r="H12" s="20" t="s">
        <v>297</v>
      </c>
      <c r="I12" s="20" t="s">
        <v>297</v>
      </c>
      <c r="J12" s="20" t="s">
        <v>297</v>
      </c>
      <c r="K12" s="20" t="s">
        <v>297</v>
      </c>
      <c r="L12" s="20" t="s">
        <v>297</v>
      </c>
      <c r="M12" s="20" t="s">
        <v>297</v>
      </c>
      <c r="N12" s="121">
        <f t="shared" ref="N12:Q12" si="3">SUM(N13*N14)</f>
        <v>7.6537344783037323E-2</v>
      </c>
      <c r="O12" s="121">
        <f t="shared" si="3"/>
        <v>7.5160905086229635E-2</v>
      </c>
      <c r="P12" s="121">
        <f t="shared" si="3"/>
        <v>7.4282448867370329E-2</v>
      </c>
      <c r="Q12" s="121">
        <f t="shared" si="3"/>
        <v>7.442699941305933E-2</v>
      </c>
    </row>
    <row r="13" spans="1:133" ht="62.4" x14ac:dyDescent="0.25">
      <c r="A13" s="17" t="s">
        <v>241</v>
      </c>
      <c r="B13" s="17" t="s">
        <v>116</v>
      </c>
      <c r="C13" s="17" t="s">
        <v>276</v>
      </c>
      <c r="D13" s="17" t="s">
        <v>337</v>
      </c>
      <c r="E13" s="129">
        <f>SUM(N13:Q13)</f>
        <v>15067.485104549216</v>
      </c>
      <c r="F13" s="21" t="s">
        <v>297</v>
      </c>
      <c r="G13" s="21" t="s">
        <v>297</v>
      </c>
      <c r="H13" s="21" t="s">
        <v>297</v>
      </c>
      <c r="I13" s="21" t="s">
        <v>297</v>
      </c>
      <c r="J13" s="21" t="s">
        <v>297</v>
      </c>
      <c r="K13" s="21" t="s">
        <v>297</v>
      </c>
      <c r="L13" s="21" t="s">
        <v>297</v>
      </c>
      <c r="M13" s="21" t="s">
        <v>297</v>
      </c>
      <c r="N13" s="121">
        <v>3767.3384615384616</v>
      </c>
      <c r="O13" s="121">
        <v>3767.362387096774</v>
      </c>
      <c r="P13" s="121">
        <v>3766.327933333333</v>
      </c>
      <c r="Q13" s="121">
        <v>3766.4563225806464</v>
      </c>
    </row>
    <row r="14" spans="1:133" ht="46.8" x14ac:dyDescent="0.25">
      <c r="A14" s="17" t="s">
        <v>125</v>
      </c>
      <c r="B14" s="17" t="s">
        <v>119</v>
      </c>
      <c r="C14" s="17" t="s">
        <v>126</v>
      </c>
      <c r="D14" s="35" t="s">
        <v>339</v>
      </c>
      <c r="E14" s="131">
        <f>AVERAGE(F14:Q14)</f>
        <v>1.9937456231044929E-5</v>
      </c>
      <c r="F14" s="24" t="str">
        <f>'Baseline Emissions 2020'!F15</f>
        <v>—</v>
      </c>
      <c r="G14" s="24" t="str">
        <f>'Baseline Emissions 2020'!G15</f>
        <v>—</v>
      </c>
      <c r="H14" s="24" t="str">
        <f>'Baseline Emissions 2020'!H15</f>
        <v>—</v>
      </c>
      <c r="I14" s="24" t="str">
        <f>'Baseline Emissions 2020'!I15</f>
        <v>—</v>
      </c>
      <c r="J14" s="24" t="str">
        <f>'Baseline Emissions 2020'!J15</f>
        <v>—</v>
      </c>
      <c r="K14" s="24" t="str">
        <f>'Baseline Emissions 2020'!K15</f>
        <v>—</v>
      </c>
      <c r="L14" s="24" t="str">
        <f>'Baseline Emissions 2020'!L15</f>
        <v>—</v>
      </c>
      <c r="M14" s="24" t="str">
        <f>'Baseline Emissions 2020'!M15</f>
        <v>—</v>
      </c>
      <c r="N14" s="131">
        <f>'Baseline Emissions 2020'!N15</f>
        <v>2.0316025641025602E-5</v>
      </c>
      <c r="O14" s="131">
        <f>'Baseline Emissions 2020'!O15</f>
        <v>1.9950537634408605E-5</v>
      </c>
      <c r="P14" s="131">
        <f>'Baseline Emissions 2020'!P15</f>
        <v>1.9722777777777769E-5</v>
      </c>
      <c r="Q14" s="131">
        <f>'Baseline Emissions 2020'!Q15</f>
        <v>1.9760483870967739E-5</v>
      </c>
    </row>
    <row r="15" spans="1:133" ht="31.2" x14ac:dyDescent="0.25">
      <c r="A15" s="17" t="s">
        <v>127</v>
      </c>
      <c r="B15" s="17" t="s">
        <v>128</v>
      </c>
      <c r="C15" s="17" t="s">
        <v>17</v>
      </c>
      <c r="D15" s="17" t="s">
        <v>129</v>
      </c>
      <c r="E15" s="176">
        <v>28</v>
      </c>
      <c r="F15" s="176"/>
      <c r="G15" s="176"/>
      <c r="H15" s="176"/>
      <c r="I15" s="176"/>
      <c r="J15" s="176"/>
      <c r="K15" s="176"/>
      <c r="L15" s="176"/>
      <c r="M15" s="176"/>
      <c r="N15" s="176"/>
      <c r="O15" s="176"/>
      <c r="P15" s="176"/>
      <c r="Q15" s="176"/>
    </row>
    <row r="16" spans="1:133" ht="64.8" x14ac:dyDescent="0.25">
      <c r="A16" s="17" t="s">
        <v>130</v>
      </c>
      <c r="B16" s="17" t="s">
        <v>19</v>
      </c>
      <c r="C16" s="17" t="s">
        <v>131</v>
      </c>
      <c r="D16" s="17" t="s">
        <v>394</v>
      </c>
      <c r="E16" s="176">
        <v>0.21</v>
      </c>
      <c r="F16" s="176"/>
      <c r="G16" s="176"/>
      <c r="H16" s="176"/>
      <c r="I16" s="176"/>
      <c r="J16" s="176"/>
      <c r="K16" s="176"/>
      <c r="L16" s="176"/>
      <c r="M16" s="176"/>
      <c r="N16" s="176"/>
      <c r="O16" s="176"/>
      <c r="P16" s="176"/>
      <c r="Q16" s="176"/>
    </row>
    <row r="17" spans="1:17" ht="46.8" x14ac:dyDescent="0.25">
      <c r="A17" s="17" t="s">
        <v>132</v>
      </c>
      <c r="B17" s="17" t="s">
        <v>103</v>
      </c>
      <c r="C17" s="17" t="s">
        <v>133</v>
      </c>
      <c r="D17" s="17" t="s">
        <v>385</v>
      </c>
      <c r="E17" s="19">
        <f>SUM(N17:Q17)</f>
        <v>0</v>
      </c>
      <c r="F17" s="19" t="s">
        <v>297</v>
      </c>
      <c r="G17" s="19" t="s">
        <v>297</v>
      </c>
      <c r="H17" s="19" t="s">
        <v>297</v>
      </c>
      <c r="I17" s="19" t="s">
        <v>297</v>
      </c>
      <c r="J17" s="19" t="s">
        <v>297</v>
      </c>
      <c r="K17" s="19" t="s">
        <v>297</v>
      </c>
      <c r="L17" s="19" t="s">
        <v>297</v>
      </c>
      <c r="M17" s="19" t="s">
        <v>297</v>
      </c>
      <c r="N17" s="19">
        <f t="shared" ref="N17:Q17" si="4">$E$15*$E$16*N18*N12*N5</f>
        <v>0</v>
      </c>
      <c r="O17" s="19">
        <f t="shared" si="4"/>
        <v>0</v>
      </c>
      <c r="P17" s="19">
        <f t="shared" si="4"/>
        <v>0</v>
      </c>
      <c r="Q17" s="19">
        <f t="shared" si="4"/>
        <v>0</v>
      </c>
    </row>
    <row r="18" spans="1:17" ht="18" x14ac:dyDescent="0.25">
      <c r="A18" s="17" t="s">
        <v>134</v>
      </c>
      <c r="B18" s="17" t="s">
        <v>37</v>
      </c>
      <c r="C18" s="17" t="s">
        <v>135</v>
      </c>
      <c r="D18" s="17" t="s">
        <v>386</v>
      </c>
      <c r="E18" s="26">
        <f>AVERAGE(F18:Q18)</f>
        <v>0</v>
      </c>
      <c r="F18" s="26" t="s">
        <v>297</v>
      </c>
      <c r="G18" s="26" t="s">
        <v>297</v>
      </c>
      <c r="H18" s="26" t="s">
        <v>297</v>
      </c>
      <c r="I18" s="26" t="s">
        <v>297</v>
      </c>
      <c r="J18" s="26" t="s">
        <v>297</v>
      </c>
      <c r="K18" s="26" t="s">
        <v>297</v>
      </c>
      <c r="L18" s="26" t="s">
        <v>297</v>
      </c>
      <c r="M18" s="26" t="s">
        <v>297</v>
      </c>
      <c r="N18" s="26">
        <f t="shared" ref="N18:Q18" si="5">N19*$E$20*0.89</f>
        <v>0</v>
      </c>
      <c r="O18" s="26">
        <f t="shared" si="5"/>
        <v>0</v>
      </c>
      <c r="P18" s="26">
        <f t="shared" si="5"/>
        <v>0</v>
      </c>
      <c r="Q18" s="26">
        <f t="shared" si="5"/>
        <v>0</v>
      </c>
    </row>
    <row r="19" spans="1:17" ht="31.2" x14ac:dyDescent="0.25">
      <c r="A19" s="17" t="s">
        <v>136</v>
      </c>
      <c r="B19" s="17" t="s">
        <v>37</v>
      </c>
      <c r="C19" s="17" t="s">
        <v>46</v>
      </c>
      <c r="D19" s="17" t="s">
        <v>387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  <c r="Q19" s="25">
        <v>0</v>
      </c>
    </row>
    <row r="20" spans="1:17" ht="31.2" x14ac:dyDescent="0.25">
      <c r="A20" s="17" t="s">
        <v>137</v>
      </c>
      <c r="B20" s="17" t="s">
        <v>217</v>
      </c>
      <c r="C20" s="17" t="s">
        <v>138</v>
      </c>
      <c r="D20" s="17" t="s">
        <v>388</v>
      </c>
      <c r="E20" s="196">
        <f>(N21*N26+O21*O26+P21*P26+Q21*Q26)/(N14*N13*N5+O13*O14*O5+P14*P13*P5+Q14*Q13*Q5)</f>
        <v>0.58594856631635139</v>
      </c>
      <c r="F20" s="196"/>
      <c r="G20" s="196"/>
      <c r="H20" s="196"/>
      <c r="I20" s="196"/>
      <c r="J20" s="196"/>
      <c r="K20" s="196"/>
      <c r="L20" s="196"/>
      <c r="M20" s="196"/>
      <c r="N20" s="196"/>
      <c r="O20" s="196"/>
      <c r="P20" s="196"/>
      <c r="Q20" s="196"/>
    </row>
    <row r="21" spans="1:17" ht="31.2" x14ac:dyDescent="0.25">
      <c r="A21" s="17" t="s">
        <v>139</v>
      </c>
      <c r="B21" s="17" t="s">
        <v>37</v>
      </c>
      <c r="C21" s="17" t="s">
        <v>140</v>
      </c>
      <c r="D21" s="17" t="s">
        <v>375</v>
      </c>
      <c r="E21" s="27">
        <f>AVERAGE(F21:Q21)</f>
        <v>0.59570807831091876</v>
      </c>
      <c r="F21" s="27" t="s">
        <v>297</v>
      </c>
      <c r="G21" s="27" t="s">
        <v>297</v>
      </c>
      <c r="H21" s="27" t="s">
        <v>297</v>
      </c>
      <c r="I21" s="27" t="s">
        <v>297</v>
      </c>
      <c r="J21" s="27" t="s">
        <v>297</v>
      </c>
      <c r="K21" s="27" t="s">
        <v>297</v>
      </c>
      <c r="L21" s="27" t="s">
        <v>297</v>
      </c>
      <c r="M21" s="27" t="s">
        <v>297</v>
      </c>
      <c r="N21" s="27">
        <f>IF(N25&lt;283,0,IF(N25&gt;303,1,EXP(($E$22*(N25-$E$23))/($E$24*$E$23*N25))))</f>
        <v>0.88152221926734242</v>
      </c>
      <c r="O21" s="27">
        <f t="shared" ref="O21:Q21" si="6">IF(O25&lt;283,0,IF(O25&gt;303,1,EXP(($E$22*(O25-$E$23))/($E$24*$E$23*O25))))</f>
        <v>0.62729263560178183</v>
      </c>
      <c r="P21" s="27">
        <f t="shared" si="6"/>
        <v>0.55084569341606926</v>
      </c>
      <c r="Q21" s="27">
        <f t="shared" si="6"/>
        <v>0.32317176495848171</v>
      </c>
    </row>
    <row r="22" spans="1:17" x14ac:dyDescent="0.25">
      <c r="A22" s="17" t="s">
        <v>51</v>
      </c>
      <c r="B22" s="17" t="s">
        <v>52</v>
      </c>
      <c r="C22" s="17" t="s">
        <v>53</v>
      </c>
      <c r="D22" s="17" t="s">
        <v>389</v>
      </c>
      <c r="E22" s="176">
        <v>15175</v>
      </c>
      <c r="F22" s="176"/>
      <c r="G22" s="176"/>
      <c r="H22" s="176"/>
      <c r="I22" s="176"/>
      <c r="J22" s="176"/>
      <c r="K22" s="176"/>
      <c r="L22" s="176"/>
      <c r="M22" s="176"/>
      <c r="N22" s="176"/>
      <c r="O22" s="176"/>
      <c r="P22" s="176"/>
      <c r="Q22" s="176"/>
    </row>
    <row r="23" spans="1:17" ht="18" x14ac:dyDescent="0.25">
      <c r="A23" s="17" t="s">
        <v>141</v>
      </c>
      <c r="B23" s="17" t="s">
        <v>55</v>
      </c>
      <c r="C23" s="17" t="s">
        <v>56</v>
      </c>
      <c r="D23" s="17" t="s">
        <v>389</v>
      </c>
      <c r="E23" s="176">
        <v>303.16000000000003</v>
      </c>
      <c r="F23" s="176"/>
      <c r="G23" s="176"/>
      <c r="H23" s="176"/>
      <c r="I23" s="176"/>
      <c r="J23" s="176"/>
      <c r="K23" s="176"/>
      <c r="L23" s="176"/>
      <c r="M23" s="176"/>
      <c r="N23" s="176"/>
      <c r="O23" s="176"/>
      <c r="P23" s="176"/>
      <c r="Q23" s="176"/>
    </row>
    <row r="24" spans="1:17" x14ac:dyDescent="0.25">
      <c r="A24" s="17" t="s">
        <v>57</v>
      </c>
      <c r="B24" s="17" t="s">
        <v>58</v>
      </c>
      <c r="C24" s="17" t="s">
        <v>59</v>
      </c>
      <c r="D24" s="17" t="s">
        <v>389</v>
      </c>
      <c r="E24" s="176">
        <v>1.9870000000000001</v>
      </c>
      <c r="F24" s="176"/>
      <c r="G24" s="176"/>
      <c r="H24" s="176"/>
      <c r="I24" s="176"/>
      <c r="J24" s="176"/>
      <c r="K24" s="176"/>
      <c r="L24" s="176"/>
      <c r="M24" s="176"/>
      <c r="N24" s="176"/>
      <c r="O24" s="176"/>
      <c r="P24" s="176"/>
      <c r="Q24" s="176"/>
    </row>
    <row r="25" spans="1:17" ht="18" x14ac:dyDescent="0.25">
      <c r="A25" s="17" t="s">
        <v>142</v>
      </c>
      <c r="B25" s="17" t="s">
        <v>55</v>
      </c>
      <c r="C25" s="17" t="s">
        <v>143</v>
      </c>
      <c r="D25" s="144" t="s">
        <v>363</v>
      </c>
      <c r="E25" s="28">
        <f>AVERAGE(F25:Q25)</f>
        <v>296.39999999999998</v>
      </c>
      <c r="F25" s="25" t="s">
        <v>297</v>
      </c>
      <c r="G25" s="25" t="s">
        <v>297</v>
      </c>
      <c r="H25" s="25" t="s">
        <v>297</v>
      </c>
      <c r="I25" s="25" t="s">
        <v>297</v>
      </c>
      <c r="J25" s="25" t="s">
        <v>297</v>
      </c>
      <c r="K25" s="25" t="s">
        <v>297</v>
      </c>
      <c r="L25" s="25" t="s">
        <v>297</v>
      </c>
      <c r="M25" s="25" t="s">
        <v>297</v>
      </c>
      <c r="N25" s="25">
        <v>301.64999999999998</v>
      </c>
      <c r="O25" s="25">
        <v>297.64999999999998</v>
      </c>
      <c r="P25" s="25">
        <v>296.14999999999998</v>
      </c>
      <c r="Q25" s="25">
        <v>290.14999999999998</v>
      </c>
    </row>
    <row r="26" spans="1:17" ht="46.8" x14ac:dyDescent="0.25">
      <c r="A26" s="17" t="s">
        <v>144</v>
      </c>
      <c r="B26" s="17" t="s">
        <v>24</v>
      </c>
      <c r="C26" s="17" t="s">
        <v>145</v>
      </c>
      <c r="D26" s="17" t="s">
        <v>390</v>
      </c>
      <c r="E26" s="29">
        <f>SUM(F26:Q26)</f>
        <v>8.8556694698580376</v>
      </c>
      <c r="F26" s="29" t="s">
        <v>297</v>
      </c>
      <c r="G26" s="29" t="s">
        <v>297</v>
      </c>
      <c r="H26" s="29" t="s">
        <v>297</v>
      </c>
      <c r="I26" s="29" t="s">
        <v>297</v>
      </c>
      <c r="J26" s="29" t="s">
        <v>297</v>
      </c>
      <c r="K26" s="29" t="s">
        <v>297</v>
      </c>
      <c r="L26" s="29" t="s">
        <v>297</v>
      </c>
      <c r="M26" s="29" t="s">
        <v>297</v>
      </c>
      <c r="N26" s="29">
        <f>N13*N14*'Project Emissions 2020'!N5+(1-N21)*0</f>
        <v>1.9899709643589705</v>
      </c>
      <c r="O26" s="29">
        <f>O13*O14*'Project Emissions 2020'!O5+(1-O21)*0</f>
        <v>2.3299880576731189</v>
      </c>
      <c r="P26" s="29">
        <f>P13*P14*'Project Emissions 2020'!P5+(1-P21)*0</f>
        <v>2.2284734660211099</v>
      </c>
      <c r="Q26" s="29">
        <f>Q13*Q14*'Project Emissions 2020'!Q5+(1-Q21)*0</f>
        <v>2.3072369818048393</v>
      </c>
    </row>
    <row r="27" spans="1:17" x14ac:dyDescent="0.3">
      <c r="A27" s="30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</row>
    <row r="28" spans="1:17" x14ac:dyDescent="0.25">
      <c r="A28" s="174" t="s">
        <v>146</v>
      </c>
      <c r="B28" s="174"/>
      <c r="C28" s="175"/>
      <c r="D28" s="175"/>
      <c r="E28" s="195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</row>
    <row r="29" spans="1:17" x14ac:dyDescent="0.25">
      <c r="A29" s="33" t="s">
        <v>8</v>
      </c>
      <c r="B29" s="33" t="s">
        <v>9</v>
      </c>
      <c r="C29" s="34" t="s">
        <v>10</v>
      </c>
      <c r="D29" s="34" t="s">
        <v>340</v>
      </c>
      <c r="E29" s="16" t="s">
        <v>65</v>
      </c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</row>
    <row r="30" spans="1:17" ht="46.8" x14ac:dyDescent="0.25">
      <c r="A30" s="15" t="s">
        <v>147</v>
      </c>
      <c r="B30" s="17" t="s">
        <v>95</v>
      </c>
      <c r="C30" s="35" t="s">
        <v>148</v>
      </c>
      <c r="D30" s="35" t="s">
        <v>68</v>
      </c>
      <c r="E30" s="16">
        <v>0</v>
      </c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</row>
    <row r="31" spans="1:17" x14ac:dyDescent="0.25">
      <c r="A31" s="36"/>
      <c r="B31" s="36"/>
      <c r="C31" s="37"/>
      <c r="D31" s="37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</row>
    <row r="32" spans="1:17" x14ac:dyDescent="0.25">
      <c r="A32" s="174" t="s">
        <v>149</v>
      </c>
      <c r="B32" s="174"/>
      <c r="C32" s="175"/>
      <c r="D32" s="175"/>
      <c r="E32" s="195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</row>
    <row r="33" spans="1:19" x14ac:dyDescent="0.25">
      <c r="A33" s="33" t="s">
        <v>8</v>
      </c>
      <c r="B33" s="33" t="s">
        <v>9</v>
      </c>
      <c r="C33" s="34" t="s">
        <v>10</v>
      </c>
      <c r="D33" s="34" t="s">
        <v>340</v>
      </c>
      <c r="E33" s="16" t="s">
        <v>65</v>
      </c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</row>
    <row r="34" spans="1:19" ht="46.8" x14ac:dyDescent="0.25">
      <c r="A34" s="15" t="s">
        <v>150</v>
      </c>
      <c r="B34" s="17" t="s">
        <v>95</v>
      </c>
      <c r="C34" s="35" t="s">
        <v>151</v>
      </c>
      <c r="D34" s="35" t="s">
        <v>68</v>
      </c>
      <c r="E34" s="16">
        <v>0</v>
      </c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</row>
    <row r="35" spans="1:19" x14ac:dyDescent="0.25"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</row>
    <row r="36" spans="1:19" x14ac:dyDescent="0.25">
      <c r="A36" s="174" t="s">
        <v>152</v>
      </c>
      <c r="B36" s="174"/>
      <c r="C36" s="175"/>
      <c r="D36" s="175"/>
      <c r="E36" s="195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</row>
    <row r="37" spans="1:19" s="10" customFormat="1" x14ac:dyDescent="0.25">
      <c r="A37" s="15" t="s">
        <v>8</v>
      </c>
      <c r="B37" s="15" t="s">
        <v>9</v>
      </c>
      <c r="C37" s="38" t="s">
        <v>10</v>
      </c>
      <c r="D37" s="38" t="s">
        <v>340</v>
      </c>
      <c r="E37" s="16" t="s">
        <v>65</v>
      </c>
      <c r="F37" s="32"/>
      <c r="G37" s="32"/>
      <c r="H37" s="39"/>
      <c r="I37" s="39"/>
      <c r="J37" s="39"/>
      <c r="K37" s="39"/>
      <c r="L37" s="39"/>
      <c r="M37" s="39"/>
      <c r="N37" s="39"/>
      <c r="O37" s="39"/>
      <c r="P37" s="39"/>
      <c r="Q37" s="39"/>
    </row>
    <row r="38" spans="1:19" s="10" customFormat="1" ht="18" x14ac:dyDescent="0.4">
      <c r="A38" s="40" t="s">
        <v>153</v>
      </c>
      <c r="B38" s="17" t="s">
        <v>103</v>
      </c>
      <c r="C38" s="35" t="s">
        <v>154</v>
      </c>
      <c r="D38" s="35" t="s">
        <v>155</v>
      </c>
      <c r="E38" s="41">
        <f>E39*E41*(1+E40)</f>
        <v>123.88038736799999</v>
      </c>
      <c r="F38" s="32"/>
      <c r="G38" s="32"/>
      <c r="H38" s="39"/>
      <c r="I38" s="39"/>
      <c r="J38" s="39"/>
      <c r="K38" s="39"/>
      <c r="L38" s="39"/>
      <c r="M38" s="39"/>
      <c r="N38" s="39"/>
      <c r="O38" s="39"/>
      <c r="P38" s="39"/>
      <c r="Q38" s="39"/>
    </row>
    <row r="39" spans="1:19" ht="31.2" x14ac:dyDescent="0.25">
      <c r="A39" s="17" t="s">
        <v>290</v>
      </c>
      <c r="B39" s="17" t="s">
        <v>291</v>
      </c>
      <c r="C39" s="35" t="s">
        <v>158</v>
      </c>
      <c r="D39" s="35" t="s">
        <v>343</v>
      </c>
      <c r="E39" s="20">
        <f>202876.4/1000</f>
        <v>202.87639999999999</v>
      </c>
      <c r="G39" s="42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9"/>
      <c r="S39" s="9"/>
    </row>
    <row r="40" spans="1:19" ht="31.2" x14ac:dyDescent="0.25">
      <c r="A40" s="17" t="s">
        <v>159</v>
      </c>
      <c r="B40" s="17" t="s">
        <v>160</v>
      </c>
      <c r="C40" s="35" t="s">
        <v>161</v>
      </c>
      <c r="D40" s="35" t="s">
        <v>162</v>
      </c>
      <c r="E40" s="44">
        <v>0.2</v>
      </c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9"/>
      <c r="S40" s="9"/>
    </row>
    <row r="41" spans="1:19" ht="46.8" x14ac:dyDescent="0.25">
      <c r="A41" s="17" t="s">
        <v>163</v>
      </c>
      <c r="B41" s="17" t="s">
        <v>164</v>
      </c>
      <c r="C41" s="35" t="s">
        <v>165</v>
      </c>
      <c r="D41" s="35" t="s">
        <v>166</v>
      </c>
      <c r="E41" s="45">
        <f>0.5*0.8042+0.5*0.2135</f>
        <v>0.50885000000000002</v>
      </c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</row>
    <row r="42" spans="1:19" ht="31.2" x14ac:dyDescent="0.4">
      <c r="A42" s="40" t="s">
        <v>167</v>
      </c>
      <c r="B42" s="17" t="s">
        <v>103</v>
      </c>
      <c r="C42" s="35" t="s">
        <v>168</v>
      </c>
      <c r="D42" s="35" t="s">
        <v>169</v>
      </c>
      <c r="E42" s="47">
        <v>0</v>
      </c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9"/>
      <c r="S42" s="9"/>
    </row>
    <row r="43" spans="1:19" x14ac:dyDescent="0.3">
      <c r="A43" s="48"/>
      <c r="E43" s="49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9"/>
      <c r="S43" s="9"/>
    </row>
    <row r="44" spans="1:19" x14ac:dyDescent="0.25">
      <c r="A44" s="174" t="s">
        <v>170</v>
      </c>
      <c r="B44" s="174"/>
      <c r="C44" s="175"/>
      <c r="D44" s="175"/>
      <c r="E44" s="195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</row>
    <row r="45" spans="1:19" x14ac:dyDescent="0.25">
      <c r="A45" s="15" t="s">
        <v>8</v>
      </c>
      <c r="B45" s="15" t="s">
        <v>9</v>
      </c>
      <c r="C45" s="38" t="s">
        <v>10</v>
      </c>
      <c r="D45" s="38" t="s">
        <v>340</v>
      </c>
      <c r="E45" s="16" t="s">
        <v>65</v>
      </c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9"/>
      <c r="S45" s="9"/>
    </row>
    <row r="46" spans="1:19" ht="33.6" x14ac:dyDescent="0.4">
      <c r="A46" s="40" t="s">
        <v>171</v>
      </c>
      <c r="B46" s="17" t="s">
        <v>74</v>
      </c>
      <c r="C46" s="35" t="s">
        <v>172</v>
      </c>
      <c r="D46" s="35" t="s">
        <v>391</v>
      </c>
      <c r="E46" s="50">
        <f>E47*E50*E51*E52*E53*E54</f>
        <v>0.31058702856417597</v>
      </c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9"/>
      <c r="S46" s="9"/>
    </row>
    <row r="47" spans="1:19" ht="46.8" x14ac:dyDescent="0.4">
      <c r="A47" s="51" t="s">
        <v>173</v>
      </c>
      <c r="B47" s="17" t="s">
        <v>76</v>
      </c>
      <c r="C47" s="35" t="s">
        <v>174</v>
      </c>
      <c r="D47" s="35" t="s">
        <v>392</v>
      </c>
      <c r="E47" s="69">
        <f>ROUNDUP(E48/E49,0)</f>
        <v>62</v>
      </c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9"/>
      <c r="S47" s="9"/>
    </row>
    <row r="48" spans="1:19" ht="62.4" x14ac:dyDescent="0.25">
      <c r="A48" s="17" t="s">
        <v>175</v>
      </c>
      <c r="B48" s="17" t="s">
        <v>78</v>
      </c>
      <c r="C48" s="35" t="s">
        <v>176</v>
      </c>
      <c r="D48" s="35" t="s">
        <v>346</v>
      </c>
      <c r="E48" s="52">
        <v>307.11</v>
      </c>
      <c r="G48" s="99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9"/>
      <c r="S48" s="9"/>
    </row>
    <row r="49" spans="1:19" ht="62.4" x14ac:dyDescent="0.25">
      <c r="A49" s="17" t="s">
        <v>177</v>
      </c>
      <c r="B49" s="17" t="s">
        <v>80</v>
      </c>
      <c r="C49" s="35" t="s">
        <v>81</v>
      </c>
      <c r="D49" s="35" t="s">
        <v>346</v>
      </c>
      <c r="E49" s="25">
        <f>5</f>
        <v>5</v>
      </c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9"/>
      <c r="S49" s="9"/>
    </row>
    <row r="50" spans="1:19" ht="222.6" customHeight="1" x14ac:dyDescent="0.25">
      <c r="A50" s="17" t="s">
        <v>178</v>
      </c>
      <c r="B50" s="17" t="s">
        <v>82</v>
      </c>
      <c r="C50" s="35" t="s">
        <v>179</v>
      </c>
      <c r="D50" s="35" t="s">
        <v>367</v>
      </c>
      <c r="E50" s="25">
        <f>7.4</f>
        <v>7.4</v>
      </c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9"/>
      <c r="S50" s="9"/>
    </row>
    <row r="51" spans="1:19" ht="157.19999999999999" x14ac:dyDescent="0.25">
      <c r="A51" s="17" t="s">
        <v>180</v>
      </c>
      <c r="B51" s="17" t="s">
        <v>84</v>
      </c>
      <c r="C51" s="35" t="s">
        <v>85</v>
      </c>
      <c r="D51" s="35" t="s">
        <v>366</v>
      </c>
      <c r="E51" s="25">
        <f>25.1/100</f>
        <v>0.251</v>
      </c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9"/>
      <c r="S51" s="9"/>
    </row>
    <row r="52" spans="1:19" ht="62.4" x14ac:dyDescent="0.25">
      <c r="A52" s="17" t="s">
        <v>86</v>
      </c>
      <c r="B52" s="17" t="s">
        <v>87</v>
      </c>
      <c r="C52" s="35" t="s">
        <v>86</v>
      </c>
      <c r="D52" s="35" t="s">
        <v>215</v>
      </c>
      <c r="E52" s="25">
        <f>0.84/1000</f>
        <v>8.3999999999999993E-4</v>
      </c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9"/>
      <c r="S52" s="9"/>
    </row>
    <row r="53" spans="1:19" ht="124.8" x14ac:dyDescent="0.25">
      <c r="A53" s="17" t="s">
        <v>181</v>
      </c>
      <c r="B53" s="17" t="s">
        <v>88</v>
      </c>
      <c r="C53" s="35" t="s">
        <v>89</v>
      </c>
      <c r="D53" s="35" t="s">
        <v>360</v>
      </c>
      <c r="E53" s="25">
        <f>43.33/1000</f>
        <v>4.333E-2</v>
      </c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9"/>
      <c r="S53" s="9"/>
    </row>
    <row r="54" spans="1:19" ht="33.6" x14ac:dyDescent="0.25">
      <c r="A54" s="17" t="s">
        <v>182</v>
      </c>
      <c r="B54" s="17" t="s">
        <v>90</v>
      </c>
      <c r="C54" s="35" t="s">
        <v>91</v>
      </c>
      <c r="D54" s="35" t="s">
        <v>92</v>
      </c>
      <c r="E54" s="25">
        <v>74.099999999999994</v>
      </c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9"/>
      <c r="S54" s="9"/>
    </row>
    <row r="56" spans="1:19" x14ac:dyDescent="0.25">
      <c r="A56" s="33" t="s">
        <v>8</v>
      </c>
      <c r="B56" s="33" t="s">
        <v>9</v>
      </c>
      <c r="C56" s="34" t="s">
        <v>10</v>
      </c>
      <c r="D56" s="34" t="s">
        <v>340</v>
      </c>
      <c r="E56" s="16" t="s">
        <v>65</v>
      </c>
    </row>
    <row r="57" spans="1:19" ht="18" x14ac:dyDescent="0.25">
      <c r="A57" s="15" t="s">
        <v>183</v>
      </c>
      <c r="B57" s="17" t="s">
        <v>103</v>
      </c>
      <c r="C57" s="35" t="s">
        <v>184</v>
      </c>
      <c r="D57" s="53" t="s">
        <v>393</v>
      </c>
      <c r="E57" s="18">
        <f>ROUNDUP(E6+E30+E34+E38+E46,0)</f>
        <v>125</v>
      </c>
    </row>
    <row r="58" spans="1:19" s="213" customFormat="1" ht="36" customHeight="1" x14ac:dyDescent="0.25">
      <c r="A58" s="213" t="s">
        <v>237</v>
      </c>
    </row>
    <row r="59" spans="1:19" ht="23.4" customHeight="1" x14ac:dyDescent="0.25">
      <c r="A59" s="201" t="s">
        <v>105</v>
      </c>
      <c r="B59" s="201"/>
      <c r="C59" s="201"/>
      <c r="D59" s="201"/>
      <c r="E59" s="201"/>
      <c r="F59" s="201"/>
      <c r="G59" s="201"/>
      <c r="H59" s="201"/>
      <c r="I59" s="201"/>
      <c r="J59" s="201"/>
      <c r="K59" s="201"/>
      <c r="L59" s="201"/>
      <c r="M59" s="201"/>
      <c r="N59" s="201"/>
      <c r="O59" s="201"/>
      <c r="P59" s="201"/>
      <c r="Q59" s="202"/>
    </row>
    <row r="60" spans="1:19" s="10" customFormat="1" ht="31.2" x14ac:dyDescent="0.25">
      <c r="A60" s="15" t="s">
        <v>8</v>
      </c>
      <c r="B60" s="15" t="s">
        <v>9</v>
      </c>
      <c r="C60" s="15" t="s">
        <v>10</v>
      </c>
      <c r="D60" s="15" t="s">
        <v>340</v>
      </c>
      <c r="E60" s="16" t="s">
        <v>11</v>
      </c>
      <c r="F60" s="16" t="s">
        <v>292</v>
      </c>
      <c r="G60" s="16" t="s">
        <v>292</v>
      </c>
      <c r="H60" s="16" t="s">
        <v>292</v>
      </c>
      <c r="I60" s="16" t="s">
        <v>292</v>
      </c>
      <c r="J60" s="16" t="s">
        <v>292</v>
      </c>
      <c r="K60" s="16" t="s">
        <v>292</v>
      </c>
      <c r="L60" s="16" t="s">
        <v>292</v>
      </c>
      <c r="M60" s="16" t="s">
        <v>292</v>
      </c>
      <c r="N60" s="16" t="s">
        <v>299</v>
      </c>
      <c r="O60" s="16" t="s">
        <v>293</v>
      </c>
      <c r="P60" s="16" t="s">
        <v>294</v>
      </c>
      <c r="Q60" s="16" t="s">
        <v>295</v>
      </c>
      <c r="R60" s="54"/>
      <c r="S60" s="54"/>
    </row>
    <row r="61" spans="1:19" s="10" customFormat="1" x14ac:dyDescent="0.25">
      <c r="A61" s="203" t="s">
        <v>106</v>
      </c>
      <c r="B61" s="203"/>
      <c r="C61" s="203"/>
      <c r="D61" s="203"/>
      <c r="E61" s="204"/>
      <c r="F61" s="16" t="s">
        <v>297</v>
      </c>
      <c r="G61" s="16" t="s">
        <v>297</v>
      </c>
      <c r="H61" s="16" t="s">
        <v>297</v>
      </c>
      <c r="I61" s="16" t="s">
        <v>297</v>
      </c>
      <c r="J61" s="16" t="s">
        <v>297</v>
      </c>
      <c r="K61" s="16" t="s">
        <v>297</v>
      </c>
      <c r="L61" s="16" t="s">
        <v>297</v>
      </c>
      <c r="M61" s="16" t="s">
        <v>297</v>
      </c>
      <c r="N61" s="16">
        <v>23</v>
      </c>
      <c r="O61" s="16">
        <v>31</v>
      </c>
      <c r="P61" s="16">
        <v>30</v>
      </c>
      <c r="Q61" s="16">
        <v>31</v>
      </c>
      <c r="R61" s="54"/>
      <c r="S61" s="54"/>
    </row>
    <row r="62" spans="1:19" s="10" customFormat="1" ht="31.2" x14ac:dyDescent="0.25">
      <c r="A62" s="15" t="s">
        <v>107</v>
      </c>
      <c r="B62" s="17" t="s">
        <v>103</v>
      </c>
      <c r="C62" s="17" t="s">
        <v>108</v>
      </c>
      <c r="D62" s="17" t="s">
        <v>381</v>
      </c>
      <c r="E62" s="18">
        <f>E63+E73</f>
        <v>0</v>
      </c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54"/>
      <c r="S62" s="54"/>
    </row>
    <row r="63" spans="1:19" ht="46.8" x14ac:dyDescent="0.25">
      <c r="A63" s="17" t="s">
        <v>109</v>
      </c>
      <c r="B63" s="17" t="s">
        <v>103</v>
      </c>
      <c r="C63" s="17" t="s">
        <v>110</v>
      </c>
      <c r="D63" s="17" t="s">
        <v>382</v>
      </c>
      <c r="E63" s="19">
        <f>SUM(F63:Q63)</f>
        <v>0</v>
      </c>
      <c r="F63" s="19" t="s">
        <v>297</v>
      </c>
      <c r="G63" s="19" t="s">
        <v>297</v>
      </c>
      <c r="H63" s="19" t="s">
        <v>297</v>
      </c>
      <c r="I63" s="19" t="s">
        <v>297</v>
      </c>
      <c r="J63" s="19" t="s">
        <v>297</v>
      </c>
      <c r="K63" s="19" t="s">
        <v>297</v>
      </c>
      <c r="L63" s="19" t="s">
        <v>297</v>
      </c>
      <c r="M63" s="19" t="s">
        <v>297</v>
      </c>
      <c r="N63" s="19">
        <f t="shared" ref="N63:Q63" si="7">IF(N64&gt;=0.8,0,$E$15*$E$16*0.4*(N65-N68)*N61)</f>
        <v>0</v>
      </c>
      <c r="O63" s="19">
        <f t="shared" si="7"/>
        <v>0</v>
      </c>
      <c r="P63" s="19">
        <f t="shared" si="7"/>
        <v>0</v>
      </c>
      <c r="Q63" s="19">
        <f t="shared" si="7"/>
        <v>0</v>
      </c>
    </row>
    <row r="64" spans="1:19" ht="62.4" x14ac:dyDescent="0.25">
      <c r="A64" s="17" t="s">
        <v>111</v>
      </c>
      <c r="B64" s="17" t="s">
        <v>37</v>
      </c>
      <c r="C64" s="17" t="s">
        <v>112</v>
      </c>
      <c r="D64" s="17" t="s">
        <v>383</v>
      </c>
      <c r="E64" s="20">
        <f>AVERAGE(F64:Q64)</f>
        <v>0.95325689207740638</v>
      </c>
      <c r="F64" s="20" t="s">
        <v>297</v>
      </c>
      <c r="G64" s="20" t="s">
        <v>297</v>
      </c>
      <c r="H64" s="20" t="s">
        <v>297</v>
      </c>
      <c r="I64" s="20" t="s">
        <v>297</v>
      </c>
      <c r="J64" s="20" t="s">
        <v>297</v>
      </c>
      <c r="K64" s="20" t="s">
        <v>297</v>
      </c>
      <c r="L64" s="20" t="s">
        <v>297</v>
      </c>
      <c r="M64" s="20" t="s">
        <v>297</v>
      </c>
      <c r="N64" s="20">
        <f t="shared" ref="N64:Q64" si="8">(N65-N68)/N65</f>
        <v>0.95304389844393622</v>
      </c>
      <c r="O64" s="20">
        <f t="shared" si="8"/>
        <v>0.95388527758192276</v>
      </c>
      <c r="P64" s="20">
        <f t="shared" si="8"/>
        <v>0.95256679667053801</v>
      </c>
      <c r="Q64" s="20">
        <f t="shared" si="8"/>
        <v>0.95353159561322853</v>
      </c>
    </row>
    <row r="65" spans="1:17" ht="46.8" x14ac:dyDescent="0.25">
      <c r="A65" s="17" t="s">
        <v>113</v>
      </c>
      <c r="B65" s="17" t="s">
        <v>24</v>
      </c>
      <c r="C65" s="17" t="s">
        <v>114</v>
      </c>
      <c r="D65" s="17" t="s">
        <v>384</v>
      </c>
      <c r="E65" s="20">
        <f>SUM(F65:Q65)</f>
        <v>10.268636232362045</v>
      </c>
      <c r="F65" s="20" t="s">
        <v>297</v>
      </c>
      <c r="G65" s="20" t="s">
        <v>297</v>
      </c>
      <c r="H65" s="20" t="s">
        <v>297</v>
      </c>
      <c r="I65" s="20" t="s">
        <v>297</v>
      </c>
      <c r="J65" s="20" t="s">
        <v>297</v>
      </c>
      <c r="K65" s="20" t="s">
        <v>297</v>
      </c>
      <c r="L65" s="20" t="s">
        <v>297</v>
      </c>
      <c r="M65" s="20" t="s">
        <v>297</v>
      </c>
      <c r="N65" s="20">
        <f t="shared" ref="N65:Q65" si="9">N66*N67</f>
        <v>2.7343202332394139</v>
      </c>
      <c r="O65" s="20">
        <f t="shared" si="9"/>
        <v>2.7370900083213341</v>
      </c>
      <c r="P65" s="20">
        <f t="shared" si="9"/>
        <v>2.4001381465075933</v>
      </c>
      <c r="Q65" s="20">
        <f t="shared" si="9"/>
        <v>2.3970878442937043</v>
      </c>
    </row>
    <row r="66" spans="1:17" ht="63" customHeight="1" x14ac:dyDescent="0.25">
      <c r="A66" s="17" t="s">
        <v>115</v>
      </c>
      <c r="B66" s="17" t="s">
        <v>116</v>
      </c>
      <c r="C66" s="17" t="s">
        <v>117</v>
      </c>
      <c r="D66" s="17" t="s">
        <v>336</v>
      </c>
      <c r="E66" s="129">
        <f>SUM(N66:Q66)</f>
        <v>21925.769151098648</v>
      </c>
      <c r="F66" s="21" t="s">
        <v>297</v>
      </c>
      <c r="G66" s="21" t="s">
        <v>297</v>
      </c>
      <c r="H66" s="21" t="s">
        <v>297</v>
      </c>
      <c r="I66" s="21" t="s">
        <v>297</v>
      </c>
      <c r="J66" s="21" t="s">
        <v>297</v>
      </c>
      <c r="K66" s="21" t="s">
        <v>297</v>
      </c>
      <c r="L66" s="21" t="s">
        <v>297</v>
      </c>
      <c r="M66" s="21" t="s">
        <v>297</v>
      </c>
      <c r="N66" s="129">
        <f>'Baseline Emissions 2020'!N65</f>
        <v>5841.1446521739135</v>
      </c>
      <c r="O66" s="129">
        <f>'Baseline Emissions 2020'!O65</f>
        <v>5841.3429677419363</v>
      </c>
      <c r="P66" s="129">
        <f>'Baseline Emissions 2020'!P65</f>
        <v>5122.3284666666677</v>
      </c>
      <c r="Q66" s="129">
        <f>'Baseline Emissions 2020'!Q65</f>
        <v>5120.9530645161285</v>
      </c>
    </row>
    <row r="67" spans="1:17" ht="46.8" x14ac:dyDescent="0.25">
      <c r="A67" s="17" t="s">
        <v>118</v>
      </c>
      <c r="B67" s="17" t="s">
        <v>119</v>
      </c>
      <c r="C67" s="17" t="s">
        <v>120</v>
      </c>
      <c r="D67" s="35" t="s">
        <v>338</v>
      </c>
      <c r="E67" s="120">
        <f>AVERAGE(N67:Q67)</f>
        <v>4.6833594650927228E-4</v>
      </c>
      <c r="F67" s="130" t="str">
        <f>'Baseline Emissions 2020'!F69</f>
        <v>—</v>
      </c>
      <c r="G67" s="130" t="str">
        <f>'Baseline Emissions 2020'!G69</f>
        <v>—</v>
      </c>
      <c r="H67" s="130" t="str">
        <f>'Baseline Emissions 2020'!H69</f>
        <v>—</v>
      </c>
      <c r="I67" s="130" t="str">
        <f>'Baseline Emissions 2020'!I69</f>
        <v>—</v>
      </c>
      <c r="J67" s="130" t="str">
        <f>'Baseline Emissions 2020'!J69</f>
        <v>—</v>
      </c>
      <c r="K67" s="130" t="str">
        <f>'Baseline Emissions 2020'!K69</f>
        <v>—</v>
      </c>
      <c r="L67" s="130" t="str">
        <f>'Baseline Emissions 2020'!L69</f>
        <v>—</v>
      </c>
      <c r="M67" s="130" t="str">
        <f>'Baseline Emissions 2020'!M69</f>
        <v>—</v>
      </c>
      <c r="N67" s="130">
        <f>'Baseline Emissions 2020'!N69</f>
        <v>4.6811376811594198E-4</v>
      </c>
      <c r="O67" s="130">
        <f>'Baseline Emissions 2020'!O69</f>
        <v>4.68572043010753E-4</v>
      </c>
      <c r="P67" s="130">
        <f>'Baseline Emissions 2020'!P69</f>
        <v>4.6856388888888895E-4</v>
      </c>
      <c r="Q67" s="130">
        <f>'Baseline Emissions 2020'!Q69</f>
        <v>4.6809408602150541E-4</v>
      </c>
    </row>
    <row r="68" spans="1:17" ht="46.8" x14ac:dyDescent="0.25">
      <c r="A68" s="17" t="s">
        <v>121</v>
      </c>
      <c r="B68" s="17" t="s">
        <v>24</v>
      </c>
      <c r="C68" s="17" t="s">
        <v>122</v>
      </c>
      <c r="D68" s="17" t="s">
        <v>384</v>
      </c>
      <c r="E68" s="20">
        <f>SUM(F68:Q68)</f>
        <v>0.47984825254716784</v>
      </c>
      <c r="F68" s="20" t="s">
        <v>297</v>
      </c>
      <c r="G68" s="20" t="s">
        <v>297</v>
      </c>
      <c r="H68" s="20" t="s">
        <v>297</v>
      </c>
      <c r="I68" s="20" t="s">
        <v>297</v>
      </c>
      <c r="J68" s="20" t="s">
        <v>297</v>
      </c>
      <c r="K68" s="20" t="s">
        <v>297</v>
      </c>
      <c r="L68" s="20" t="s">
        <v>297</v>
      </c>
      <c r="M68" s="20" t="s">
        <v>297</v>
      </c>
      <c r="N68" s="20">
        <f t="shared" ref="N68:Q68" si="10">SUM(N69*N70)</f>
        <v>0.12839301855879015</v>
      </c>
      <c r="O68" s="20">
        <f t="shared" si="10"/>
        <v>0.12622014596703085</v>
      </c>
      <c r="P68" s="20">
        <f t="shared" si="10"/>
        <v>0.11384624072209261</v>
      </c>
      <c r="Q68" s="20">
        <f t="shared" si="10"/>
        <v>0.11138884729925426</v>
      </c>
    </row>
    <row r="69" spans="1:17" ht="62.4" x14ac:dyDescent="0.25">
      <c r="A69" s="17" t="s">
        <v>123</v>
      </c>
      <c r="B69" s="17" t="s">
        <v>116</v>
      </c>
      <c r="C69" s="17" t="s">
        <v>124</v>
      </c>
      <c r="D69" s="17" t="s">
        <v>337</v>
      </c>
      <c r="E69" s="129">
        <f>SUM(F69:Q69)</f>
        <v>21389.424538055166</v>
      </c>
      <c r="F69" s="129" t="s">
        <v>297</v>
      </c>
      <c r="G69" s="129" t="s">
        <v>297</v>
      </c>
      <c r="H69" s="129" t="s">
        <v>297</v>
      </c>
      <c r="I69" s="129" t="s">
        <v>297</v>
      </c>
      <c r="J69" s="129" t="s">
        <v>297</v>
      </c>
      <c r="K69" s="129" t="s">
        <v>297</v>
      </c>
      <c r="L69" s="129" t="s">
        <v>297</v>
      </c>
      <c r="M69" s="129" t="s">
        <v>297</v>
      </c>
      <c r="N69" s="129">
        <v>5683.2937391304349</v>
      </c>
      <c r="O69" s="129">
        <v>5683.5963225806445</v>
      </c>
      <c r="P69" s="129">
        <v>5011.4507666666668</v>
      </c>
      <c r="Q69" s="129">
        <v>5011.0837096774203</v>
      </c>
    </row>
    <row r="70" spans="1:17" ht="46.8" x14ac:dyDescent="0.25">
      <c r="A70" s="17" t="s">
        <v>125</v>
      </c>
      <c r="B70" s="17" t="s">
        <v>119</v>
      </c>
      <c r="C70" s="17" t="s">
        <v>126</v>
      </c>
      <c r="D70" s="35" t="s">
        <v>339</v>
      </c>
      <c r="E70" s="131">
        <f>AVERAGE(F70:Q70)</f>
        <v>2.2436204223157235E-5</v>
      </c>
      <c r="F70" s="131" t="str">
        <f>'Baseline Emissions 2020'!F70</f>
        <v>—</v>
      </c>
      <c r="G70" s="131" t="str">
        <f>'Baseline Emissions 2020'!G70</f>
        <v>—</v>
      </c>
      <c r="H70" s="131" t="str">
        <f>'Baseline Emissions 2020'!H70</f>
        <v>—</v>
      </c>
      <c r="I70" s="131" t="str">
        <f>'Baseline Emissions 2020'!I70</f>
        <v>—</v>
      </c>
      <c r="J70" s="131" t="str">
        <f>'Baseline Emissions 2020'!J70</f>
        <v>—</v>
      </c>
      <c r="K70" s="131" t="str">
        <f>'Baseline Emissions 2020'!K70</f>
        <v>—</v>
      </c>
      <c r="L70" s="131" t="str">
        <f>'Baseline Emissions 2020'!L70</f>
        <v>—</v>
      </c>
      <c r="M70" s="131" t="str">
        <f>'Baseline Emissions 2020'!M70</f>
        <v>—</v>
      </c>
      <c r="N70" s="131">
        <f>'Baseline Emissions 2020'!N70</f>
        <v>2.2591304347826083E-5</v>
      </c>
      <c r="O70" s="131">
        <f>'Baseline Emissions 2020'!O70</f>
        <v>2.2207795698924731E-5</v>
      </c>
      <c r="P70" s="131">
        <f>'Baseline Emissions 2020'!P70</f>
        <v>2.2717222222222224E-5</v>
      </c>
      <c r="Q70" s="131">
        <f>'Baseline Emissions 2020'!Q70</f>
        <v>2.2228494623655911E-5</v>
      </c>
    </row>
    <row r="71" spans="1:17" ht="31.2" x14ac:dyDescent="0.25">
      <c r="A71" s="17" t="s">
        <v>127</v>
      </c>
      <c r="B71" s="17" t="s">
        <v>128</v>
      </c>
      <c r="C71" s="17" t="s">
        <v>17</v>
      </c>
      <c r="D71" s="17" t="s">
        <v>129</v>
      </c>
      <c r="E71" s="176">
        <v>28</v>
      </c>
      <c r="F71" s="176"/>
      <c r="G71" s="176"/>
      <c r="H71" s="176"/>
      <c r="I71" s="176"/>
      <c r="J71" s="176"/>
      <c r="K71" s="176"/>
      <c r="L71" s="176"/>
      <c r="M71" s="176"/>
      <c r="N71" s="176"/>
      <c r="O71" s="176"/>
      <c r="P71" s="176"/>
      <c r="Q71" s="176"/>
    </row>
    <row r="72" spans="1:17" ht="64.8" x14ac:dyDescent="0.25">
      <c r="A72" s="17" t="s">
        <v>130</v>
      </c>
      <c r="B72" s="17" t="s">
        <v>19</v>
      </c>
      <c r="C72" s="17" t="s">
        <v>131</v>
      </c>
      <c r="D72" s="17" t="s">
        <v>394</v>
      </c>
      <c r="E72" s="176">
        <v>0.21</v>
      </c>
      <c r="F72" s="176"/>
      <c r="G72" s="176"/>
      <c r="H72" s="176"/>
      <c r="I72" s="176"/>
      <c r="J72" s="176"/>
      <c r="K72" s="176"/>
      <c r="L72" s="176"/>
      <c r="M72" s="176"/>
      <c r="N72" s="176"/>
      <c r="O72" s="176"/>
      <c r="P72" s="176"/>
      <c r="Q72" s="176"/>
    </row>
    <row r="73" spans="1:17" ht="46.8" x14ac:dyDescent="0.25">
      <c r="A73" s="17" t="s">
        <v>132</v>
      </c>
      <c r="B73" s="17" t="s">
        <v>103</v>
      </c>
      <c r="C73" s="17" t="s">
        <v>133</v>
      </c>
      <c r="D73" s="17" t="s">
        <v>385</v>
      </c>
      <c r="E73" s="19">
        <f>SUM(N73:Q73)</f>
        <v>0</v>
      </c>
      <c r="F73" s="19" t="s">
        <v>297</v>
      </c>
      <c r="G73" s="19" t="s">
        <v>297</v>
      </c>
      <c r="H73" s="19" t="s">
        <v>297</v>
      </c>
      <c r="I73" s="19" t="s">
        <v>297</v>
      </c>
      <c r="J73" s="19" t="s">
        <v>297</v>
      </c>
      <c r="K73" s="19" t="s">
        <v>297</v>
      </c>
      <c r="L73" s="19" t="s">
        <v>297</v>
      </c>
      <c r="M73" s="19" t="s">
        <v>297</v>
      </c>
      <c r="N73" s="19">
        <f t="shared" ref="N73:Q73" si="11">$E$15*$E$16*N74*N68*N61</f>
        <v>0</v>
      </c>
      <c r="O73" s="19">
        <f t="shared" si="11"/>
        <v>0</v>
      </c>
      <c r="P73" s="19">
        <f t="shared" si="11"/>
        <v>0</v>
      </c>
      <c r="Q73" s="19">
        <f t="shared" si="11"/>
        <v>0</v>
      </c>
    </row>
    <row r="74" spans="1:17" ht="18" x14ac:dyDescent="0.25">
      <c r="A74" s="17" t="s">
        <v>134</v>
      </c>
      <c r="B74" s="17" t="s">
        <v>37</v>
      </c>
      <c r="C74" s="17" t="s">
        <v>135</v>
      </c>
      <c r="D74" s="17" t="s">
        <v>386</v>
      </c>
      <c r="E74" s="26">
        <f>AVERAGE(N74:Q74)</f>
        <v>0</v>
      </c>
      <c r="F74" s="26" t="s">
        <v>297</v>
      </c>
      <c r="G74" s="26" t="s">
        <v>297</v>
      </c>
      <c r="H74" s="26" t="s">
        <v>297</v>
      </c>
      <c r="I74" s="26" t="s">
        <v>297</v>
      </c>
      <c r="J74" s="26" t="s">
        <v>297</v>
      </c>
      <c r="K74" s="26" t="s">
        <v>297</v>
      </c>
      <c r="L74" s="26" t="s">
        <v>297</v>
      </c>
      <c r="M74" s="26" t="s">
        <v>297</v>
      </c>
      <c r="N74" s="26">
        <f>N75*$E$76*0.89</f>
        <v>0</v>
      </c>
      <c r="O74" s="26">
        <f t="shared" ref="O74:Q74" si="12">O75*$E$76*0.89</f>
        <v>0</v>
      </c>
      <c r="P74" s="26">
        <f t="shared" si="12"/>
        <v>0</v>
      </c>
      <c r="Q74" s="26">
        <f t="shared" si="12"/>
        <v>0</v>
      </c>
    </row>
    <row r="75" spans="1:17" ht="31.2" x14ac:dyDescent="0.25">
      <c r="A75" s="17" t="s">
        <v>136</v>
      </c>
      <c r="B75" s="17" t="s">
        <v>37</v>
      </c>
      <c r="C75" s="17" t="s">
        <v>46</v>
      </c>
      <c r="D75" s="17" t="s">
        <v>387</v>
      </c>
      <c r="E75" s="25">
        <v>0</v>
      </c>
      <c r="F75" s="25" t="s">
        <v>297</v>
      </c>
      <c r="G75" s="25" t="s">
        <v>297</v>
      </c>
      <c r="H75" s="25" t="s">
        <v>297</v>
      </c>
      <c r="I75" s="25" t="s">
        <v>297</v>
      </c>
      <c r="J75" s="25" t="s">
        <v>297</v>
      </c>
      <c r="K75" s="25" t="s">
        <v>297</v>
      </c>
      <c r="L75" s="25" t="s">
        <v>297</v>
      </c>
      <c r="M75" s="25" t="s">
        <v>297</v>
      </c>
      <c r="N75" s="25">
        <v>0</v>
      </c>
      <c r="O75" s="25">
        <v>0</v>
      </c>
      <c r="P75" s="25">
        <v>0</v>
      </c>
      <c r="Q75" s="25">
        <v>0</v>
      </c>
    </row>
    <row r="76" spans="1:17" ht="31.2" x14ac:dyDescent="0.25">
      <c r="A76" s="17" t="s">
        <v>137</v>
      </c>
      <c r="B76" s="17" t="s">
        <v>201</v>
      </c>
      <c r="C76" s="17" t="s">
        <v>138</v>
      </c>
      <c r="D76" s="17" t="s">
        <v>388</v>
      </c>
      <c r="E76" s="196">
        <f>(N77*N82+O77*O82+P77*P82+Q77*Q82)/(N70*N69*N61+O69*O70*O61+P70*P69*P61+Q70*Q69*Q61)</f>
        <v>0.60151960773452351</v>
      </c>
      <c r="F76" s="196"/>
      <c r="G76" s="196"/>
      <c r="H76" s="196"/>
      <c r="I76" s="196"/>
      <c r="J76" s="196"/>
      <c r="K76" s="196"/>
      <c r="L76" s="196"/>
      <c r="M76" s="196"/>
      <c r="N76" s="196"/>
      <c r="O76" s="196"/>
      <c r="P76" s="196"/>
      <c r="Q76" s="196"/>
    </row>
    <row r="77" spans="1:17" ht="31.2" x14ac:dyDescent="0.25">
      <c r="A77" s="17" t="s">
        <v>139</v>
      </c>
      <c r="B77" s="17" t="s">
        <v>37</v>
      </c>
      <c r="C77" s="17" t="s">
        <v>140</v>
      </c>
      <c r="D77" s="17" t="s">
        <v>375</v>
      </c>
      <c r="E77" s="27">
        <f>AVERAGE(N77:Q77)</f>
        <v>0.59570807831091876</v>
      </c>
      <c r="F77" s="27" t="s">
        <v>297</v>
      </c>
      <c r="G77" s="27" t="s">
        <v>297</v>
      </c>
      <c r="H77" s="27" t="s">
        <v>297</v>
      </c>
      <c r="I77" s="27" t="s">
        <v>297</v>
      </c>
      <c r="J77" s="27" t="s">
        <v>297</v>
      </c>
      <c r="K77" s="27" t="s">
        <v>297</v>
      </c>
      <c r="L77" s="27" t="s">
        <v>297</v>
      </c>
      <c r="M77" s="27" t="s">
        <v>297</v>
      </c>
      <c r="N77" s="27">
        <f>IF(N81&lt;283,0,IF(N81&gt;303,1,EXP(($E$78*(N81-$E$79))/($E$80*$E$79*N81))))</f>
        <v>0.88152221926734242</v>
      </c>
      <c r="O77" s="27">
        <f t="shared" ref="O77:Q77" si="13">IF(O81&lt;283,0,IF(O81&gt;303,1,EXP(($E$78*(O81-$E$79))/($E$80*$E$79*O81))))</f>
        <v>0.62729263560178183</v>
      </c>
      <c r="P77" s="27">
        <f t="shared" si="13"/>
        <v>0.55084569341606926</v>
      </c>
      <c r="Q77" s="27">
        <f t="shared" si="13"/>
        <v>0.32317176495848171</v>
      </c>
    </row>
    <row r="78" spans="1:17" x14ac:dyDescent="0.25">
      <c r="A78" s="17" t="s">
        <v>51</v>
      </c>
      <c r="B78" s="17" t="s">
        <v>52</v>
      </c>
      <c r="C78" s="17" t="s">
        <v>53</v>
      </c>
      <c r="D78" s="17" t="s">
        <v>389</v>
      </c>
      <c r="E78" s="176">
        <v>15175</v>
      </c>
      <c r="F78" s="176"/>
      <c r="G78" s="176"/>
      <c r="H78" s="176"/>
      <c r="I78" s="176"/>
      <c r="J78" s="176"/>
      <c r="K78" s="176"/>
      <c r="L78" s="176"/>
      <c r="M78" s="176"/>
      <c r="N78" s="176"/>
      <c r="O78" s="176"/>
      <c r="P78" s="176"/>
      <c r="Q78" s="176"/>
    </row>
    <row r="79" spans="1:17" ht="18" x14ac:dyDescent="0.25">
      <c r="A79" s="17" t="s">
        <v>141</v>
      </c>
      <c r="B79" s="17" t="s">
        <v>55</v>
      </c>
      <c r="C79" s="17" t="s">
        <v>56</v>
      </c>
      <c r="D79" s="17" t="s">
        <v>389</v>
      </c>
      <c r="E79" s="176">
        <v>303.16000000000003</v>
      </c>
      <c r="F79" s="176"/>
      <c r="G79" s="176"/>
      <c r="H79" s="176"/>
      <c r="I79" s="176"/>
      <c r="J79" s="176"/>
      <c r="K79" s="176"/>
      <c r="L79" s="176"/>
      <c r="M79" s="176"/>
      <c r="N79" s="176"/>
      <c r="O79" s="176"/>
      <c r="P79" s="176"/>
      <c r="Q79" s="176"/>
    </row>
    <row r="80" spans="1:17" x14ac:dyDescent="0.25">
      <c r="A80" s="17" t="s">
        <v>57</v>
      </c>
      <c r="B80" s="17" t="s">
        <v>58</v>
      </c>
      <c r="C80" s="17" t="s">
        <v>59</v>
      </c>
      <c r="D80" s="17" t="s">
        <v>389</v>
      </c>
      <c r="E80" s="176">
        <v>1.9870000000000001</v>
      </c>
      <c r="F80" s="176"/>
      <c r="G80" s="176"/>
      <c r="H80" s="176"/>
      <c r="I80" s="176"/>
      <c r="J80" s="176"/>
      <c r="K80" s="176"/>
      <c r="L80" s="176"/>
      <c r="M80" s="176"/>
      <c r="N80" s="176"/>
      <c r="O80" s="176"/>
      <c r="P80" s="176"/>
      <c r="Q80" s="176"/>
    </row>
    <row r="81" spans="1:19" ht="18" x14ac:dyDescent="0.25">
      <c r="A81" s="17" t="s">
        <v>142</v>
      </c>
      <c r="B81" s="17" t="s">
        <v>55</v>
      </c>
      <c r="C81" s="17" t="s">
        <v>143</v>
      </c>
      <c r="D81" s="144" t="s">
        <v>363</v>
      </c>
      <c r="E81" s="28">
        <f>AVERAGE(N81:Q81)</f>
        <v>296.39999999999998</v>
      </c>
      <c r="F81" s="25" t="s">
        <v>297</v>
      </c>
      <c r="G81" s="25" t="s">
        <v>297</v>
      </c>
      <c r="H81" s="25" t="s">
        <v>297</v>
      </c>
      <c r="I81" s="25" t="s">
        <v>297</v>
      </c>
      <c r="J81" s="25" t="s">
        <v>297</v>
      </c>
      <c r="K81" s="25" t="s">
        <v>297</v>
      </c>
      <c r="L81" s="25" t="s">
        <v>297</v>
      </c>
      <c r="M81" s="25" t="s">
        <v>297</v>
      </c>
      <c r="N81" s="25">
        <v>301.64999999999998</v>
      </c>
      <c r="O81" s="25">
        <v>297.64999999999998</v>
      </c>
      <c r="P81" s="25">
        <v>296.14999999999998</v>
      </c>
      <c r="Q81" s="25">
        <v>290.14999999999998</v>
      </c>
    </row>
    <row r="82" spans="1:19" ht="46.8" x14ac:dyDescent="0.25">
      <c r="A82" s="17" t="s">
        <v>144</v>
      </c>
      <c r="B82" s="17" t="s">
        <v>24</v>
      </c>
      <c r="C82" s="17" t="s">
        <v>145</v>
      </c>
      <c r="D82" s="17" t="s">
        <v>390</v>
      </c>
      <c r="E82" s="29">
        <f>SUM(N82:Q82)</f>
        <v>14.076198279268205</v>
      </c>
      <c r="F82" s="29" t="s">
        <v>297</v>
      </c>
      <c r="G82" s="29" t="s">
        <v>297</v>
      </c>
      <c r="H82" s="29" t="s">
        <v>297</v>
      </c>
      <c r="I82" s="29" t="s">
        <v>297</v>
      </c>
      <c r="J82" s="29" t="s">
        <v>297</v>
      </c>
      <c r="K82" s="29" t="s">
        <v>297</v>
      </c>
      <c r="L82" s="29" t="s">
        <v>297</v>
      </c>
      <c r="M82" s="29" t="s">
        <v>297</v>
      </c>
      <c r="N82" s="29">
        <f>N66*N70*'Project Emissions 2020'!N61+(1-N77)*0</f>
        <v>3.035058761269565</v>
      </c>
      <c r="O82" s="29">
        <f>O66*O70*'Project Emissions 2020'!O61+(1-O77)*0</f>
        <v>4.0214238882838718</v>
      </c>
      <c r="P82" s="29">
        <f>P66*P70*'Project Emissions 2020'!P61+(1-P77)*0</f>
        <v>3.4909522221744456</v>
      </c>
      <c r="Q82" s="29">
        <f>Q66*Q70*'Project Emissions 2020'!Q61+(1-Q77)*0</f>
        <v>3.528763407540322</v>
      </c>
    </row>
    <row r="83" spans="1:19" x14ac:dyDescent="0.3">
      <c r="A83" s="30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</row>
    <row r="84" spans="1:19" x14ac:dyDescent="0.25">
      <c r="A84" s="174" t="s">
        <v>146</v>
      </c>
      <c r="B84" s="174"/>
      <c r="C84" s="175"/>
      <c r="D84" s="175"/>
      <c r="E84" s="195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</row>
    <row r="85" spans="1:19" x14ac:dyDescent="0.25">
      <c r="A85" s="33" t="s">
        <v>8</v>
      </c>
      <c r="B85" s="33" t="s">
        <v>9</v>
      </c>
      <c r="C85" s="34" t="s">
        <v>10</v>
      </c>
      <c r="D85" s="34" t="s">
        <v>340</v>
      </c>
      <c r="E85" s="16" t="s">
        <v>65</v>
      </c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</row>
    <row r="86" spans="1:19" ht="46.8" x14ac:dyDescent="0.25">
      <c r="A86" s="15" t="s">
        <v>147</v>
      </c>
      <c r="B86" s="17" t="s">
        <v>95</v>
      </c>
      <c r="C86" s="35" t="s">
        <v>148</v>
      </c>
      <c r="D86" s="35" t="s">
        <v>68</v>
      </c>
      <c r="E86" s="16">
        <v>0</v>
      </c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</row>
    <row r="87" spans="1:19" x14ac:dyDescent="0.25">
      <c r="A87" s="36"/>
      <c r="B87" s="36"/>
      <c r="C87" s="37"/>
      <c r="D87" s="37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</row>
    <row r="88" spans="1:19" x14ac:dyDescent="0.25">
      <c r="A88" s="174" t="s">
        <v>149</v>
      </c>
      <c r="B88" s="174"/>
      <c r="C88" s="175"/>
      <c r="D88" s="175"/>
      <c r="E88" s="195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</row>
    <row r="89" spans="1:19" x14ac:dyDescent="0.25">
      <c r="A89" s="33" t="s">
        <v>8</v>
      </c>
      <c r="B89" s="33" t="s">
        <v>9</v>
      </c>
      <c r="C89" s="34" t="s">
        <v>10</v>
      </c>
      <c r="D89" s="34" t="s">
        <v>340</v>
      </c>
      <c r="E89" s="16" t="s">
        <v>65</v>
      </c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</row>
    <row r="90" spans="1:19" ht="46.8" x14ac:dyDescent="0.25">
      <c r="A90" s="15" t="s">
        <v>150</v>
      </c>
      <c r="B90" s="17" t="s">
        <v>95</v>
      </c>
      <c r="C90" s="35" t="s">
        <v>151</v>
      </c>
      <c r="D90" s="35" t="s">
        <v>68</v>
      </c>
      <c r="E90" s="16">
        <v>0</v>
      </c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</row>
    <row r="91" spans="1:19" x14ac:dyDescent="0.25"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</row>
    <row r="92" spans="1:19" x14ac:dyDescent="0.25">
      <c r="A92" s="174" t="s">
        <v>152</v>
      </c>
      <c r="B92" s="174"/>
      <c r="C92" s="175"/>
      <c r="D92" s="175"/>
      <c r="E92" s="195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</row>
    <row r="93" spans="1:19" s="10" customFormat="1" x14ac:dyDescent="0.25">
      <c r="A93" s="15" t="s">
        <v>8</v>
      </c>
      <c r="B93" s="15" t="s">
        <v>9</v>
      </c>
      <c r="C93" s="38" t="s">
        <v>10</v>
      </c>
      <c r="D93" s="38" t="s">
        <v>340</v>
      </c>
      <c r="E93" s="16" t="s">
        <v>65</v>
      </c>
      <c r="F93" s="32"/>
      <c r="G93" s="32"/>
      <c r="H93" s="39"/>
      <c r="I93" s="39"/>
      <c r="J93" s="39"/>
      <c r="K93" s="39"/>
      <c r="L93" s="39"/>
      <c r="M93" s="39"/>
      <c r="N93" s="39"/>
      <c r="O93" s="39"/>
      <c r="P93" s="39"/>
      <c r="Q93" s="39"/>
    </row>
    <row r="94" spans="1:19" s="10" customFormat="1" ht="18" x14ac:dyDescent="0.4">
      <c r="A94" s="40" t="s">
        <v>153</v>
      </c>
      <c r="B94" s="17" t="s">
        <v>103</v>
      </c>
      <c r="C94" s="35" t="s">
        <v>154</v>
      </c>
      <c r="D94" s="35" t="s">
        <v>155</v>
      </c>
      <c r="E94" s="41">
        <f>E95*E97*(1+E96)</f>
        <v>146.73642520739998</v>
      </c>
      <c r="F94" s="32"/>
      <c r="G94" s="32"/>
      <c r="H94" s="39"/>
      <c r="I94" s="39"/>
      <c r="J94" s="39"/>
      <c r="K94" s="39"/>
      <c r="L94" s="39"/>
      <c r="M94" s="39"/>
      <c r="N94" s="39"/>
      <c r="O94" s="39"/>
      <c r="P94" s="39"/>
      <c r="Q94" s="39"/>
    </row>
    <row r="95" spans="1:19" ht="31.2" x14ac:dyDescent="0.25">
      <c r="A95" s="17" t="s">
        <v>156</v>
      </c>
      <c r="B95" s="17" t="s">
        <v>157</v>
      </c>
      <c r="C95" s="35" t="s">
        <v>158</v>
      </c>
      <c r="D95" s="35" t="s">
        <v>343</v>
      </c>
      <c r="E95" s="20">
        <f>240307.27/1000</f>
        <v>240.30726999999999</v>
      </c>
      <c r="G95" s="42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9"/>
      <c r="S95" s="9"/>
    </row>
    <row r="96" spans="1:19" ht="31.2" x14ac:dyDescent="0.25">
      <c r="A96" s="17" t="s">
        <v>159</v>
      </c>
      <c r="B96" s="17" t="s">
        <v>160</v>
      </c>
      <c r="C96" s="35" t="s">
        <v>161</v>
      </c>
      <c r="D96" s="35" t="s">
        <v>162</v>
      </c>
      <c r="E96" s="44">
        <v>0.2</v>
      </c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9"/>
      <c r="S96" s="9"/>
    </row>
    <row r="97" spans="1:19" ht="46.8" x14ac:dyDescent="0.25">
      <c r="A97" s="17" t="s">
        <v>163</v>
      </c>
      <c r="B97" s="17" t="s">
        <v>164</v>
      </c>
      <c r="C97" s="35" t="s">
        <v>165</v>
      </c>
      <c r="D97" s="35" t="s">
        <v>166</v>
      </c>
      <c r="E97" s="45">
        <f>0.5*0.8042+0.5*0.2135</f>
        <v>0.50885000000000002</v>
      </c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</row>
    <row r="98" spans="1:19" ht="31.2" x14ac:dyDescent="0.4">
      <c r="A98" s="40" t="s">
        <v>167</v>
      </c>
      <c r="B98" s="17" t="s">
        <v>103</v>
      </c>
      <c r="C98" s="35" t="s">
        <v>168</v>
      </c>
      <c r="D98" s="35" t="s">
        <v>169</v>
      </c>
      <c r="E98" s="47">
        <v>0</v>
      </c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9"/>
      <c r="S98" s="9"/>
    </row>
    <row r="99" spans="1:19" x14ac:dyDescent="0.3">
      <c r="A99" s="48"/>
      <c r="E99" s="49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9"/>
      <c r="S99" s="9"/>
    </row>
    <row r="100" spans="1:19" x14ac:dyDescent="0.25">
      <c r="A100" s="174" t="s">
        <v>170</v>
      </c>
      <c r="B100" s="174"/>
      <c r="C100" s="175"/>
      <c r="D100" s="175"/>
      <c r="E100" s="195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</row>
    <row r="101" spans="1:19" x14ac:dyDescent="0.25">
      <c r="A101" s="15" t="s">
        <v>8</v>
      </c>
      <c r="B101" s="15" t="s">
        <v>9</v>
      </c>
      <c r="C101" s="38" t="s">
        <v>10</v>
      </c>
      <c r="D101" s="38" t="s">
        <v>340</v>
      </c>
      <c r="E101" s="16" t="s">
        <v>65</v>
      </c>
      <c r="H101" s="43"/>
      <c r="I101" s="43"/>
      <c r="J101" s="43"/>
      <c r="K101" s="43"/>
      <c r="L101" s="43"/>
      <c r="M101" s="43"/>
      <c r="N101" s="43"/>
      <c r="O101" s="43"/>
      <c r="P101" s="43"/>
      <c r="Q101" s="43"/>
      <c r="R101" s="9"/>
      <c r="S101" s="9"/>
    </row>
    <row r="102" spans="1:19" ht="33.6" x14ac:dyDescent="0.4">
      <c r="A102" s="40" t="s">
        <v>171</v>
      </c>
      <c r="B102" s="17" t="s">
        <v>74</v>
      </c>
      <c r="C102" s="35" t="s">
        <v>172</v>
      </c>
      <c r="D102" s="35" t="s">
        <v>391</v>
      </c>
      <c r="E102" s="50">
        <f>E103*E106*E107*E108*E109*E110</f>
        <v>0.168968008564992</v>
      </c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9"/>
      <c r="S102" s="9"/>
    </row>
    <row r="103" spans="1:19" ht="46.8" x14ac:dyDescent="0.4">
      <c r="A103" s="51" t="s">
        <v>173</v>
      </c>
      <c r="B103" s="17" t="s">
        <v>76</v>
      </c>
      <c r="C103" s="35" t="s">
        <v>174</v>
      </c>
      <c r="D103" s="35" t="s">
        <v>392</v>
      </c>
      <c r="E103" s="69">
        <f>ROUNDUP(E104/E105,0)</f>
        <v>48</v>
      </c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9"/>
      <c r="S103" s="9"/>
    </row>
    <row r="104" spans="1:19" ht="62.4" x14ac:dyDescent="0.25">
      <c r="A104" s="17" t="s">
        <v>175</v>
      </c>
      <c r="B104" s="17" t="s">
        <v>78</v>
      </c>
      <c r="C104" s="35" t="s">
        <v>176</v>
      </c>
      <c r="D104" s="35" t="s">
        <v>346</v>
      </c>
      <c r="E104" s="153">
        <v>238.97300000000004</v>
      </c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9"/>
      <c r="S104" s="9"/>
    </row>
    <row r="105" spans="1:19" ht="62.4" x14ac:dyDescent="0.25">
      <c r="A105" s="17" t="s">
        <v>177</v>
      </c>
      <c r="B105" s="17" t="s">
        <v>80</v>
      </c>
      <c r="C105" s="35" t="s">
        <v>81</v>
      </c>
      <c r="D105" s="35" t="s">
        <v>345</v>
      </c>
      <c r="E105" s="25">
        <f>5</f>
        <v>5</v>
      </c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9"/>
      <c r="S105" s="9"/>
    </row>
    <row r="106" spans="1:19" ht="202.8" x14ac:dyDescent="0.25">
      <c r="A106" s="17" t="s">
        <v>178</v>
      </c>
      <c r="B106" s="17" t="s">
        <v>82</v>
      </c>
      <c r="C106" s="35" t="s">
        <v>179</v>
      </c>
      <c r="D106" s="35" t="s">
        <v>367</v>
      </c>
      <c r="E106" s="25">
        <v>5.2</v>
      </c>
      <c r="H106" s="43"/>
      <c r="I106" s="43"/>
      <c r="J106" s="43"/>
      <c r="K106" s="43"/>
      <c r="L106" s="43"/>
      <c r="M106" s="43"/>
      <c r="N106" s="43"/>
      <c r="O106" s="43"/>
      <c r="P106" s="43"/>
      <c r="Q106" s="43"/>
      <c r="R106" s="9"/>
      <c r="S106" s="9"/>
    </row>
    <row r="107" spans="1:19" ht="156" x14ac:dyDescent="0.25">
      <c r="A107" s="17" t="s">
        <v>180</v>
      </c>
      <c r="B107" s="17" t="s">
        <v>84</v>
      </c>
      <c r="C107" s="35" t="s">
        <v>85</v>
      </c>
      <c r="D107" s="35" t="s">
        <v>365</v>
      </c>
      <c r="E107" s="25">
        <f>25.1/100</f>
        <v>0.251</v>
      </c>
      <c r="H107" s="43"/>
      <c r="I107" s="43"/>
      <c r="J107" s="43"/>
      <c r="K107" s="43"/>
      <c r="L107" s="43"/>
      <c r="M107" s="43"/>
      <c r="N107" s="43"/>
      <c r="O107" s="43"/>
      <c r="P107" s="43"/>
      <c r="Q107" s="43"/>
      <c r="R107" s="9"/>
      <c r="S107" s="9"/>
    </row>
    <row r="108" spans="1:19" ht="62.4" x14ac:dyDescent="0.25">
      <c r="A108" s="17" t="s">
        <v>86</v>
      </c>
      <c r="B108" s="17" t="s">
        <v>87</v>
      </c>
      <c r="C108" s="35" t="s">
        <v>86</v>
      </c>
      <c r="D108" s="35" t="s">
        <v>215</v>
      </c>
      <c r="E108" s="25">
        <f>0.84/1000</f>
        <v>8.3999999999999993E-4</v>
      </c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9"/>
      <c r="S108" s="9"/>
    </row>
    <row r="109" spans="1:19" ht="124.8" x14ac:dyDescent="0.25">
      <c r="A109" s="17" t="s">
        <v>181</v>
      </c>
      <c r="B109" s="17" t="s">
        <v>88</v>
      </c>
      <c r="C109" s="35" t="s">
        <v>89</v>
      </c>
      <c r="D109" s="35" t="s">
        <v>360</v>
      </c>
      <c r="E109" s="25">
        <f>43.33/1000</f>
        <v>4.333E-2</v>
      </c>
      <c r="H109" s="43"/>
      <c r="I109" s="43"/>
      <c r="J109" s="43"/>
      <c r="K109" s="43"/>
      <c r="L109" s="43"/>
      <c r="M109" s="43"/>
      <c r="N109" s="43"/>
      <c r="O109" s="43"/>
      <c r="P109" s="43"/>
      <c r="Q109" s="43"/>
      <c r="R109" s="9"/>
      <c r="S109" s="9"/>
    </row>
    <row r="110" spans="1:19" ht="33.6" x14ac:dyDescent="0.25">
      <c r="A110" s="17" t="s">
        <v>182</v>
      </c>
      <c r="B110" s="17" t="s">
        <v>90</v>
      </c>
      <c r="C110" s="35" t="s">
        <v>91</v>
      </c>
      <c r="D110" s="35" t="s">
        <v>92</v>
      </c>
      <c r="E110" s="25">
        <v>74.099999999999994</v>
      </c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9"/>
      <c r="S110" s="9"/>
    </row>
    <row r="112" spans="1:19" x14ac:dyDescent="0.25">
      <c r="A112" s="33" t="s">
        <v>8</v>
      </c>
      <c r="B112" s="33" t="s">
        <v>9</v>
      </c>
      <c r="C112" s="34" t="s">
        <v>10</v>
      </c>
      <c r="D112" s="34" t="s">
        <v>340</v>
      </c>
      <c r="E112" s="16" t="s">
        <v>65</v>
      </c>
    </row>
    <row r="113" spans="1:19" ht="18" x14ac:dyDescent="0.25">
      <c r="A113" s="15" t="s">
        <v>183</v>
      </c>
      <c r="B113" s="17" t="s">
        <v>103</v>
      </c>
      <c r="C113" s="35" t="s">
        <v>184</v>
      </c>
      <c r="D113" s="53" t="s">
        <v>393</v>
      </c>
      <c r="E113" s="18">
        <f>ROUNDUP(E62+E86+E90+E94+E102,0)</f>
        <v>147</v>
      </c>
    </row>
    <row r="114" spans="1:19" s="209" customFormat="1" ht="38.4" customHeight="1" x14ac:dyDescent="0.25">
      <c r="A114" s="208" t="s">
        <v>221</v>
      </c>
    </row>
    <row r="115" spans="1:19" s="200" customFormat="1" ht="43.2" customHeight="1" x14ac:dyDescent="0.25">
      <c r="A115" s="200" t="s">
        <v>222</v>
      </c>
    </row>
    <row r="116" spans="1:19" ht="23.4" customHeight="1" x14ac:dyDescent="0.25">
      <c r="A116" s="201" t="s">
        <v>105</v>
      </c>
      <c r="B116" s="201"/>
      <c r="C116" s="201"/>
      <c r="D116" s="201"/>
      <c r="E116" s="201"/>
      <c r="F116" s="201"/>
      <c r="G116" s="201"/>
      <c r="H116" s="201"/>
      <c r="I116" s="201"/>
      <c r="J116" s="201"/>
      <c r="K116" s="201"/>
      <c r="L116" s="201"/>
      <c r="M116" s="201"/>
      <c r="N116" s="201"/>
      <c r="O116" s="201"/>
      <c r="P116" s="201"/>
      <c r="Q116" s="202"/>
    </row>
    <row r="117" spans="1:19" s="10" customFormat="1" ht="31.2" x14ac:dyDescent="0.25">
      <c r="A117" s="15" t="s">
        <v>8</v>
      </c>
      <c r="B117" s="15" t="s">
        <v>9</v>
      </c>
      <c r="C117" s="15" t="s">
        <v>10</v>
      </c>
      <c r="D117" s="15" t="s">
        <v>340</v>
      </c>
      <c r="E117" s="16" t="s">
        <v>11</v>
      </c>
      <c r="F117" s="16" t="s">
        <v>292</v>
      </c>
      <c r="G117" s="16" t="s">
        <v>292</v>
      </c>
      <c r="H117" s="16" t="s">
        <v>292</v>
      </c>
      <c r="I117" s="16" t="s">
        <v>292</v>
      </c>
      <c r="J117" s="16" t="s">
        <v>292</v>
      </c>
      <c r="K117" s="16" t="s">
        <v>292</v>
      </c>
      <c r="L117" s="16" t="s">
        <v>292</v>
      </c>
      <c r="M117" s="16" t="s">
        <v>292</v>
      </c>
      <c r="N117" s="16" t="s">
        <v>300</v>
      </c>
      <c r="O117" s="16" t="s">
        <v>293</v>
      </c>
      <c r="P117" s="16" t="s">
        <v>294</v>
      </c>
      <c r="Q117" s="16" t="s">
        <v>295</v>
      </c>
      <c r="R117" s="54"/>
      <c r="S117" s="54"/>
    </row>
    <row r="118" spans="1:19" s="10" customFormat="1" x14ac:dyDescent="0.25">
      <c r="A118" s="203" t="s">
        <v>106</v>
      </c>
      <c r="B118" s="203"/>
      <c r="C118" s="203"/>
      <c r="D118" s="203"/>
      <c r="E118" s="204"/>
      <c r="F118" s="16" t="s">
        <v>297</v>
      </c>
      <c r="G118" s="16" t="s">
        <v>297</v>
      </c>
      <c r="H118" s="16" t="s">
        <v>297</v>
      </c>
      <c r="I118" s="16" t="s">
        <v>297</v>
      </c>
      <c r="J118" s="16" t="s">
        <v>297</v>
      </c>
      <c r="K118" s="16" t="s">
        <v>297</v>
      </c>
      <c r="L118" s="16" t="s">
        <v>297</v>
      </c>
      <c r="M118" s="16" t="s">
        <v>297</v>
      </c>
      <c r="N118" s="16">
        <v>28</v>
      </c>
      <c r="O118" s="16">
        <v>31</v>
      </c>
      <c r="P118" s="16">
        <v>30</v>
      </c>
      <c r="Q118" s="16">
        <v>31</v>
      </c>
      <c r="R118" s="54"/>
      <c r="S118" s="54"/>
    </row>
    <row r="119" spans="1:19" s="10" customFormat="1" ht="31.2" x14ac:dyDescent="0.25">
      <c r="A119" s="15" t="s">
        <v>107</v>
      </c>
      <c r="B119" s="17" t="s">
        <v>103</v>
      </c>
      <c r="C119" s="17" t="s">
        <v>108</v>
      </c>
      <c r="D119" s="17" t="s">
        <v>381</v>
      </c>
      <c r="E119" s="18">
        <f>E120+E130</f>
        <v>0</v>
      </c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54"/>
      <c r="S119" s="54"/>
    </row>
    <row r="120" spans="1:19" ht="46.8" x14ac:dyDescent="0.25">
      <c r="A120" s="17" t="s">
        <v>109</v>
      </c>
      <c r="B120" s="17" t="s">
        <v>103</v>
      </c>
      <c r="C120" s="17" t="s">
        <v>110</v>
      </c>
      <c r="D120" s="17" t="s">
        <v>382</v>
      </c>
      <c r="E120" s="19">
        <f>SUM(F120:Q120)</f>
        <v>0</v>
      </c>
      <c r="F120" s="19" t="s">
        <v>297</v>
      </c>
      <c r="G120" s="19" t="s">
        <v>297</v>
      </c>
      <c r="H120" s="19" t="s">
        <v>297</v>
      </c>
      <c r="I120" s="19" t="s">
        <v>297</v>
      </c>
      <c r="J120" s="19" t="s">
        <v>297</v>
      </c>
      <c r="K120" s="19" t="s">
        <v>297</v>
      </c>
      <c r="L120" s="19" t="s">
        <v>297</v>
      </c>
      <c r="M120" s="19" t="s">
        <v>297</v>
      </c>
      <c r="N120" s="19">
        <f t="shared" ref="N120:Q120" si="14">IF(N121&gt;=0.8,0,$E$15*$E$16*0.4*(N122-N125)*N118)</f>
        <v>0</v>
      </c>
      <c r="O120" s="19">
        <f t="shared" si="14"/>
        <v>0</v>
      </c>
      <c r="P120" s="19">
        <f t="shared" si="14"/>
        <v>0</v>
      </c>
      <c r="Q120" s="19">
        <f t="shared" si="14"/>
        <v>0</v>
      </c>
    </row>
    <row r="121" spans="1:19" ht="62.4" x14ac:dyDescent="0.25">
      <c r="A121" s="17" t="s">
        <v>111</v>
      </c>
      <c r="B121" s="17" t="s">
        <v>37</v>
      </c>
      <c r="C121" s="17" t="s">
        <v>112</v>
      </c>
      <c r="D121" s="17" t="s">
        <v>383</v>
      </c>
      <c r="E121" s="20">
        <f>AVERAGE(F121:Q121)</f>
        <v>0.94614894157707763</v>
      </c>
      <c r="F121" s="20" t="s">
        <v>297</v>
      </c>
      <c r="G121" s="20" t="s">
        <v>297</v>
      </c>
      <c r="H121" s="20" t="s">
        <v>297</v>
      </c>
      <c r="I121" s="20" t="s">
        <v>297</v>
      </c>
      <c r="J121" s="20" t="s">
        <v>297</v>
      </c>
      <c r="K121" s="20" t="s">
        <v>297</v>
      </c>
      <c r="L121" s="20" t="s">
        <v>297</v>
      </c>
      <c r="M121" s="20" t="s">
        <v>297</v>
      </c>
      <c r="N121" s="20">
        <f t="shared" ref="N121:Q121" si="15">(N122-N125)/N122</f>
        <v>0.94651638349665101</v>
      </c>
      <c r="O121" s="20">
        <f t="shared" si="15"/>
        <v>0.9456929920400764</v>
      </c>
      <c r="P121" s="20">
        <f t="shared" si="15"/>
        <v>0.94665557467792527</v>
      </c>
      <c r="Q121" s="20">
        <f t="shared" si="15"/>
        <v>0.94573081609365772</v>
      </c>
    </row>
    <row r="122" spans="1:19" ht="46.8" x14ac:dyDescent="0.25">
      <c r="A122" s="17" t="s">
        <v>113</v>
      </c>
      <c r="B122" s="17" t="s">
        <v>24</v>
      </c>
      <c r="C122" s="17" t="s">
        <v>114</v>
      </c>
      <c r="D122" s="17" t="s">
        <v>384</v>
      </c>
      <c r="E122" s="20">
        <f>SUM(F122:Q122)</f>
        <v>2.5826107027116585</v>
      </c>
      <c r="F122" s="20" t="s">
        <v>297</v>
      </c>
      <c r="G122" s="20" t="s">
        <v>297</v>
      </c>
      <c r="H122" s="20" t="s">
        <v>297</v>
      </c>
      <c r="I122" s="20" t="s">
        <v>297</v>
      </c>
      <c r="J122" s="20" t="s">
        <v>297</v>
      </c>
      <c r="K122" s="20" t="s">
        <v>297</v>
      </c>
      <c r="L122" s="20" t="s">
        <v>297</v>
      </c>
      <c r="M122" s="20" t="s">
        <v>297</v>
      </c>
      <c r="N122" s="20">
        <f t="shared" ref="N122:Q122" si="16">N123*N124</f>
        <v>0.71232132168367479</v>
      </c>
      <c r="O122" s="20">
        <f t="shared" si="16"/>
        <v>0.71265520624789291</v>
      </c>
      <c r="P122" s="20">
        <f t="shared" si="16"/>
        <v>0.57870951140614824</v>
      </c>
      <c r="Q122" s="20">
        <f t="shared" si="16"/>
        <v>0.57892466337394211</v>
      </c>
    </row>
    <row r="123" spans="1:19" ht="66" customHeight="1" x14ac:dyDescent="0.25">
      <c r="A123" s="17" t="s">
        <v>115</v>
      </c>
      <c r="B123" s="17" t="s">
        <v>116</v>
      </c>
      <c r="C123" s="17" t="s">
        <v>117</v>
      </c>
      <c r="D123" s="17" t="s">
        <v>336</v>
      </c>
      <c r="E123" s="129">
        <f>SUM(F123:Q123)</f>
        <v>9352.3288902457771</v>
      </c>
      <c r="F123" s="21" t="s">
        <v>297</v>
      </c>
      <c r="G123" s="21" t="s">
        <v>297</v>
      </c>
      <c r="H123" s="21" t="s">
        <v>297</v>
      </c>
      <c r="I123" s="21" t="s">
        <v>297</v>
      </c>
      <c r="J123" s="21" t="s">
        <v>297</v>
      </c>
      <c r="K123" s="21" t="s">
        <v>297</v>
      </c>
      <c r="L123" s="21" t="s">
        <v>297</v>
      </c>
      <c r="M123" s="21" t="s">
        <v>297</v>
      </c>
      <c r="N123" s="129">
        <f>'Baseline Emissions 2020'!N120</f>
        <v>2579.2723214285725</v>
      </c>
      <c r="O123" s="129">
        <f>'Baseline Emissions 2020'!O120</f>
        <v>2580.056161290323</v>
      </c>
      <c r="P123" s="129">
        <f>'Baseline Emissions 2020'!P120</f>
        <v>2096.4866333333334</v>
      </c>
      <c r="Q123" s="129">
        <f>'Baseline Emissions 2020'!Q120</f>
        <v>2096.5137741935487</v>
      </c>
    </row>
    <row r="124" spans="1:19" ht="46.8" x14ac:dyDescent="0.25">
      <c r="A124" s="17" t="s">
        <v>118</v>
      </c>
      <c r="B124" s="17" t="s">
        <v>119</v>
      </c>
      <c r="C124" s="17" t="s">
        <v>120</v>
      </c>
      <c r="D124" s="35" t="s">
        <v>338</v>
      </c>
      <c r="E124" s="120">
        <f>AVERAGE(F124:Q124)</f>
        <v>2.7614074244751674E-4</v>
      </c>
      <c r="F124" s="130" t="str">
        <f>'Baseline Emissions 2020'!F124</f>
        <v>—</v>
      </c>
      <c r="G124" s="130" t="str">
        <f>'Baseline Emissions 2020'!G124</f>
        <v>—</v>
      </c>
      <c r="H124" s="130" t="str">
        <f>'Baseline Emissions 2020'!H124</f>
        <v>—</v>
      </c>
      <c r="I124" s="130" t="str">
        <f>'Baseline Emissions 2020'!I124</f>
        <v>—</v>
      </c>
      <c r="J124" s="130" t="str">
        <f>'Baseline Emissions 2020'!J124</f>
        <v>—</v>
      </c>
      <c r="K124" s="130" t="str">
        <f>'Baseline Emissions 2020'!K124</f>
        <v>—</v>
      </c>
      <c r="L124" s="130" t="str">
        <f>'Baseline Emissions 2020'!L124</f>
        <v>—</v>
      </c>
      <c r="M124" s="130" t="str">
        <f>'Baseline Emissions 2020'!M124</f>
        <v>—</v>
      </c>
      <c r="N124" s="130">
        <f>'Baseline Emissions 2020'!N124</f>
        <v>2.7617142857142896E-4</v>
      </c>
      <c r="O124" s="130">
        <f>'Baseline Emissions 2020'!O124</f>
        <v>2.7621693548387095E-4</v>
      </c>
      <c r="P124" s="130">
        <f>'Baseline Emissions 2020'!P124</f>
        <v>2.7603777777777781E-4</v>
      </c>
      <c r="Q124" s="130">
        <f>'Baseline Emissions 2020'!Q124</f>
        <v>2.7613682795698922E-4</v>
      </c>
    </row>
    <row r="125" spans="1:19" ht="46.8" x14ac:dyDescent="0.25">
      <c r="A125" s="17" t="s">
        <v>121</v>
      </c>
      <c r="B125" s="17" t="s">
        <v>24</v>
      </c>
      <c r="C125" s="17" t="s">
        <v>122</v>
      </c>
      <c r="D125" s="17" t="s">
        <v>384</v>
      </c>
      <c r="E125" s="20">
        <f>SUM(F125:Q125)</f>
        <v>0.13908838769341114</v>
      </c>
      <c r="F125" s="20" t="s">
        <v>297</v>
      </c>
      <c r="G125" s="20" t="s">
        <v>297</v>
      </c>
      <c r="H125" s="20" t="s">
        <v>297</v>
      </c>
      <c r="I125" s="20" t="s">
        <v>297</v>
      </c>
      <c r="J125" s="20" t="s">
        <v>297</v>
      </c>
      <c r="K125" s="20" t="s">
        <v>297</v>
      </c>
      <c r="L125" s="20" t="s">
        <v>297</v>
      </c>
      <c r="M125" s="20" t="s">
        <v>297</v>
      </c>
      <c r="N125" s="20">
        <f t="shared" ref="N125:Q125" si="17">SUM(N126*N127)</f>
        <v>3.8097520396088422E-2</v>
      </c>
      <c r="O125" s="20">
        <f t="shared" si="17"/>
        <v>3.8702171958385344E-2</v>
      </c>
      <c r="P125" s="20">
        <f t="shared" si="17"/>
        <v>3.0870926314379626E-2</v>
      </c>
      <c r="Q125" s="20">
        <f t="shared" si="17"/>
        <v>3.141776902455775E-2</v>
      </c>
    </row>
    <row r="126" spans="1:19" ht="62.4" x14ac:dyDescent="0.25">
      <c r="A126" s="17" t="s">
        <v>123</v>
      </c>
      <c r="B126" s="17" t="s">
        <v>116</v>
      </c>
      <c r="C126" s="17" t="s">
        <v>124</v>
      </c>
      <c r="D126" s="17" t="s">
        <v>337</v>
      </c>
      <c r="E126" s="129">
        <f>SUM(F126:Q126)</f>
        <v>8987.8454583717339</v>
      </c>
      <c r="F126" s="129" t="s">
        <v>297</v>
      </c>
      <c r="G126" s="129" t="s">
        <v>297</v>
      </c>
      <c r="H126" s="129" t="s">
        <v>297</v>
      </c>
      <c r="I126" s="129" t="s">
        <v>297</v>
      </c>
      <c r="J126" s="129" t="s">
        <v>297</v>
      </c>
      <c r="K126" s="129" t="s">
        <v>297</v>
      </c>
      <c r="L126" s="129" t="s">
        <v>297</v>
      </c>
      <c r="M126" s="129" t="s">
        <v>297</v>
      </c>
      <c r="N126" s="129">
        <v>2480.3842142857143</v>
      </c>
      <c r="O126" s="129">
        <v>2480.4382903225796</v>
      </c>
      <c r="P126" s="129">
        <v>2013.7225666666666</v>
      </c>
      <c r="Q126" s="129">
        <v>2013.3003870967736</v>
      </c>
    </row>
    <row r="127" spans="1:19" ht="46.8" x14ac:dyDescent="0.25">
      <c r="A127" s="17" t="s">
        <v>125</v>
      </c>
      <c r="B127" s="17" t="s">
        <v>119</v>
      </c>
      <c r="C127" s="17" t="s">
        <v>126</v>
      </c>
      <c r="D127" s="35" t="s">
        <v>339</v>
      </c>
      <c r="E127" s="131">
        <f>AVERAGE(F127:Q127)</f>
        <v>1.5474466525857653E-5</v>
      </c>
      <c r="F127" s="131" t="str">
        <f>'Baseline Emissions 2020'!F125</f>
        <v>—</v>
      </c>
      <c r="G127" s="131" t="str">
        <f>'Baseline Emissions 2020'!G125</f>
        <v>—</v>
      </c>
      <c r="H127" s="131" t="str">
        <f>'Baseline Emissions 2020'!H125</f>
        <v>—</v>
      </c>
      <c r="I127" s="131" t="str">
        <f>'Baseline Emissions 2020'!I125</f>
        <v>—</v>
      </c>
      <c r="J127" s="131" t="str">
        <f>'Baseline Emissions 2020'!J125</f>
        <v>—</v>
      </c>
      <c r="K127" s="131" t="str">
        <f>'Baseline Emissions 2020'!K125</f>
        <v>—</v>
      </c>
      <c r="L127" s="131" t="str">
        <f>'Baseline Emissions 2020'!L125</f>
        <v>—</v>
      </c>
      <c r="M127" s="131" t="str">
        <f>'Baseline Emissions 2020'!M125</f>
        <v>—</v>
      </c>
      <c r="N127" s="131">
        <f>'Baseline Emissions 2020'!N125</f>
        <v>1.5359523809523805E-5</v>
      </c>
      <c r="O127" s="131">
        <f>'Baseline Emissions 2020'!O125</f>
        <v>1.5602956989247312E-5</v>
      </c>
      <c r="P127" s="131">
        <f>'Baseline Emissions 2020'!P125</f>
        <v>1.5330277777777777E-5</v>
      </c>
      <c r="Q127" s="131">
        <f>'Baseline Emissions 2020'!Q125</f>
        <v>1.5605107526881723E-5</v>
      </c>
    </row>
    <row r="128" spans="1:19" ht="31.2" x14ac:dyDescent="0.25">
      <c r="A128" s="17" t="s">
        <v>127</v>
      </c>
      <c r="B128" s="17" t="s">
        <v>128</v>
      </c>
      <c r="C128" s="17" t="s">
        <v>17</v>
      </c>
      <c r="D128" s="17" t="s">
        <v>129</v>
      </c>
      <c r="E128" s="176">
        <v>28</v>
      </c>
      <c r="F128" s="176"/>
      <c r="G128" s="176"/>
      <c r="H128" s="176"/>
      <c r="I128" s="176"/>
      <c r="J128" s="176"/>
      <c r="K128" s="176"/>
      <c r="L128" s="176"/>
      <c r="M128" s="176"/>
      <c r="N128" s="176"/>
      <c r="O128" s="176"/>
      <c r="P128" s="176"/>
      <c r="Q128" s="176"/>
    </row>
    <row r="129" spans="1:17" ht="64.8" x14ac:dyDescent="0.25">
      <c r="A129" s="17" t="s">
        <v>130</v>
      </c>
      <c r="B129" s="17" t="s">
        <v>19</v>
      </c>
      <c r="C129" s="17" t="s">
        <v>131</v>
      </c>
      <c r="D129" s="17" t="s">
        <v>394</v>
      </c>
      <c r="E129" s="176">
        <v>0.21</v>
      </c>
      <c r="F129" s="176"/>
      <c r="G129" s="176"/>
      <c r="H129" s="176"/>
      <c r="I129" s="176"/>
      <c r="J129" s="176"/>
      <c r="K129" s="176"/>
      <c r="L129" s="176"/>
      <c r="M129" s="176"/>
      <c r="N129" s="176"/>
      <c r="O129" s="176"/>
      <c r="P129" s="176"/>
      <c r="Q129" s="176"/>
    </row>
    <row r="130" spans="1:17" ht="46.8" x14ac:dyDescent="0.25">
      <c r="A130" s="17" t="s">
        <v>132</v>
      </c>
      <c r="B130" s="17" t="s">
        <v>103</v>
      </c>
      <c r="C130" s="17" t="s">
        <v>133</v>
      </c>
      <c r="D130" s="17" t="s">
        <v>385</v>
      </c>
      <c r="E130" s="19">
        <f>SUM(F130:Q130)</f>
        <v>0</v>
      </c>
      <c r="F130" s="19" t="s">
        <v>297</v>
      </c>
      <c r="G130" s="19" t="s">
        <v>297</v>
      </c>
      <c r="H130" s="19" t="s">
        <v>297</v>
      </c>
      <c r="I130" s="19" t="s">
        <v>297</v>
      </c>
      <c r="J130" s="19" t="s">
        <v>297</v>
      </c>
      <c r="K130" s="19" t="s">
        <v>297</v>
      </c>
      <c r="L130" s="19" t="s">
        <v>297</v>
      </c>
      <c r="M130" s="19" t="s">
        <v>297</v>
      </c>
      <c r="N130" s="19">
        <f t="shared" ref="N130:Q130" si="18">$E$15*$E$16*N131*N125*N118</f>
        <v>0</v>
      </c>
      <c r="O130" s="19">
        <f t="shared" si="18"/>
        <v>0</v>
      </c>
      <c r="P130" s="19">
        <f t="shared" si="18"/>
        <v>0</v>
      </c>
      <c r="Q130" s="19">
        <f t="shared" si="18"/>
        <v>0</v>
      </c>
    </row>
    <row r="131" spans="1:17" ht="18" x14ac:dyDescent="0.25">
      <c r="A131" s="17" t="s">
        <v>134</v>
      </c>
      <c r="B131" s="17" t="s">
        <v>37</v>
      </c>
      <c r="C131" s="17" t="s">
        <v>135</v>
      </c>
      <c r="D131" s="17" t="s">
        <v>386</v>
      </c>
      <c r="E131" s="26">
        <f>AVERAGE(F131:Q131)</f>
        <v>0</v>
      </c>
      <c r="F131" s="26" t="s">
        <v>297</v>
      </c>
      <c r="G131" s="26" t="s">
        <v>297</v>
      </c>
      <c r="H131" s="26" t="s">
        <v>297</v>
      </c>
      <c r="I131" s="26" t="s">
        <v>297</v>
      </c>
      <c r="J131" s="26" t="s">
        <v>297</v>
      </c>
      <c r="K131" s="26" t="s">
        <v>297</v>
      </c>
      <c r="L131" s="26" t="s">
        <v>297</v>
      </c>
      <c r="M131" s="26" t="s">
        <v>297</v>
      </c>
      <c r="N131" s="26">
        <f>N132*$E$133*0.89</f>
        <v>0</v>
      </c>
      <c r="O131" s="26">
        <f t="shared" ref="O131:Q131" si="19">O132*$E$133*0.89</f>
        <v>0</v>
      </c>
      <c r="P131" s="26">
        <f t="shared" si="19"/>
        <v>0</v>
      </c>
      <c r="Q131" s="26">
        <f t="shared" si="19"/>
        <v>0</v>
      </c>
    </row>
    <row r="132" spans="1:17" ht="31.2" x14ac:dyDescent="0.25">
      <c r="A132" s="17" t="s">
        <v>136</v>
      </c>
      <c r="B132" s="17" t="s">
        <v>37</v>
      </c>
      <c r="C132" s="17" t="s">
        <v>46</v>
      </c>
      <c r="D132" s="17" t="s">
        <v>387</v>
      </c>
      <c r="E132" s="25">
        <v>0</v>
      </c>
      <c r="F132" s="25" t="s">
        <v>297</v>
      </c>
      <c r="G132" s="25" t="s">
        <v>297</v>
      </c>
      <c r="H132" s="25" t="s">
        <v>297</v>
      </c>
      <c r="I132" s="25" t="s">
        <v>297</v>
      </c>
      <c r="J132" s="25" t="s">
        <v>297</v>
      </c>
      <c r="K132" s="25" t="s">
        <v>297</v>
      </c>
      <c r="L132" s="25" t="s">
        <v>297</v>
      </c>
      <c r="M132" s="25" t="s">
        <v>297</v>
      </c>
      <c r="N132" s="25">
        <v>0</v>
      </c>
      <c r="O132" s="25">
        <v>0</v>
      </c>
      <c r="P132" s="25">
        <v>0</v>
      </c>
      <c r="Q132" s="25">
        <v>0</v>
      </c>
    </row>
    <row r="133" spans="1:17" ht="31.2" x14ac:dyDescent="0.25">
      <c r="A133" s="17" t="s">
        <v>137</v>
      </c>
      <c r="B133" s="17" t="s">
        <v>201</v>
      </c>
      <c r="C133" s="17" t="s">
        <v>138</v>
      </c>
      <c r="D133" s="17" t="s">
        <v>388</v>
      </c>
      <c r="E133" s="196">
        <f>(N134*N139+O134*O139+P134*P139+Q134*Q139)/(N127*N126*N118+O126*O127*O118+P127*P126*P118+Q127*Q126*Q118)</f>
        <v>0.59772625906637034</v>
      </c>
      <c r="F133" s="196"/>
      <c r="G133" s="196"/>
      <c r="H133" s="196"/>
      <c r="I133" s="196"/>
      <c r="J133" s="196"/>
      <c r="K133" s="196"/>
      <c r="L133" s="196"/>
      <c r="M133" s="196"/>
      <c r="N133" s="196"/>
      <c r="O133" s="196"/>
      <c r="P133" s="196"/>
      <c r="Q133" s="196"/>
    </row>
    <row r="134" spans="1:17" ht="31.2" x14ac:dyDescent="0.25">
      <c r="A134" s="17" t="s">
        <v>139</v>
      </c>
      <c r="B134" s="17" t="s">
        <v>37</v>
      </c>
      <c r="C134" s="17" t="s">
        <v>140</v>
      </c>
      <c r="D134" s="17" t="s">
        <v>375</v>
      </c>
      <c r="E134" s="27">
        <f>AVERAGE(F134:Q134)</f>
        <v>0.58867830239581709</v>
      </c>
      <c r="F134" s="27" t="s">
        <v>297</v>
      </c>
      <c r="G134" s="27" t="s">
        <v>297</v>
      </c>
      <c r="H134" s="27" t="s">
        <v>297</v>
      </c>
      <c r="I134" s="27" t="s">
        <v>297</v>
      </c>
      <c r="J134" s="27" t="s">
        <v>297</v>
      </c>
      <c r="K134" s="27" t="s">
        <v>297</v>
      </c>
      <c r="L134" s="27" t="s">
        <v>297</v>
      </c>
      <c r="M134" s="27" t="s">
        <v>297</v>
      </c>
      <c r="N134" s="27">
        <f>IF(N138&lt;283,0,IF(N138&gt;303,1,EXP(($E$135*(N138-$E$136))/($E$137*$E$136*N138))))</f>
        <v>0.88152221926734242</v>
      </c>
      <c r="O134" s="27">
        <f>IF(O138&lt;283,0,IF(O138&gt;303,1,EXP(($E$135*(O138-$E$136))/($E$137*$E$136*O138))))</f>
        <v>0.62729263560178183</v>
      </c>
      <c r="P134" s="27">
        <f>IF(P138&lt;283,0,IF(P138&gt;303,1,EXP(($E$135*(P138-$E$136))/($E$137*$E$136*P138))))</f>
        <v>0.55084569341606926</v>
      </c>
      <c r="Q134" s="27">
        <f>IF(Q138&lt;283,0,IF(Q138&gt;303,1,EXP(($E$135*(Q138-$E$136))/($E$137*$E$136*Q138))))</f>
        <v>0.29505266129807517</v>
      </c>
    </row>
    <row r="135" spans="1:17" x14ac:dyDescent="0.25">
      <c r="A135" s="17" t="s">
        <v>51</v>
      </c>
      <c r="B135" s="17" t="s">
        <v>52</v>
      </c>
      <c r="C135" s="17" t="s">
        <v>53</v>
      </c>
      <c r="D135" s="17" t="s">
        <v>389</v>
      </c>
      <c r="E135" s="176">
        <v>15175</v>
      </c>
      <c r="F135" s="176"/>
      <c r="G135" s="176"/>
      <c r="H135" s="176"/>
      <c r="I135" s="176"/>
      <c r="J135" s="176"/>
      <c r="K135" s="176"/>
      <c r="L135" s="176"/>
      <c r="M135" s="176"/>
      <c r="N135" s="176"/>
      <c r="O135" s="176"/>
      <c r="P135" s="176"/>
      <c r="Q135" s="176"/>
    </row>
    <row r="136" spans="1:17" ht="18" x14ac:dyDescent="0.25">
      <c r="A136" s="17" t="s">
        <v>141</v>
      </c>
      <c r="B136" s="17" t="s">
        <v>55</v>
      </c>
      <c r="C136" s="17" t="s">
        <v>56</v>
      </c>
      <c r="D136" s="17" t="s">
        <v>389</v>
      </c>
      <c r="E136" s="176">
        <v>303.16000000000003</v>
      </c>
      <c r="F136" s="176"/>
      <c r="G136" s="176"/>
      <c r="H136" s="176"/>
      <c r="I136" s="176"/>
      <c r="J136" s="176"/>
      <c r="K136" s="176"/>
      <c r="L136" s="176"/>
      <c r="M136" s="176"/>
      <c r="N136" s="176"/>
      <c r="O136" s="176"/>
      <c r="P136" s="176"/>
      <c r="Q136" s="176"/>
    </row>
    <row r="137" spans="1:17" x14ac:dyDescent="0.25">
      <c r="A137" s="17" t="s">
        <v>57</v>
      </c>
      <c r="B137" s="17" t="s">
        <v>58</v>
      </c>
      <c r="C137" s="17" t="s">
        <v>59</v>
      </c>
      <c r="D137" s="17" t="s">
        <v>389</v>
      </c>
      <c r="E137" s="176">
        <v>1.9870000000000001</v>
      </c>
      <c r="F137" s="176"/>
      <c r="G137" s="176"/>
      <c r="H137" s="176"/>
      <c r="I137" s="176"/>
      <c r="J137" s="176"/>
      <c r="K137" s="176"/>
      <c r="L137" s="176"/>
      <c r="M137" s="176"/>
      <c r="N137" s="176"/>
      <c r="O137" s="176"/>
      <c r="P137" s="176"/>
      <c r="Q137" s="176"/>
    </row>
    <row r="138" spans="1:17" ht="18" x14ac:dyDescent="0.25">
      <c r="A138" s="17" t="s">
        <v>142</v>
      </c>
      <c r="B138" s="17" t="s">
        <v>55</v>
      </c>
      <c r="C138" s="17" t="s">
        <v>143</v>
      </c>
      <c r="D138" s="144" t="s">
        <v>363</v>
      </c>
      <c r="E138" s="28">
        <f>AVERAGE(F138:Q138)</f>
        <v>296.14999999999998</v>
      </c>
      <c r="F138" s="25" t="s">
        <v>297</v>
      </c>
      <c r="G138" s="25" t="s">
        <v>297</v>
      </c>
      <c r="H138" s="25" t="s">
        <v>297</v>
      </c>
      <c r="I138" s="25" t="s">
        <v>297</v>
      </c>
      <c r="J138" s="25" t="s">
        <v>297</v>
      </c>
      <c r="K138" s="25" t="s">
        <v>297</v>
      </c>
      <c r="L138" s="25" t="s">
        <v>297</v>
      </c>
      <c r="M138" s="25" t="s">
        <v>297</v>
      </c>
      <c r="N138" s="25">
        <v>301.64999999999998</v>
      </c>
      <c r="O138" s="25">
        <v>297.64999999999998</v>
      </c>
      <c r="P138" s="25">
        <v>296.14999999999998</v>
      </c>
      <c r="Q138" s="25">
        <v>289.14999999999998</v>
      </c>
    </row>
    <row r="139" spans="1:17" ht="46.8" x14ac:dyDescent="0.25">
      <c r="A139" s="17" t="s">
        <v>144</v>
      </c>
      <c r="B139" s="17" t="s">
        <v>24</v>
      </c>
      <c r="C139" s="17" t="s">
        <v>145</v>
      </c>
      <c r="D139" s="17" t="s">
        <v>390</v>
      </c>
      <c r="E139" s="29">
        <f>SUM(F139:Q139)</f>
        <v>4.1665765309931002</v>
      </c>
      <c r="F139" s="29" t="s">
        <v>297</v>
      </c>
      <c r="G139" s="29" t="s">
        <v>297</v>
      </c>
      <c r="H139" s="29" t="s">
        <v>297</v>
      </c>
      <c r="I139" s="29" t="s">
        <v>297</v>
      </c>
      <c r="J139" s="29" t="s">
        <v>297</v>
      </c>
      <c r="K139" s="29" t="s">
        <v>297</v>
      </c>
      <c r="L139" s="29" t="s">
        <v>297</v>
      </c>
      <c r="M139" s="29" t="s">
        <v>297</v>
      </c>
      <c r="N139" s="29">
        <f>N126*N127*'Project Emissions 2020'!N118+(1-N134)*0</f>
        <v>1.0667305710904758</v>
      </c>
      <c r="O139" s="29">
        <f>O126*O127*'Project Emissions 2020'!O118+(1-O134)*0</f>
        <v>1.1997673307099457</v>
      </c>
      <c r="P139" s="29">
        <f>P126*P127*'Project Emissions 2020'!P118+(1-P134)*0</f>
        <v>0.92612778943138885</v>
      </c>
      <c r="Q139" s="29">
        <f>Q126*Q127*'Project Emissions 2020'!Q118+(1-Q134)*0</f>
        <v>0.97395083976129027</v>
      </c>
    </row>
    <row r="140" spans="1:17" x14ac:dyDescent="0.3">
      <c r="A140" s="30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</row>
    <row r="141" spans="1:17" x14ac:dyDescent="0.25">
      <c r="A141" s="174" t="s">
        <v>146</v>
      </c>
      <c r="B141" s="174"/>
      <c r="C141" s="175"/>
      <c r="D141" s="175"/>
      <c r="E141" s="195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</row>
    <row r="142" spans="1:17" x14ac:dyDescent="0.25">
      <c r="A142" s="33" t="s">
        <v>8</v>
      </c>
      <c r="B142" s="33" t="s">
        <v>9</v>
      </c>
      <c r="C142" s="34" t="s">
        <v>10</v>
      </c>
      <c r="D142" s="34" t="s">
        <v>340</v>
      </c>
      <c r="E142" s="16" t="s">
        <v>65</v>
      </c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</row>
    <row r="143" spans="1:17" ht="46.8" x14ac:dyDescent="0.25">
      <c r="A143" s="15" t="s">
        <v>147</v>
      </c>
      <c r="B143" s="17" t="s">
        <v>95</v>
      </c>
      <c r="C143" s="35" t="s">
        <v>148</v>
      </c>
      <c r="D143" s="35" t="s">
        <v>68</v>
      </c>
      <c r="E143" s="16">
        <v>0</v>
      </c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</row>
    <row r="144" spans="1:17" x14ac:dyDescent="0.25">
      <c r="A144" s="36"/>
      <c r="B144" s="36"/>
      <c r="C144" s="37"/>
      <c r="D144" s="37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</row>
    <row r="145" spans="1:19" x14ac:dyDescent="0.25">
      <c r="A145" s="174" t="s">
        <v>149</v>
      </c>
      <c r="B145" s="174"/>
      <c r="C145" s="175"/>
      <c r="D145" s="175"/>
      <c r="E145" s="195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</row>
    <row r="146" spans="1:19" x14ac:dyDescent="0.25">
      <c r="A146" s="33" t="s">
        <v>8</v>
      </c>
      <c r="B146" s="33" t="s">
        <v>9</v>
      </c>
      <c r="C146" s="34" t="s">
        <v>10</v>
      </c>
      <c r="D146" s="34" t="s">
        <v>340</v>
      </c>
      <c r="E146" s="16" t="s">
        <v>65</v>
      </c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</row>
    <row r="147" spans="1:19" ht="46.8" x14ac:dyDescent="0.25">
      <c r="A147" s="15" t="s">
        <v>150</v>
      </c>
      <c r="B147" s="17" t="s">
        <v>95</v>
      </c>
      <c r="C147" s="35" t="s">
        <v>151</v>
      </c>
      <c r="D147" s="35" t="s">
        <v>68</v>
      </c>
      <c r="E147" s="16">
        <v>0</v>
      </c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</row>
    <row r="148" spans="1:19" x14ac:dyDescent="0.25"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</row>
    <row r="149" spans="1:19" x14ac:dyDescent="0.25">
      <c r="A149" s="174" t="s">
        <v>152</v>
      </c>
      <c r="B149" s="174"/>
      <c r="C149" s="175"/>
      <c r="D149" s="175"/>
      <c r="E149" s="195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</row>
    <row r="150" spans="1:19" s="10" customFormat="1" x14ac:dyDescent="0.25">
      <c r="A150" s="15" t="s">
        <v>8</v>
      </c>
      <c r="B150" s="15" t="s">
        <v>9</v>
      </c>
      <c r="C150" s="38" t="s">
        <v>10</v>
      </c>
      <c r="D150" s="38" t="s">
        <v>340</v>
      </c>
      <c r="E150" s="16" t="s">
        <v>65</v>
      </c>
      <c r="F150" s="32"/>
      <c r="G150" s="32"/>
      <c r="H150" s="39"/>
      <c r="I150" s="39"/>
      <c r="J150" s="39"/>
      <c r="K150" s="39"/>
      <c r="L150" s="39"/>
      <c r="M150" s="39"/>
      <c r="N150" s="39"/>
      <c r="O150" s="39"/>
      <c r="P150" s="39"/>
      <c r="Q150" s="39"/>
    </row>
    <row r="151" spans="1:19" s="10" customFormat="1" ht="18" x14ac:dyDescent="0.4">
      <c r="A151" s="40" t="s">
        <v>153</v>
      </c>
      <c r="B151" s="17" t="s">
        <v>103</v>
      </c>
      <c r="C151" s="35" t="s">
        <v>154</v>
      </c>
      <c r="D151" s="35" t="s">
        <v>155</v>
      </c>
      <c r="E151" s="41">
        <f>E152*E154*(1+E153)</f>
        <v>79.624408353600003</v>
      </c>
      <c r="F151" s="32"/>
      <c r="G151" s="32"/>
      <c r="H151" s="39"/>
      <c r="I151" s="39"/>
      <c r="J151" s="39"/>
      <c r="K151" s="39"/>
      <c r="L151" s="39"/>
      <c r="M151" s="39"/>
      <c r="N151" s="39"/>
      <c r="O151" s="39"/>
      <c r="P151" s="39"/>
      <c r="Q151" s="39"/>
    </row>
    <row r="152" spans="1:19" ht="31.2" x14ac:dyDescent="0.25">
      <c r="A152" s="17" t="s">
        <v>156</v>
      </c>
      <c r="B152" s="17" t="s">
        <v>157</v>
      </c>
      <c r="C152" s="35" t="s">
        <v>158</v>
      </c>
      <c r="D152" s="35" t="s">
        <v>343</v>
      </c>
      <c r="E152" s="20">
        <f>130399.28/1000</f>
        <v>130.39928</v>
      </c>
      <c r="G152" s="42"/>
      <c r="H152" s="43"/>
      <c r="I152" s="43"/>
      <c r="J152" s="43"/>
      <c r="K152" s="43"/>
      <c r="L152" s="43"/>
      <c r="M152" s="43"/>
      <c r="N152" s="43"/>
      <c r="O152" s="43"/>
      <c r="P152" s="43"/>
      <c r="Q152" s="43"/>
      <c r="R152" s="9"/>
      <c r="S152" s="9"/>
    </row>
    <row r="153" spans="1:19" ht="31.2" x14ac:dyDescent="0.25">
      <c r="A153" s="17" t="s">
        <v>159</v>
      </c>
      <c r="B153" s="17" t="s">
        <v>160</v>
      </c>
      <c r="C153" s="35" t="s">
        <v>161</v>
      </c>
      <c r="D153" s="35" t="s">
        <v>162</v>
      </c>
      <c r="E153" s="44">
        <v>0.2</v>
      </c>
      <c r="H153" s="43"/>
      <c r="I153" s="43"/>
      <c r="J153" s="43"/>
      <c r="K153" s="43"/>
      <c r="L153" s="43"/>
      <c r="M153" s="43"/>
      <c r="N153" s="43"/>
      <c r="O153" s="43"/>
      <c r="P153" s="43"/>
      <c r="Q153" s="43"/>
      <c r="R153" s="9"/>
      <c r="S153" s="9"/>
    </row>
    <row r="154" spans="1:19" ht="46.8" x14ac:dyDescent="0.25">
      <c r="A154" s="17" t="s">
        <v>163</v>
      </c>
      <c r="B154" s="17" t="s">
        <v>164</v>
      </c>
      <c r="C154" s="35" t="s">
        <v>165</v>
      </c>
      <c r="D154" s="35" t="s">
        <v>166</v>
      </c>
      <c r="E154" s="45">
        <f>0.5*0.8042+0.5*0.2135</f>
        <v>0.50885000000000002</v>
      </c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</row>
    <row r="155" spans="1:19" ht="31.2" x14ac:dyDescent="0.4">
      <c r="A155" s="40" t="s">
        <v>167</v>
      </c>
      <c r="B155" s="17" t="s">
        <v>103</v>
      </c>
      <c r="C155" s="35" t="s">
        <v>168</v>
      </c>
      <c r="D155" s="35" t="s">
        <v>169</v>
      </c>
      <c r="E155" s="47">
        <v>0</v>
      </c>
      <c r="H155" s="43"/>
      <c r="I155" s="43"/>
      <c r="J155" s="43"/>
      <c r="K155" s="43"/>
      <c r="L155" s="43"/>
      <c r="M155" s="43"/>
      <c r="N155" s="43"/>
      <c r="O155" s="43"/>
      <c r="P155" s="43"/>
      <c r="Q155" s="43"/>
      <c r="R155" s="9"/>
      <c r="S155" s="9"/>
    </row>
    <row r="156" spans="1:19" x14ac:dyDescent="0.3">
      <c r="A156" s="48"/>
      <c r="E156" s="49"/>
      <c r="H156" s="43"/>
      <c r="I156" s="43"/>
      <c r="J156" s="43"/>
      <c r="K156" s="43"/>
      <c r="L156" s="43"/>
      <c r="M156" s="43"/>
      <c r="N156" s="43"/>
      <c r="O156" s="43"/>
      <c r="P156" s="43"/>
      <c r="Q156" s="43"/>
      <c r="R156" s="9"/>
      <c r="S156" s="9"/>
    </row>
    <row r="157" spans="1:19" x14ac:dyDescent="0.25">
      <c r="A157" s="174" t="s">
        <v>170</v>
      </c>
      <c r="B157" s="174"/>
      <c r="C157" s="175"/>
      <c r="D157" s="175"/>
      <c r="E157" s="195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</row>
    <row r="158" spans="1:19" x14ac:dyDescent="0.25">
      <c r="A158" s="15" t="s">
        <v>8</v>
      </c>
      <c r="B158" s="15" t="s">
        <v>9</v>
      </c>
      <c r="C158" s="38" t="s">
        <v>10</v>
      </c>
      <c r="D158" s="38" t="s">
        <v>340</v>
      </c>
      <c r="E158" s="16" t="s">
        <v>65</v>
      </c>
      <c r="H158" s="43"/>
      <c r="I158" s="43"/>
      <c r="J158" s="43"/>
      <c r="K158" s="43"/>
      <c r="L158" s="43"/>
      <c r="M158" s="43"/>
      <c r="N158" s="43"/>
      <c r="O158" s="43"/>
      <c r="P158" s="43"/>
      <c r="Q158" s="43"/>
      <c r="R158" s="9"/>
      <c r="S158" s="9"/>
    </row>
    <row r="159" spans="1:19" ht="33.6" x14ac:dyDescent="0.4">
      <c r="A159" s="40" t="s">
        <v>171</v>
      </c>
      <c r="B159" s="17" t="s">
        <v>74</v>
      </c>
      <c r="C159" s="35" t="s">
        <v>172</v>
      </c>
      <c r="D159" s="35" t="s">
        <v>391</v>
      </c>
      <c r="E159" s="50">
        <f>E160*E163*E164*E165*E166*E167</f>
        <v>0.59707445334263987</v>
      </c>
      <c r="H159" s="43"/>
      <c r="I159" s="43"/>
      <c r="J159" s="43"/>
      <c r="K159" s="43"/>
      <c r="L159" s="43"/>
      <c r="M159" s="43"/>
      <c r="N159" s="43"/>
      <c r="O159" s="43"/>
      <c r="P159" s="43"/>
      <c r="Q159" s="43"/>
      <c r="R159" s="9"/>
      <c r="S159" s="9"/>
    </row>
    <row r="160" spans="1:19" ht="46.8" x14ac:dyDescent="0.4">
      <c r="A160" s="51" t="s">
        <v>173</v>
      </c>
      <c r="B160" s="17" t="s">
        <v>76</v>
      </c>
      <c r="C160" s="35" t="s">
        <v>174</v>
      </c>
      <c r="D160" s="35" t="s">
        <v>392</v>
      </c>
      <c r="E160" s="69">
        <f>ROUNDUP(E161/E162,0)</f>
        <v>35</v>
      </c>
      <c r="H160" s="43"/>
      <c r="I160" s="43"/>
      <c r="J160" s="43"/>
      <c r="K160" s="43"/>
      <c r="L160" s="43"/>
      <c r="M160" s="43"/>
      <c r="N160" s="43"/>
      <c r="O160" s="43"/>
      <c r="P160" s="43"/>
      <c r="Q160" s="43"/>
      <c r="R160" s="9"/>
      <c r="S160" s="9"/>
    </row>
    <row r="161" spans="1:19" ht="62.4" x14ac:dyDescent="0.25">
      <c r="A161" s="17" t="s">
        <v>175</v>
      </c>
      <c r="B161" s="17" t="s">
        <v>78</v>
      </c>
      <c r="C161" s="35" t="s">
        <v>176</v>
      </c>
      <c r="D161" s="35" t="s">
        <v>346</v>
      </c>
      <c r="E161" s="52">
        <v>171.55500000000001</v>
      </c>
      <c r="H161" s="43"/>
      <c r="I161" s="43"/>
      <c r="J161" s="43"/>
      <c r="K161" s="43"/>
      <c r="L161" s="43"/>
      <c r="M161" s="43"/>
      <c r="N161" s="43"/>
      <c r="O161" s="43"/>
      <c r="P161" s="43"/>
      <c r="Q161" s="43"/>
      <c r="R161" s="9"/>
      <c r="S161" s="9"/>
    </row>
    <row r="162" spans="1:19" ht="62.4" x14ac:dyDescent="0.25">
      <c r="A162" s="17" t="s">
        <v>177</v>
      </c>
      <c r="B162" s="17" t="s">
        <v>80</v>
      </c>
      <c r="C162" s="35" t="s">
        <v>81</v>
      </c>
      <c r="D162" s="35" t="s">
        <v>345</v>
      </c>
      <c r="E162" s="25">
        <f>5</f>
        <v>5</v>
      </c>
      <c r="H162" s="43"/>
      <c r="I162" s="43"/>
      <c r="J162" s="43"/>
      <c r="K162" s="43"/>
      <c r="L162" s="43"/>
      <c r="M162" s="43"/>
      <c r="N162" s="43"/>
      <c r="O162" s="43"/>
      <c r="P162" s="43"/>
      <c r="Q162" s="43"/>
      <c r="R162" s="9"/>
      <c r="S162" s="9"/>
    </row>
    <row r="163" spans="1:19" ht="202.8" x14ac:dyDescent="0.25">
      <c r="A163" s="17" t="s">
        <v>178</v>
      </c>
      <c r="B163" s="17" t="s">
        <v>82</v>
      </c>
      <c r="C163" s="35" t="s">
        <v>179</v>
      </c>
      <c r="D163" s="35" t="s">
        <v>367</v>
      </c>
      <c r="E163" s="25">
        <f>12.6*2</f>
        <v>25.2</v>
      </c>
      <c r="H163" s="43"/>
      <c r="I163" s="43"/>
      <c r="J163" s="43"/>
      <c r="K163" s="43"/>
      <c r="L163" s="43"/>
      <c r="M163" s="43"/>
      <c r="N163" s="43"/>
      <c r="O163" s="43"/>
      <c r="P163" s="43"/>
      <c r="Q163" s="43"/>
      <c r="R163" s="9"/>
      <c r="S163" s="9"/>
    </row>
    <row r="164" spans="1:19" ht="156" x14ac:dyDescent="0.25">
      <c r="A164" s="17" t="s">
        <v>180</v>
      </c>
      <c r="B164" s="17" t="s">
        <v>84</v>
      </c>
      <c r="C164" s="35" t="s">
        <v>85</v>
      </c>
      <c r="D164" s="35" t="s">
        <v>365</v>
      </c>
      <c r="E164" s="25">
        <f>25.1/100</f>
        <v>0.251</v>
      </c>
      <c r="H164" s="43"/>
      <c r="I164" s="43"/>
      <c r="J164" s="43"/>
      <c r="K164" s="43"/>
      <c r="L164" s="43"/>
      <c r="M164" s="43"/>
      <c r="N164" s="43"/>
      <c r="O164" s="43"/>
      <c r="P164" s="43"/>
      <c r="Q164" s="43"/>
      <c r="R164" s="9"/>
      <c r="S164" s="9"/>
    </row>
    <row r="165" spans="1:19" ht="62.4" x14ac:dyDescent="0.25">
      <c r="A165" s="17" t="s">
        <v>86</v>
      </c>
      <c r="B165" s="17" t="s">
        <v>87</v>
      </c>
      <c r="C165" s="35" t="s">
        <v>86</v>
      </c>
      <c r="D165" s="35" t="s">
        <v>215</v>
      </c>
      <c r="E165" s="25">
        <f>0.84/1000</f>
        <v>8.3999999999999993E-4</v>
      </c>
      <c r="H165" s="43"/>
      <c r="I165" s="43"/>
      <c r="J165" s="43"/>
      <c r="K165" s="43"/>
      <c r="L165" s="43"/>
      <c r="M165" s="43"/>
      <c r="N165" s="43"/>
      <c r="O165" s="43"/>
      <c r="P165" s="43"/>
      <c r="Q165" s="43"/>
      <c r="R165" s="9"/>
      <c r="S165" s="9"/>
    </row>
    <row r="166" spans="1:19" ht="124.8" x14ac:dyDescent="0.25">
      <c r="A166" s="17" t="s">
        <v>181</v>
      </c>
      <c r="B166" s="17" t="s">
        <v>88</v>
      </c>
      <c r="C166" s="35" t="s">
        <v>89</v>
      </c>
      <c r="D166" s="35" t="s">
        <v>360</v>
      </c>
      <c r="E166" s="25">
        <f>43.33/1000</f>
        <v>4.333E-2</v>
      </c>
      <c r="H166" s="43"/>
      <c r="I166" s="43"/>
      <c r="J166" s="43"/>
      <c r="K166" s="43"/>
      <c r="L166" s="43"/>
      <c r="M166" s="43"/>
      <c r="N166" s="43"/>
      <c r="O166" s="43"/>
      <c r="P166" s="43"/>
      <c r="Q166" s="43"/>
      <c r="R166" s="9"/>
      <c r="S166" s="9"/>
    </row>
    <row r="167" spans="1:19" ht="33.6" x14ac:dyDescent="0.25">
      <c r="A167" s="17" t="s">
        <v>182</v>
      </c>
      <c r="B167" s="17" t="s">
        <v>90</v>
      </c>
      <c r="C167" s="35" t="s">
        <v>91</v>
      </c>
      <c r="D167" s="35" t="s">
        <v>92</v>
      </c>
      <c r="E167" s="25">
        <v>74.099999999999994</v>
      </c>
      <c r="H167" s="43"/>
      <c r="I167" s="43"/>
      <c r="J167" s="43"/>
      <c r="K167" s="43"/>
      <c r="L167" s="43"/>
      <c r="M167" s="43"/>
      <c r="N167" s="43"/>
      <c r="O167" s="43"/>
      <c r="P167" s="43"/>
      <c r="Q167" s="43"/>
      <c r="R167" s="9"/>
      <c r="S167" s="9"/>
    </row>
    <row r="169" spans="1:19" x14ac:dyDescent="0.25">
      <c r="A169" s="33" t="s">
        <v>8</v>
      </c>
      <c r="B169" s="33" t="s">
        <v>9</v>
      </c>
      <c r="C169" s="34" t="s">
        <v>10</v>
      </c>
      <c r="D169" s="34" t="s">
        <v>340</v>
      </c>
      <c r="E169" s="16" t="s">
        <v>65</v>
      </c>
    </row>
    <row r="170" spans="1:19" ht="18" x14ac:dyDescent="0.25">
      <c r="A170" s="15" t="s">
        <v>183</v>
      </c>
      <c r="B170" s="17" t="s">
        <v>103</v>
      </c>
      <c r="C170" s="35" t="s">
        <v>184</v>
      </c>
      <c r="D170" s="53" t="s">
        <v>393</v>
      </c>
      <c r="E170" s="18">
        <f>ROUNDUP(E119+E143+E147+E151+E159,0)</f>
        <v>81</v>
      </c>
    </row>
    <row r="171" spans="1:19" s="200" customFormat="1" ht="43.2" customHeight="1" x14ac:dyDescent="0.25">
      <c r="A171" s="200" t="s">
        <v>223</v>
      </c>
    </row>
    <row r="172" spans="1:19" ht="23.4" customHeight="1" x14ac:dyDescent="0.25">
      <c r="A172" s="201" t="s">
        <v>105</v>
      </c>
      <c r="B172" s="201"/>
      <c r="C172" s="201"/>
      <c r="D172" s="201"/>
      <c r="E172" s="201"/>
      <c r="F172" s="201"/>
      <c r="G172" s="201"/>
      <c r="H172" s="201"/>
      <c r="I172" s="201"/>
      <c r="J172" s="201"/>
      <c r="K172" s="201"/>
      <c r="L172" s="201"/>
      <c r="M172" s="201"/>
      <c r="N172" s="201"/>
      <c r="O172" s="201"/>
      <c r="P172" s="201"/>
      <c r="Q172" s="202"/>
    </row>
    <row r="173" spans="1:19" s="10" customFormat="1" ht="31.2" x14ac:dyDescent="0.25">
      <c r="A173" s="15" t="s">
        <v>8</v>
      </c>
      <c r="B173" s="15" t="s">
        <v>9</v>
      </c>
      <c r="C173" s="15" t="s">
        <v>10</v>
      </c>
      <c r="D173" s="15" t="s">
        <v>340</v>
      </c>
      <c r="E173" s="16" t="s">
        <v>11</v>
      </c>
      <c r="F173" s="16" t="s">
        <v>292</v>
      </c>
      <c r="G173" s="16" t="s">
        <v>292</v>
      </c>
      <c r="H173" s="16" t="s">
        <v>292</v>
      </c>
      <c r="I173" s="16" t="s">
        <v>292</v>
      </c>
      <c r="J173" s="16" t="s">
        <v>292</v>
      </c>
      <c r="K173" s="16" t="s">
        <v>292</v>
      </c>
      <c r="L173" s="16" t="s">
        <v>292</v>
      </c>
      <c r="M173" s="16" t="s">
        <v>292</v>
      </c>
      <c r="N173" s="16" t="s">
        <v>301</v>
      </c>
      <c r="O173" s="16" t="s">
        <v>293</v>
      </c>
      <c r="P173" s="16" t="s">
        <v>294</v>
      </c>
      <c r="Q173" s="16" t="s">
        <v>295</v>
      </c>
      <c r="R173" s="54"/>
      <c r="S173" s="54"/>
    </row>
    <row r="174" spans="1:19" s="10" customFormat="1" x14ac:dyDescent="0.25">
      <c r="A174" s="203" t="s">
        <v>106</v>
      </c>
      <c r="B174" s="203"/>
      <c r="C174" s="203"/>
      <c r="D174" s="203"/>
      <c r="E174" s="204"/>
      <c r="F174" s="16" t="s">
        <v>297</v>
      </c>
      <c r="G174" s="16" t="s">
        <v>297</v>
      </c>
      <c r="H174" s="16" t="s">
        <v>297</v>
      </c>
      <c r="I174" s="16" t="s">
        <v>297</v>
      </c>
      <c r="J174" s="16" t="s">
        <v>297</v>
      </c>
      <c r="K174" s="16" t="s">
        <v>297</v>
      </c>
      <c r="L174" s="16" t="s">
        <v>297</v>
      </c>
      <c r="M174" s="16" t="s">
        <v>297</v>
      </c>
      <c r="N174" s="16">
        <v>25</v>
      </c>
      <c r="O174" s="16">
        <v>31</v>
      </c>
      <c r="P174" s="16">
        <v>30</v>
      </c>
      <c r="Q174" s="16">
        <v>31</v>
      </c>
      <c r="R174" s="54"/>
      <c r="S174" s="54"/>
    </row>
    <row r="175" spans="1:19" s="10" customFormat="1" ht="31.2" x14ac:dyDescent="0.25">
      <c r="A175" s="15" t="s">
        <v>107</v>
      </c>
      <c r="B175" s="17" t="s">
        <v>103</v>
      </c>
      <c r="C175" s="17" t="s">
        <v>108</v>
      </c>
      <c r="D175" s="17" t="s">
        <v>381</v>
      </c>
      <c r="E175" s="18">
        <f>E176+E186</f>
        <v>0</v>
      </c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54"/>
      <c r="S175" s="54"/>
    </row>
    <row r="176" spans="1:19" ht="46.8" x14ac:dyDescent="0.25">
      <c r="A176" s="17" t="s">
        <v>109</v>
      </c>
      <c r="B176" s="17" t="s">
        <v>103</v>
      </c>
      <c r="C176" s="17" t="s">
        <v>110</v>
      </c>
      <c r="D176" s="17" t="s">
        <v>382</v>
      </c>
      <c r="E176" s="19">
        <f>SUM(F176:Q176)</f>
        <v>0</v>
      </c>
      <c r="F176" s="19" t="s">
        <v>297</v>
      </c>
      <c r="G176" s="19" t="s">
        <v>297</v>
      </c>
      <c r="H176" s="19" t="s">
        <v>297</v>
      </c>
      <c r="I176" s="19" t="s">
        <v>297</v>
      </c>
      <c r="J176" s="19" t="s">
        <v>297</v>
      </c>
      <c r="K176" s="19" t="s">
        <v>297</v>
      </c>
      <c r="L176" s="19" t="s">
        <v>297</v>
      </c>
      <c r="M176" s="19" t="s">
        <v>297</v>
      </c>
      <c r="N176" s="19">
        <f t="shared" ref="N176:Q176" si="20">IF(N177&gt;=0.8,0,$E$15*$E$16*0.4*(N178-N181)*N174)</f>
        <v>0</v>
      </c>
      <c r="O176" s="19">
        <f t="shared" si="20"/>
        <v>0</v>
      </c>
      <c r="P176" s="19">
        <f t="shared" si="20"/>
        <v>0</v>
      </c>
      <c r="Q176" s="19">
        <f t="shared" si="20"/>
        <v>0</v>
      </c>
    </row>
    <row r="177" spans="1:17" ht="62.4" x14ac:dyDescent="0.25">
      <c r="A177" s="17" t="s">
        <v>111</v>
      </c>
      <c r="B177" s="17" t="s">
        <v>37</v>
      </c>
      <c r="C177" s="17" t="s">
        <v>112</v>
      </c>
      <c r="D177" s="17" t="s">
        <v>383</v>
      </c>
      <c r="E177" s="20">
        <f>AVERAGE(F177:Q177)</f>
        <v>0.95441834883258159</v>
      </c>
      <c r="F177" s="20" t="s">
        <v>297</v>
      </c>
      <c r="G177" s="20" t="s">
        <v>297</v>
      </c>
      <c r="H177" s="20" t="s">
        <v>297</v>
      </c>
      <c r="I177" s="20" t="s">
        <v>297</v>
      </c>
      <c r="J177" s="20" t="s">
        <v>297</v>
      </c>
      <c r="K177" s="20" t="s">
        <v>297</v>
      </c>
      <c r="L177" s="20" t="s">
        <v>297</v>
      </c>
      <c r="M177" s="20" t="s">
        <v>297</v>
      </c>
      <c r="N177" s="20">
        <f t="shared" ref="N177:Q177" si="21">(N178-N181)/N178</f>
        <v>0.95475045402374392</v>
      </c>
      <c r="O177" s="20">
        <f t="shared" si="21"/>
        <v>0.95376592231388346</v>
      </c>
      <c r="P177" s="20">
        <f t="shared" si="21"/>
        <v>0.95481622472827221</v>
      </c>
      <c r="Q177" s="20">
        <f t="shared" si="21"/>
        <v>0.95434079426442686</v>
      </c>
    </row>
    <row r="178" spans="1:17" ht="46.8" x14ac:dyDescent="0.25">
      <c r="A178" s="17" t="s">
        <v>113</v>
      </c>
      <c r="B178" s="17" t="s">
        <v>24</v>
      </c>
      <c r="C178" s="17" t="s">
        <v>114</v>
      </c>
      <c r="D178" s="17" t="s">
        <v>384</v>
      </c>
      <c r="E178" s="20">
        <f>SUM(F178:Q178)</f>
        <v>8.6732739244903936</v>
      </c>
      <c r="F178" s="20" t="s">
        <v>297</v>
      </c>
      <c r="G178" s="20" t="s">
        <v>297</v>
      </c>
      <c r="H178" s="20" t="s">
        <v>297</v>
      </c>
      <c r="I178" s="20" t="s">
        <v>297</v>
      </c>
      <c r="J178" s="20" t="s">
        <v>297</v>
      </c>
      <c r="K178" s="20" t="s">
        <v>297</v>
      </c>
      <c r="L178" s="20" t="s">
        <v>297</v>
      </c>
      <c r="M178" s="20" t="s">
        <v>297</v>
      </c>
      <c r="N178" s="20">
        <f t="shared" ref="N178:Q178" si="22">N179*N180</f>
        <v>2.26993033337168</v>
      </c>
      <c r="O178" s="20">
        <f t="shared" si="22"/>
        <v>2.2708111855622617</v>
      </c>
      <c r="P178" s="20">
        <f t="shared" si="22"/>
        <v>2.0673608075856484</v>
      </c>
      <c r="Q178" s="20">
        <f t="shared" si="22"/>
        <v>2.0651715979708034</v>
      </c>
    </row>
    <row r="179" spans="1:17" ht="68.400000000000006" customHeight="1" x14ac:dyDescent="0.25">
      <c r="A179" s="17" t="s">
        <v>115</v>
      </c>
      <c r="B179" s="17" t="s">
        <v>116</v>
      </c>
      <c r="C179" s="17" t="s">
        <v>117</v>
      </c>
      <c r="D179" s="17" t="s">
        <v>336</v>
      </c>
      <c r="E179" s="129">
        <f>SUM(N179:Q179)</f>
        <v>20360.641503010753</v>
      </c>
      <c r="F179" s="21" t="s">
        <v>297</v>
      </c>
      <c r="G179" s="21" t="s">
        <v>297</v>
      </c>
      <c r="H179" s="21" t="s">
        <v>297</v>
      </c>
      <c r="I179" s="21" t="s">
        <v>297</v>
      </c>
      <c r="J179" s="21" t="s">
        <v>297</v>
      </c>
      <c r="K179" s="21" t="s">
        <v>297</v>
      </c>
      <c r="L179" s="21" t="s">
        <v>297</v>
      </c>
      <c r="M179" s="21" t="s">
        <v>297</v>
      </c>
      <c r="N179" s="129">
        <f>'Baseline Emissions 2020'!N174</f>
        <v>5329.6259599999994</v>
      </c>
      <c r="O179" s="129">
        <f>'Baseline Emissions 2020'!O174</f>
        <v>5329.829677419355</v>
      </c>
      <c r="P179" s="129">
        <f>'Baseline Emissions 2020'!P174</f>
        <v>4851.2198333333345</v>
      </c>
      <c r="Q179" s="129">
        <f>'Baseline Emissions 2020'!Q174</f>
        <v>4849.9660322580639</v>
      </c>
    </row>
    <row r="180" spans="1:17" ht="46.8" x14ac:dyDescent="0.25">
      <c r="A180" s="17" t="s">
        <v>118</v>
      </c>
      <c r="B180" s="17" t="s">
        <v>119</v>
      </c>
      <c r="C180" s="17" t="s">
        <v>120</v>
      </c>
      <c r="D180" s="35" t="s">
        <v>338</v>
      </c>
      <c r="E180" s="120">
        <f>AVERAGE(N180:Q180)</f>
        <v>4.2598233154121862E-4</v>
      </c>
      <c r="F180" s="23" t="str">
        <f>'Baseline Emissions 2020'!F178</f>
        <v>—</v>
      </c>
      <c r="G180" s="23" t="str">
        <f>'Baseline Emissions 2020'!G178</f>
        <v>—</v>
      </c>
      <c r="H180" s="23" t="str">
        <f>'Baseline Emissions 2020'!H178</f>
        <v>—</v>
      </c>
      <c r="I180" s="23" t="str">
        <f>'Baseline Emissions 2020'!I178</f>
        <v>—</v>
      </c>
      <c r="J180" s="23" t="str">
        <f>'Baseline Emissions 2020'!J178</f>
        <v>—</v>
      </c>
      <c r="K180" s="23" t="str">
        <f>'Baseline Emissions 2020'!K178</f>
        <v>—</v>
      </c>
      <c r="L180" s="23" t="str">
        <f>'Baseline Emissions 2020'!L178</f>
        <v>—</v>
      </c>
      <c r="M180" s="23" t="str">
        <f>'Baseline Emissions 2020'!M178</f>
        <v>—</v>
      </c>
      <c r="N180" s="130">
        <f>'Baseline Emissions 2020'!N178</f>
        <v>4.2590800000000002E-4</v>
      </c>
      <c r="O180" s="130">
        <f>'Baseline Emissions 2020'!O178</f>
        <v>4.2605698924731185E-4</v>
      </c>
      <c r="P180" s="130">
        <f>'Baseline Emissions 2020'!P178</f>
        <v>4.2615277777777774E-4</v>
      </c>
      <c r="Q180" s="130">
        <f>'Baseline Emissions 2020'!Q178</f>
        <v>4.2581155913978504E-4</v>
      </c>
    </row>
    <row r="181" spans="1:17" ht="46.8" x14ac:dyDescent="0.25">
      <c r="A181" s="17" t="s">
        <v>121</v>
      </c>
      <c r="B181" s="17" t="s">
        <v>24</v>
      </c>
      <c r="C181" s="17" t="s">
        <v>122</v>
      </c>
      <c r="D181" s="17" t="s">
        <v>384</v>
      </c>
      <c r="E181" s="20">
        <f>SUM(N181:Q181)</f>
        <v>0.39540743875312656</v>
      </c>
      <c r="F181" s="20" t="s">
        <v>297</v>
      </c>
      <c r="G181" s="20" t="s">
        <v>297</v>
      </c>
      <c r="H181" s="20" t="s">
        <v>297</v>
      </c>
      <c r="I181" s="20" t="s">
        <v>297</v>
      </c>
      <c r="J181" s="20" t="s">
        <v>297</v>
      </c>
      <c r="K181" s="20" t="s">
        <v>297</v>
      </c>
      <c r="L181" s="20" t="s">
        <v>297</v>
      </c>
      <c r="M181" s="20" t="s">
        <v>297</v>
      </c>
      <c r="N181" s="20">
        <f t="shared" ref="N181:Q181" si="23">SUM(N182*N183)</f>
        <v>0.10271331698279999</v>
      </c>
      <c r="O181" s="20">
        <f t="shared" si="23"/>
        <v>0.10498886076378773</v>
      </c>
      <c r="P181" s="20">
        <f t="shared" si="23"/>
        <v>9.3411166135527759E-2</v>
      </c>
      <c r="Q181" s="20">
        <f t="shared" si="23"/>
        <v>9.4294094871011119E-2</v>
      </c>
    </row>
    <row r="182" spans="1:17" ht="62.4" x14ac:dyDescent="0.25">
      <c r="A182" s="17" t="s">
        <v>123</v>
      </c>
      <c r="B182" s="17" t="s">
        <v>116</v>
      </c>
      <c r="C182" s="17" t="s">
        <v>124</v>
      </c>
      <c r="D182" s="17" t="s">
        <v>337</v>
      </c>
      <c r="E182" s="129">
        <f>SUM(N182:Q182)</f>
        <v>19898.063209677421</v>
      </c>
      <c r="F182" s="21" t="s">
        <v>297</v>
      </c>
      <c r="G182" s="21" t="s">
        <v>297</v>
      </c>
      <c r="H182" s="21" t="s">
        <v>297</v>
      </c>
      <c r="I182" s="21" t="s">
        <v>297</v>
      </c>
      <c r="J182" s="21" t="s">
        <v>297</v>
      </c>
      <c r="K182" s="21" t="s">
        <v>297</v>
      </c>
      <c r="L182" s="21" t="s">
        <v>297</v>
      </c>
      <c r="M182" s="21" t="s">
        <v>297</v>
      </c>
      <c r="N182" s="129">
        <v>5210.4355999999989</v>
      </c>
      <c r="O182" s="129">
        <v>5210.9909677419355</v>
      </c>
      <c r="P182" s="129">
        <v>4738.9439000000002</v>
      </c>
      <c r="Q182" s="129">
        <v>4737.6927419354843</v>
      </c>
    </row>
    <row r="183" spans="1:17" ht="46.8" x14ac:dyDescent="0.25">
      <c r="A183" s="17" t="s">
        <v>125</v>
      </c>
      <c r="B183" s="17" t="s">
        <v>119</v>
      </c>
      <c r="C183" s="17" t="s">
        <v>126</v>
      </c>
      <c r="D183" s="35" t="s">
        <v>339</v>
      </c>
      <c r="E183" s="131">
        <f>AVERAGE(N183:Q183)</f>
        <v>1.9868731630824372E-5</v>
      </c>
      <c r="F183" s="131" t="str">
        <f>'Baseline Emissions 2020'!F179</f>
        <v>—</v>
      </c>
      <c r="G183" s="131" t="str">
        <f>'Baseline Emissions 2020'!G179</f>
        <v>—</v>
      </c>
      <c r="H183" s="131" t="str">
        <f>'Baseline Emissions 2020'!H179</f>
        <v>—</v>
      </c>
      <c r="I183" s="131" t="str">
        <f>'Baseline Emissions 2020'!I179</f>
        <v>—</v>
      </c>
      <c r="J183" s="131" t="str">
        <f>'Baseline Emissions 2020'!J179</f>
        <v>—</v>
      </c>
      <c r="K183" s="131" t="str">
        <f>'Baseline Emissions 2020'!K179</f>
        <v>—</v>
      </c>
      <c r="L183" s="131" t="str">
        <f>'Baseline Emissions 2020'!L179</f>
        <v>—</v>
      </c>
      <c r="M183" s="131" t="str">
        <f>'Baseline Emissions 2020'!M179</f>
        <v>—</v>
      </c>
      <c r="N183" s="131">
        <f>'Baseline Emissions 2020'!N179</f>
        <v>1.9713000000000003E-5</v>
      </c>
      <c r="O183" s="131">
        <f>'Baseline Emissions 2020'!O179</f>
        <v>2.0147580645161291E-5</v>
      </c>
      <c r="P183" s="131">
        <f>'Baseline Emissions 2020'!P179</f>
        <v>1.9711388888888883E-5</v>
      </c>
      <c r="Q183" s="131">
        <f>'Baseline Emissions 2020'!Q179</f>
        <v>1.9902956989247315E-5</v>
      </c>
    </row>
    <row r="184" spans="1:17" ht="31.2" x14ac:dyDescent="0.25">
      <c r="A184" s="17" t="s">
        <v>127</v>
      </c>
      <c r="B184" s="17" t="s">
        <v>128</v>
      </c>
      <c r="C184" s="17" t="s">
        <v>17</v>
      </c>
      <c r="D184" s="17" t="s">
        <v>129</v>
      </c>
      <c r="E184" s="176">
        <v>28</v>
      </c>
      <c r="F184" s="176"/>
      <c r="G184" s="176"/>
      <c r="H184" s="176"/>
      <c r="I184" s="176"/>
      <c r="J184" s="176"/>
      <c r="K184" s="176"/>
      <c r="L184" s="176"/>
      <c r="M184" s="176"/>
      <c r="N184" s="176"/>
      <c r="O184" s="176"/>
      <c r="P184" s="176"/>
      <c r="Q184" s="176"/>
    </row>
    <row r="185" spans="1:17" ht="64.8" x14ac:dyDescent="0.25">
      <c r="A185" s="17" t="s">
        <v>130</v>
      </c>
      <c r="B185" s="17" t="s">
        <v>19</v>
      </c>
      <c r="C185" s="17" t="s">
        <v>131</v>
      </c>
      <c r="D185" s="17" t="s">
        <v>394</v>
      </c>
      <c r="E185" s="176">
        <v>0.21</v>
      </c>
      <c r="F185" s="176"/>
      <c r="G185" s="176"/>
      <c r="H185" s="176"/>
      <c r="I185" s="176"/>
      <c r="J185" s="176"/>
      <c r="K185" s="176"/>
      <c r="L185" s="176"/>
      <c r="M185" s="176"/>
      <c r="N185" s="176"/>
      <c r="O185" s="176"/>
      <c r="P185" s="176"/>
      <c r="Q185" s="176"/>
    </row>
    <row r="186" spans="1:17" ht="46.8" x14ac:dyDescent="0.25">
      <c r="A186" s="17" t="s">
        <v>132</v>
      </c>
      <c r="B186" s="17" t="s">
        <v>103</v>
      </c>
      <c r="C186" s="17" t="s">
        <v>133</v>
      </c>
      <c r="D186" s="17" t="s">
        <v>385</v>
      </c>
      <c r="E186" s="19">
        <f>SUM(F186:Q186)</f>
        <v>0</v>
      </c>
      <c r="F186" s="19" t="s">
        <v>297</v>
      </c>
      <c r="G186" s="19" t="s">
        <v>297</v>
      </c>
      <c r="H186" s="19" t="s">
        <v>297</v>
      </c>
      <c r="I186" s="19" t="s">
        <v>297</v>
      </c>
      <c r="J186" s="19" t="s">
        <v>297</v>
      </c>
      <c r="K186" s="19" t="s">
        <v>297</v>
      </c>
      <c r="L186" s="19" t="s">
        <v>297</v>
      </c>
      <c r="M186" s="19" t="s">
        <v>297</v>
      </c>
      <c r="N186" s="19">
        <f t="shared" ref="N186:Q186" si="24">$E$15*$E$16*N187*N181*N174</f>
        <v>0</v>
      </c>
      <c r="O186" s="19">
        <f t="shared" si="24"/>
        <v>0</v>
      </c>
      <c r="P186" s="19">
        <f t="shared" si="24"/>
        <v>0</v>
      </c>
      <c r="Q186" s="19">
        <f t="shared" si="24"/>
        <v>0</v>
      </c>
    </row>
    <row r="187" spans="1:17" ht="18" x14ac:dyDescent="0.25">
      <c r="A187" s="17" t="s">
        <v>134</v>
      </c>
      <c r="B187" s="17" t="s">
        <v>37</v>
      </c>
      <c r="C187" s="17" t="s">
        <v>135</v>
      </c>
      <c r="D187" s="17" t="s">
        <v>386</v>
      </c>
      <c r="E187" s="26">
        <f>AVERAGE(F187:Q187)</f>
        <v>0</v>
      </c>
      <c r="F187" s="26" t="s">
        <v>297</v>
      </c>
      <c r="G187" s="26" t="s">
        <v>297</v>
      </c>
      <c r="H187" s="26" t="s">
        <v>297</v>
      </c>
      <c r="I187" s="26" t="s">
        <v>297</v>
      </c>
      <c r="J187" s="26" t="s">
        <v>297</v>
      </c>
      <c r="K187" s="26" t="s">
        <v>297</v>
      </c>
      <c r="L187" s="26" t="s">
        <v>297</v>
      </c>
      <c r="M187" s="26" t="s">
        <v>297</v>
      </c>
      <c r="N187" s="26">
        <f>N188*$E$189*0.89</f>
        <v>0</v>
      </c>
      <c r="O187" s="26">
        <f t="shared" ref="O187:Q187" si="25">O188*$E$189*0.89</f>
        <v>0</v>
      </c>
      <c r="P187" s="26">
        <f t="shared" si="25"/>
        <v>0</v>
      </c>
      <c r="Q187" s="26">
        <f t="shared" si="25"/>
        <v>0</v>
      </c>
    </row>
    <row r="188" spans="1:17" ht="31.2" x14ac:dyDescent="0.25">
      <c r="A188" s="17" t="s">
        <v>136</v>
      </c>
      <c r="B188" s="17" t="s">
        <v>37</v>
      </c>
      <c r="C188" s="17" t="s">
        <v>46</v>
      </c>
      <c r="D188" s="17" t="s">
        <v>387</v>
      </c>
      <c r="E188" s="25">
        <v>0</v>
      </c>
      <c r="F188" s="25" t="s">
        <v>297</v>
      </c>
      <c r="G188" s="25" t="s">
        <v>297</v>
      </c>
      <c r="H188" s="25" t="s">
        <v>297</v>
      </c>
      <c r="I188" s="25" t="s">
        <v>297</v>
      </c>
      <c r="J188" s="25" t="s">
        <v>297</v>
      </c>
      <c r="K188" s="25" t="s">
        <v>297</v>
      </c>
      <c r="L188" s="25" t="s">
        <v>297</v>
      </c>
      <c r="M188" s="25" t="s">
        <v>297</v>
      </c>
      <c r="N188" s="25">
        <v>0</v>
      </c>
      <c r="O188" s="25">
        <v>0</v>
      </c>
      <c r="P188" s="25">
        <v>0</v>
      </c>
      <c r="Q188" s="25">
        <v>0</v>
      </c>
    </row>
    <row r="189" spans="1:17" ht="31.2" x14ac:dyDescent="0.25">
      <c r="A189" s="17" t="s">
        <v>137</v>
      </c>
      <c r="B189" s="17" t="s">
        <v>201</v>
      </c>
      <c r="C189" s="17" t="s">
        <v>138</v>
      </c>
      <c r="D189" s="17" t="s">
        <v>388</v>
      </c>
      <c r="E189" s="196">
        <f>(N190*N195+O190*O195+P190*P195+Q190*Q195)/(N183*N182*N174+O182*O183*O174+P183*P182*P174+Q183*Q182*Q174)</f>
        <v>0.58117296715319944</v>
      </c>
      <c r="F189" s="196"/>
      <c r="G189" s="196"/>
      <c r="H189" s="196"/>
      <c r="I189" s="196"/>
      <c r="J189" s="196"/>
      <c r="K189" s="196"/>
      <c r="L189" s="196"/>
      <c r="M189" s="196"/>
      <c r="N189" s="196"/>
      <c r="O189" s="196"/>
      <c r="P189" s="196"/>
      <c r="Q189" s="196"/>
    </row>
    <row r="190" spans="1:17" ht="31.2" x14ac:dyDescent="0.25">
      <c r="A190" s="17" t="s">
        <v>139</v>
      </c>
      <c r="B190" s="17" t="s">
        <v>37</v>
      </c>
      <c r="C190" s="17" t="s">
        <v>140</v>
      </c>
      <c r="D190" s="17" t="s">
        <v>375</v>
      </c>
      <c r="E190" s="27">
        <f>AVERAGE(F190:Q190)</f>
        <v>0.58867830239581709</v>
      </c>
      <c r="F190" s="27" t="s">
        <v>297</v>
      </c>
      <c r="G190" s="27" t="s">
        <v>297</v>
      </c>
      <c r="H190" s="27" t="s">
        <v>297</v>
      </c>
      <c r="I190" s="27" t="s">
        <v>297</v>
      </c>
      <c r="J190" s="27" t="s">
        <v>297</v>
      </c>
      <c r="K190" s="27" t="s">
        <v>297</v>
      </c>
      <c r="L190" s="27" t="s">
        <v>297</v>
      </c>
      <c r="M190" s="27" t="s">
        <v>297</v>
      </c>
      <c r="N190" s="27">
        <f>IF(N194&lt;283,0,IF(N194&gt;303,1,EXP(($E$191*(N194-$E$192))/($E$193*$E$192*N194))))</f>
        <v>0.88152221926734242</v>
      </c>
      <c r="O190" s="27">
        <f t="shared" ref="O190:Q190" si="26">IF(O194&lt;283,0,IF(O194&gt;303,1,EXP(($E$191*(O194-$E$192))/($E$193*$E$192*O194))))</f>
        <v>0.62729263560178183</v>
      </c>
      <c r="P190" s="27">
        <f t="shared" si="26"/>
        <v>0.55084569341606926</v>
      </c>
      <c r="Q190" s="27">
        <f t="shared" si="26"/>
        <v>0.29505266129807517</v>
      </c>
    </row>
    <row r="191" spans="1:17" x14ac:dyDescent="0.25">
      <c r="A191" s="17" t="s">
        <v>51</v>
      </c>
      <c r="B191" s="17" t="s">
        <v>52</v>
      </c>
      <c r="C191" s="17" t="s">
        <v>53</v>
      </c>
      <c r="D191" s="17" t="s">
        <v>389</v>
      </c>
      <c r="E191" s="176">
        <v>15175</v>
      </c>
      <c r="F191" s="176"/>
      <c r="G191" s="176"/>
      <c r="H191" s="176"/>
      <c r="I191" s="176"/>
      <c r="J191" s="176"/>
      <c r="K191" s="176"/>
      <c r="L191" s="176"/>
      <c r="M191" s="176"/>
      <c r="N191" s="176"/>
      <c r="O191" s="176"/>
      <c r="P191" s="176"/>
      <c r="Q191" s="176"/>
    </row>
    <row r="192" spans="1:17" ht="18" x14ac:dyDescent="0.25">
      <c r="A192" s="17" t="s">
        <v>141</v>
      </c>
      <c r="B192" s="17" t="s">
        <v>55</v>
      </c>
      <c r="C192" s="17" t="s">
        <v>56</v>
      </c>
      <c r="D192" s="17" t="s">
        <v>389</v>
      </c>
      <c r="E192" s="176">
        <v>303.16000000000003</v>
      </c>
      <c r="F192" s="176"/>
      <c r="G192" s="176"/>
      <c r="H192" s="176"/>
      <c r="I192" s="176"/>
      <c r="J192" s="176"/>
      <c r="K192" s="176"/>
      <c r="L192" s="176"/>
      <c r="M192" s="176"/>
      <c r="N192" s="176"/>
      <c r="O192" s="176"/>
      <c r="P192" s="176"/>
      <c r="Q192" s="176"/>
    </row>
    <row r="193" spans="1:19" x14ac:dyDescent="0.25">
      <c r="A193" s="17" t="s">
        <v>57</v>
      </c>
      <c r="B193" s="17" t="s">
        <v>58</v>
      </c>
      <c r="C193" s="17" t="s">
        <v>59</v>
      </c>
      <c r="D193" s="17" t="s">
        <v>389</v>
      </c>
      <c r="E193" s="176">
        <v>1.9870000000000001</v>
      </c>
      <c r="F193" s="176"/>
      <c r="G193" s="176"/>
      <c r="H193" s="176"/>
      <c r="I193" s="176"/>
      <c r="J193" s="176"/>
      <c r="K193" s="176"/>
      <c r="L193" s="176"/>
      <c r="M193" s="176"/>
      <c r="N193" s="176"/>
      <c r="O193" s="176"/>
      <c r="P193" s="176"/>
      <c r="Q193" s="176"/>
    </row>
    <row r="194" spans="1:19" ht="18" x14ac:dyDescent="0.25">
      <c r="A194" s="17" t="s">
        <v>142</v>
      </c>
      <c r="B194" s="17" t="s">
        <v>55</v>
      </c>
      <c r="C194" s="17" t="s">
        <v>143</v>
      </c>
      <c r="D194" s="144" t="s">
        <v>363</v>
      </c>
      <c r="E194" s="28">
        <f>AVERAGE(F194:Q194)</f>
        <v>296.14999999999998</v>
      </c>
      <c r="F194" s="25" t="s">
        <v>297</v>
      </c>
      <c r="G194" s="25" t="s">
        <v>297</v>
      </c>
      <c r="H194" s="25" t="s">
        <v>297</v>
      </c>
      <c r="I194" s="25" t="s">
        <v>297</v>
      </c>
      <c r="J194" s="25" t="s">
        <v>297</v>
      </c>
      <c r="K194" s="25" t="s">
        <v>297</v>
      </c>
      <c r="L194" s="25" t="s">
        <v>297</v>
      </c>
      <c r="M194" s="25" t="s">
        <v>297</v>
      </c>
      <c r="N194" s="25">
        <v>301.64999999999998</v>
      </c>
      <c r="O194" s="25">
        <v>297.64999999999998</v>
      </c>
      <c r="P194" s="25">
        <v>296.14999999999998</v>
      </c>
      <c r="Q194" s="25">
        <v>289.14999999999998</v>
      </c>
    </row>
    <row r="195" spans="1:19" ht="46.8" x14ac:dyDescent="0.25">
      <c r="A195" s="17" t="s">
        <v>144</v>
      </c>
      <c r="B195" s="17" t="s">
        <v>24</v>
      </c>
      <c r="C195" s="17" t="s">
        <v>145</v>
      </c>
      <c r="D195" s="17" t="s">
        <v>390</v>
      </c>
      <c r="E195" s="29">
        <f>SUM(F195:Q195)</f>
        <v>11.547939533314597</v>
      </c>
      <c r="F195" s="29" t="s">
        <v>297</v>
      </c>
      <c r="G195" s="29" t="s">
        <v>297</v>
      </c>
      <c r="H195" s="29" t="s">
        <v>297</v>
      </c>
      <c r="I195" s="29" t="s">
        <v>297</v>
      </c>
      <c r="J195" s="29" t="s">
        <v>297</v>
      </c>
      <c r="K195" s="29" t="s">
        <v>297</v>
      </c>
      <c r="L195" s="29" t="s">
        <v>297</v>
      </c>
      <c r="M195" s="29" t="s">
        <v>297</v>
      </c>
      <c r="N195" s="29">
        <f>N182*N183*'Project Emissions 2020'!N174+(1-N190)*0</f>
        <v>2.5678329245699998</v>
      </c>
      <c r="O195" s="29">
        <f>O182*O183*'Project Emissions 2020'!O174+(1-O190)*0</f>
        <v>3.2546546836774195</v>
      </c>
      <c r="P195" s="29">
        <f>P182*P183*'Project Emissions 2020'!P174+(1-P190)*0</f>
        <v>2.8023349840658329</v>
      </c>
      <c r="Q195" s="29">
        <f>Q182*Q183*'Project Emissions 2020'!Q174+(1-Q190)*0</f>
        <v>2.9231169410013447</v>
      </c>
    </row>
    <row r="196" spans="1:19" x14ac:dyDescent="0.3">
      <c r="A196" s="30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</row>
    <row r="197" spans="1:19" x14ac:dyDescent="0.25">
      <c r="A197" s="174" t="s">
        <v>146</v>
      </c>
      <c r="B197" s="174"/>
      <c r="C197" s="175"/>
      <c r="D197" s="175"/>
      <c r="E197" s="195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</row>
    <row r="198" spans="1:19" x14ac:dyDescent="0.25">
      <c r="A198" s="33" t="s">
        <v>8</v>
      </c>
      <c r="B198" s="33" t="s">
        <v>9</v>
      </c>
      <c r="C198" s="34" t="s">
        <v>10</v>
      </c>
      <c r="D198" s="34" t="s">
        <v>340</v>
      </c>
      <c r="E198" s="16" t="s">
        <v>65</v>
      </c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</row>
    <row r="199" spans="1:19" ht="46.8" x14ac:dyDescent="0.25">
      <c r="A199" s="15" t="s">
        <v>147</v>
      </c>
      <c r="B199" s="17" t="s">
        <v>95</v>
      </c>
      <c r="C199" s="35" t="s">
        <v>148</v>
      </c>
      <c r="D199" s="35" t="s">
        <v>68</v>
      </c>
      <c r="E199" s="16">
        <v>0</v>
      </c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</row>
    <row r="200" spans="1:19" x14ac:dyDescent="0.25">
      <c r="A200" s="36"/>
      <c r="B200" s="36"/>
      <c r="C200" s="37"/>
      <c r="D200" s="37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</row>
    <row r="201" spans="1:19" x14ac:dyDescent="0.25">
      <c r="A201" s="174" t="s">
        <v>149</v>
      </c>
      <c r="B201" s="174"/>
      <c r="C201" s="175"/>
      <c r="D201" s="175"/>
      <c r="E201" s="195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</row>
    <row r="202" spans="1:19" x14ac:dyDescent="0.25">
      <c r="A202" s="33" t="s">
        <v>8</v>
      </c>
      <c r="B202" s="33" t="s">
        <v>9</v>
      </c>
      <c r="C202" s="34" t="s">
        <v>10</v>
      </c>
      <c r="D202" s="34" t="s">
        <v>340</v>
      </c>
      <c r="E202" s="16" t="s">
        <v>65</v>
      </c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</row>
    <row r="203" spans="1:19" ht="46.8" x14ac:dyDescent="0.25">
      <c r="A203" s="15" t="s">
        <v>150</v>
      </c>
      <c r="B203" s="17" t="s">
        <v>95</v>
      </c>
      <c r="C203" s="35" t="s">
        <v>151</v>
      </c>
      <c r="D203" s="35" t="s">
        <v>68</v>
      </c>
      <c r="E203" s="16">
        <v>0</v>
      </c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</row>
    <row r="204" spans="1:19" x14ac:dyDescent="0.25"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</row>
    <row r="205" spans="1:19" x14ac:dyDescent="0.25">
      <c r="A205" s="174" t="s">
        <v>152</v>
      </c>
      <c r="B205" s="174"/>
      <c r="C205" s="175"/>
      <c r="D205" s="175"/>
      <c r="E205" s="195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</row>
    <row r="206" spans="1:19" s="10" customFormat="1" x14ac:dyDescent="0.25">
      <c r="A206" s="15" t="s">
        <v>8</v>
      </c>
      <c r="B206" s="15" t="s">
        <v>9</v>
      </c>
      <c r="C206" s="38" t="s">
        <v>10</v>
      </c>
      <c r="D206" s="38" t="s">
        <v>340</v>
      </c>
      <c r="E206" s="16" t="s">
        <v>65</v>
      </c>
      <c r="F206" s="32"/>
      <c r="G206" s="32"/>
      <c r="H206" s="39"/>
      <c r="I206" s="39"/>
      <c r="J206" s="39"/>
      <c r="K206" s="39"/>
      <c r="L206" s="39"/>
      <c r="M206" s="39"/>
      <c r="N206" s="39"/>
      <c r="O206" s="39"/>
      <c r="P206" s="39"/>
      <c r="Q206" s="39"/>
    </row>
    <row r="207" spans="1:19" s="10" customFormat="1" ht="18" x14ac:dyDescent="0.4">
      <c r="A207" s="40" t="s">
        <v>153</v>
      </c>
      <c r="B207" s="17" t="s">
        <v>103</v>
      </c>
      <c r="C207" s="35" t="s">
        <v>154</v>
      </c>
      <c r="D207" s="35" t="s">
        <v>155</v>
      </c>
      <c r="E207" s="41">
        <f>E208*E210*(1+E209)</f>
        <v>148.15040741040002</v>
      </c>
      <c r="F207" s="32"/>
      <c r="G207" s="32"/>
      <c r="H207" s="39"/>
      <c r="I207" s="39"/>
      <c r="J207" s="39"/>
      <c r="K207" s="39"/>
      <c r="L207" s="39"/>
      <c r="M207" s="39"/>
      <c r="N207" s="39"/>
      <c r="O207" s="39"/>
      <c r="P207" s="39"/>
      <c r="Q207" s="39"/>
    </row>
    <row r="208" spans="1:19" ht="31.2" x14ac:dyDescent="0.25">
      <c r="A208" s="17" t="s">
        <v>156</v>
      </c>
      <c r="B208" s="17" t="s">
        <v>157</v>
      </c>
      <c r="C208" s="35" t="s">
        <v>158</v>
      </c>
      <c r="D208" s="35" t="s">
        <v>343</v>
      </c>
      <c r="E208" s="20">
        <f>242622.92/1000</f>
        <v>242.62292000000002</v>
      </c>
      <c r="G208" s="42"/>
      <c r="H208" s="43"/>
      <c r="I208" s="43"/>
      <c r="J208" s="43"/>
      <c r="K208" s="43"/>
      <c r="L208" s="43"/>
      <c r="M208" s="43"/>
      <c r="N208" s="43"/>
      <c r="O208" s="43"/>
      <c r="P208" s="43"/>
      <c r="Q208" s="43"/>
      <c r="R208" s="9"/>
      <c r="S208" s="9"/>
    </row>
    <row r="209" spans="1:19" ht="31.2" x14ac:dyDescent="0.25">
      <c r="A209" s="17" t="s">
        <v>159</v>
      </c>
      <c r="B209" s="17" t="s">
        <v>160</v>
      </c>
      <c r="C209" s="35" t="s">
        <v>161</v>
      </c>
      <c r="D209" s="35" t="s">
        <v>162</v>
      </c>
      <c r="E209" s="44">
        <v>0.2</v>
      </c>
      <c r="H209" s="43"/>
      <c r="I209" s="43"/>
      <c r="J209" s="43"/>
      <c r="K209" s="43"/>
      <c r="L209" s="43"/>
      <c r="M209" s="43"/>
      <c r="N209" s="43"/>
      <c r="O209" s="43"/>
      <c r="P209" s="43"/>
      <c r="Q209" s="43"/>
      <c r="R209" s="9"/>
      <c r="S209" s="9"/>
    </row>
    <row r="210" spans="1:19" ht="46.8" x14ac:dyDescent="0.25">
      <c r="A210" s="17" t="s">
        <v>163</v>
      </c>
      <c r="B210" s="17" t="s">
        <v>164</v>
      </c>
      <c r="C210" s="35" t="s">
        <v>165</v>
      </c>
      <c r="D210" s="35" t="s">
        <v>166</v>
      </c>
      <c r="E210" s="45">
        <f>0.5*0.8042+0.5*0.2135</f>
        <v>0.50885000000000002</v>
      </c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</row>
    <row r="211" spans="1:19" ht="31.2" x14ac:dyDescent="0.4">
      <c r="A211" s="40" t="s">
        <v>167</v>
      </c>
      <c r="B211" s="17" t="s">
        <v>103</v>
      </c>
      <c r="C211" s="35" t="s">
        <v>168</v>
      </c>
      <c r="D211" s="35" t="s">
        <v>169</v>
      </c>
      <c r="E211" s="47">
        <v>0</v>
      </c>
      <c r="H211" s="43"/>
      <c r="I211" s="43"/>
      <c r="J211" s="43"/>
      <c r="K211" s="43"/>
      <c r="L211" s="43"/>
      <c r="M211" s="43"/>
      <c r="N211" s="43"/>
      <c r="O211" s="43"/>
      <c r="P211" s="43"/>
      <c r="Q211" s="43"/>
      <c r="R211" s="9"/>
      <c r="S211" s="9"/>
    </row>
    <row r="212" spans="1:19" x14ac:dyDescent="0.3">
      <c r="A212" s="48"/>
      <c r="E212" s="49"/>
      <c r="H212" s="43"/>
      <c r="I212" s="43"/>
      <c r="J212" s="43"/>
      <c r="K212" s="43"/>
      <c r="L212" s="43"/>
      <c r="M212" s="43"/>
      <c r="N212" s="43"/>
      <c r="O212" s="43"/>
      <c r="P212" s="43"/>
      <c r="Q212" s="43"/>
      <c r="R212" s="9"/>
      <c r="S212" s="9"/>
    </row>
    <row r="213" spans="1:19" x14ac:dyDescent="0.25">
      <c r="A213" s="174" t="s">
        <v>170</v>
      </c>
      <c r="B213" s="174"/>
      <c r="C213" s="175"/>
      <c r="D213" s="175"/>
      <c r="E213" s="195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</row>
    <row r="214" spans="1:19" x14ac:dyDescent="0.25">
      <c r="A214" s="15" t="s">
        <v>8</v>
      </c>
      <c r="B214" s="15" t="s">
        <v>9</v>
      </c>
      <c r="C214" s="38" t="s">
        <v>10</v>
      </c>
      <c r="D214" s="38" t="s">
        <v>340</v>
      </c>
      <c r="E214" s="16" t="s">
        <v>65</v>
      </c>
      <c r="H214" s="43"/>
      <c r="I214" s="43"/>
      <c r="J214" s="43"/>
      <c r="K214" s="43"/>
      <c r="L214" s="43"/>
      <c r="M214" s="43"/>
      <c r="N214" s="43"/>
      <c r="O214" s="43"/>
      <c r="P214" s="43"/>
      <c r="Q214" s="43"/>
      <c r="R214" s="9"/>
      <c r="S214" s="9"/>
    </row>
    <row r="215" spans="1:19" ht="33.6" x14ac:dyDescent="0.4">
      <c r="A215" s="40" t="s">
        <v>171</v>
      </c>
      <c r="B215" s="17" t="s">
        <v>74</v>
      </c>
      <c r="C215" s="35" t="s">
        <v>172</v>
      </c>
      <c r="D215" s="35" t="s">
        <v>391</v>
      </c>
      <c r="E215" s="50">
        <f>E216*E219*E220*E221*E222*E223</f>
        <v>0.38478131437636803</v>
      </c>
      <c r="H215" s="43"/>
      <c r="I215" s="43"/>
      <c r="J215" s="43"/>
      <c r="K215" s="43"/>
      <c r="L215" s="43"/>
      <c r="M215" s="43"/>
      <c r="N215" s="43"/>
      <c r="O215" s="43"/>
      <c r="P215" s="43"/>
      <c r="Q215" s="43"/>
      <c r="R215" s="9"/>
      <c r="S215" s="9"/>
    </row>
    <row r="216" spans="1:19" ht="46.8" x14ac:dyDescent="0.4">
      <c r="A216" s="51" t="s">
        <v>173</v>
      </c>
      <c r="B216" s="17" t="s">
        <v>76</v>
      </c>
      <c r="C216" s="35" t="s">
        <v>174</v>
      </c>
      <c r="D216" s="35" t="s">
        <v>392</v>
      </c>
      <c r="E216" s="69">
        <f>ROUNDUP(E217/E218,0)</f>
        <v>58</v>
      </c>
      <c r="H216" s="43"/>
      <c r="I216" s="43"/>
      <c r="J216" s="43"/>
      <c r="K216" s="43"/>
      <c r="L216" s="43"/>
      <c r="M216" s="43"/>
      <c r="N216" s="43"/>
      <c r="O216" s="43"/>
      <c r="P216" s="43"/>
      <c r="Q216" s="43"/>
      <c r="R216" s="9"/>
      <c r="S216" s="9"/>
    </row>
    <row r="217" spans="1:19" ht="62.4" x14ac:dyDescent="0.25">
      <c r="A217" s="17" t="s">
        <v>175</v>
      </c>
      <c r="B217" s="17" t="s">
        <v>78</v>
      </c>
      <c r="C217" s="35" t="s">
        <v>176</v>
      </c>
      <c r="D217" s="35" t="s">
        <v>346</v>
      </c>
      <c r="E217" s="153">
        <v>286.46200000000005</v>
      </c>
      <c r="H217" s="43"/>
      <c r="I217" s="43"/>
      <c r="J217" s="43"/>
      <c r="K217" s="43"/>
      <c r="L217" s="43"/>
      <c r="M217" s="43"/>
      <c r="N217" s="43"/>
      <c r="O217" s="43"/>
      <c r="P217" s="43"/>
      <c r="Q217" s="43"/>
      <c r="R217" s="9"/>
      <c r="S217" s="9"/>
    </row>
    <row r="218" spans="1:19" ht="62.4" x14ac:dyDescent="0.25">
      <c r="A218" s="17" t="s">
        <v>177</v>
      </c>
      <c r="B218" s="17" t="s">
        <v>80</v>
      </c>
      <c r="C218" s="35" t="s">
        <v>81</v>
      </c>
      <c r="D218" s="35" t="s">
        <v>345</v>
      </c>
      <c r="E218" s="25">
        <f>5</f>
        <v>5</v>
      </c>
      <c r="H218" s="43"/>
      <c r="I218" s="43"/>
      <c r="J218" s="43"/>
      <c r="K218" s="43"/>
      <c r="L218" s="43"/>
      <c r="M218" s="43"/>
      <c r="N218" s="43"/>
      <c r="O218" s="43"/>
      <c r="P218" s="43"/>
      <c r="Q218" s="43"/>
      <c r="R218" s="9"/>
      <c r="S218" s="9"/>
    </row>
    <row r="219" spans="1:19" ht="202.8" x14ac:dyDescent="0.25">
      <c r="A219" s="17" t="s">
        <v>178</v>
      </c>
      <c r="B219" s="17" t="s">
        <v>82</v>
      </c>
      <c r="C219" s="35" t="s">
        <v>179</v>
      </c>
      <c r="D219" s="35" t="s">
        <v>367</v>
      </c>
      <c r="E219" s="25">
        <v>9.8000000000000007</v>
      </c>
      <c r="H219" s="43"/>
      <c r="I219" s="43"/>
      <c r="J219" s="43"/>
      <c r="K219" s="43"/>
      <c r="L219" s="43"/>
      <c r="M219" s="43"/>
      <c r="N219" s="43"/>
      <c r="O219" s="43"/>
      <c r="P219" s="43"/>
      <c r="Q219" s="43"/>
      <c r="R219" s="9"/>
      <c r="S219" s="9"/>
    </row>
    <row r="220" spans="1:19" ht="156" x14ac:dyDescent="0.25">
      <c r="A220" s="17" t="s">
        <v>180</v>
      </c>
      <c r="B220" s="17" t="s">
        <v>84</v>
      </c>
      <c r="C220" s="35" t="s">
        <v>85</v>
      </c>
      <c r="D220" s="35" t="s">
        <v>365</v>
      </c>
      <c r="E220" s="25">
        <f>25.1/100</f>
        <v>0.251</v>
      </c>
      <c r="H220" s="43"/>
      <c r="I220" s="43"/>
      <c r="J220" s="43"/>
      <c r="K220" s="43"/>
      <c r="L220" s="43"/>
      <c r="M220" s="43"/>
      <c r="N220" s="43"/>
      <c r="O220" s="43"/>
      <c r="P220" s="43"/>
      <c r="Q220" s="43"/>
      <c r="R220" s="9"/>
      <c r="S220" s="9"/>
    </row>
    <row r="221" spans="1:19" ht="62.4" x14ac:dyDescent="0.25">
      <c r="A221" s="17" t="s">
        <v>86</v>
      </c>
      <c r="B221" s="17" t="s">
        <v>87</v>
      </c>
      <c r="C221" s="35" t="s">
        <v>86</v>
      </c>
      <c r="D221" s="35" t="s">
        <v>215</v>
      </c>
      <c r="E221" s="25">
        <f>0.84/1000</f>
        <v>8.3999999999999993E-4</v>
      </c>
      <c r="H221" s="43"/>
      <c r="I221" s="43"/>
      <c r="J221" s="43"/>
      <c r="K221" s="43"/>
      <c r="L221" s="43"/>
      <c r="M221" s="43"/>
      <c r="N221" s="43"/>
      <c r="O221" s="43"/>
      <c r="P221" s="43"/>
      <c r="Q221" s="43"/>
      <c r="R221" s="9"/>
      <c r="S221" s="9"/>
    </row>
    <row r="222" spans="1:19" ht="124.8" x14ac:dyDescent="0.25">
      <c r="A222" s="17" t="s">
        <v>181</v>
      </c>
      <c r="B222" s="17" t="s">
        <v>88</v>
      </c>
      <c r="C222" s="35" t="s">
        <v>89</v>
      </c>
      <c r="D222" s="35" t="s">
        <v>360</v>
      </c>
      <c r="E222" s="25">
        <f>43.33/1000</f>
        <v>4.333E-2</v>
      </c>
      <c r="H222" s="43"/>
      <c r="I222" s="43"/>
      <c r="J222" s="43"/>
      <c r="K222" s="43"/>
      <c r="L222" s="43"/>
      <c r="M222" s="43"/>
      <c r="N222" s="43"/>
      <c r="O222" s="43"/>
      <c r="P222" s="43"/>
      <c r="Q222" s="43"/>
      <c r="R222" s="9"/>
      <c r="S222" s="9"/>
    </row>
    <row r="223" spans="1:19" ht="33.6" x14ac:dyDescent="0.25">
      <c r="A223" s="17" t="s">
        <v>182</v>
      </c>
      <c r="B223" s="17" t="s">
        <v>90</v>
      </c>
      <c r="C223" s="35" t="s">
        <v>91</v>
      </c>
      <c r="D223" s="35" t="s">
        <v>92</v>
      </c>
      <c r="E223" s="25">
        <v>74.099999999999994</v>
      </c>
      <c r="H223" s="43"/>
      <c r="I223" s="43"/>
      <c r="J223" s="43"/>
      <c r="K223" s="43"/>
      <c r="L223" s="43"/>
      <c r="M223" s="43"/>
      <c r="N223" s="43"/>
      <c r="O223" s="43"/>
      <c r="P223" s="43"/>
      <c r="Q223" s="43"/>
      <c r="R223" s="9"/>
      <c r="S223" s="9"/>
    </row>
    <row r="225" spans="1:19" x14ac:dyDescent="0.25">
      <c r="A225" s="33" t="s">
        <v>8</v>
      </c>
      <c r="B225" s="33" t="s">
        <v>9</v>
      </c>
      <c r="C225" s="34" t="s">
        <v>10</v>
      </c>
      <c r="D225" s="34" t="s">
        <v>340</v>
      </c>
      <c r="E225" s="16" t="s">
        <v>65</v>
      </c>
    </row>
    <row r="226" spans="1:19" ht="18" x14ac:dyDescent="0.25">
      <c r="A226" s="15" t="s">
        <v>183</v>
      </c>
      <c r="B226" s="17" t="s">
        <v>103</v>
      </c>
      <c r="C226" s="35" t="s">
        <v>184</v>
      </c>
      <c r="D226" s="53" t="s">
        <v>393</v>
      </c>
      <c r="E226" s="18">
        <f>ROUNDUP(E175+E199+E203+E207+E215,0)</f>
        <v>149</v>
      </c>
    </row>
    <row r="227" spans="1:19" s="209" customFormat="1" ht="38.4" customHeight="1" x14ac:dyDescent="0.25">
      <c r="A227" s="208" t="s">
        <v>224</v>
      </c>
    </row>
    <row r="228" spans="1:19" s="210" customFormat="1" ht="38.4" customHeight="1" x14ac:dyDescent="0.25">
      <c r="A228" s="210" t="s">
        <v>242</v>
      </c>
    </row>
    <row r="229" spans="1:19" ht="23.4" customHeight="1" x14ac:dyDescent="0.25">
      <c r="A229" s="201" t="s">
        <v>105</v>
      </c>
      <c r="B229" s="201"/>
      <c r="C229" s="201"/>
      <c r="D229" s="201"/>
      <c r="E229" s="201"/>
      <c r="F229" s="201"/>
      <c r="G229" s="201"/>
      <c r="H229" s="201"/>
      <c r="I229" s="201"/>
      <c r="J229" s="201"/>
      <c r="K229" s="201"/>
      <c r="L229" s="201"/>
      <c r="M229" s="201"/>
      <c r="N229" s="201"/>
      <c r="O229" s="201"/>
      <c r="P229" s="201"/>
      <c r="Q229" s="202"/>
    </row>
    <row r="230" spans="1:19" s="10" customFormat="1" ht="31.2" x14ac:dyDescent="0.25">
      <c r="A230" s="15" t="s">
        <v>8</v>
      </c>
      <c r="B230" s="15" t="s">
        <v>9</v>
      </c>
      <c r="C230" s="15" t="s">
        <v>10</v>
      </c>
      <c r="D230" s="15" t="s">
        <v>340</v>
      </c>
      <c r="E230" s="16" t="s">
        <v>11</v>
      </c>
      <c r="F230" s="16" t="s">
        <v>292</v>
      </c>
      <c r="G230" s="16" t="s">
        <v>292</v>
      </c>
      <c r="H230" s="16" t="s">
        <v>292</v>
      </c>
      <c r="I230" s="16" t="s">
        <v>292</v>
      </c>
      <c r="J230" s="16" t="s">
        <v>292</v>
      </c>
      <c r="K230" s="16" t="s">
        <v>292</v>
      </c>
      <c r="L230" s="16" t="s">
        <v>292</v>
      </c>
      <c r="M230" s="16" t="s">
        <v>292</v>
      </c>
      <c r="N230" s="16" t="s">
        <v>302</v>
      </c>
      <c r="O230" s="16" t="s">
        <v>293</v>
      </c>
      <c r="P230" s="16" t="s">
        <v>294</v>
      </c>
      <c r="Q230" s="16" t="s">
        <v>295</v>
      </c>
      <c r="R230" s="54"/>
      <c r="S230" s="54"/>
    </row>
    <row r="231" spans="1:19" s="10" customFormat="1" x14ac:dyDescent="0.25">
      <c r="A231" s="203" t="s">
        <v>106</v>
      </c>
      <c r="B231" s="203"/>
      <c r="C231" s="203"/>
      <c r="D231" s="203"/>
      <c r="E231" s="204"/>
      <c r="F231" s="16" t="s">
        <v>297</v>
      </c>
      <c r="G231" s="16" t="s">
        <v>297</v>
      </c>
      <c r="H231" s="16" t="s">
        <v>297</v>
      </c>
      <c r="I231" s="16" t="s">
        <v>297</v>
      </c>
      <c r="J231" s="16" t="s">
        <v>297</v>
      </c>
      <c r="K231" s="16" t="s">
        <v>297</v>
      </c>
      <c r="L231" s="16" t="s">
        <v>297</v>
      </c>
      <c r="M231" s="16" t="s">
        <v>297</v>
      </c>
      <c r="N231" s="16">
        <v>18</v>
      </c>
      <c r="O231" s="16">
        <v>31</v>
      </c>
      <c r="P231" s="16">
        <v>30</v>
      </c>
      <c r="Q231" s="16">
        <v>31</v>
      </c>
      <c r="R231" s="54"/>
      <c r="S231" s="54"/>
    </row>
    <row r="232" spans="1:19" s="10" customFormat="1" ht="31.2" x14ac:dyDescent="0.25">
      <c r="A232" s="15" t="s">
        <v>107</v>
      </c>
      <c r="B232" s="17" t="s">
        <v>103</v>
      </c>
      <c r="C232" s="17" t="s">
        <v>108</v>
      </c>
      <c r="D232" s="17" t="s">
        <v>381</v>
      </c>
      <c r="E232" s="18">
        <f>E233+E243</f>
        <v>0</v>
      </c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54"/>
      <c r="S232" s="54"/>
    </row>
    <row r="233" spans="1:19" ht="46.8" x14ac:dyDescent="0.25">
      <c r="A233" s="17" t="s">
        <v>109</v>
      </c>
      <c r="B233" s="17" t="s">
        <v>103</v>
      </c>
      <c r="C233" s="17" t="s">
        <v>110</v>
      </c>
      <c r="D233" s="17" t="s">
        <v>382</v>
      </c>
      <c r="E233" s="19">
        <f>SUM(F233:Q233)</f>
        <v>0</v>
      </c>
      <c r="F233" s="19" t="s">
        <v>297</v>
      </c>
      <c r="G233" s="19" t="s">
        <v>297</v>
      </c>
      <c r="H233" s="19" t="s">
        <v>297</v>
      </c>
      <c r="I233" s="19" t="s">
        <v>297</v>
      </c>
      <c r="J233" s="19" t="s">
        <v>297</v>
      </c>
      <c r="K233" s="19" t="s">
        <v>297</v>
      </c>
      <c r="L233" s="19" t="s">
        <v>297</v>
      </c>
      <c r="M233" s="19" t="s">
        <v>297</v>
      </c>
      <c r="N233" s="19">
        <f t="shared" ref="N233:Q233" si="27">IF(N234&gt;=0.8,0,$E$15*$E$16*0.4*(N235-N238)*N231)</f>
        <v>0</v>
      </c>
      <c r="O233" s="19">
        <f t="shared" si="27"/>
        <v>0</v>
      </c>
      <c r="P233" s="19">
        <f t="shared" si="27"/>
        <v>0</v>
      </c>
      <c r="Q233" s="19">
        <f t="shared" si="27"/>
        <v>0</v>
      </c>
    </row>
    <row r="234" spans="1:19" ht="62.4" x14ac:dyDescent="0.25">
      <c r="A234" s="17" t="s">
        <v>111</v>
      </c>
      <c r="B234" s="17" t="s">
        <v>37</v>
      </c>
      <c r="C234" s="17" t="s">
        <v>112</v>
      </c>
      <c r="D234" s="17" t="s">
        <v>383</v>
      </c>
      <c r="E234" s="20">
        <f>AVERAGE(N234:Q234)</f>
        <v>0.95304914596011436</v>
      </c>
      <c r="F234" s="20" t="s">
        <v>297</v>
      </c>
      <c r="G234" s="20" t="s">
        <v>297</v>
      </c>
      <c r="H234" s="20" t="s">
        <v>297</v>
      </c>
      <c r="I234" s="20" t="s">
        <v>297</v>
      </c>
      <c r="J234" s="20" t="s">
        <v>297</v>
      </c>
      <c r="K234" s="20" t="s">
        <v>297</v>
      </c>
      <c r="L234" s="20" t="s">
        <v>297</v>
      </c>
      <c r="M234" s="20" t="s">
        <v>297</v>
      </c>
      <c r="N234" s="20">
        <f t="shared" ref="N234:Q234" si="28">(N235-N238)/N235</f>
        <v>0.95335503106448161</v>
      </c>
      <c r="O234" s="20">
        <f t="shared" si="28"/>
        <v>0.95309448007205022</v>
      </c>
      <c r="P234" s="20">
        <f t="shared" si="28"/>
        <v>0.95178458226458584</v>
      </c>
      <c r="Q234" s="20">
        <f t="shared" si="28"/>
        <v>0.95396249043933989</v>
      </c>
    </row>
    <row r="235" spans="1:19" ht="46.8" x14ac:dyDescent="0.25">
      <c r="A235" s="17" t="s">
        <v>113</v>
      </c>
      <c r="B235" s="17" t="s">
        <v>24</v>
      </c>
      <c r="C235" s="17" t="s">
        <v>114</v>
      </c>
      <c r="D235" s="17" t="s">
        <v>384</v>
      </c>
      <c r="E235" s="20">
        <f>SUM(N235:Q235)</f>
        <v>16.11167413256549</v>
      </c>
      <c r="F235" s="20" t="s">
        <v>297</v>
      </c>
      <c r="G235" s="20" t="s">
        <v>297</v>
      </c>
      <c r="H235" s="20" t="s">
        <v>297</v>
      </c>
      <c r="I235" s="20" t="s">
        <v>297</v>
      </c>
      <c r="J235" s="20" t="s">
        <v>297</v>
      </c>
      <c r="K235" s="20" t="s">
        <v>297</v>
      </c>
      <c r="L235" s="20" t="s">
        <v>297</v>
      </c>
      <c r="M235" s="20" t="s">
        <v>297</v>
      </c>
      <c r="N235" s="20">
        <f t="shared" ref="N235:Q235" si="29">N236*N237</f>
        <v>4.1371892253400455</v>
      </c>
      <c r="O235" s="20">
        <f t="shared" si="29"/>
        <v>4.1397587847683832</v>
      </c>
      <c r="P235" s="20">
        <f t="shared" si="29"/>
        <v>3.9185940302380167</v>
      </c>
      <c r="Q235" s="20">
        <f t="shared" si="29"/>
        <v>3.916132092219045</v>
      </c>
    </row>
    <row r="236" spans="1:19" ht="65.400000000000006" customHeight="1" x14ac:dyDescent="0.25">
      <c r="A236" s="17" t="s">
        <v>115</v>
      </c>
      <c r="B236" s="17" t="s">
        <v>116</v>
      </c>
      <c r="C236" s="17" t="s">
        <v>117</v>
      </c>
      <c r="D236" s="17" t="s">
        <v>336</v>
      </c>
      <c r="E236" s="129">
        <f>SUM(F236:Q236)</f>
        <v>34410.95513655914</v>
      </c>
      <c r="F236" s="21" t="s">
        <v>297</v>
      </c>
      <c r="G236" s="21" t="s">
        <v>297</v>
      </c>
      <c r="H236" s="21" t="s">
        <v>297</v>
      </c>
      <c r="I236" s="21" t="s">
        <v>297</v>
      </c>
      <c r="J236" s="21" t="s">
        <v>297</v>
      </c>
      <c r="K236" s="21" t="s">
        <v>297</v>
      </c>
      <c r="L236" s="21" t="s">
        <v>297</v>
      </c>
      <c r="M236" s="21" t="s">
        <v>297</v>
      </c>
      <c r="N236" s="129">
        <f>'Baseline Emissions 2020'!N229</f>
        <v>8841.2761666666647</v>
      </c>
      <c r="O236" s="129">
        <f>'Baseline Emissions 2020'!O229</f>
        <v>8844.5969677419362</v>
      </c>
      <c r="P236" s="129">
        <f>'Baseline Emissions 2020'!P229</f>
        <v>8362.1300666666648</v>
      </c>
      <c r="Q236" s="129">
        <f>'Baseline Emissions 2020'!Q229</f>
        <v>8362.9519354838758</v>
      </c>
    </row>
    <row r="237" spans="1:19" ht="46.8" x14ac:dyDescent="0.25">
      <c r="A237" s="17" t="s">
        <v>118</v>
      </c>
      <c r="B237" s="17" t="s">
        <v>119</v>
      </c>
      <c r="C237" s="17" t="s">
        <v>120</v>
      </c>
      <c r="D237" s="35" t="s">
        <v>338</v>
      </c>
      <c r="E237" s="120">
        <f>AVERAGE(N237:Q237)</f>
        <v>4.6821970878136191E-4</v>
      </c>
      <c r="F237" s="130" t="str">
        <f>'Baseline Emissions 2020'!F233</f>
        <v>—</v>
      </c>
      <c r="G237" s="130" t="str">
        <f>'Baseline Emissions 2020'!G233</f>
        <v>—</v>
      </c>
      <c r="H237" s="130" t="str">
        <f>'Baseline Emissions 2020'!H233</f>
        <v>—</v>
      </c>
      <c r="I237" s="130" t="str">
        <f>'Baseline Emissions 2020'!I233</f>
        <v>—</v>
      </c>
      <c r="J237" s="130" t="str">
        <f>'Baseline Emissions 2020'!J233</f>
        <v>—</v>
      </c>
      <c r="K237" s="130" t="str">
        <f>'Baseline Emissions 2020'!K233</f>
        <v>—</v>
      </c>
      <c r="L237" s="130" t="str">
        <f>'Baseline Emissions 2020'!L233</f>
        <v>—</v>
      </c>
      <c r="M237" s="130" t="str">
        <f>'Baseline Emissions 2020'!M233</f>
        <v>—</v>
      </c>
      <c r="N237" s="130">
        <f>'Baseline Emissions 2020'!N233</f>
        <v>4.6794027777777774E-4</v>
      </c>
      <c r="O237" s="130">
        <f>'Baseline Emissions 2020'!O233</f>
        <v>4.6805510752688159E-4</v>
      </c>
      <c r="P237" s="130">
        <f>'Baseline Emissions 2020'!P233</f>
        <v>4.6861194444444433E-4</v>
      </c>
      <c r="Q237" s="130">
        <f>'Baseline Emissions 2020'!Q233</f>
        <v>4.682715053763441E-4</v>
      </c>
    </row>
    <row r="238" spans="1:19" ht="46.8" x14ac:dyDescent="0.25">
      <c r="A238" s="17" t="s">
        <v>121</v>
      </c>
      <c r="B238" s="17" t="s">
        <v>24</v>
      </c>
      <c r="C238" s="17" t="s">
        <v>122</v>
      </c>
      <c r="D238" s="17" t="s">
        <v>384</v>
      </c>
      <c r="E238" s="121">
        <f>SUM(F238:Q238)</f>
        <v>0.75638221781197457</v>
      </c>
      <c r="F238" s="20" t="s">
        <v>297</v>
      </c>
      <c r="G238" s="20" t="s">
        <v>297</v>
      </c>
      <c r="H238" s="20" t="s">
        <v>297</v>
      </c>
      <c r="I238" s="20" t="s">
        <v>297</v>
      </c>
      <c r="J238" s="20" t="s">
        <v>297</v>
      </c>
      <c r="K238" s="20" t="s">
        <v>297</v>
      </c>
      <c r="L238" s="20" t="s">
        <v>297</v>
      </c>
      <c r="M238" s="20" t="s">
        <v>297</v>
      </c>
      <c r="N238" s="121">
        <f t="shared" ref="N238:Q238" si="30">SUM(N239*N240)</f>
        <v>0.19297906289634773</v>
      </c>
      <c r="O238" s="121">
        <f t="shared" si="30"/>
        <v>0.19417753817585848</v>
      </c>
      <c r="P238" s="121">
        <f t="shared" si="30"/>
        <v>0.18893664810342595</v>
      </c>
      <c r="Q238" s="121">
        <f t="shared" si="30"/>
        <v>0.18028896863634242</v>
      </c>
    </row>
    <row r="239" spans="1:19" ht="62.4" x14ac:dyDescent="0.25">
      <c r="A239" s="17" t="s">
        <v>123</v>
      </c>
      <c r="B239" s="17" t="s">
        <v>116</v>
      </c>
      <c r="C239" s="17" t="s">
        <v>124</v>
      </c>
      <c r="D239" s="17" t="s">
        <v>337</v>
      </c>
      <c r="E239" s="129">
        <f>SUM(F239:Q239)</f>
        <v>33923.727883154126</v>
      </c>
      <c r="F239" s="21" t="s">
        <v>297</v>
      </c>
      <c r="G239" s="21" t="s">
        <v>297</v>
      </c>
      <c r="H239" s="21" t="s">
        <v>297</v>
      </c>
      <c r="I239" s="21" t="s">
        <v>297</v>
      </c>
      <c r="J239" s="21" t="s">
        <v>297</v>
      </c>
      <c r="K239" s="21" t="s">
        <v>297</v>
      </c>
      <c r="L239" s="21" t="s">
        <v>297</v>
      </c>
      <c r="M239" s="21" t="s">
        <v>297</v>
      </c>
      <c r="N239" s="129">
        <v>8728.6101111111111</v>
      </c>
      <c r="O239" s="129">
        <v>8727.1858064516109</v>
      </c>
      <c r="P239" s="129">
        <v>8233.0319333333337</v>
      </c>
      <c r="Q239" s="129">
        <v>8234.9000322580687</v>
      </c>
    </row>
    <row r="240" spans="1:19" ht="46.8" x14ac:dyDescent="0.25">
      <c r="A240" s="17" t="s">
        <v>125</v>
      </c>
      <c r="B240" s="17" t="s">
        <v>119</v>
      </c>
      <c r="C240" s="17" t="s">
        <v>126</v>
      </c>
      <c r="D240" s="35" t="s">
        <v>339</v>
      </c>
      <c r="E240" s="131">
        <f>AVERAGE(N240:Q240)</f>
        <v>2.2300104540023895E-5</v>
      </c>
      <c r="F240" s="131" t="str">
        <f>'Baseline Emissions 2020'!F234</f>
        <v>—</v>
      </c>
      <c r="G240" s="131" t="str">
        <f>'Baseline Emissions 2020'!G234</f>
        <v>—</v>
      </c>
      <c r="H240" s="131" t="str">
        <f>'Baseline Emissions 2020'!H234</f>
        <v>—</v>
      </c>
      <c r="I240" s="131" t="str">
        <f>'Baseline Emissions 2020'!I234</f>
        <v>—</v>
      </c>
      <c r="J240" s="131" t="str">
        <f>'Baseline Emissions 2020'!J234</f>
        <v>—</v>
      </c>
      <c r="K240" s="131" t="str">
        <f>'Baseline Emissions 2020'!K234</f>
        <v>—</v>
      </c>
      <c r="L240" s="131" t="str">
        <f>'Baseline Emissions 2020'!L234</f>
        <v>—</v>
      </c>
      <c r="M240" s="131" t="str">
        <f>'Baseline Emissions 2020'!M234</f>
        <v>—</v>
      </c>
      <c r="N240" s="131">
        <f>'Baseline Emissions 2020'!N234</f>
        <v>2.2108796296296296E-5</v>
      </c>
      <c r="O240" s="131">
        <f>'Baseline Emissions 2020'!O234</f>
        <v>2.2249731182795703E-5</v>
      </c>
      <c r="P240" s="131">
        <f>'Baseline Emissions 2020'!P234</f>
        <v>2.2948611111111111E-5</v>
      </c>
      <c r="Q240" s="131">
        <f>'Baseline Emissions 2020'!Q234</f>
        <v>2.1893279569892469E-5</v>
      </c>
    </row>
    <row r="241" spans="1:17" ht="31.2" x14ac:dyDescent="0.25">
      <c r="A241" s="17" t="s">
        <v>127</v>
      </c>
      <c r="B241" s="17" t="s">
        <v>128</v>
      </c>
      <c r="C241" s="17" t="s">
        <v>17</v>
      </c>
      <c r="D241" s="17" t="s">
        <v>129</v>
      </c>
      <c r="E241" s="176">
        <v>28</v>
      </c>
      <c r="F241" s="176"/>
      <c r="G241" s="176"/>
      <c r="H241" s="176"/>
      <c r="I241" s="176"/>
      <c r="J241" s="176"/>
      <c r="K241" s="176"/>
      <c r="L241" s="176"/>
      <c r="M241" s="176"/>
      <c r="N241" s="176"/>
      <c r="O241" s="176"/>
      <c r="P241" s="176"/>
      <c r="Q241" s="176"/>
    </row>
    <row r="242" spans="1:17" ht="64.8" x14ac:dyDescent="0.25">
      <c r="A242" s="17" t="s">
        <v>130</v>
      </c>
      <c r="B242" s="17" t="s">
        <v>19</v>
      </c>
      <c r="C242" s="17" t="s">
        <v>131</v>
      </c>
      <c r="D242" s="17" t="s">
        <v>394</v>
      </c>
      <c r="E242" s="176">
        <v>0.21</v>
      </c>
      <c r="F242" s="176"/>
      <c r="G242" s="176"/>
      <c r="H242" s="176"/>
      <c r="I242" s="176"/>
      <c r="J242" s="176"/>
      <c r="K242" s="176"/>
      <c r="L242" s="176"/>
      <c r="M242" s="176"/>
      <c r="N242" s="176"/>
      <c r="O242" s="176"/>
      <c r="P242" s="176"/>
      <c r="Q242" s="176"/>
    </row>
    <row r="243" spans="1:17" ht="46.8" x14ac:dyDescent="0.25">
      <c r="A243" s="17" t="s">
        <v>132</v>
      </c>
      <c r="B243" s="17" t="s">
        <v>103</v>
      </c>
      <c r="C243" s="17" t="s">
        <v>133</v>
      </c>
      <c r="D243" s="17" t="s">
        <v>385</v>
      </c>
      <c r="E243" s="19">
        <f>SUM(F243:Q243)</f>
        <v>0</v>
      </c>
      <c r="F243" s="19" t="s">
        <v>297</v>
      </c>
      <c r="G243" s="19" t="s">
        <v>297</v>
      </c>
      <c r="H243" s="19" t="s">
        <v>297</v>
      </c>
      <c r="I243" s="19" t="s">
        <v>297</v>
      </c>
      <c r="J243" s="19" t="s">
        <v>297</v>
      </c>
      <c r="K243" s="19" t="s">
        <v>297</v>
      </c>
      <c r="L243" s="19" t="s">
        <v>297</v>
      </c>
      <c r="M243" s="19" t="s">
        <v>297</v>
      </c>
      <c r="N243" s="19">
        <f t="shared" ref="N243:Q243" si="31">$E$15*$E$16*N244*N238*N231</f>
        <v>0</v>
      </c>
      <c r="O243" s="19">
        <f t="shared" si="31"/>
        <v>0</v>
      </c>
      <c r="P243" s="19">
        <f t="shared" si="31"/>
        <v>0</v>
      </c>
      <c r="Q243" s="19">
        <f t="shared" si="31"/>
        <v>0</v>
      </c>
    </row>
    <row r="244" spans="1:17" ht="18" x14ac:dyDescent="0.25">
      <c r="A244" s="17" t="s">
        <v>134</v>
      </c>
      <c r="B244" s="17" t="s">
        <v>37</v>
      </c>
      <c r="C244" s="17" t="s">
        <v>135</v>
      </c>
      <c r="D244" s="17" t="s">
        <v>386</v>
      </c>
      <c r="E244" s="26">
        <f>AVERAGE(F244:Q244)</f>
        <v>0</v>
      </c>
      <c r="F244" s="26" t="s">
        <v>297</v>
      </c>
      <c r="G244" s="26" t="s">
        <v>297</v>
      </c>
      <c r="H244" s="26" t="s">
        <v>297</v>
      </c>
      <c r="I244" s="26" t="s">
        <v>297</v>
      </c>
      <c r="J244" s="26" t="s">
        <v>297</v>
      </c>
      <c r="K244" s="26" t="s">
        <v>297</v>
      </c>
      <c r="L244" s="26" t="s">
        <v>297</v>
      </c>
      <c r="M244" s="26" t="s">
        <v>297</v>
      </c>
      <c r="N244" s="26">
        <f>N245*$E$246*0.89</f>
        <v>0</v>
      </c>
      <c r="O244" s="26">
        <f t="shared" ref="O244:Q244" si="32">O245*$E$246*0.89</f>
        <v>0</v>
      </c>
      <c r="P244" s="26">
        <f t="shared" si="32"/>
        <v>0</v>
      </c>
      <c r="Q244" s="26">
        <f t="shared" si="32"/>
        <v>0</v>
      </c>
    </row>
    <row r="245" spans="1:17" ht="31.2" x14ac:dyDescent="0.25">
      <c r="A245" s="17" t="s">
        <v>136</v>
      </c>
      <c r="B245" s="17" t="s">
        <v>37</v>
      </c>
      <c r="C245" s="17" t="s">
        <v>46</v>
      </c>
      <c r="D245" s="17" t="s">
        <v>387</v>
      </c>
      <c r="E245" s="25">
        <v>0</v>
      </c>
      <c r="F245" s="25" t="s">
        <v>297</v>
      </c>
      <c r="G245" s="25" t="s">
        <v>297</v>
      </c>
      <c r="H245" s="25" t="s">
        <v>297</v>
      </c>
      <c r="I245" s="25" t="s">
        <v>297</v>
      </c>
      <c r="J245" s="25" t="s">
        <v>297</v>
      </c>
      <c r="K245" s="25" t="s">
        <v>297</v>
      </c>
      <c r="L245" s="25" t="s">
        <v>297</v>
      </c>
      <c r="M245" s="25" t="s">
        <v>297</v>
      </c>
      <c r="N245" s="25">
        <v>0</v>
      </c>
      <c r="O245" s="25">
        <v>0</v>
      </c>
      <c r="P245" s="25">
        <v>0</v>
      </c>
      <c r="Q245" s="25">
        <v>0</v>
      </c>
    </row>
    <row r="246" spans="1:17" ht="31.2" x14ac:dyDescent="0.25">
      <c r="A246" s="17" t="s">
        <v>137</v>
      </c>
      <c r="B246" s="17" t="s">
        <v>201</v>
      </c>
      <c r="C246" s="17" t="s">
        <v>138</v>
      </c>
      <c r="D246" s="17" t="s">
        <v>388</v>
      </c>
      <c r="E246" s="196">
        <f>(N247*N252+O247*O252+P247*P252+Q247*Q252)/(N240*N239*N231+O239*O240*O231+P240*P239*P231+Q240*Q239*Q231)</f>
        <v>0.55455978707507469</v>
      </c>
      <c r="F246" s="196"/>
      <c r="G246" s="196"/>
      <c r="H246" s="196"/>
      <c r="I246" s="196"/>
      <c r="J246" s="196"/>
      <c r="K246" s="196"/>
      <c r="L246" s="196"/>
      <c r="M246" s="196"/>
      <c r="N246" s="196"/>
      <c r="O246" s="196"/>
      <c r="P246" s="196"/>
      <c r="Q246" s="196"/>
    </row>
    <row r="247" spans="1:17" ht="31.2" x14ac:dyDescent="0.25">
      <c r="A247" s="17" t="s">
        <v>139</v>
      </c>
      <c r="B247" s="17" t="s">
        <v>37</v>
      </c>
      <c r="C247" s="17" t="s">
        <v>140</v>
      </c>
      <c r="D247" s="17" t="s">
        <v>375</v>
      </c>
      <c r="E247" s="27">
        <f>AVERAGE(F247:Q247)</f>
        <v>0.58075944952101688</v>
      </c>
      <c r="F247" s="27" t="s">
        <v>297</v>
      </c>
      <c r="G247" s="27" t="s">
        <v>297</v>
      </c>
      <c r="H247" s="27" t="s">
        <v>297</v>
      </c>
      <c r="I247" s="27" t="s">
        <v>297</v>
      </c>
      <c r="J247" s="27" t="s">
        <v>297</v>
      </c>
      <c r="K247" s="27" t="s">
        <v>297</v>
      </c>
      <c r="L247" s="27" t="s">
        <v>297</v>
      </c>
      <c r="M247" s="27" t="s">
        <v>297</v>
      </c>
      <c r="N247" s="27">
        <f>IF(N251&lt;283,0,IF(N251&gt;303,1,EXP(($E$248*(N251-$E$249))/($E$250*$E$249*N251))))</f>
        <v>0.84523513966163832</v>
      </c>
      <c r="O247" s="27">
        <f>IF(O251&lt;283,0,IF(O251&gt;303,1,EXP(($E$248*(O251-$E$249))/($E$250*$E$249*O251))))</f>
        <v>0.62729263560178183</v>
      </c>
      <c r="P247" s="27">
        <f>IF(P251&lt;283,0,IF(P251&gt;303,1,EXP(($E$248*(P251-$E$249))/($E$250*$E$249*P251))))</f>
        <v>0.52733825786216582</v>
      </c>
      <c r="Q247" s="27">
        <f>IF(Q251&lt;283,0,IF(Q251&gt;303,1,EXP(($E$248*(Q251-$E$249))/($E$250*$E$249*Q251))))</f>
        <v>0.32317176495848171</v>
      </c>
    </row>
    <row r="248" spans="1:17" x14ac:dyDescent="0.25">
      <c r="A248" s="17" t="s">
        <v>51</v>
      </c>
      <c r="B248" s="17" t="s">
        <v>52</v>
      </c>
      <c r="C248" s="17" t="s">
        <v>53</v>
      </c>
      <c r="D248" s="17" t="s">
        <v>389</v>
      </c>
      <c r="E248" s="176">
        <v>15175</v>
      </c>
      <c r="F248" s="176"/>
      <c r="G248" s="176"/>
      <c r="H248" s="176"/>
      <c r="I248" s="176"/>
      <c r="J248" s="176"/>
      <c r="K248" s="176"/>
      <c r="L248" s="176"/>
      <c r="M248" s="176"/>
      <c r="N248" s="176"/>
      <c r="O248" s="176"/>
      <c r="P248" s="176"/>
      <c r="Q248" s="176"/>
    </row>
    <row r="249" spans="1:17" ht="18" x14ac:dyDescent="0.25">
      <c r="A249" s="17" t="s">
        <v>141</v>
      </c>
      <c r="B249" s="17" t="s">
        <v>55</v>
      </c>
      <c r="C249" s="17" t="s">
        <v>56</v>
      </c>
      <c r="D249" s="17" t="s">
        <v>389</v>
      </c>
      <c r="E249" s="176">
        <v>303.16000000000003</v>
      </c>
      <c r="F249" s="176"/>
      <c r="G249" s="176"/>
      <c r="H249" s="176"/>
      <c r="I249" s="176"/>
      <c r="J249" s="176"/>
      <c r="K249" s="176"/>
      <c r="L249" s="176"/>
      <c r="M249" s="176"/>
      <c r="N249" s="176"/>
      <c r="O249" s="176"/>
      <c r="P249" s="176"/>
      <c r="Q249" s="176"/>
    </row>
    <row r="250" spans="1:17" x14ac:dyDescent="0.25">
      <c r="A250" s="17" t="s">
        <v>57</v>
      </c>
      <c r="B250" s="17" t="s">
        <v>58</v>
      </c>
      <c r="C250" s="17" t="s">
        <v>59</v>
      </c>
      <c r="D250" s="17" t="s">
        <v>389</v>
      </c>
      <c r="E250" s="176">
        <v>1.9870000000000001</v>
      </c>
      <c r="F250" s="176"/>
      <c r="G250" s="176"/>
      <c r="H250" s="176"/>
      <c r="I250" s="176"/>
      <c r="J250" s="176"/>
      <c r="K250" s="176"/>
      <c r="L250" s="176"/>
      <c r="M250" s="176"/>
      <c r="N250" s="176"/>
      <c r="O250" s="176"/>
      <c r="P250" s="176"/>
      <c r="Q250" s="176"/>
    </row>
    <row r="251" spans="1:17" ht="18" x14ac:dyDescent="0.25">
      <c r="A251" s="17" t="s">
        <v>142</v>
      </c>
      <c r="B251" s="17" t="s">
        <v>55</v>
      </c>
      <c r="C251" s="17" t="s">
        <v>143</v>
      </c>
      <c r="D251" s="144" t="s">
        <v>363</v>
      </c>
      <c r="E251" s="28">
        <f>AVERAGE(N251:Q251)</f>
        <v>296.14999999999998</v>
      </c>
      <c r="F251" s="25" t="s">
        <v>297</v>
      </c>
      <c r="G251" s="25" t="s">
        <v>297</v>
      </c>
      <c r="H251" s="25" t="s">
        <v>297</v>
      </c>
      <c r="I251" s="25" t="s">
        <v>297</v>
      </c>
      <c r="J251" s="25" t="s">
        <v>297</v>
      </c>
      <c r="K251" s="25" t="s">
        <v>297</v>
      </c>
      <c r="L251" s="25" t="s">
        <v>297</v>
      </c>
      <c r="M251" s="25" t="s">
        <v>297</v>
      </c>
      <c r="N251" s="25">
        <v>301.14999999999998</v>
      </c>
      <c r="O251" s="25">
        <v>297.64999999999998</v>
      </c>
      <c r="P251" s="25">
        <v>295.64999999999998</v>
      </c>
      <c r="Q251" s="25">
        <v>290.14999999999998</v>
      </c>
    </row>
    <row r="252" spans="1:17" ht="46.8" x14ac:dyDescent="0.25">
      <c r="A252" s="17" t="s">
        <v>144</v>
      </c>
      <c r="B252" s="17" t="s">
        <v>24</v>
      </c>
      <c r="C252" s="17" t="s">
        <v>145</v>
      </c>
      <c r="D252" s="17" t="s">
        <v>390</v>
      </c>
      <c r="E252" s="29">
        <f>SUM(N252:Q252)</f>
        <v>20.750184286415266</v>
      </c>
      <c r="F252" s="29" t="s">
        <v>297</v>
      </c>
      <c r="G252" s="29" t="s">
        <v>297</v>
      </c>
      <c r="H252" s="29" t="s">
        <v>297</v>
      </c>
      <c r="I252" s="29" t="s">
        <v>297</v>
      </c>
      <c r="J252" s="29" t="s">
        <v>297</v>
      </c>
      <c r="K252" s="29" t="s">
        <v>297</v>
      </c>
      <c r="L252" s="29" t="s">
        <v>297</v>
      </c>
      <c r="M252" s="29" t="s">
        <v>297</v>
      </c>
      <c r="N252" s="29">
        <f>N239*N240*'Project Emissions 2020'!N231+(1-N247)*0</f>
        <v>3.473623132134259</v>
      </c>
      <c r="O252" s="29">
        <f>O239*O240*'Project Emissions 2020'!O231+(1-O247)*0</f>
        <v>6.0195036834516129</v>
      </c>
      <c r="P252" s="29">
        <f>P239*P240*'Project Emissions 2020'!P231+(1-P247)*0</f>
        <v>5.6680994431027782</v>
      </c>
      <c r="Q252" s="29">
        <f>Q239*Q240*'Project Emissions 2020'!Q231+(1-Q247)*0</f>
        <v>5.5889580277266147</v>
      </c>
    </row>
    <row r="253" spans="1:17" x14ac:dyDescent="0.3">
      <c r="A253" s="30"/>
      <c r="E253" s="31"/>
      <c r="F253" s="31"/>
      <c r="G253" s="31"/>
      <c r="H253" s="31"/>
      <c r="I253" s="31"/>
      <c r="J253" s="31"/>
      <c r="K253" s="31"/>
      <c r="L253" s="31"/>
      <c r="M253" s="31"/>
      <c r="N253" s="31"/>
      <c r="O253" s="31"/>
      <c r="P253" s="31"/>
      <c r="Q253" s="31"/>
    </row>
    <row r="254" spans="1:17" x14ac:dyDescent="0.25">
      <c r="A254" s="174" t="s">
        <v>146</v>
      </c>
      <c r="B254" s="174"/>
      <c r="C254" s="175"/>
      <c r="D254" s="175"/>
      <c r="E254" s="195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</row>
    <row r="255" spans="1:17" x14ac:dyDescent="0.25">
      <c r="A255" s="33" t="s">
        <v>8</v>
      </c>
      <c r="B255" s="33" t="s">
        <v>9</v>
      </c>
      <c r="C255" s="34" t="s">
        <v>10</v>
      </c>
      <c r="D255" s="34" t="s">
        <v>340</v>
      </c>
      <c r="E255" s="16" t="s">
        <v>65</v>
      </c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</row>
    <row r="256" spans="1:17" ht="46.8" x14ac:dyDescent="0.25">
      <c r="A256" s="15" t="s">
        <v>147</v>
      </c>
      <c r="B256" s="17" t="s">
        <v>95</v>
      </c>
      <c r="C256" s="35" t="s">
        <v>148</v>
      </c>
      <c r="D256" s="35" t="s">
        <v>68</v>
      </c>
      <c r="E256" s="16">
        <v>0</v>
      </c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</row>
    <row r="257" spans="1:19" x14ac:dyDescent="0.25">
      <c r="A257" s="36"/>
      <c r="B257" s="36"/>
      <c r="C257" s="37"/>
      <c r="D257" s="37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</row>
    <row r="258" spans="1:19" x14ac:dyDescent="0.25">
      <c r="A258" s="174" t="s">
        <v>149</v>
      </c>
      <c r="B258" s="174"/>
      <c r="C258" s="175"/>
      <c r="D258" s="175"/>
      <c r="E258" s="195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</row>
    <row r="259" spans="1:19" x14ac:dyDescent="0.25">
      <c r="A259" s="33" t="s">
        <v>8</v>
      </c>
      <c r="B259" s="33" t="s">
        <v>9</v>
      </c>
      <c r="C259" s="34" t="s">
        <v>10</v>
      </c>
      <c r="D259" s="34" t="s">
        <v>340</v>
      </c>
      <c r="E259" s="16" t="s">
        <v>65</v>
      </c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</row>
    <row r="260" spans="1:19" ht="46.8" x14ac:dyDescent="0.25">
      <c r="A260" s="15" t="s">
        <v>150</v>
      </c>
      <c r="B260" s="17" t="s">
        <v>95</v>
      </c>
      <c r="C260" s="35" t="s">
        <v>151</v>
      </c>
      <c r="D260" s="35" t="s">
        <v>68</v>
      </c>
      <c r="E260" s="16">
        <v>0</v>
      </c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</row>
    <row r="261" spans="1:19" x14ac:dyDescent="0.25"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</row>
    <row r="262" spans="1:19" x14ac:dyDescent="0.25">
      <c r="A262" s="174" t="s">
        <v>152</v>
      </c>
      <c r="B262" s="174"/>
      <c r="C262" s="175"/>
      <c r="D262" s="175"/>
      <c r="E262" s="195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</row>
    <row r="263" spans="1:19" s="10" customFormat="1" x14ac:dyDescent="0.25">
      <c r="A263" s="15" t="s">
        <v>8</v>
      </c>
      <c r="B263" s="15" t="s">
        <v>9</v>
      </c>
      <c r="C263" s="38" t="s">
        <v>10</v>
      </c>
      <c r="D263" s="38" t="s">
        <v>340</v>
      </c>
      <c r="E263" s="16" t="s">
        <v>65</v>
      </c>
      <c r="F263" s="32"/>
      <c r="G263" s="32"/>
      <c r="H263" s="39"/>
      <c r="I263" s="39"/>
      <c r="J263" s="39"/>
      <c r="K263" s="39"/>
      <c r="L263" s="39"/>
      <c r="M263" s="39"/>
      <c r="N263" s="39"/>
      <c r="O263" s="39"/>
      <c r="P263" s="39"/>
      <c r="Q263" s="39"/>
    </row>
    <row r="264" spans="1:19" s="10" customFormat="1" ht="18" x14ac:dyDescent="0.4">
      <c r="A264" s="40" t="s">
        <v>153</v>
      </c>
      <c r="B264" s="17" t="s">
        <v>103</v>
      </c>
      <c r="C264" s="35" t="s">
        <v>154</v>
      </c>
      <c r="D264" s="35" t="s">
        <v>155</v>
      </c>
      <c r="E264" s="41">
        <f>E265*E267*(1+E266)</f>
        <v>248.54655352547996</v>
      </c>
      <c r="F264" s="32"/>
      <c r="G264" s="32"/>
      <c r="H264" s="39"/>
      <c r="I264" s="39"/>
      <c r="J264" s="39"/>
      <c r="K264" s="39"/>
      <c r="L264" s="39"/>
      <c r="M264" s="39"/>
      <c r="N264" s="39"/>
      <c r="O264" s="39"/>
      <c r="P264" s="39"/>
      <c r="Q264" s="39"/>
    </row>
    <row r="265" spans="1:19" ht="31.2" x14ac:dyDescent="0.25">
      <c r="A265" s="17" t="s">
        <v>156</v>
      </c>
      <c r="B265" s="17" t="s">
        <v>157</v>
      </c>
      <c r="C265" s="35" t="s">
        <v>158</v>
      </c>
      <c r="D265" s="35" t="s">
        <v>343</v>
      </c>
      <c r="E265" s="20">
        <f>407039.654/1000</f>
        <v>407.03965399999998</v>
      </c>
      <c r="G265" s="42"/>
      <c r="H265" s="43"/>
      <c r="I265" s="43"/>
      <c r="J265" s="43"/>
      <c r="K265" s="43"/>
      <c r="L265" s="43"/>
      <c r="M265" s="43"/>
      <c r="N265" s="43"/>
      <c r="O265" s="43"/>
      <c r="P265" s="43"/>
      <c r="Q265" s="43"/>
      <c r="R265" s="9"/>
      <c r="S265" s="9"/>
    </row>
    <row r="266" spans="1:19" ht="31.2" x14ac:dyDescent="0.25">
      <c r="A266" s="17" t="s">
        <v>159</v>
      </c>
      <c r="B266" s="17" t="s">
        <v>160</v>
      </c>
      <c r="C266" s="35" t="s">
        <v>161</v>
      </c>
      <c r="D266" s="35" t="s">
        <v>162</v>
      </c>
      <c r="E266" s="44">
        <v>0.2</v>
      </c>
      <c r="H266" s="43"/>
      <c r="I266" s="43"/>
      <c r="J266" s="43"/>
      <c r="K266" s="43"/>
      <c r="L266" s="43"/>
      <c r="M266" s="43"/>
      <c r="N266" s="43"/>
      <c r="O266" s="43"/>
      <c r="P266" s="43"/>
      <c r="Q266" s="43"/>
      <c r="R266" s="9"/>
      <c r="S266" s="9"/>
    </row>
    <row r="267" spans="1:19" ht="46.8" x14ac:dyDescent="0.25">
      <c r="A267" s="17" t="s">
        <v>163</v>
      </c>
      <c r="B267" s="17" t="s">
        <v>164</v>
      </c>
      <c r="C267" s="35" t="s">
        <v>165</v>
      </c>
      <c r="D267" s="35" t="s">
        <v>166</v>
      </c>
      <c r="E267" s="45">
        <f>0.5*0.8042+0.5*0.2135</f>
        <v>0.50885000000000002</v>
      </c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</row>
    <row r="268" spans="1:19" ht="31.2" x14ac:dyDescent="0.4">
      <c r="A268" s="40" t="s">
        <v>167</v>
      </c>
      <c r="B268" s="17" t="s">
        <v>103</v>
      </c>
      <c r="C268" s="35" t="s">
        <v>168</v>
      </c>
      <c r="D268" s="35" t="s">
        <v>169</v>
      </c>
      <c r="E268" s="47">
        <v>0</v>
      </c>
      <c r="H268" s="43"/>
      <c r="I268" s="43"/>
      <c r="J268" s="43"/>
      <c r="K268" s="43"/>
      <c r="L268" s="43"/>
      <c r="M268" s="43"/>
      <c r="N268" s="43"/>
      <c r="O268" s="43"/>
      <c r="P268" s="43"/>
      <c r="Q268" s="43"/>
      <c r="R268" s="9"/>
      <c r="S268" s="9"/>
    </row>
    <row r="269" spans="1:19" x14ac:dyDescent="0.3">
      <c r="A269" s="48"/>
      <c r="E269" s="49"/>
      <c r="H269" s="43"/>
      <c r="I269" s="43"/>
      <c r="J269" s="43"/>
      <c r="K269" s="43"/>
      <c r="L269" s="43"/>
      <c r="M269" s="43"/>
      <c r="N269" s="43"/>
      <c r="O269" s="43"/>
      <c r="P269" s="43"/>
      <c r="Q269" s="43"/>
      <c r="R269" s="9"/>
      <c r="S269" s="9"/>
    </row>
    <row r="270" spans="1:19" x14ac:dyDescent="0.25">
      <c r="A270" s="174" t="s">
        <v>170</v>
      </c>
      <c r="B270" s="174"/>
      <c r="C270" s="175"/>
      <c r="D270" s="175"/>
      <c r="E270" s="195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</row>
    <row r="271" spans="1:19" x14ac:dyDescent="0.25">
      <c r="A271" s="15" t="s">
        <v>8</v>
      </c>
      <c r="B271" s="15" t="s">
        <v>9</v>
      </c>
      <c r="C271" s="38" t="s">
        <v>10</v>
      </c>
      <c r="D271" s="38" t="s">
        <v>340</v>
      </c>
      <c r="E271" s="16" t="s">
        <v>65</v>
      </c>
      <c r="H271" s="43"/>
      <c r="I271" s="43"/>
      <c r="J271" s="43"/>
      <c r="K271" s="43"/>
      <c r="L271" s="43"/>
      <c r="M271" s="43"/>
      <c r="N271" s="43"/>
      <c r="O271" s="43"/>
      <c r="P271" s="43"/>
      <c r="Q271" s="43"/>
      <c r="R271" s="9"/>
      <c r="S271" s="9"/>
    </row>
    <row r="272" spans="1:19" ht="33.6" x14ac:dyDescent="0.4">
      <c r="A272" s="40" t="s">
        <v>171</v>
      </c>
      <c r="B272" s="17" t="s">
        <v>74</v>
      </c>
      <c r="C272" s="35" t="s">
        <v>172</v>
      </c>
      <c r="D272" s="35" t="s">
        <v>391</v>
      </c>
      <c r="E272" s="50">
        <f>E273*E276*E277*E278*E279*E280</f>
        <v>3.4869960421405199</v>
      </c>
      <c r="H272" s="43"/>
      <c r="I272" s="43"/>
      <c r="J272" s="43"/>
      <c r="K272" s="43"/>
      <c r="L272" s="43"/>
      <c r="M272" s="43"/>
      <c r="N272" s="43"/>
      <c r="O272" s="43"/>
      <c r="P272" s="43"/>
      <c r="Q272" s="43"/>
      <c r="R272" s="9"/>
      <c r="S272" s="9"/>
    </row>
    <row r="273" spans="1:19" ht="46.8" x14ac:dyDescent="0.4">
      <c r="A273" s="51" t="s">
        <v>173</v>
      </c>
      <c r="B273" s="17" t="s">
        <v>76</v>
      </c>
      <c r="C273" s="35" t="s">
        <v>174</v>
      </c>
      <c r="D273" s="35" t="s">
        <v>392</v>
      </c>
      <c r="E273" s="69">
        <f>ROUNDUP(E274/E275,0)</f>
        <v>85</v>
      </c>
      <c r="H273" s="43"/>
      <c r="I273" s="43"/>
      <c r="J273" s="43"/>
      <c r="K273" s="43"/>
      <c r="L273" s="43"/>
      <c r="M273" s="43"/>
      <c r="N273" s="43"/>
      <c r="O273" s="43"/>
      <c r="P273" s="43"/>
      <c r="Q273" s="43"/>
      <c r="R273" s="9"/>
      <c r="S273" s="9"/>
    </row>
    <row r="274" spans="1:19" ht="62.4" x14ac:dyDescent="0.25">
      <c r="A274" s="17" t="s">
        <v>175</v>
      </c>
      <c r="B274" s="17" t="s">
        <v>78</v>
      </c>
      <c r="C274" s="35" t="s">
        <v>176</v>
      </c>
      <c r="D274" s="35" t="s">
        <v>346</v>
      </c>
      <c r="E274" s="153">
        <v>424.20099999999991</v>
      </c>
      <c r="H274" s="43"/>
      <c r="I274" s="43"/>
      <c r="J274" s="43"/>
      <c r="K274" s="43"/>
      <c r="L274" s="43"/>
      <c r="M274" s="43"/>
      <c r="N274" s="43"/>
      <c r="O274" s="43"/>
      <c r="P274" s="43"/>
      <c r="Q274" s="43"/>
      <c r="R274" s="9"/>
      <c r="S274" s="9"/>
    </row>
    <row r="275" spans="1:19" ht="62.4" x14ac:dyDescent="0.25">
      <c r="A275" s="17" t="s">
        <v>177</v>
      </c>
      <c r="B275" s="17" t="s">
        <v>80</v>
      </c>
      <c r="C275" s="35" t="s">
        <v>81</v>
      </c>
      <c r="D275" s="35" t="s">
        <v>345</v>
      </c>
      <c r="E275" s="25">
        <f>5</f>
        <v>5</v>
      </c>
      <c r="H275" s="43"/>
      <c r="I275" s="43"/>
      <c r="J275" s="43"/>
      <c r="K275" s="43"/>
      <c r="L275" s="43"/>
      <c r="M275" s="43"/>
      <c r="N275" s="43"/>
      <c r="O275" s="43"/>
      <c r="P275" s="43"/>
      <c r="Q275" s="43"/>
      <c r="R275" s="9"/>
      <c r="S275" s="9"/>
    </row>
    <row r="276" spans="1:19" ht="202.8" x14ac:dyDescent="0.25">
      <c r="A276" s="17" t="s">
        <v>178</v>
      </c>
      <c r="B276" s="17" t="s">
        <v>82</v>
      </c>
      <c r="C276" s="35" t="s">
        <v>179</v>
      </c>
      <c r="D276" s="35" t="s">
        <v>367</v>
      </c>
      <c r="E276" s="25">
        <f>30.3*2</f>
        <v>60.6</v>
      </c>
      <c r="H276" s="43"/>
      <c r="I276" s="43"/>
      <c r="J276" s="43"/>
      <c r="K276" s="43"/>
      <c r="L276" s="43"/>
      <c r="M276" s="43"/>
      <c r="N276" s="43"/>
      <c r="O276" s="43"/>
      <c r="P276" s="43"/>
      <c r="Q276" s="43"/>
      <c r="R276" s="9"/>
      <c r="S276" s="9"/>
    </row>
    <row r="277" spans="1:19" ht="156" x14ac:dyDescent="0.25">
      <c r="A277" s="17" t="s">
        <v>180</v>
      </c>
      <c r="B277" s="17" t="s">
        <v>84</v>
      </c>
      <c r="C277" s="35" t="s">
        <v>85</v>
      </c>
      <c r="D277" s="35" t="s">
        <v>365</v>
      </c>
      <c r="E277" s="25">
        <f>25.1/100</f>
        <v>0.251</v>
      </c>
      <c r="H277" s="43"/>
      <c r="I277" s="43"/>
      <c r="J277" s="43"/>
      <c r="K277" s="43"/>
      <c r="L277" s="43"/>
      <c r="M277" s="43"/>
      <c r="N277" s="43"/>
      <c r="O277" s="43"/>
      <c r="P277" s="43"/>
      <c r="Q277" s="43"/>
      <c r="R277" s="9"/>
      <c r="S277" s="9"/>
    </row>
    <row r="278" spans="1:19" ht="62.4" x14ac:dyDescent="0.25">
      <c r="A278" s="17" t="s">
        <v>86</v>
      </c>
      <c r="B278" s="17" t="s">
        <v>87</v>
      </c>
      <c r="C278" s="35" t="s">
        <v>86</v>
      </c>
      <c r="D278" s="35" t="s">
        <v>215</v>
      </c>
      <c r="E278" s="25">
        <f>0.84/1000</f>
        <v>8.3999999999999993E-4</v>
      </c>
      <c r="H278" s="43"/>
      <c r="I278" s="43"/>
      <c r="J278" s="43"/>
      <c r="K278" s="43"/>
      <c r="L278" s="43"/>
      <c r="M278" s="43"/>
      <c r="N278" s="43"/>
      <c r="O278" s="43"/>
      <c r="P278" s="43"/>
      <c r="Q278" s="43"/>
      <c r="R278" s="9"/>
      <c r="S278" s="9"/>
    </row>
    <row r="279" spans="1:19" ht="124.8" x14ac:dyDescent="0.25">
      <c r="A279" s="17" t="s">
        <v>181</v>
      </c>
      <c r="B279" s="17" t="s">
        <v>88</v>
      </c>
      <c r="C279" s="35" t="s">
        <v>89</v>
      </c>
      <c r="D279" s="35" t="s">
        <v>360</v>
      </c>
      <c r="E279" s="25">
        <f>43.33/1000</f>
        <v>4.333E-2</v>
      </c>
      <c r="H279" s="43"/>
      <c r="I279" s="43"/>
      <c r="J279" s="43"/>
      <c r="K279" s="43"/>
      <c r="L279" s="43"/>
      <c r="M279" s="43"/>
      <c r="N279" s="43"/>
      <c r="O279" s="43"/>
      <c r="P279" s="43"/>
      <c r="Q279" s="43"/>
      <c r="R279" s="9"/>
      <c r="S279" s="9"/>
    </row>
    <row r="280" spans="1:19" ht="33.6" x14ac:dyDescent="0.25">
      <c r="A280" s="17" t="s">
        <v>182</v>
      </c>
      <c r="B280" s="17" t="s">
        <v>90</v>
      </c>
      <c r="C280" s="35" t="s">
        <v>91</v>
      </c>
      <c r="D280" s="35" t="s">
        <v>92</v>
      </c>
      <c r="E280" s="25">
        <v>74.099999999999994</v>
      </c>
      <c r="H280" s="43"/>
      <c r="I280" s="43"/>
      <c r="J280" s="43"/>
      <c r="K280" s="43"/>
      <c r="L280" s="43"/>
      <c r="M280" s="43"/>
      <c r="N280" s="43"/>
      <c r="O280" s="43"/>
      <c r="P280" s="43"/>
      <c r="Q280" s="43"/>
      <c r="R280" s="9"/>
      <c r="S280" s="9"/>
    </row>
    <row r="282" spans="1:19" x14ac:dyDescent="0.25">
      <c r="A282" s="33" t="s">
        <v>8</v>
      </c>
      <c r="B282" s="33" t="s">
        <v>9</v>
      </c>
      <c r="C282" s="34" t="s">
        <v>10</v>
      </c>
      <c r="D282" s="34" t="s">
        <v>340</v>
      </c>
      <c r="E282" s="16" t="s">
        <v>65</v>
      </c>
    </row>
    <row r="283" spans="1:19" ht="18" x14ac:dyDescent="0.25">
      <c r="A283" s="15" t="s">
        <v>183</v>
      </c>
      <c r="B283" s="17" t="s">
        <v>103</v>
      </c>
      <c r="C283" s="35" t="s">
        <v>184</v>
      </c>
      <c r="D283" s="53" t="s">
        <v>393</v>
      </c>
      <c r="E283" s="18">
        <f>ROUNDUP(E232+E256+E260+E264+E272,0)</f>
        <v>253</v>
      </c>
    </row>
    <row r="284" spans="1:19" s="200" customFormat="1" ht="43.2" customHeight="1" x14ac:dyDescent="0.25">
      <c r="A284" s="200" t="s">
        <v>247</v>
      </c>
    </row>
    <row r="285" spans="1:19" ht="23.4" customHeight="1" x14ac:dyDescent="0.25">
      <c r="A285" s="201" t="s">
        <v>105</v>
      </c>
      <c r="B285" s="201"/>
      <c r="C285" s="201"/>
      <c r="D285" s="201"/>
      <c r="E285" s="201"/>
      <c r="F285" s="201"/>
      <c r="G285" s="201"/>
      <c r="H285" s="201"/>
      <c r="I285" s="201"/>
      <c r="J285" s="201"/>
      <c r="K285" s="201"/>
      <c r="L285" s="201"/>
      <c r="M285" s="201"/>
      <c r="N285" s="201"/>
      <c r="O285" s="201"/>
      <c r="P285" s="201"/>
      <c r="Q285" s="202"/>
    </row>
    <row r="286" spans="1:19" s="10" customFormat="1" ht="31.2" x14ac:dyDescent="0.25">
      <c r="A286" s="15" t="s">
        <v>8</v>
      </c>
      <c r="B286" s="15" t="s">
        <v>9</v>
      </c>
      <c r="C286" s="15" t="s">
        <v>10</v>
      </c>
      <c r="D286" s="15" t="s">
        <v>340</v>
      </c>
      <c r="E286" s="16" t="s">
        <v>11</v>
      </c>
      <c r="F286" s="16" t="s">
        <v>292</v>
      </c>
      <c r="G286" s="16" t="s">
        <v>292</v>
      </c>
      <c r="H286" s="16" t="s">
        <v>292</v>
      </c>
      <c r="I286" s="16" t="s">
        <v>292</v>
      </c>
      <c r="J286" s="16" t="s">
        <v>292</v>
      </c>
      <c r="K286" s="16" t="s">
        <v>292</v>
      </c>
      <c r="L286" s="16" t="s">
        <v>292</v>
      </c>
      <c r="M286" s="16" t="s">
        <v>292</v>
      </c>
      <c r="N286" s="16" t="s">
        <v>303</v>
      </c>
      <c r="O286" s="16" t="s">
        <v>293</v>
      </c>
      <c r="P286" s="16" t="s">
        <v>294</v>
      </c>
      <c r="Q286" s="16" t="s">
        <v>295</v>
      </c>
      <c r="R286" s="54"/>
      <c r="S286" s="54"/>
    </row>
    <row r="287" spans="1:19" s="10" customFormat="1" x14ac:dyDescent="0.25">
      <c r="A287" s="203" t="s">
        <v>106</v>
      </c>
      <c r="B287" s="203"/>
      <c r="C287" s="203"/>
      <c r="D287" s="203"/>
      <c r="E287" s="204"/>
      <c r="F287" s="16" t="s">
        <v>297</v>
      </c>
      <c r="G287" s="16" t="s">
        <v>297</v>
      </c>
      <c r="H287" s="16" t="s">
        <v>297</v>
      </c>
      <c r="I287" s="16" t="s">
        <v>297</v>
      </c>
      <c r="J287" s="16" t="s">
        <v>297</v>
      </c>
      <c r="K287" s="16" t="s">
        <v>297</v>
      </c>
      <c r="L287" s="16" t="s">
        <v>297</v>
      </c>
      <c r="M287" s="16" t="s">
        <v>297</v>
      </c>
      <c r="N287" s="16">
        <v>21</v>
      </c>
      <c r="O287" s="16">
        <v>31</v>
      </c>
      <c r="P287" s="16">
        <v>30</v>
      </c>
      <c r="Q287" s="16">
        <v>31</v>
      </c>
      <c r="R287" s="54"/>
      <c r="S287" s="54"/>
    </row>
    <row r="288" spans="1:19" s="10" customFormat="1" ht="31.2" x14ac:dyDescent="0.25">
      <c r="A288" s="15" t="s">
        <v>107</v>
      </c>
      <c r="B288" s="17" t="s">
        <v>103</v>
      </c>
      <c r="C288" s="17" t="s">
        <v>108</v>
      </c>
      <c r="D288" s="17" t="s">
        <v>381</v>
      </c>
      <c r="E288" s="18">
        <f>E289+E299</f>
        <v>0</v>
      </c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54"/>
      <c r="S288" s="54"/>
    </row>
    <row r="289" spans="1:17" ht="46.8" x14ac:dyDescent="0.25">
      <c r="A289" s="17" t="s">
        <v>109</v>
      </c>
      <c r="B289" s="17" t="s">
        <v>103</v>
      </c>
      <c r="C289" s="17" t="s">
        <v>110</v>
      </c>
      <c r="D289" s="17" t="s">
        <v>382</v>
      </c>
      <c r="E289" s="19">
        <f>SUM(F289:Q289)</f>
        <v>0</v>
      </c>
      <c r="F289" s="19" t="s">
        <v>297</v>
      </c>
      <c r="G289" s="19" t="s">
        <v>297</v>
      </c>
      <c r="H289" s="19" t="s">
        <v>297</v>
      </c>
      <c r="I289" s="19" t="s">
        <v>297</v>
      </c>
      <c r="J289" s="19" t="s">
        <v>297</v>
      </c>
      <c r="K289" s="19" t="s">
        <v>297</v>
      </c>
      <c r="L289" s="19" t="s">
        <v>297</v>
      </c>
      <c r="M289" s="19" t="s">
        <v>297</v>
      </c>
      <c r="N289" s="19">
        <f t="shared" ref="N289:Q289" si="33">IF(N290&gt;=0.8,0,$E$15*$E$16*0.4*(N291-N294)*N287)</f>
        <v>0</v>
      </c>
      <c r="O289" s="19">
        <f t="shared" si="33"/>
        <v>0</v>
      </c>
      <c r="P289" s="19">
        <f t="shared" si="33"/>
        <v>0</v>
      </c>
      <c r="Q289" s="19">
        <f t="shared" si="33"/>
        <v>0</v>
      </c>
    </row>
    <row r="290" spans="1:17" ht="62.4" x14ac:dyDescent="0.25">
      <c r="A290" s="17" t="s">
        <v>111</v>
      </c>
      <c r="B290" s="17" t="s">
        <v>37</v>
      </c>
      <c r="C290" s="17" t="s">
        <v>112</v>
      </c>
      <c r="D290" s="17" t="s">
        <v>383</v>
      </c>
      <c r="E290" s="20">
        <f>AVERAGE(N290:Q290)</f>
        <v>0.95457940604920921</v>
      </c>
      <c r="F290" s="20" t="s">
        <v>297</v>
      </c>
      <c r="G290" s="20" t="s">
        <v>297</v>
      </c>
      <c r="H290" s="20" t="s">
        <v>297</v>
      </c>
      <c r="I290" s="20" t="s">
        <v>297</v>
      </c>
      <c r="J290" s="20" t="s">
        <v>297</v>
      </c>
      <c r="K290" s="20" t="s">
        <v>297</v>
      </c>
      <c r="L290" s="20" t="s">
        <v>297</v>
      </c>
      <c r="M290" s="20" t="s">
        <v>297</v>
      </c>
      <c r="N290" s="20">
        <f t="shared" ref="N290:Q290" si="34">(N291-N294)/N291</f>
        <v>0.95369968813818606</v>
      </c>
      <c r="O290" s="20">
        <f t="shared" si="34"/>
        <v>0.95468516823428828</v>
      </c>
      <c r="P290" s="20">
        <f t="shared" si="34"/>
        <v>0.95491565228028508</v>
      </c>
      <c r="Q290" s="20">
        <f t="shared" si="34"/>
        <v>0.95501711554407698</v>
      </c>
    </row>
    <row r="291" spans="1:17" ht="46.8" x14ac:dyDescent="0.25">
      <c r="A291" s="17" t="s">
        <v>113</v>
      </c>
      <c r="B291" s="17" t="s">
        <v>24</v>
      </c>
      <c r="C291" s="17" t="s">
        <v>114</v>
      </c>
      <c r="D291" s="17" t="s">
        <v>384</v>
      </c>
      <c r="E291" s="20">
        <f>SUM(N291:Q291)</f>
        <v>14.550083628935726</v>
      </c>
      <c r="F291" s="20" t="s">
        <v>297</v>
      </c>
      <c r="G291" s="20" t="s">
        <v>297</v>
      </c>
      <c r="H291" s="20" t="s">
        <v>297</v>
      </c>
      <c r="I291" s="20" t="s">
        <v>297</v>
      </c>
      <c r="J291" s="20" t="s">
        <v>297</v>
      </c>
      <c r="K291" s="20" t="s">
        <v>297</v>
      </c>
      <c r="L291" s="20" t="s">
        <v>297</v>
      </c>
      <c r="M291" s="20" t="s">
        <v>297</v>
      </c>
      <c r="N291" s="20">
        <f t="shared" ref="N291:Q291" si="35">N292*N293</f>
        <v>3.7152616592428203</v>
      </c>
      <c r="O291" s="20">
        <f t="shared" si="35"/>
        <v>3.7135052362183152</v>
      </c>
      <c r="P291" s="20">
        <f t="shared" si="35"/>
        <v>3.5606723564536495</v>
      </c>
      <c r="Q291" s="20">
        <f t="shared" si="35"/>
        <v>3.5606443770209411</v>
      </c>
    </row>
    <row r="292" spans="1:17" ht="68.400000000000006" customHeight="1" x14ac:dyDescent="0.25">
      <c r="A292" s="17" t="s">
        <v>115</v>
      </c>
      <c r="B292" s="17" t="s">
        <v>116</v>
      </c>
      <c r="C292" s="17" t="s">
        <v>117</v>
      </c>
      <c r="D292" s="17" t="s">
        <v>336</v>
      </c>
      <c r="E292" s="129">
        <f>SUM(N292:Q292)</f>
        <v>34161.701970660521</v>
      </c>
      <c r="F292" s="21" t="s">
        <v>297</v>
      </c>
      <c r="G292" s="21" t="s">
        <v>297</v>
      </c>
      <c r="H292" s="21" t="s">
        <v>297</v>
      </c>
      <c r="I292" s="21" t="s">
        <v>297</v>
      </c>
      <c r="J292" s="21" t="s">
        <v>297</v>
      </c>
      <c r="K292" s="21" t="s">
        <v>297</v>
      </c>
      <c r="L292" s="21" t="s">
        <v>297</v>
      </c>
      <c r="M292" s="21" t="s">
        <v>297</v>
      </c>
      <c r="N292" s="129">
        <f>'Baseline Emissions 2020'!N283</f>
        <v>8722.790952380954</v>
      </c>
      <c r="O292" s="129">
        <f>'Baseline Emissions 2020'!O283</f>
        <v>8718.1056774193548</v>
      </c>
      <c r="P292" s="129">
        <f>'Baseline Emissions 2020'!P283</f>
        <v>8361.9735666666675</v>
      </c>
      <c r="Q292" s="129">
        <f>'Baseline Emissions 2020'!Q283</f>
        <v>8358.8317741935462</v>
      </c>
    </row>
    <row r="293" spans="1:17" ht="46.8" x14ac:dyDescent="0.25">
      <c r="A293" s="17" t="s">
        <v>118</v>
      </c>
      <c r="B293" s="17" t="s">
        <v>119</v>
      </c>
      <c r="C293" s="17" t="s">
        <v>120</v>
      </c>
      <c r="D293" s="35" t="s">
        <v>338</v>
      </c>
      <c r="E293" s="120">
        <f>AVERAGE(N293:Q293)</f>
        <v>4.2591754160266262E-4</v>
      </c>
      <c r="F293" s="23" t="str">
        <f>'Baseline Emissions 2020'!F287</f>
        <v>—</v>
      </c>
      <c r="G293" s="23" t="str">
        <f>'Baseline Emissions 2020'!G287</f>
        <v>—</v>
      </c>
      <c r="H293" s="23" t="str">
        <f>'Baseline Emissions 2020'!H287</f>
        <v>—</v>
      </c>
      <c r="I293" s="23" t="str">
        <f>'Baseline Emissions 2020'!I287</f>
        <v>—</v>
      </c>
      <c r="J293" s="23" t="str">
        <f>'Baseline Emissions 2020'!J287</f>
        <v>—</v>
      </c>
      <c r="K293" s="23" t="str">
        <f>'Baseline Emissions 2020'!K287</f>
        <v>—</v>
      </c>
      <c r="L293" s="23" t="str">
        <f>'Baseline Emissions 2020'!L287</f>
        <v>—</v>
      </c>
      <c r="M293" s="23" t="str">
        <f>'Baseline Emissions 2020'!M287</f>
        <v>—</v>
      </c>
      <c r="N293" s="130">
        <f>'Baseline Emissions 2020'!N287</f>
        <v>4.259257936507937E-4</v>
      </c>
      <c r="O293" s="130">
        <f>'Baseline Emissions 2020'!O287</f>
        <v>4.2595322580645174E-4</v>
      </c>
      <c r="P293" s="130">
        <f>'Baseline Emissions 2020'!P287</f>
        <v>4.2581722222222233E-4</v>
      </c>
      <c r="Q293" s="130">
        <f>'Baseline Emissions 2020'!Q287</f>
        <v>4.259739247311828E-4</v>
      </c>
    </row>
    <row r="294" spans="1:17" ht="46.8" x14ac:dyDescent="0.25">
      <c r="A294" s="17" t="s">
        <v>121</v>
      </c>
      <c r="B294" s="17" t="s">
        <v>24</v>
      </c>
      <c r="C294" s="17" t="s">
        <v>122</v>
      </c>
      <c r="D294" s="17" t="s">
        <v>384</v>
      </c>
      <c r="E294" s="20">
        <f>SUM(N294:Q294)</f>
        <v>0.66099328374600352</v>
      </c>
      <c r="F294" s="20" t="s">
        <v>297</v>
      </c>
      <c r="G294" s="20" t="s">
        <v>297</v>
      </c>
      <c r="H294" s="20" t="s">
        <v>297</v>
      </c>
      <c r="I294" s="20" t="s">
        <v>297</v>
      </c>
      <c r="J294" s="20" t="s">
        <v>297</v>
      </c>
      <c r="K294" s="20" t="s">
        <v>297</v>
      </c>
      <c r="L294" s="20" t="s">
        <v>297</v>
      </c>
      <c r="M294" s="20" t="s">
        <v>297</v>
      </c>
      <c r="N294" s="20">
        <f t="shared" ref="N294:Q294" si="36">SUM(N295*N296)</f>
        <v>0.17201777347118291</v>
      </c>
      <c r="O294" s="20">
        <f t="shared" si="36"/>
        <v>0.1682768650403226</v>
      </c>
      <c r="P294" s="20">
        <f t="shared" si="36"/>
        <v>0.16053059063433325</v>
      </c>
      <c r="Q294" s="20">
        <f t="shared" si="36"/>
        <v>0.16016805460016473</v>
      </c>
    </row>
    <row r="295" spans="1:17" ht="62.4" x14ac:dyDescent="0.25">
      <c r="A295" s="17" t="s">
        <v>123</v>
      </c>
      <c r="B295" s="17" t="s">
        <v>116</v>
      </c>
      <c r="C295" s="17" t="s">
        <v>124</v>
      </c>
      <c r="D295" s="17" t="s">
        <v>337</v>
      </c>
      <c r="E295" s="129">
        <f>SUM(N295:Q295)</f>
        <v>33645.872167588321</v>
      </c>
      <c r="F295" s="21" t="s">
        <v>297</v>
      </c>
      <c r="G295" s="21" t="s">
        <v>297</v>
      </c>
      <c r="H295" s="21" t="s">
        <v>297</v>
      </c>
      <c r="I295" s="21" t="s">
        <v>297</v>
      </c>
      <c r="J295" s="21" t="s">
        <v>297</v>
      </c>
      <c r="K295" s="21" t="s">
        <v>297</v>
      </c>
      <c r="L295" s="21" t="s">
        <v>297</v>
      </c>
      <c r="M295" s="21" t="s">
        <v>297</v>
      </c>
      <c r="N295" s="129">
        <v>8592.8754761904765</v>
      </c>
      <c r="O295" s="129">
        <v>8592.8611935483859</v>
      </c>
      <c r="P295" s="129">
        <v>8228.1184333333294</v>
      </c>
      <c r="Q295" s="129">
        <v>8232.017064516127</v>
      </c>
    </row>
    <row r="296" spans="1:17" ht="46.8" x14ac:dyDescent="0.25">
      <c r="A296" s="17" t="s">
        <v>125</v>
      </c>
      <c r="B296" s="17" t="s">
        <v>119</v>
      </c>
      <c r="C296" s="17" t="s">
        <v>126</v>
      </c>
      <c r="D296" s="35" t="s">
        <v>339</v>
      </c>
      <c r="E296" s="131">
        <f>AVERAGE(N296:Q296)</f>
        <v>1.9642176139272912E-5</v>
      </c>
      <c r="F296" s="24" t="str">
        <f>'Baseline Emissions 2020'!F288</f>
        <v>—</v>
      </c>
      <c r="G296" s="24" t="str">
        <f>'Baseline Emissions 2020'!G288</f>
        <v>—</v>
      </c>
      <c r="H296" s="24" t="str">
        <f>'Baseline Emissions 2020'!H288</f>
        <v>—</v>
      </c>
      <c r="I296" s="24" t="str">
        <f>'Baseline Emissions 2020'!I288</f>
        <v>—</v>
      </c>
      <c r="J296" s="24" t="str">
        <f>'Baseline Emissions 2020'!J288</f>
        <v>—</v>
      </c>
      <c r="K296" s="24" t="str">
        <f>'Baseline Emissions 2020'!K288</f>
        <v>—</v>
      </c>
      <c r="L296" s="24" t="str">
        <f>'Baseline Emissions 2020'!L288</f>
        <v>—</v>
      </c>
      <c r="M296" s="24" t="str">
        <f>'Baseline Emissions 2020'!M288</f>
        <v>—</v>
      </c>
      <c r="N296" s="131">
        <f>'Baseline Emissions 2020'!N288</f>
        <v>2.0018650793650791E-5</v>
      </c>
      <c r="O296" s="131">
        <f>'Baseline Emissions 2020'!O288</f>
        <v>1.958333333333334E-5</v>
      </c>
      <c r="P296" s="131">
        <f>'Baseline Emissions 2020'!P288</f>
        <v>1.9509999999999998E-5</v>
      </c>
      <c r="Q296" s="131">
        <f>'Baseline Emissions 2020'!Q288</f>
        <v>1.9456720430107529E-5</v>
      </c>
    </row>
    <row r="297" spans="1:17" ht="31.2" x14ac:dyDescent="0.25">
      <c r="A297" s="17" t="s">
        <v>127</v>
      </c>
      <c r="B297" s="17" t="s">
        <v>128</v>
      </c>
      <c r="C297" s="17" t="s">
        <v>17</v>
      </c>
      <c r="D297" s="17" t="s">
        <v>129</v>
      </c>
      <c r="E297" s="176">
        <v>28</v>
      </c>
      <c r="F297" s="176"/>
      <c r="G297" s="176"/>
      <c r="H297" s="176"/>
      <c r="I297" s="176"/>
      <c r="J297" s="176"/>
      <c r="K297" s="176"/>
      <c r="L297" s="176"/>
      <c r="M297" s="176"/>
      <c r="N297" s="176"/>
      <c r="O297" s="176"/>
      <c r="P297" s="176"/>
      <c r="Q297" s="176"/>
    </row>
    <row r="298" spans="1:17" ht="64.8" x14ac:dyDescent="0.25">
      <c r="A298" s="17" t="s">
        <v>130</v>
      </c>
      <c r="B298" s="17" t="s">
        <v>19</v>
      </c>
      <c r="C298" s="17" t="s">
        <v>131</v>
      </c>
      <c r="D298" s="17" t="s">
        <v>394</v>
      </c>
      <c r="E298" s="176">
        <v>0.21</v>
      </c>
      <c r="F298" s="176"/>
      <c r="G298" s="176"/>
      <c r="H298" s="176"/>
      <c r="I298" s="176"/>
      <c r="J298" s="176"/>
      <c r="K298" s="176"/>
      <c r="L298" s="176"/>
      <c r="M298" s="176"/>
      <c r="N298" s="176"/>
      <c r="O298" s="176"/>
      <c r="P298" s="176"/>
      <c r="Q298" s="176"/>
    </row>
    <row r="299" spans="1:17" ht="46.8" x14ac:dyDescent="0.25">
      <c r="A299" s="17" t="s">
        <v>132</v>
      </c>
      <c r="B299" s="17" t="s">
        <v>103</v>
      </c>
      <c r="C299" s="17" t="s">
        <v>133</v>
      </c>
      <c r="D299" s="17" t="s">
        <v>385</v>
      </c>
      <c r="E299" s="19">
        <f>SUM(F299:Q299)</f>
        <v>0</v>
      </c>
      <c r="F299" s="19" t="s">
        <v>297</v>
      </c>
      <c r="G299" s="19" t="s">
        <v>297</v>
      </c>
      <c r="H299" s="19" t="s">
        <v>297</v>
      </c>
      <c r="I299" s="19" t="s">
        <v>297</v>
      </c>
      <c r="J299" s="19" t="s">
        <v>297</v>
      </c>
      <c r="K299" s="19" t="s">
        <v>297</v>
      </c>
      <c r="L299" s="19" t="s">
        <v>297</v>
      </c>
      <c r="M299" s="19" t="s">
        <v>297</v>
      </c>
      <c r="N299" s="19">
        <f t="shared" ref="N299:Q299" si="37">$E$15*$E$16*N300*N294*N287</f>
        <v>0</v>
      </c>
      <c r="O299" s="19">
        <f t="shared" si="37"/>
        <v>0</v>
      </c>
      <c r="P299" s="19">
        <f t="shared" si="37"/>
        <v>0</v>
      </c>
      <c r="Q299" s="19">
        <f t="shared" si="37"/>
        <v>0</v>
      </c>
    </row>
    <row r="300" spans="1:17" ht="18" x14ac:dyDescent="0.25">
      <c r="A300" s="17" t="s">
        <v>134</v>
      </c>
      <c r="B300" s="17" t="s">
        <v>37</v>
      </c>
      <c r="C300" s="17" t="s">
        <v>135</v>
      </c>
      <c r="D300" s="17" t="s">
        <v>386</v>
      </c>
      <c r="E300" s="26">
        <f>AVERAGE(F300:Q300)</f>
        <v>0</v>
      </c>
      <c r="F300" s="26" t="s">
        <v>297</v>
      </c>
      <c r="G300" s="26" t="s">
        <v>297</v>
      </c>
      <c r="H300" s="26" t="s">
        <v>297</v>
      </c>
      <c r="I300" s="26" t="s">
        <v>297</v>
      </c>
      <c r="J300" s="26" t="s">
        <v>297</v>
      </c>
      <c r="K300" s="26" t="s">
        <v>297</v>
      </c>
      <c r="L300" s="26" t="s">
        <v>297</v>
      </c>
      <c r="M300" s="26" t="s">
        <v>297</v>
      </c>
      <c r="N300" s="26">
        <f>N301*$E$302*0.89</f>
        <v>0</v>
      </c>
      <c r="O300" s="26">
        <f t="shared" ref="O300:Q300" si="38">O301*$E$302*0.89</f>
        <v>0</v>
      </c>
      <c r="P300" s="26">
        <f t="shared" si="38"/>
        <v>0</v>
      </c>
      <c r="Q300" s="26">
        <f t="shared" si="38"/>
        <v>0</v>
      </c>
    </row>
    <row r="301" spans="1:17" ht="31.2" x14ac:dyDescent="0.25">
      <c r="A301" s="17" t="s">
        <v>136</v>
      </c>
      <c r="B301" s="17" t="s">
        <v>37</v>
      </c>
      <c r="C301" s="17" t="s">
        <v>46</v>
      </c>
      <c r="D301" s="17" t="s">
        <v>387</v>
      </c>
      <c r="E301" s="25">
        <v>0</v>
      </c>
      <c r="F301" s="25" t="s">
        <v>297</v>
      </c>
      <c r="G301" s="25" t="s">
        <v>297</v>
      </c>
      <c r="H301" s="25" t="s">
        <v>297</v>
      </c>
      <c r="I301" s="25" t="s">
        <v>297</v>
      </c>
      <c r="J301" s="25" t="s">
        <v>297</v>
      </c>
      <c r="K301" s="25" t="s">
        <v>297</v>
      </c>
      <c r="L301" s="25" t="s">
        <v>297</v>
      </c>
      <c r="M301" s="25" t="s">
        <v>297</v>
      </c>
      <c r="N301" s="25">
        <v>0</v>
      </c>
      <c r="O301" s="25">
        <v>0</v>
      </c>
      <c r="P301" s="25">
        <v>0</v>
      </c>
      <c r="Q301" s="25">
        <v>0</v>
      </c>
    </row>
    <row r="302" spans="1:17" ht="31.2" x14ac:dyDescent="0.25">
      <c r="A302" s="17" t="s">
        <v>137</v>
      </c>
      <c r="B302" s="17" t="s">
        <v>201</v>
      </c>
      <c r="C302" s="17" t="s">
        <v>138</v>
      </c>
      <c r="D302" s="17" t="s">
        <v>388</v>
      </c>
      <c r="E302" s="196">
        <f>(N303*N308+O303*O308+P303*P308+Q303*Q308)/(N296*N295*N287+O295*O296*O287+P296*P295*P287+Q296*Q295*Q287)</f>
        <v>0.5625908149340928</v>
      </c>
      <c r="F302" s="196"/>
      <c r="G302" s="196"/>
      <c r="H302" s="196"/>
      <c r="I302" s="196"/>
      <c r="J302" s="196"/>
      <c r="K302" s="196"/>
      <c r="L302" s="196"/>
      <c r="M302" s="196"/>
      <c r="N302" s="196"/>
      <c r="O302" s="196"/>
      <c r="P302" s="196"/>
      <c r="Q302" s="196"/>
    </row>
    <row r="303" spans="1:17" ht="31.2" x14ac:dyDescent="0.25">
      <c r="A303" s="17" t="s">
        <v>139</v>
      </c>
      <c r="B303" s="17" t="s">
        <v>37</v>
      </c>
      <c r="C303" s="17" t="s">
        <v>140</v>
      </c>
      <c r="D303" s="17" t="s">
        <v>375</v>
      </c>
      <c r="E303" s="27">
        <f>AVERAGE(N303:Q303)</f>
        <v>0.58075944952101688</v>
      </c>
      <c r="F303" s="27" t="s">
        <v>297</v>
      </c>
      <c r="G303" s="27" t="s">
        <v>297</v>
      </c>
      <c r="H303" s="27" t="s">
        <v>297</v>
      </c>
      <c r="I303" s="27" t="s">
        <v>297</v>
      </c>
      <c r="J303" s="27" t="s">
        <v>297</v>
      </c>
      <c r="K303" s="27" t="s">
        <v>297</v>
      </c>
      <c r="L303" s="27" t="s">
        <v>297</v>
      </c>
      <c r="M303" s="27" t="s">
        <v>297</v>
      </c>
      <c r="N303" s="27">
        <f>IF(N307&lt;283,0,IF(N307&gt;303,1,EXP(($E$304*(N307-$E$305))/($E$306*$E$305*N307))))</f>
        <v>0.84523513966163832</v>
      </c>
      <c r="O303" s="27">
        <f t="shared" ref="O303:Q303" si="39">IF(O307&lt;283,0,IF(O307&gt;303,1,EXP(($E$304*(O307-$E$305))/($E$306*$E$305*O307))))</f>
        <v>0.62729263560178183</v>
      </c>
      <c r="P303" s="27">
        <f t="shared" si="39"/>
        <v>0.52733825786216582</v>
      </c>
      <c r="Q303" s="27">
        <f t="shared" si="39"/>
        <v>0.32317176495848171</v>
      </c>
    </row>
    <row r="304" spans="1:17" x14ac:dyDescent="0.25">
      <c r="A304" s="17" t="s">
        <v>51</v>
      </c>
      <c r="B304" s="17" t="s">
        <v>52</v>
      </c>
      <c r="C304" s="17" t="s">
        <v>53</v>
      </c>
      <c r="D304" s="17" t="s">
        <v>389</v>
      </c>
      <c r="E304" s="176">
        <v>15175</v>
      </c>
      <c r="F304" s="176"/>
      <c r="G304" s="176"/>
      <c r="H304" s="176"/>
      <c r="I304" s="176"/>
      <c r="J304" s="176"/>
      <c r="K304" s="176"/>
      <c r="L304" s="176"/>
      <c r="M304" s="176"/>
      <c r="N304" s="176"/>
      <c r="O304" s="176"/>
      <c r="P304" s="176"/>
      <c r="Q304" s="176"/>
    </row>
    <row r="305" spans="1:17" ht="18" x14ac:dyDescent="0.25">
      <c r="A305" s="17" t="s">
        <v>141</v>
      </c>
      <c r="B305" s="17" t="s">
        <v>55</v>
      </c>
      <c r="C305" s="17" t="s">
        <v>56</v>
      </c>
      <c r="D305" s="17" t="s">
        <v>389</v>
      </c>
      <c r="E305" s="176">
        <v>303.16000000000003</v>
      </c>
      <c r="F305" s="176"/>
      <c r="G305" s="176"/>
      <c r="H305" s="176"/>
      <c r="I305" s="176"/>
      <c r="J305" s="176"/>
      <c r="K305" s="176"/>
      <c r="L305" s="176"/>
      <c r="M305" s="176"/>
      <c r="N305" s="176"/>
      <c r="O305" s="176"/>
      <c r="P305" s="176"/>
      <c r="Q305" s="176"/>
    </row>
    <row r="306" spans="1:17" x14ac:dyDescent="0.25">
      <c r="A306" s="17" t="s">
        <v>57</v>
      </c>
      <c r="B306" s="17" t="s">
        <v>58</v>
      </c>
      <c r="C306" s="17" t="s">
        <v>59</v>
      </c>
      <c r="D306" s="17" t="s">
        <v>389</v>
      </c>
      <c r="E306" s="176">
        <v>1.9870000000000001</v>
      </c>
      <c r="F306" s="176"/>
      <c r="G306" s="176"/>
      <c r="H306" s="176"/>
      <c r="I306" s="176"/>
      <c r="J306" s="176"/>
      <c r="K306" s="176"/>
      <c r="L306" s="176"/>
      <c r="M306" s="176"/>
      <c r="N306" s="176"/>
      <c r="O306" s="176"/>
      <c r="P306" s="176"/>
      <c r="Q306" s="176"/>
    </row>
    <row r="307" spans="1:17" ht="18" x14ac:dyDescent="0.25">
      <c r="A307" s="17" t="s">
        <v>142</v>
      </c>
      <c r="B307" s="17" t="s">
        <v>55</v>
      </c>
      <c r="C307" s="17" t="s">
        <v>143</v>
      </c>
      <c r="D307" s="144" t="s">
        <v>363</v>
      </c>
      <c r="E307" s="28">
        <f>AVERAGE(N307:Q307)</f>
        <v>296.14999999999998</v>
      </c>
      <c r="F307" s="25" t="s">
        <v>297</v>
      </c>
      <c r="G307" s="25" t="s">
        <v>297</v>
      </c>
      <c r="H307" s="25" t="s">
        <v>297</v>
      </c>
      <c r="I307" s="25" t="s">
        <v>297</v>
      </c>
      <c r="J307" s="25" t="s">
        <v>297</v>
      </c>
      <c r="K307" s="25" t="s">
        <v>297</v>
      </c>
      <c r="L307" s="25" t="s">
        <v>297</v>
      </c>
      <c r="M307" s="25" t="s">
        <v>297</v>
      </c>
      <c r="N307" s="25">
        <v>301.14999999999998</v>
      </c>
      <c r="O307" s="25">
        <v>297.64999999999998</v>
      </c>
      <c r="P307" s="25">
        <v>295.64999999999998</v>
      </c>
      <c r="Q307" s="25">
        <v>290.14999999999998</v>
      </c>
    </row>
    <row r="308" spans="1:17" ht="46.8" x14ac:dyDescent="0.25">
      <c r="A308" s="17" t="s">
        <v>144</v>
      </c>
      <c r="B308" s="17" t="s">
        <v>24</v>
      </c>
      <c r="C308" s="17" t="s">
        <v>145</v>
      </c>
      <c r="D308" s="17" t="s">
        <v>390</v>
      </c>
      <c r="E308" s="29">
        <f>SUM(N308:Q308)</f>
        <v>18.610083470779948</v>
      </c>
      <c r="F308" s="29" t="s">
        <v>297</v>
      </c>
      <c r="G308" s="29" t="s">
        <v>297</v>
      </c>
      <c r="H308" s="29" t="s">
        <v>297</v>
      </c>
      <c r="I308" s="29" t="s">
        <v>297</v>
      </c>
      <c r="J308" s="29" t="s">
        <v>297</v>
      </c>
      <c r="K308" s="29" t="s">
        <v>297</v>
      </c>
      <c r="L308" s="29" t="s">
        <v>297</v>
      </c>
      <c r="M308" s="29" t="s">
        <v>297</v>
      </c>
      <c r="N308" s="29">
        <f>N295*N296*'Project Emissions 2020'!N287+(1-N303)*0</f>
        <v>3.612373242894841</v>
      </c>
      <c r="O308" s="29">
        <f>O295*O296*'Project Emissions 2020'!O287+(1-O303)*0</f>
        <v>5.2165828162500008</v>
      </c>
      <c r="P308" s="29">
        <f>P295*P296*'Project Emissions 2020'!P287+(1-P303)*0</f>
        <v>4.815917719029998</v>
      </c>
      <c r="Q308" s="29">
        <f>Q295*Q296*'Project Emissions 2020'!Q287+(1-Q303)*0</f>
        <v>4.9652096926051064</v>
      </c>
    </row>
    <row r="309" spans="1:17" x14ac:dyDescent="0.3">
      <c r="A309" s="30"/>
      <c r="E309" s="31"/>
      <c r="F309" s="31"/>
      <c r="G309" s="31"/>
      <c r="H309" s="31"/>
      <c r="I309" s="31"/>
      <c r="J309" s="31"/>
      <c r="K309" s="31"/>
      <c r="L309" s="31"/>
      <c r="M309" s="31"/>
      <c r="N309" s="31"/>
      <c r="O309" s="31"/>
      <c r="P309" s="31"/>
      <c r="Q309" s="31"/>
    </row>
    <row r="310" spans="1:17" x14ac:dyDescent="0.25">
      <c r="A310" s="174" t="s">
        <v>146</v>
      </c>
      <c r="B310" s="174"/>
      <c r="C310" s="175"/>
      <c r="D310" s="175"/>
      <c r="E310" s="195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</row>
    <row r="311" spans="1:17" x14ac:dyDescent="0.25">
      <c r="A311" s="33" t="s">
        <v>8</v>
      </c>
      <c r="B311" s="33" t="s">
        <v>9</v>
      </c>
      <c r="C311" s="34" t="s">
        <v>10</v>
      </c>
      <c r="D311" s="34" t="s">
        <v>340</v>
      </c>
      <c r="E311" s="16" t="s">
        <v>65</v>
      </c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</row>
    <row r="312" spans="1:17" ht="46.8" x14ac:dyDescent="0.25">
      <c r="A312" s="15" t="s">
        <v>147</v>
      </c>
      <c r="B312" s="17" t="s">
        <v>95</v>
      </c>
      <c r="C312" s="35" t="s">
        <v>148</v>
      </c>
      <c r="D312" s="35" t="s">
        <v>68</v>
      </c>
      <c r="E312" s="16">
        <v>0</v>
      </c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</row>
    <row r="313" spans="1:17" x14ac:dyDescent="0.25">
      <c r="A313" s="36"/>
      <c r="B313" s="36"/>
      <c r="C313" s="37"/>
      <c r="D313" s="37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</row>
    <row r="314" spans="1:17" x14ac:dyDescent="0.25">
      <c r="A314" s="174" t="s">
        <v>149</v>
      </c>
      <c r="B314" s="174"/>
      <c r="C314" s="175"/>
      <c r="D314" s="175"/>
      <c r="E314" s="195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</row>
    <row r="315" spans="1:17" x14ac:dyDescent="0.25">
      <c r="A315" s="33" t="s">
        <v>8</v>
      </c>
      <c r="B315" s="33" t="s">
        <v>9</v>
      </c>
      <c r="C315" s="34" t="s">
        <v>10</v>
      </c>
      <c r="D315" s="34" t="s">
        <v>340</v>
      </c>
      <c r="E315" s="16" t="s">
        <v>65</v>
      </c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</row>
    <row r="316" spans="1:17" ht="46.8" x14ac:dyDescent="0.25">
      <c r="A316" s="15" t="s">
        <v>150</v>
      </c>
      <c r="B316" s="17" t="s">
        <v>95</v>
      </c>
      <c r="C316" s="35" t="s">
        <v>151</v>
      </c>
      <c r="D316" s="35" t="s">
        <v>68</v>
      </c>
      <c r="E316" s="16">
        <v>0</v>
      </c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</row>
    <row r="317" spans="1:17" x14ac:dyDescent="0.25"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</row>
    <row r="318" spans="1:17" x14ac:dyDescent="0.25">
      <c r="A318" s="174" t="s">
        <v>152</v>
      </c>
      <c r="B318" s="174"/>
      <c r="C318" s="175"/>
      <c r="D318" s="175"/>
      <c r="E318" s="195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</row>
    <row r="319" spans="1:17" s="10" customFormat="1" x14ac:dyDescent="0.25">
      <c r="A319" s="15" t="s">
        <v>8</v>
      </c>
      <c r="B319" s="15" t="s">
        <v>9</v>
      </c>
      <c r="C319" s="38" t="s">
        <v>10</v>
      </c>
      <c r="D319" s="38" t="s">
        <v>340</v>
      </c>
      <c r="E319" s="16" t="s">
        <v>65</v>
      </c>
      <c r="F319" s="32"/>
      <c r="G319" s="32"/>
      <c r="H319" s="39"/>
      <c r="I319" s="39"/>
      <c r="J319" s="39"/>
      <c r="K319" s="39"/>
      <c r="L319" s="39"/>
      <c r="M319" s="39"/>
      <c r="N319" s="39"/>
      <c r="O319" s="39"/>
      <c r="P319" s="39"/>
      <c r="Q319" s="39"/>
    </row>
    <row r="320" spans="1:17" s="10" customFormat="1" ht="18" x14ac:dyDescent="0.4">
      <c r="A320" s="40" t="s">
        <v>153</v>
      </c>
      <c r="B320" s="17" t="s">
        <v>103</v>
      </c>
      <c r="C320" s="35" t="s">
        <v>154</v>
      </c>
      <c r="D320" s="35" t="s">
        <v>155</v>
      </c>
      <c r="E320" s="41">
        <f>E321*E323*(1+E322)</f>
        <v>199.38988860360004</v>
      </c>
      <c r="F320" s="32"/>
      <c r="G320" s="32"/>
      <c r="H320" s="39"/>
      <c r="I320" s="39"/>
      <c r="J320" s="39"/>
      <c r="K320" s="39"/>
      <c r="L320" s="39"/>
      <c r="M320" s="39"/>
      <c r="N320" s="39"/>
      <c r="O320" s="39"/>
      <c r="P320" s="39"/>
      <c r="Q320" s="39"/>
    </row>
    <row r="321" spans="1:19" ht="31.2" x14ac:dyDescent="0.25">
      <c r="A321" s="17" t="s">
        <v>156</v>
      </c>
      <c r="B321" s="17" t="s">
        <v>157</v>
      </c>
      <c r="C321" s="35" t="s">
        <v>158</v>
      </c>
      <c r="D321" s="35" t="s">
        <v>343</v>
      </c>
      <c r="E321" s="20">
        <f>326536.78/1000</f>
        <v>326.53678000000002</v>
      </c>
      <c r="G321" s="42"/>
      <c r="H321" s="43"/>
      <c r="I321" s="43"/>
      <c r="J321" s="43"/>
      <c r="K321" s="43"/>
      <c r="L321" s="43"/>
      <c r="M321" s="43"/>
      <c r="N321" s="43"/>
      <c r="O321" s="43"/>
      <c r="P321" s="43"/>
      <c r="Q321" s="43"/>
      <c r="R321" s="9"/>
      <c r="S321" s="9"/>
    </row>
    <row r="322" spans="1:19" ht="31.2" x14ac:dyDescent="0.25">
      <c r="A322" s="17" t="s">
        <v>159</v>
      </c>
      <c r="B322" s="17" t="s">
        <v>160</v>
      </c>
      <c r="C322" s="35" t="s">
        <v>161</v>
      </c>
      <c r="D322" s="35" t="s">
        <v>162</v>
      </c>
      <c r="E322" s="44">
        <v>0.2</v>
      </c>
      <c r="H322" s="43"/>
      <c r="I322" s="43"/>
      <c r="J322" s="43"/>
      <c r="K322" s="43"/>
      <c r="L322" s="43"/>
      <c r="M322" s="43"/>
      <c r="N322" s="43"/>
      <c r="O322" s="43"/>
      <c r="P322" s="43"/>
      <c r="Q322" s="43"/>
      <c r="R322" s="9"/>
      <c r="S322" s="9"/>
    </row>
    <row r="323" spans="1:19" ht="46.8" x14ac:dyDescent="0.25">
      <c r="A323" s="17" t="s">
        <v>163</v>
      </c>
      <c r="B323" s="17" t="s">
        <v>164</v>
      </c>
      <c r="C323" s="35" t="s">
        <v>165</v>
      </c>
      <c r="D323" s="35" t="s">
        <v>166</v>
      </c>
      <c r="E323" s="45">
        <f>0.5*0.8042+0.5*0.2135</f>
        <v>0.50885000000000002</v>
      </c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</row>
    <row r="324" spans="1:19" ht="31.2" x14ac:dyDescent="0.4">
      <c r="A324" s="40" t="s">
        <v>167</v>
      </c>
      <c r="B324" s="17" t="s">
        <v>103</v>
      </c>
      <c r="C324" s="35" t="s">
        <v>168</v>
      </c>
      <c r="D324" s="35" t="s">
        <v>169</v>
      </c>
      <c r="E324" s="47">
        <v>0</v>
      </c>
      <c r="H324" s="43"/>
      <c r="I324" s="43"/>
      <c r="J324" s="43"/>
      <c r="K324" s="43"/>
      <c r="L324" s="43"/>
      <c r="M324" s="43"/>
      <c r="N324" s="43"/>
      <c r="O324" s="43"/>
      <c r="P324" s="43"/>
      <c r="Q324" s="43"/>
      <c r="R324" s="9"/>
      <c r="S324" s="9"/>
    </row>
    <row r="325" spans="1:19" x14ac:dyDescent="0.3">
      <c r="A325" s="48"/>
      <c r="E325" s="49"/>
      <c r="H325" s="43"/>
      <c r="I325" s="43"/>
      <c r="J325" s="43"/>
      <c r="K325" s="43"/>
      <c r="L325" s="43"/>
      <c r="M325" s="43"/>
      <c r="N325" s="43"/>
      <c r="O325" s="43"/>
      <c r="P325" s="43"/>
      <c r="Q325" s="43"/>
      <c r="R325" s="9"/>
      <c r="S325" s="9"/>
    </row>
    <row r="326" spans="1:19" x14ac:dyDescent="0.25">
      <c r="A326" s="174" t="s">
        <v>170</v>
      </c>
      <c r="B326" s="174"/>
      <c r="C326" s="175"/>
      <c r="D326" s="175"/>
      <c r="E326" s="195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</row>
    <row r="327" spans="1:19" x14ac:dyDescent="0.25">
      <c r="A327" s="15" t="s">
        <v>8</v>
      </c>
      <c r="B327" s="15" t="s">
        <v>9</v>
      </c>
      <c r="C327" s="38" t="s">
        <v>10</v>
      </c>
      <c r="D327" s="38" t="s">
        <v>340</v>
      </c>
      <c r="E327" s="16" t="s">
        <v>65</v>
      </c>
      <c r="H327" s="43"/>
      <c r="I327" s="43"/>
      <c r="J327" s="43"/>
      <c r="K327" s="43"/>
      <c r="L327" s="43"/>
      <c r="M327" s="43"/>
      <c r="N327" s="43"/>
      <c r="O327" s="43"/>
      <c r="P327" s="43"/>
      <c r="Q327" s="43"/>
      <c r="R327" s="9"/>
      <c r="S327" s="9"/>
    </row>
    <row r="328" spans="1:19" ht="33.6" x14ac:dyDescent="0.4">
      <c r="A328" s="40" t="s">
        <v>171</v>
      </c>
      <c r="B328" s="17" t="s">
        <v>74</v>
      </c>
      <c r="C328" s="35" t="s">
        <v>172</v>
      </c>
      <c r="D328" s="35" t="s">
        <v>391</v>
      </c>
      <c r="E328" s="50">
        <f>E329*E332*E333*E334*E335*E336</f>
        <v>1.8595958314424397</v>
      </c>
      <c r="H328" s="43"/>
      <c r="I328" s="43"/>
      <c r="J328" s="43"/>
      <c r="K328" s="43"/>
      <c r="L328" s="43"/>
      <c r="M328" s="43"/>
      <c r="N328" s="43"/>
      <c r="O328" s="43"/>
      <c r="P328" s="43"/>
      <c r="Q328" s="43"/>
      <c r="R328" s="9"/>
      <c r="S328" s="9"/>
    </row>
    <row r="329" spans="1:19" ht="46.8" x14ac:dyDescent="0.4">
      <c r="A329" s="51" t="s">
        <v>173</v>
      </c>
      <c r="B329" s="17" t="s">
        <v>76</v>
      </c>
      <c r="C329" s="35" t="s">
        <v>174</v>
      </c>
      <c r="D329" s="35" t="s">
        <v>392</v>
      </c>
      <c r="E329" s="69">
        <f>ROUNDUP(E330/E331,0)</f>
        <v>67</v>
      </c>
      <c r="H329" s="43"/>
      <c r="I329" s="43"/>
      <c r="J329" s="43"/>
      <c r="K329" s="43"/>
      <c r="L329" s="43"/>
      <c r="M329" s="43"/>
      <c r="N329" s="43"/>
      <c r="O329" s="43"/>
      <c r="P329" s="43"/>
      <c r="Q329" s="43"/>
      <c r="R329" s="9"/>
      <c r="S329" s="9"/>
    </row>
    <row r="330" spans="1:19" ht="62.4" x14ac:dyDescent="0.25">
      <c r="A330" s="17" t="s">
        <v>175</v>
      </c>
      <c r="B330" s="17" t="s">
        <v>78</v>
      </c>
      <c r="C330" s="35" t="s">
        <v>176</v>
      </c>
      <c r="D330" s="35" t="s">
        <v>346</v>
      </c>
      <c r="E330" s="153">
        <v>333.18299999999999</v>
      </c>
      <c r="H330" s="43"/>
      <c r="I330" s="43"/>
      <c r="J330" s="43"/>
      <c r="K330" s="43"/>
      <c r="L330" s="43"/>
      <c r="M330" s="43"/>
      <c r="N330" s="43"/>
      <c r="O330" s="43"/>
      <c r="P330" s="43"/>
      <c r="Q330" s="43"/>
      <c r="R330" s="9"/>
      <c r="S330" s="9"/>
    </row>
    <row r="331" spans="1:19" ht="62.4" x14ac:dyDescent="0.25">
      <c r="A331" s="17" t="s">
        <v>177</v>
      </c>
      <c r="B331" s="17" t="s">
        <v>80</v>
      </c>
      <c r="C331" s="35" t="s">
        <v>81</v>
      </c>
      <c r="D331" s="35" t="s">
        <v>345</v>
      </c>
      <c r="E331" s="25">
        <f>5</f>
        <v>5</v>
      </c>
      <c r="H331" s="43"/>
      <c r="I331" s="43"/>
      <c r="J331" s="43"/>
      <c r="K331" s="43"/>
      <c r="L331" s="43"/>
      <c r="M331" s="43"/>
      <c r="N331" s="43"/>
      <c r="O331" s="43"/>
      <c r="P331" s="43"/>
      <c r="Q331" s="43"/>
      <c r="R331" s="9"/>
      <c r="S331" s="9"/>
    </row>
    <row r="332" spans="1:19" ht="202.8" x14ac:dyDescent="0.25">
      <c r="A332" s="17" t="s">
        <v>178</v>
      </c>
      <c r="B332" s="17" t="s">
        <v>82</v>
      </c>
      <c r="C332" s="35" t="s">
        <v>179</v>
      </c>
      <c r="D332" s="35" t="s">
        <v>367</v>
      </c>
      <c r="E332" s="25">
        <f>20.5*2</f>
        <v>41</v>
      </c>
      <c r="H332" s="43"/>
      <c r="I332" s="43"/>
      <c r="J332" s="43"/>
      <c r="K332" s="43"/>
      <c r="L332" s="43"/>
      <c r="M332" s="43"/>
      <c r="N332" s="43"/>
      <c r="O332" s="43"/>
      <c r="P332" s="43"/>
      <c r="Q332" s="43"/>
      <c r="R332" s="9"/>
      <c r="S332" s="9"/>
    </row>
    <row r="333" spans="1:19" ht="156" x14ac:dyDescent="0.25">
      <c r="A333" s="17" t="s">
        <v>180</v>
      </c>
      <c r="B333" s="17" t="s">
        <v>84</v>
      </c>
      <c r="C333" s="35" t="s">
        <v>85</v>
      </c>
      <c r="D333" s="35" t="s">
        <v>365</v>
      </c>
      <c r="E333" s="25">
        <f>25.1/100</f>
        <v>0.251</v>
      </c>
      <c r="H333" s="43"/>
      <c r="I333" s="43"/>
      <c r="J333" s="43"/>
      <c r="K333" s="43"/>
      <c r="L333" s="43"/>
      <c r="M333" s="43"/>
      <c r="N333" s="43"/>
      <c r="O333" s="43"/>
      <c r="P333" s="43"/>
      <c r="Q333" s="43"/>
      <c r="R333" s="9"/>
      <c r="S333" s="9"/>
    </row>
    <row r="334" spans="1:19" ht="62.4" x14ac:dyDescent="0.25">
      <c r="A334" s="17" t="s">
        <v>86</v>
      </c>
      <c r="B334" s="17" t="s">
        <v>87</v>
      </c>
      <c r="C334" s="35" t="s">
        <v>86</v>
      </c>
      <c r="D334" s="35" t="s">
        <v>215</v>
      </c>
      <c r="E334" s="25">
        <f>0.84/1000</f>
        <v>8.3999999999999993E-4</v>
      </c>
      <c r="H334" s="43"/>
      <c r="I334" s="43"/>
      <c r="J334" s="43"/>
      <c r="K334" s="43"/>
      <c r="L334" s="43"/>
      <c r="M334" s="43"/>
      <c r="N334" s="43"/>
      <c r="O334" s="43"/>
      <c r="P334" s="43"/>
      <c r="Q334" s="43"/>
      <c r="R334" s="9"/>
      <c r="S334" s="9"/>
    </row>
    <row r="335" spans="1:19" ht="124.8" x14ac:dyDescent="0.25">
      <c r="A335" s="17" t="s">
        <v>181</v>
      </c>
      <c r="B335" s="17" t="s">
        <v>88</v>
      </c>
      <c r="C335" s="35" t="s">
        <v>89</v>
      </c>
      <c r="D335" s="35" t="s">
        <v>360</v>
      </c>
      <c r="E335" s="25">
        <f>43.33/1000</f>
        <v>4.333E-2</v>
      </c>
      <c r="H335" s="43"/>
      <c r="I335" s="43"/>
      <c r="J335" s="43"/>
      <c r="K335" s="43"/>
      <c r="L335" s="43"/>
      <c r="M335" s="43"/>
      <c r="N335" s="43"/>
      <c r="O335" s="43"/>
      <c r="P335" s="43"/>
      <c r="Q335" s="43"/>
      <c r="R335" s="9"/>
      <c r="S335" s="9"/>
    </row>
    <row r="336" spans="1:19" ht="33.6" x14ac:dyDescent="0.25">
      <c r="A336" s="17" t="s">
        <v>182</v>
      </c>
      <c r="B336" s="17" t="s">
        <v>90</v>
      </c>
      <c r="C336" s="35" t="s">
        <v>91</v>
      </c>
      <c r="D336" s="35" t="s">
        <v>92</v>
      </c>
      <c r="E336" s="25">
        <v>74.099999999999994</v>
      </c>
      <c r="H336" s="43"/>
      <c r="I336" s="43"/>
      <c r="J336" s="43"/>
      <c r="K336" s="43"/>
      <c r="L336" s="43"/>
      <c r="M336" s="43"/>
      <c r="N336" s="43"/>
      <c r="O336" s="43"/>
      <c r="P336" s="43"/>
      <c r="Q336" s="43"/>
      <c r="R336" s="9"/>
      <c r="S336" s="9"/>
    </row>
    <row r="338" spans="1:19" x14ac:dyDescent="0.25">
      <c r="A338" s="33" t="s">
        <v>8</v>
      </c>
      <c r="B338" s="33" t="s">
        <v>9</v>
      </c>
      <c r="C338" s="34" t="s">
        <v>10</v>
      </c>
      <c r="D338" s="34" t="s">
        <v>340</v>
      </c>
      <c r="E338" s="16" t="s">
        <v>65</v>
      </c>
    </row>
    <row r="339" spans="1:19" ht="18" x14ac:dyDescent="0.25">
      <c r="A339" s="15" t="s">
        <v>183</v>
      </c>
      <c r="B339" s="17" t="s">
        <v>103</v>
      </c>
      <c r="C339" s="35" t="s">
        <v>184</v>
      </c>
      <c r="D339" s="53" t="s">
        <v>393</v>
      </c>
      <c r="E339" s="18">
        <f>ROUNDUP(E288+E312+E316+E320+E328,0)</f>
        <v>202</v>
      </c>
    </row>
    <row r="340" spans="1:19" s="200" customFormat="1" ht="43.2" customHeight="1" x14ac:dyDescent="0.25">
      <c r="A340" s="200" t="s">
        <v>225</v>
      </c>
    </row>
    <row r="341" spans="1:19" ht="23.4" customHeight="1" x14ac:dyDescent="0.25">
      <c r="A341" s="201" t="s">
        <v>105</v>
      </c>
      <c r="B341" s="201"/>
      <c r="C341" s="201"/>
      <c r="D341" s="201"/>
      <c r="E341" s="201"/>
      <c r="F341" s="201"/>
      <c r="G341" s="201"/>
      <c r="H341" s="201"/>
      <c r="I341" s="201"/>
      <c r="J341" s="201"/>
      <c r="K341" s="201"/>
      <c r="L341" s="201"/>
      <c r="M341" s="201"/>
      <c r="N341" s="201"/>
      <c r="O341" s="201"/>
      <c r="P341" s="201"/>
      <c r="Q341" s="202"/>
    </row>
    <row r="342" spans="1:19" s="10" customFormat="1" ht="31.2" x14ac:dyDescent="0.25">
      <c r="A342" s="15" t="s">
        <v>8</v>
      </c>
      <c r="B342" s="15" t="s">
        <v>9</v>
      </c>
      <c r="C342" s="15" t="s">
        <v>10</v>
      </c>
      <c r="D342" s="15" t="s">
        <v>340</v>
      </c>
      <c r="E342" s="16" t="s">
        <v>11</v>
      </c>
      <c r="F342" s="16" t="s">
        <v>292</v>
      </c>
      <c r="G342" s="16" t="s">
        <v>292</v>
      </c>
      <c r="H342" s="16" t="s">
        <v>292</v>
      </c>
      <c r="I342" s="16" t="s">
        <v>292</v>
      </c>
      <c r="J342" s="16" t="s">
        <v>292</v>
      </c>
      <c r="K342" s="16" t="s">
        <v>292</v>
      </c>
      <c r="L342" s="16" t="s">
        <v>292</v>
      </c>
      <c r="M342" s="16" t="s">
        <v>292</v>
      </c>
      <c r="N342" s="16" t="s">
        <v>304</v>
      </c>
      <c r="O342" s="16" t="s">
        <v>293</v>
      </c>
      <c r="P342" s="16" t="s">
        <v>294</v>
      </c>
      <c r="Q342" s="16" t="s">
        <v>295</v>
      </c>
      <c r="R342" s="54"/>
      <c r="S342" s="54"/>
    </row>
    <row r="343" spans="1:19" s="10" customFormat="1" x14ac:dyDescent="0.25">
      <c r="A343" s="203" t="s">
        <v>106</v>
      </c>
      <c r="B343" s="203"/>
      <c r="C343" s="203"/>
      <c r="D343" s="203"/>
      <c r="E343" s="204"/>
      <c r="F343" s="16" t="s">
        <v>297</v>
      </c>
      <c r="G343" s="16" t="s">
        <v>297</v>
      </c>
      <c r="H343" s="16" t="s">
        <v>297</v>
      </c>
      <c r="I343" s="16" t="s">
        <v>297</v>
      </c>
      <c r="J343" s="16" t="s">
        <v>297</v>
      </c>
      <c r="K343" s="16" t="s">
        <v>297</v>
      </c>
      <c r="L343" s="16" t="s">
        <v>297</v>
      </c>
      <c r="M343" s="16" t="s">
        <v>297</v>
      </c>
      <c r="N343" s="16">
        <v>17</v>
      </c>
      <c r="O343" s="16">
        <v>31</v>
      </c>
      <c r="P343" s="16">
        <v>30</v>
      </c>
      <c r="Q343" s="16">
        <v>31</v>
      </c>
      <c r="R343" s="54"/>
      <c r="S343" s="54"/>
    </row>
    <row r="344" spans="1:19" s="10" customFormat="1" ht="31.2" x14ac:dyDescent="0.25">
      <c r="A344" s="15" t="s">
        <v>107</v>
      </c>
      <c r="B344" s="17" t="s">
        <v>103</v>
      </c>
      <c r="C344" s="17" t="s">
        <v>108</v>
      </c>
      <c r="D344" s="17" t="s">
        <v>381</v>
      </c>
      <c r="E344" s="18">
        <f>E345+E355</f>
        <v>0</v>
      </c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54"/>
      <c r="S344" s="54"/>
    </row>
    <row r="345" spans="1:19" ht="46.8" x14ac:dyDescent="0.25">
      <c r="A345" s="17" t="s">
        <v>109</v>
      </c>
      <c r="B345" s="17" t="s">
        <v>103</v>
      </c>
      <c r="C345" s="17" t="s">
        <v>110</v>
      </c>
      <c r="D345" s="17" t="s">
        <v>382</v>
      </c>
      <c r="E345" s="19">
        <f>SUM(F345:Q345)</f>
        <v>0</v>
      </c>
      <c r="F345" s="19" t="s">
        <v>297</v>
      </c>
      <c r="G345" s="19" t="s">
        <v>297</v>
      </c>
      <c r="H345" s="19" t="s">
        <v>297</v>
      </c>
      <c r="I345" s="19" t="s">
        <v>297</v>
      </c>
      <c r="J345" s="19" t="s">
        <v>297</v>
      </c>
      <c r="K345" s="19" t="s">
        <v>297</v>
      </c>
      <c r="L345" s="19" t="s">
        <v>297</v>
      </c>
      <c r="M345" s="19" t="s">
        <v>297</v>
      </c>
      <c r="N345" s="19">
        <f t="shared" ref="N345:Q345" si="40">IF(N346&gt;=0.8,0,$E$15*$E$16*0.4*(N347-N350)*N343)</f>
        <v>0</v>
      </c>
      <c r="O345" s="19">
        <f t="shared" si="40"/>
        <v>0</v>
      </c>
      <c r="P345" s="19">
        <f t="shared" si="40"/>
        <v>0</v>
      </c>
      <c r="Q345" s="19">
        <f t="shared" si="40"/>
        <v>0</v>
      </c>
    </row>
    <row r="346" spans="1:19" ht="62.4" x14ac:dyDescent="0.25">
      <c r="A346" s="17" t="s">
        <v>111</v>
      </c>
      <c r="B346" s="17" t="s">
        <v>37</v>
      </c>
      <c r="C346" s="17" t="s">
        <v>112</v>
      </c>
      <c r="D346" s="17" t="s">
        <v>383</v>
      </c>
      <c r="E346" s="20">
        <f>AVERAGE(N346:Q346)</f>
        <v>0.95345252248557566</v>
      </c>
      <c r="F346" s="20" t="s">
        <v>297</v>
      </c>
      <c r="G346" s="20" t="s">
        <v>297</v>
      </c>
      <c r="H346" s="20" t="s">
        <v>297</v>
      </c>
      <c r="I346" s="20" t="s">
        <v>297</v>
      </c>
      <c r="J346" s="20" t="s">
        <v>297</v>
      </c>
      <c r="K346" s="20" t="s">
        <v>297</v>
      </c>
      <c r="L346" s="20" t="s">
        <v>297</v>
      </c>
      <c r="M346" s="20" t="s">
        <v>297</v>
      </c>
      <c r="N346" s="20">
        <f t="shared" ref="N346:Q346" si="41">(N347-N350)/N347</f>
        <v>0.95340632404673542</v>
      </c>
      <c r="O346" s="20">
        <f t="shared" si="41"/>
        <v>0.9532810617051517</v>
      </c>
      <c r="P346" s="20">
        <f t="shared" si="41"/>
        <v>0.95333424638683995</v>
      </c>
      <c r="Q346" s="20">
        <f t="shared" si="41"/>
        <v>0.9537884578035758</v>
      </c>
    </row>
    <row r="347" spans="1:19" ht="46.8" x14ac:dyDescent="0.25">
      <c r="A347" s="17" t="s">
        <v>113</v>
      </c>
      <c r="B347" s="17" t="s">
        <v>24</v>
      </c>
      <c r="C347" s="17" t="s">
        <v>114</v>
      </c>
      <c r="D347" s="17" t="s">
        <v>384</v>
      </c>
      <c r="E347" s="20">
        <f>SUM(N347:Q347)</f>
        <v>16.485885048575231</v>
      </c>
      <c r="F347" s="20" t="s">
        <v>297</v>
      </c>
      <c r="G347" s="20" t="s">
        <v>297</v>
      </c>
      <c r="H347" s="20" t="s">
        <v>297</v>
      </c>
      <c r="I347" s="20" t="s">
        <v>297</v>
      </c>
      <c r="J347" s="20" t="s">
        <v>297</v>
      </c>
      <c r="K347" s="20" t="s">
        <v>297</v>
      </c>
      <c r="L347" s="20" t="s">
        <v>297</v>
      </c>
      <c r="M347" s="20" t="s">
        <v>297</v>
      </c>
      <c r="N347" s="20">
        <f t="shared" ref="N347:Q347" si="42">N348*N349</f>
        <v>4.2145478649207613</v>
      </c>
      <c r="O347" s="20">
        <f t="shared" si="42"/>
        <v>4.2112642859495324</v>
      </c>
      <c r="P347" s="20">
        <f t="shared" si="42"/>
        <v>4.0302541060520927</v>
      </c>
      <c r="Q347" s="20">
        <f t="shared" si="42"/>
        <v>4.0298187916528443</v>
      </c>
    </row>
    <row r="348" spans="1:19" ht="68.400000000000006" customHeight="1" x14ac:dyDescent="0.25">
      <c r="A348" s="17" t="s">
        <v>115</v>
      </c>
      <c r="B348" s="17" t="s">
        <v>116</v>
      </c>
      <c r="C348" s="17" t="s">
        <v>117</v>
      </c>
      <c r="D348" s="17" t="s">
        <v>336</v>
      </c>
      <c r="E348" s="129">
        <f>SUM(N348:Q348)</f>
        <v>43967.812889120811</v>
      </c>
      <c r="F348" s="129" t="s">
        <v>297</v>
      </c>
      <c r="G348" s="129" t="s">
        <v>297</v>
      </c>
      <c r="H348" s="129" t="s">
        <v>297</v>
      </c>
      <c r="I348" s="129" t="s">
        <v>297</v>
      </c>
      <c r="J348" s="129" t="s">
        <v>297</v>
      </c>
      <c r="K348" s="129" t="s">
        <v>297</v>
      </c>
      <c r="L348" s="129" t="s">
        <v>297</v>
      </c>
      <c r="M348" s="129" t="s">
        <v>297</v>
      </c>
      <c r="N348" s="129">
        <f>'Baseline Emissions 2020'!N337</f>
        <v>11233.331823529414</v>
      </c>
      <c r="O348" s="129">
        <f>'Baseline Emissions 2020'!O337</f>
        <v>11230.52112903226</v>
      </c>
      <c r="P348" s="129">
        <f>'Baseline Emissions 2020'!P337</f>
        <v>10753.669033333334</v>
      </c>
      <c r="Q348" s="129">
        <f>'Baseline Emissions 2020'!Q337</f>
        <v>10750.290903225805</v>
      </c>
    </row>
    <row r="349" spans="1:19" ht="46.8" x14ac:dyDescent="0.25">
      <c r="A349" s="17" t="s">
        <v>118</v>
      </c>
      <c r="B349" s="17" t="s">
        <v>119</v>
      </c>
      <c r="C349" s="17" t="s">
        <v>120</v>
      </c>
      <c r="D349" s="35" t="s">
        <v>338</v>
      </c>
      <c r="E349" s="22">
        <f>AVERAGE(N349:Q349)</f>
        <v>3.7495059719586755E-4</v>
      </c>
      <c r="F349" s="23" t="str">
        <f>'Baseline Emissions 2020'!F341</f>
        <v>—</v>
      </c>
      <c r="G349" s="23" t="str">
        <f>'Baseline Emissions 2020'!G341</f>
        <v>—</v>
      </c>
      <c r="H349" s="23" t="str">
        <f>'Baseline Emissions 2020'!H341</f>
        <v>—</v>
      </c>
      <c r="I349" s="23" t="str">
        <f>'Baseline Emissions 2020'!I341</f>
        <v>—</v>
      </c>
      <c r="J349" s="23" t="str">
        <f>'Baseline Emissions 2020'!J341</f>
        <v>—</v>
      </c>
      <c r="K349" s="23" t="str">
        <f>'Baseline Emissions 2020'!K341</f>
        <v>—</v>
      </c>
      <c r="L349" s="23" t="str">
        <f>'Baseline Emissions 2020'!L341</f>
        <v>—</v>
      </c>
      <c r="M349" s="23" t="str">
        <f>'Baseline Emissions 2020'!M341</f>
        <v>—</v>
      </c>
      <c r="N349" s="130">
        <f>'Baseline Emissions 2020'!N341</f>
        <v>3.7518235294117639E-4</v>
      </c>
      <c r="O349" s="130">
        <f>'Baseline Emissions 2020'!O341</f>
        <v>3.7498387096774195E-4</v>
      </c>
      <c r="P349" s="130">
        <f>'Baseline Emissions 2020'!P341</f>
        <v>3.7477944444444446E-4</v>
      </c>
      <c r="Q349" s="130">
        <f>'Baseline Emissions 2020'!Q341</f>
        <v>3.7485672043010757E-4</v>
      </c>
    </row>
    <row r="350" spans="1:19" ht="46.8" x14ac:dyDescent="0.25">
      <c r="A350" s="17" t="s">
        <v>121</v>
      </c>
      <c r="B350" s="17" t="s">
        <v>24</v>
      </c>
      <c r="C350" s="17" t="s">
        <v>122</v>
      </c>
      <c r="D350" s="17" t="s">
        <v>384</v>
      </c>
      <c r="E350" s="20">
        <f>SUM(N350:Q350)</f>
        <v>0.76741606007207808</v>
      </c>
      <c r="F350" s="20" t="s">
        <v>297</v>
      </c>
      <c r="G350" s="20" t="s">
        <v>297</v>
      </c>
      <c r="H350" s="20" t="s">
        <v>297</v>
      </c>
      <c r="I350" s="20" t="s">
        <v>297</v>
      </c>
      <c r="J350" s="20" t="s">
        <v>297</v>
      </c>
      <c r="K350" s="20" t="s">
        <v>297</v>
      </c>
      <c r="L350" s="20" t="s">
        <v>297</v>
      </c>
      <c r="M350" s="20" t="s">
        <v>297</v>
      </c>
      <c r="N350" s="20">
        <f t="shared" ref="N350:Q350" si="43">SUM(N351*N352)</f>
        <v>0.19637127750764133</v>
      </c>
      <c r="O350" s="20">
        <f t="shared" si="43"/>
        <v>0.19674579631857436</v>
      </c>
      <c r="P350" s="20">
        <f t="shared" si="43"/>
        <v>0.1880748451114537</v>
      </c>
      <c r="Q350" s="20">
        <f t="shared" si="43"/>
        <v>0.18622414113440863</v>
      </c>
    </row>
    <row r="351" spans="1:19" ht="62.4" x14ac:dyDescent="0.25">
      <c r="A351" s="17" t="s">
        <v>123</v>
      </c>
      <c r="B351" s="17" t="s">
        <v>116</v>
      </c>
      <c r="C351" s="17" t="s">
        <v>124</v>
      </c>
      <c r="D351" s="17" t="s">
        <v>337</v>
      </c>
      <c r="E351" s="129">
        <f>SUM(N351:Q351)</f>
        <v>43465.94955831753</v>
      </c>
      <c r="F351" s="129" t="s">
        <v>297</v>
      </c>
      <c r="G351" s="129" t="s">
        <v>297</v>
      </c>
      <c r="H351" s="129" t="s">
        <v>297</v>
      </c>
      <c r="I351" s="129" t="s">
        <v>297</v>
      </c>
      <c r="J351" s="129" t="s">
        <v>297</v>
      </c>
      <c r="K351" s="129" t="s">
        <v>297</v>
      </c>
      <c r="L351" s="129" t="s">
        <v>297</v>
      </c>
      <c r="M351" s="129" t="s">
        <v>297</v>
      </c>
      <c r="N351" s="129">
        <v>11111.34735294118</v>
      </c>
      <c r="O351" s="129">
        <v>11112.543838709676</v>
      </c>
      <c r="P351" s="129">
        <v>10622.863366666665</v>
      </c>
      <c r="Q351" s="129">
        <v>10619.195000000003</v>
      </c>
    </row>
    <row r="352" spans="1:19" ht="46.8" x14ac:dyDescent="0.25">
      <c r="A352" s="17" t="s">
        <v>125</v>
      </c>
      <c r="B352" s="17" t="s">
        <v>119</v>
      </c>
      <c r="C352" s="17" t="s">
        <v>126</v>
      </c>
      <c r="D352" s="35" t="s">
        <v>339</v>
      </c>
      <c r="E352" s="131">
        <f>AVERAGE(N352:Q352)</f>
        <v>1.7654789821842715E-5</v>
      </c>
      <c r="F352" s="131" t="str">
        <f>'Baseline Emissions 2020'!F342</f>
        <v>—</v>
      </c>
      <c r="G352" s="131" t="str">
        <f>'Baseline Emissions 2020'!G342</f>
        <v>—</v>
      </c>
      <c r="H352" s="131" t="str">
        <f>'Baseline Emissions 2020'!H342</f>
        <v>—</v>
      </c>
      <c r="I352" s="131" t="str">
        <f>'Baseline Emissions 2020'!I342</f>
        <v>—</v>
      </c>
      <c r="J352" s="131" t="str">
        <f>'Baseline Emissions 2020'!J342</f>
        <v>—</v>
      </c>
      <c r="K352" s="131" t="str">
        <f>'Baseline Emissions 2020'!K342</f>
        <v>—</v>
      </c>
      <c r="L352" s="131" t="str">
        <f>'Baseline Emissions 2020'!L342</f>
        <v>—</v>
      </c>
      <c r="M352" s="131" t="str">
        <f>'Baseline Emissions 2020'!M342</f>
        <v>—</v>
      </c>
      <c r="N352" s="131">
        <f>'Baseline Emissions 2020'!N342</f>
        <v>1.7673039215686273E-5</v>
      </c>
      <c r="O352" s="131">
        <f>'Baseline Emissions 2020'!O342</f>
        <v>1.7704838709677418E-5</v>
      </c>
      <c r="P352" s="131">
        <f>'Baseline Emissions 2020'!P342</f>
        <v>1.7704722222222225E-5</v>
      </c>
      <c r="Q352" s="131">
        <f>'Baseline Emissions 2020'!Q342</f>
        <v>1.7536559139784945E-5</v>
      </c>
    </row>
    <row r="353" spans="1:17" ht="31.2" x14ac:dyDescent="0.25">
      <c r="A353" s="17" t="s">
        <v>127</v>
      </c>
      <c r="B353" s="17" t="s">
        <v>128</v>
      </c>
      <c r="C353" s="17" t="s">
        <v>17</v>
      </c>
      <c r="D353" s="17" t="s">
        <v>129</v>
      </c>
      <c r="E353" s="176">
        <v>28</v>
      </c>
      <c r="F353" s="176"/>
      <c r="G353" s="176"/>
      <c r="H353" s="176"/>
      <c r="I353" s="176"/>
      <c r="J353" s="176"/>
      <c r="K353" s="176"/>
      <c r="L353" s="176"/>
      <c r="M353" s="176"/>
      <c r="N353" s="176"/>
      <c r="O353" s="176"/>
      <c r="P353" s="176"/>
      <c r="Q353" s="176"/>
    </row>
    <row r="354" spans="1:17" ht="64.8" x14ac:dyDescent="0.25">
      <c r="A354" s="17" t="s">
        <v>130</v>
      </c>
      <c r="B354" s="17" t="s">
        <v>19</v>
      </c>
      <c r="C354" s="17" t="s">
        <v>131</v>
      </c>
      <c r="D354" s="17" t="s">
        <v>394</v>
      </c>
      <c r="E354" s="176">
        <v>0.21</v>
      </c>
      <c r="F354" s="176"/>
      <c r="G354" s="176"/>
      <c r="H354" s="176"/>
      <c r="I354" s="176"/>
      <c r="J354" s="176"/>
      <c r="K354" s="176"/>
      <c r="L354" s="176"/>
      <c r="M354" s="176"/>
      <c r="N354" s="176"/>
      <c r="O354" s="176"/>
      <c r="P354" s="176"/>
      <c r="Q354" s="176"/>
    </row>
    <row r="355" spans="1:17" ht="46.8" x14ac:dyDescent="0.25">
      <c r="A355" s="17" t="s">
        <v>132</v>
      </c>
      <c r="B355" s="17" t="s">
        <v>103</v>
      </c>
      <c r="C355" s="17" t="s">
        <v>133</v>
      </c>
      <c r="D355" s="17" t="s">
        <v>385</v>
      </c>
      <c r="E355" s="19">
        <f>SUM(F355:Q355)</f>
        <v>0</v>
      </c>
      <c r="F355" s="19" t="s">
        <v>297</v>
      </c>
      <c r="G355" s="19" t="s">
        <v>297</v>
      </c>
      <c r="H355" s="19" t="s">
        <v>297</v>
      </c>
      <c r="I355" s="19" t="s">
        <v>297</v>
      </c>
      <c r="J355" s="19" t="s">
        <v>297</v>
      </c>
      <c r="K355" s="19" t="s">
        <v>297</v>
      </c>
      <c r="L355" s="19" t="s">
        <v>297</v>
      </c>
      <c r="M355" s="19" t="s">
        <v>297</v>
      </c>
      <c r="N355" s="19">
        <f t="shared" ref="N355:Q355" si="44">$E$15*$E$16*N356*N350*N343</f>
        <v>0</v>
      </c>
      <c r="O355" s="19">
        <f t="shared" si="44"/>
        <v>0</v>
      </c>
      <c r="P355" s="19">
        <f t="shared" si="44"/>
        <v>0</v>
      </c>
      <c r="Q355" s="19">
        <f t="shared" si="44"/>
        <v>0</v>
      </c>
    </row>
    <row r="356" spans="1:17" ht="18" x14ac:dyDescent="0.25">
      <c r="A356" s="17" t="s">
        <v>134</v>
      </c>
      <c r="B356" s="17" t="s">
        <v>37</v>
      </c>
      <c r="C356" s="17" t="s">
        <v>135</v>
      </c>
      <c r="D356" s="17" t="s">
        <v>386</v>
      </c>
      <c r="E356" s="26">
        <f>AVERAGE(F356:Q356)</f>
        <v>0</v>
      </c>
      <c r="F356" s="26" t="s">
        <v>297</v>
      </c>
      <c r="G356" s="26" t="s">
        <v>297</v>
      </c>
      <c r="H356" s="26" t="s">
        <v>297</v>
      </c>
      <c r="I356" s="26" t="s">
        <v>297</v>
      </c>
      <c r="J356" s="26" t="s">
        <v>297</v>
      </c>
      <c r="K356" s="26" t="s">
        <v>297</v>
      </c>
      <c r="L356" s="26" t="s">
        <v>297</v>
      </c>
      <c r="M356" s="26" t="s">
        <v>297</v>
      </c>
      <c r="N356" s="26">
        <f>N357*$E$358*0.89</f>
        <v>0</v>
      </c>
      <c r="O356" s="26">
        <f t="shared" ref="O356:Q356" si="45">O357*$E$358*0.89</f>
        <v>0</v>
      </c>
      <c r="P356" s="26">
        <f t="shared" si="45"/>
        <v>0</v>
      </c>
      <c r="Q356" s="26">
        <f t="shared" si="45"/>
        <v>0</v>
      </c>
    </row>
    <row r="357" spans="1:17" ht="31.2" x14ac:dyDescent="0.25">
      <c r="A357" s="17" t="s">
        <v>136</v>
      </c>
      <c r="B357" s="17" t="s">
        <v>37</v>
      </c>
      <c r="C357" s="17" t="s">
        <v>46</v>
      </c>
      <c r="D357" s="17" t="s">
        <v>387</v>
      </c>
      <c r="E357" s="25">
        <v>0</v>
      </c>
      <c r="F357" s="25" t="s">
        <v>297</v>
      </c>
      <c r="G357" s="25" t="s">
        <v>297</v>
      </c>
      <c r="H357" s="25" t="s">
        <v>297</v>
      </c>
      <c r="I357" s="25" t="s">
        <v>297</v>
      </c>
      <c r="J357" s="25" t="s">
        <v>297</v>
      </c>
      <c r="K357" s="25" t="s">
        <v>297</v>
      </c>
      <c r="L357" s="25" t="s">
        <v>297</v>
      </c>
      <c r="M357" s="25" t="s">
        <v>297</v>
      </c>
      <c r="N357" s="25">
        <v>0</v>
      </c>
      <c r="O357" s="25">
        <v>0</v>
      </c>
      <c r="P357" s="25">
        <v>0</v>
      </c>
      <c r="Q357" s="25">
        <v>0</v>
      </c>
    </row>
    <row r="358" spans="1:17" ht="31.2" x14ac:dyDescent="0.25">
      <c r="A358" s="17" t="s">
        <v>137</v>
      </c>
      <c r="B358" s="17" t="s">
        <v>201</v>
      </c>
      <c r="C358" s="17" t="s">
        <v>138</v>
      </c>
      <c r="D358" s="17" t="s">
        <v>388</v>
      </c>
      <c r="E358" s="196">
        <f>(N359*N364+O359*O364+P359*P364+Q359*Q364)/(N352*N351*N343+O351*O352*O343+P352*P351*P343+Q352*Q351*Q343)</f>
        <v>0.55094343811560076</v>
      </c>
      <c r="F358" s="196"/>
      <c r="G358" s="196"/>
      <c r="H358" s="196"/>
      <c r="I358" s="196"/>
      <c r="J358" s="196"/>
      <c r="K358" s="196"/>
      <c r="L358" s="196"/>
      <c r="M358" s="196"/>
      <c r="N358" s="196"/>
      <c r="O358" s="196"/>
      <c r="P358" s="196"/>
      <c r="Q358" s="196"/>
    </row>
    <row r="359" spans="1:17" ht="31.2" x14ac:dyDescent="0.25">
      <c r="A359" s="17" t="s">
        <v>139</v>
      </c>
      <c r="B359" s="17" t="s">
        <v>37</v>
      </c>
      <c r="C359" s="17" t="s">
        <v>140</v>
      </c>
      <c r="D359" s="17" t="s">
        <v>375</v>
      </c>
      <c r="E359" s="27">
        <f>AVERAGE(N359:Q359)</f>
        <v>0.58075944952101688</v>
      </c>
      <c r="F359" s="27" t="s">
        <v>297</v>
      </c>
      <c r="G359" s="27" t="s">
        <v>297</v>
      </c>
      <c r="H359" s="27" t="s">
        <v>297</v>
      </c>
      <c r="I359" s="27" t="s">
        <v>297</v>
      </c>
      <c r="J359" s="27" t="s">
        <v>297</v>
      </c>
      <c r="K359" s="27" t="s">
        <v>297</v>
      </c>
      <c r="L359" s="27" t="s">
        <v>297</v>
      </c>
      <c r="M359" s="27" t="s">
        <v>297</v>
      </c>
      <c r="N359" s="27">
        <f>IF(N363&lt;283,0,IF(N363&gt;303,1,EXP(($E$360*(N363-$E$361))/($E$362*$E$361*N363))))</f>
        <v>0.84523513966163832</v>
      </c>
      <c r="O359" s="27">
        <f t="shared" ref="O359:Q359" si="46">IF(O363&lt;283,0,IF(O363&gt;303,1,EXP(($E$360*(O363-$E$361))/($E$362*$E$361*O363))))</f>
        <v>0.62729263560178183</v>
      </c>
      <c r="P359" s="27">
        <f t="shared" si="46"/>
        <v>0.52733825786216582</v>
      </c>
      <c r="Q359" s="27">
        <f t="shared" si="46"/>
        <v>0.32317176495848171</v>
      </c>
    </row>
    <row r="360" spans="1:17" x14ac:dyDescent="0.25">
      <c r="A360" s="17" t="s">
        <v>51</v>
      </c>
      <c r="B360" s="17" t="s">
        <v>52</v>
      </c>
      <c r="C360" s="17" t="s">
        <v>53</v>
      </c>
      <c r="D360" s="17" t="s">
        <v>389</v>
      </c>
      <c r="E360" s="176">
        <v>15175</v>
      </c>
      <c r="F360" s="176"/>
      <c r="G360" s="176"/>
      <c r="H360" s="176"/>
      <c r="I360" s="176"/>
      <c r="J360" s="176"/>
      <c r="K360" s="176"/>
      <c r="L360" s="176"/>
      <c r="M360" s="176"/>
      <c r="N360" s="176"/>
      <c r="O360" s="176"/>
      <c r="P360" s="176"/>
      <c r="Q360" s="176"/>
    </row>
    <row r="361" spans="1:17" ht="18" x14ac:dyDescent="0.25">
      <c r="A361" s="17" t="s">
        <v>141</v>
      </c>
      <c r="B361" s="17" t="s">
        <v>55</v>
      </c>
      <c r="C361" s="17" t="s">
        <v>56</v>
      </c>
      <c r="D361" s="17" t="s">
        <v>389</v>
      </c>
      <c r="E361" s="176">
        <v>303.16000000000003</v>
      </c>
      <c r="F361" s="176"/>
      <c r="G361" s="176"/>
      <c r="H361" s="176"/>
      <c r="I361" s="176"/>
      <c r="J361" s="176"/>
      <c r="K361" s="176"/>
      <c r="L361" s="176"/>
      <c r="M361" s="176"/>
      <c r="N361" s="176"/>
      <c r="O361" s="176"/>
      <c r="P361" s="176"/>
      <c r="Q361" s="176"/>
    </row>
    <row r="362" spans="1:17" x14ac:dyDescent="0.25">
      <c r="A362" s="17" t="s">
        <v>57</v>
      </c>
      <c r="B362" s="17" t="s">
        <v>58</v>
      </c>
      <c r="C362" s="17" t="s">
        <v>59</v>
      </c>
      <c r="D362" s="17" t="s">
        <v>389</v>
      </c>
      <c r="E362" s="176">
        <v>1.9870000000000001</v>
      </c>
      <c r="F362" s="176"/>
      <c r="G362" s="176"/>
      <c r="H362" s="176"/>
      <c r="I362" s="176"/>
      <c r="J362" s="176"/>
      <c r="K362" s="176"/>
      <c r="L362" s="176"/>
      <c r="M362" s="176"/>
      <c r="N362" s="176"/>
      <c r="O362" s="176"/>
      <c r="P362" s="176"/>
      <c r="Q362" s="176"/>
    </row>
    <row r="363" spans="1:17" ht="18" x14ac:dyDescent="0.25">
      <c r="A363" s="17" t="s">
        <v>142</v>
      </c>
      <c r="B363" s="17" t="s">
        <v>55</v>
      </c>
      <c r="C363" s="17" t="s">
        <v>143</v>
      </c>
      <c r="D363" s="144" t="s">
        <v>363</v>
      </c>
      <c r="E363" s="28">
        <f>AVERAGE(N363:Q363)</f>
        <v>296.14999999999998</v>
      </c>
      <c r="F363" s="25" t="s">
        <v>297</v>
      </c>
      <c r="G363" s="25" t="s">
        <v>297</v>
      </c>
      <c r="H363" s="25" t="s">
        <v>297</v>
      </c>
      <c r="I363" s="25" t="s">
        <v>297</v>
      </c>
      <c r="J363" s="25" t="s">
        <v>297</v>
      </c>
      <c r="K363" s="25" t="s">
        <v>297</v>
      </c>
      <c r="L363" s="25" t="s">
        <v>297</v>
      </c>
      <c r="M363" s="25" t="s">
        <v>297</v>
      </c>
      <c r="N363" s="25">
        <v>301.14999999999998</v>
      </c>
      <c r="O363" s="25">
        <v>297.64999999999998</v>
      </c>
      <c r="P363" s="25">
        <v>295.64999999999998</v>
      </c>
      <c r="Q363" s="25">
        <v>290.14999999999998</v>
      </c>
    </row>
    <row r="364" spans="1:17" ht="46.8" x14ac:dyDescent="0.25">
      <c r="A364" s="17" t="s">
        <v>144</v>
      </c>
      <c r="B364" s="17" t="s">
        <v>24</v>
      </c>
      <c r="C364" s="17" t="s">
        <v>145</v>
      </c>
      <c r="D364" s="17" t="s">
        <v>390</v>
      </c>
      <c r="E364" s="29">
        <f>SUM(N364:Q364)</f>
        <v>20.852625132015987</v>
      </c>
      <c r="F364" s="29" t="s">
        <v>297</v>
      </c>
      <c r="G364" s="29" t="s">
        <v>297</v>
      </c>
      <c r="H364" s="29" t="s">
        <v>297</v>
      </c>
      <c r="I364" s="29" t="s">
        <v>297</v>
      </c>
      <c r="J364" s="29" t="s">
        <v>297</v>
      </c>
      <c r="K364" s="29" t="s">
        <v>297</v>
      </c>
      <c r="L364" s="29" t="s">
        <v>297</v>
      </c>
      <c r="M364" s="29" t="s">
        <v>297</v>
      </c>
      <c r="N364" s="29">
        <f>N351*N352*'Project Emissions 2020'!N343+(1-N359)*0</f>
        <v>3.3383117176299026</v>
      </c>
      <c r="O364" s="29">
        <f>O351*O352*'Project Emissions 2020'!O343+(1-O359)*0</f>
        <v>6.099119685875805</v>
      </c>
      <c r="P364" s="29">
        <f>P351*P352*'Project Emissions 2020'!P343+(1-P359)*0</f>
        <v>5.6422453533436112</v>
      </c>
      <c r="Q364" s="29">
        <f>Q351*Q352*'Project Emissions 2020'!Q343+(1-Q359)*0</f>
        <v>5.7729483751666679</v>
      </c>
    </row>
    <row r="365" spans="1:17" x14ac:dyDescent="0.3">
      <c r="A365" s="30"/>
      <c r="E365" s="31"/>
      <c r="F365" s="31"/>
      <c r="G365" s="31"/>
      <c r="H365" s="31"/>
      <c r="I365" s="31"/>
      <c r="J365" s="31"/>
      <c r="K365" s="31"/>
      <c r="L365" s="31"/>
      <c r="M365" s="31"/>
      <c r="N365" s="31"/>
      <c r="O365" s="31"/>
      <c r="P365" s="31"/>
      <c r="Q365" s="31"/>
    </row>
    <row r="366" spans="1:17" x14ac:dyDescent="0.25">
      <c r="A366" s="174" t="s">
        <v>146</v>
      </c>
      <c r="B366" s="174"/>
      <c r="C366" s="175"/>
      <c r="D366" s="175"/>
      <c r="E366" s="195"/>
      <c r="F366" s="32"/>
      <c r="G366" s="32"/>
      <c r="H366" s="32"/>
      <c r="I366" s="32"/>
      <c r="J366" s="32"/>
      <c r="K366" s="32"/>
      <c r="L366" s="32"/>
      <c r="M366" s="32"/>
      <c r="N366" s="32"/>
      <c r="O366" s="32"/>
      <c r="P366" s="32"/>
      <c r="Q366" s="32"/>
    </row>
    <row r="367" spans="1:17" x14ac:dyDescent="0.25">
      <c r="A367" s="33" t="s">
        <v>8</v>
      </c>
      <c r="B367" s="33" t="s">
        <v>9</v>
      </c>
      <c r="C367" s="34" t="s">
        <v>10</v>
      </c>
      <c r="D367" s="34" t="s">
        <v>340</v>
      </c>
      <c r="E367" s="16" t="s">
        <v>65</v>
      </c>
      <c r="F367" s="32"/>
      <c r="G367" s="32"/>
      <c r="H367" s="32"/>
      <c r="I367" s="32"/>
      <c r="J367" s="32"/>
      <c r="K367" s="32"/>
      <c r="L367" s="32"/>
      <c r="M367" s="32"/>
      <c r="N367" s="32"/>
      <c r="O367" s="32"/>
      <c r="P367" s="32"/>
      <c r="Q367" s="32"/>
    </row>
    <row r="368" spans="1:17" ht="46.8" x14ac:dyDescent="0.25">
      <c r="A368" s="15" t="s">
        <v>147</v>
      </c>
      <c r="B368" s="17" t="s">
        <v>95</v>
      </c>
      <c r="C368" s="35" t="s">
        <v>148</v>
      </c>
      <c r="D368" s="35" t="s">
        <v>68</v>
      </c>
      <c r="E368" s="16">
        <v>0</v>
      </c>
      <c r="F368" s="32"/>
      <c r="G368" s="32"/>
      <c r="H368" s="32"/>
      <c r="I368" s="32"/>
      <c r="J368" s="32"/>
      <c r="K368" s="32"/>
      <c r="L368" s="32"/>
      <c r="M368" s="32"/>
      <c r="N368" s="32"/>
      <c r="O368" s="32"/>
      <c r="P368" s="32"/>
      <c r="Q368" s="32"/>
    </row>
    <row r="369" spans="1:19" x14ac:dyDescent="0.25">
      <c r="A369" s="36"/>
      <c r="B369" s="36"/>
      <c r="C369" s="37"/>
      <c r="D369" s="37"/>
      <c r="E369" s="32"/>
      <c r="F369" s="32"/>
      <c r="G369" s="32"/>
      <c r="H369" s="32"/>
      <c r="I369" s="32"/>
      <c r="J369" s="32"/>
      <c r="K369" s="32"/>
      <c r="L369" s="32"/>
      <c r="M369" s="32"/>
      <c r="N369" s="32"/>
      <c r="O369" s="32"/>
      <c r="P369" s="32"/>
      <c r="Q369" s="32"/>
    </row>
    <row r="370" spans="1:19" x14ac:dyDescent="0.25">
      <c r="A370" s="174" t="s">
        <v>149</v>
      </c>
      <c r="B370" s="174"/>
      <c r="C370" s="175"/>
      <c r="D370" s="175"/>
      <c r="E370" s="195"/>
      <c r="F370" s="32"/>
      <c r="G370" s="32"/>
      <c r="H370" s="32"/>
      <c r="I370" s="32"/>
      <c r="J370" s="32"/>
      <c r="K370" s="32"/>
      <c r="L370" s="32"/>
      <c r="M370" s="32"/>
      <c r="N370" s="32"/>
      <c r="O370" s="32"/>
      <c r="P370" s="32"/>
      <c r="Q370" s="32"/>
    </row>
    <row r="371" spans="1:19" x14ac:dyDescent="0.25">
      <c r="A371" s="33" t="s">
        <v>8</v>
      </c>
      <c r="B371" s="33" t="s">
        <v>9</v>
      </c>
      <c r="C371" s="34" t="s">
        <v>10</v>
      </c>
      <c r="D371" s="34" t="s">
        <v>340</v>
      </c>
      <c r="E371" s="16" t="s">
        <v>65</v>
      </c>
      <c r="F371" s="32"/>
      <c r="G371" s="32"/>
      <c r="H371" s="32"/>
      <c r="I371" s="32"/>
      <c r="J371" s="32"/>
      <c r="K371" s="32"/>
      <c r="L371" s="32"/>
      <c r="M371" s="32"/>
      <c r="N371" s="32"/>
      <c r="O371" s="32"/>
      <c r="P371" s="32"/>
      <c r="Q371" s="32"/>
    </row>
    <row r="372" spans="1:19" ht="46.8" x14ac:dyDescent="0.25">
      <c r="A372" s="15" t="s">
        <v>150</v>
      </c>
      <c r="B372" s="17" t="s">
        <v>95</v>
      </c>
      <c r="C372" s="35" t="s">
        <v>151</v>
      </c>
      <c r="D372" s="35" t="s">
        <v>68</v>
      </c>
      <c r="E372" s="16">
        <v>0</v>
      </c>
      <c r="F372" s="32"/>
      <c r="G372" s="32"/>
      <c r="H372" s="32"/>
      <c r="I372" s="32"/>
      <c r="J372" s="32"/>
      <c r="K372" s="32"/>
      <c r="L372" s="32"/>
      <c r="M372" s="32"/>
      <c r="N372" s="32"/>
      <c r="O372" s="32"/>
      <c r="P372" s="32"/>
      <c r="Q372" s="32"/>
    </row>
    <row r="373" spans="1:19" x14ac:dyDescent="0.25">
      <c r="F373" s="32"/>
      <c r="G373" s="32"/>
      <c r="H373" s="32"/>
      <c r="I373" s="32"/>
      <c r="J373" s="32"/>
      <c r="K373" s="32"/>
      <c r="L373" s="32"/>
      <c r="M373" s="32"/>
      <c r="N373" s="32"/>
      <c r="O373" s="32"/>
      <c r="P373" s="32"/>
      <c r="Q373" s="32"/>
    </row>
    <row r="374" spans="1:19" x14ac:dyDescent="0.25">
      <c r="A374" s="174" t="s">
        <v>152</v>
      </c>
      <c r="B374" s="174"/>
      <c r="C374" s="175"/>
      <c r="D374" s="175"/>
      <c r="E374" s="195"/>
      <c r="F374" s="32"/>
      <c r="G374" s="32"/>
      <c r="H374" s="32"/>
      <c r="I374" s="32"/>
      <c r="J374" s="32"/>
      <c r="K374" s="32"/>
      <c r="L374" s="32"/>
      <c r="M374" s="32"/>
      <c r="N374" s="32"/>
      <c r="O374" s="32"/>
      <c r="P374" s="32"/>
      <c r="Q374" s="32"/>
    </row>
    <row r="375" spans="1:19" s="10" customFormat="1" x14ac:dyDescent="0.25">
      <c r="A375" s="15" t="s">
        <v>8</v>
      </c>
      <c r="B375" s="15" t="s">
        <v>9</v>
      </c>
      <c r="C375" s="38" t="s">
        <v>10</v>
      </c>
      <c r="D375" s="38" t="s">
        <v>340</v>
      </c>
      <c r="E375" s="16" t="s">
        <v>65</v>
      </c>
      <c r="F375" s="32"/>
      <c r="G375" s="32"/>
      <c r="H375" s="39"/>
      <c r="I375" s="39"/>
      <c r="J375" s="39"/>
      <c r="K375" s="39"/>
      <c r="L375" s="39"/>
      <c r="M375" s="39"/>
      <c r="N375" s="39"/>
      <c r="O375" s="39"/>
      <c r="P375" s="39"/>
      <c r="Q375" s="39"/>
    </row>
    <row r="376" spans="1:19" s="10" customFormat="1" ht="18" x14ac:dyDescent="0.4">
      <c r="A376" s="40" t="s">
        <v>153</v>
      </c>
      <c r="B376" s="17" t="s">
        <v>103</v>
      </c>
      <c r="C376" s="35" t="s">
        <v>154</v>
      </c>
      <c r="D376" s="35" t="s">
        <v>155</v>
      </c>
      <c r="E376" s="41">
        <f>E377*E379*(1+E378)</f>
        <v>247.19562760740001</v>
      </c>
      <c r="F376" s="32"/>
      <c r="G376" s="32"/>
      <c r="H376" s="39"/>
      <c r="I376" s="39"/>
      <c r="J376" s="39"/>
      <c r="K376" s="39"/>
      <c r="L376" s="39"/>
      <c r="M376" s="39"/>
      <c r="N376" s="39"/>
      <c r="O376" s="39"/>
      <c r="P376" s="39"/>
      <c r="Q376" s="39"/>
    </row>
    <row r="377" spans="1:19" ht="31.2" x14ac:dyDescent="0.25">
      <c r="A377" s="17" t="s">
        <v>156</v>
      </c>
      <c r="B377" s="17" t="s">
        <v>157</v>
      </c>
      <c r="C377" s="35" t="s">
        <v>158</v>
      </c>
      <c r="D377" s="35" t="s">
        <v>343</v>
      </c>
      <c r="E377" s="20">
        <f>404827.27/1000</f>
        <v>404.82727</v>
      </c>
      <c r="G377" s="42"/>
      <c r="H377" s="43"/>
      <c r="I377" s="43"/>
      <c r="J377" s="43"/>
      <c r="K377" s="43"/>
      <c r="L377" s="43"/>
      <c r="M377" s="43"/>
      <c r="N377" s="43"/>
      <c r="O377" s="43"/>
      <c r="P377" s="43"/>
      <c r="Q377" s="43"/>
      <c r="R377" s="9"/>
      <c r="S377" s="9"/>
    </row>
    <row r="378" spans="1:19" ht="31.2" x14ac:dyDescent="0.25">
      <c r="A378" s="17" t="s">
        <v>159</v>
      </c>
      <c r="B378" s="17" t="s">
        <v>160</v>
      </c>
      <c r="C378" s="35" t="s">
        <v>161</v>
      </c>
      <c r="D378" s="35" t="s">
        <v>162</v>
      </c>
      <c r="E378" s="44">
        <v>0.2</v>
      </c>
      <c r="H378" s="43"/>
      <c r="I378" s="43"/>
      <c r="J378" s="43"/>
      <c r="K378" s="43"/>
      <c r="L378" s="43"/>
      <c r="M378" s="43"/>
      <c r="N378" s="43"/>
      <c r="O378" s="43"/>
      <c r="P378" s="43"/>
      <c r="Q378" s="43"/>
      <c r="R378" s="9"/>
      <c r="S378" s="9"/>
    </row>
    <row r="379" spans="1:19" ht="46.8" x14ac:dyDescent="0.25">
      <c r="A379" s="17" t="s">
        <v>163</v>
      </c>
      <c r="B379" s="17" t="s">
        <v>164</v>
      </c>
      <c r="C379" s="35" t="s">
        <v>165</v>
      </c>
      <c r="D379" s="35" t="s">
        <v>166</v>
      </c>
      <c r="E379" s="45">
        <f>0.5*0.8042+0.5*0.2135</f>
        <v>0.50885000000000002</v>
      </c>
      <c r="F379" s="46"/>
      <c r="G379" s="46"/>
      <c r="H379" s="46"/>
      <c r="I379" s="46"/>
      <c r="J379" s="46"/>
      <c r="K379" s="46"/>
      <c r="L379" s="46"/>
      <c r="M379" s="46"/>
      <c r="N379" s="46"/>
      <c r="O379" s="46"/>
      <c r="P379" s="46"/>
      <c r="Q379" s="46"/>
    </row>
    <row r="380" spans="1:19" ht="31.2" x14ac:dyDescent="0.4">
      <c r="A380" s="40" t="s">
        <v>167</v>
      </c>
      <c r="B380" s="17" t="s">
        <v>103</v>
      </c>
      <c r="C380" s="35" t="s">
        <v>168</v>
      </c>
      <c r="D380" s="35" t="s">
        <v>169</v>
      </c>
      <c r="E380" s="47">
        <v>0</v>
      </c>
      <c r="H380" s="43"/>
      <c r="I380" s="43"/>
      <c r="J380" s="43"/>
      <c r="K380" s="43"/>
      <c r="L380" s="43"/>
      <c r="M380" s="43"/>
      <c r="N380" s="43"/>
      <c r="O380" s="43"/>
      <c r="P380" s="43"/>
      <c r="Q380" s="43"/>
      <c r="R380" s="9"/>
      <c r="S380" s="9"/>
    </row>
    <row r="381" spans="1:19" x14ac:dyDescent="0.3">
      <c r="A381" s="48"/>
      <c r="E381" s="49"/>
      <c r="H381" s="43"/>
      <c r="I381" s="43"/>
      <c r="J381" s="43"/>
      <c r="K381" s="43"/>
      <c r="L381" s="43"/>
      <c r="M381" s="43"/>
      <c r="N381" s="43"/>
      <c r="O381" s="43"/>
      <c r="P381" s="43"/>
      <c r="Q381" s="43"/>
      <c r="R381" s="9"/>
      <c r="S381" s="9"/>
    </row>
    <row r="382" spans="1:19" x14ac:dyDescent="0.25">
      <c r="A382" s="174" t="s">
        <v>170</v>
      </c>
      <c r="B382" s="174"/>
      <c r="C382" s="175"/>
      <c r="D382" s="175"/>
      <c r="E382" s="195"/>
      <c r="F382" s="32"/>
      <c r="G382" s="32"/>
      <c r="H382" s="32"/>
      <c r="I382" s="32"/>
      <c r="J382" s="32"/>
      <c r="K382" s="32"/>
      <c r="L382" s="32"/>
      <c r="M382" s="32"/>
      <c r="N382" s="32"/>
      <c r="O382" s="32"/>
      <c r="P382" s="32"/>
      <c r="Q382" s="32"/>
    </row>
    <row r="383" spans="1:19" x14ac:dyDescent="0.25">
      <c r="A383" s="15" t="s">
        <v>8</v>
      </c>
      <c r="B383" s="15" t="s">
        <v>9</v>
      </c>
      <c r="C383" s="38" t="s">
        <v>10</v>
      </c>
      <c r="D383" s="38" t="s">
        <v>340</v>
      </c>
      <c r="E383" s="16" t="s">
        <v>65</v>
      </c>
      <c r="H383" s="43"/>
      <c r="I383" s="43"/>
      <c r="J383" s="43"/>
      <c r="K383" s="43"/>
      <c r="L383" s="43"/>
      <c r="M383" s="43"/>
      <c r="N383" s="43"/>
      <c r="O383" s="43"/>
      <c r="P383" s="43"/>
      <c r="Q383" s="43"/>
      <c r="R383" s="9"/>
      <c r="S383" s="9"/>
    </row>
    <row r="384" spans="1:19" ht="33.6" x14ac:dyDescent="0.4">
      <c r="A384" s="40" t="s">
        <v>171</v>
      </c>
      <c r="B384" s="17" t="s">
        <v>74</v>
      </c>
      <c r="C384" s="35" t="s">
        <v>172</v>
      </c>
      <c r="D384" s="35" t="s">
        <v>391</v>
      </c>
      <c r="E384" s="50">
        <f>E385*E388*E389*E390*E391*E392</f>
        <v>3.2943346028873282</v>
      </c>
      <c r="H384" s="43"/>
      <c r="I384" s="43"/>
      <c r="J384" s="43"/>
      <c r="K384" s="43"/>
      <c r="L384" s="43"/>
      <c r="M384" s="43"/>
      <c r="N384" s="43"/>
      <c r="O384" s="43"/>
      <c r="P384" s="43"/>
      <c r="Q384" s="43"/>
      <c r="R384" s="9"/>
      <c r="S384" s="9"/>
    </row>
    <row r="385" spans="1:19" ht="46.8" x14ac:dyDescent="0.4">
      <c r="A385" s="51" t="s">
        <v>173</v>
      </c>
      <c r="B385" s="17" t="s">
        <v>76</v>
      </c>
      <c r="C385" s="35" t="s">
        <v>174</v>
      </c>
      <c r="D385" s="35" t="s">
        <v>392</v>
      </c>
      <c r="E385" s="69">
        <f>ROUNDUP(E386/E387,0)</f>
        <v>79</v>
      </c>
      <c r="H385" s="43"/>
      <c r="I385" s="43"/>
      <c r="J385" s="43"/>
      <c r="K385" s="43"/>
      <c r="L385" s="43"/>
      <c r="M385" s="43"/>
      <c r="N385" s="43"/>
      <c r="O385" s="43"/>
      <c r="P385" s="43"/>
      <c r="Q385" s="43"/>
      <c r="R385" s="9"/>
      <c r="S385" s="9"/>
    </row>
    <row r="386" spans="1:19" ht="62.4" x14ac:dyDescent="0.25">
      <c r="A386" s="17" t="s">
        <v>175</v>
      </c>
      <c r="B386" s="17" t="s">
        <v>78</v>
      </c>
      <c r="C386" s="35" t="s">
        <v>176</v>
      </c>
      <c r="D386" s="35" t="s">
        <v>346</v>
      </c>
      <c r="E386" s="153">
        <v>392.13299999999998</v>
      </c>
      <c r="H386" s="43"/>
      <c r="I386" s="43"/>
      <c r="J386" s="43"/>
      <c r="K386" s="43"/>
      <c r="L386" s="43"/>
      <c r="M386" s="43"/>
      <c r="N386" s="43"/>
      <c r="O386" s="43"/>
      <c r="P386" s="43"/>
      <c r="Q386" s="43"/>
      <c r="R386" s="9"/>
      <c r="S386" s="9"/>
    </row>
    <row r="387" spans="1:19" ht="62.4" x14ac:dyDescent="0.25">
      <c r="A387" s="17" t="s">
        <v>177</v>
      </c>
      <c r="B387" s="17" t="s">
        <v>80</v>
      </c>
      <c r="C387" s="35" t="s">
        <v>81</v>
      </c>
      <c r="D387" s="35" t="s">
        <v>345</v>
      </c>
      <c r="E387" s="25">
        <f>5</f>
        <v>5</v>
      </c>
      <c r="H387" s="43"/>
      <c r="I387" s="43"/>
      <c r="J387" s="43"/>
      <c r="K387" s="43"/>
      <c r="L387" s="43"/>
      <c r="M387" s="43"/>
      <c r="N387" s="43"/>
      <c r="O387" s="43"/>
      <c r="P387" s="43"/>
      <c r="Q387" s="43"/>
      <c r="R387" s="9"/>
      <c r="S387" s="9"/>
    </row>
    <row r="388" spans="1:19" ht="202.8" x14ac:dyDescent="0.25">
      <c r="A388" s="17" t="s">
        <v>178</v>
      </c>
      <c r="B388" s="17" t="s">
        <v>82</v>
      </c>
      <c r="C388" s="35" t="s">
        <v>179</v>
      </c>
      <c r="D388" s="35" t="s">
        <v>367</v>
      </c>
      <c r="E388" s="25">
        <f>30.8*2</f>
        <v>61.6</v>
      </c>
      <c r="H388" s="43"/>
      <c r="I388" s="43"/>
      <c r="J388" s="43"/>
      <c r="K388" s="43"/>
      <c r="L388" s="43"/>
      <c r="M388" s="43"/>
      <c r="N388" s="43"/>
      <c r="O388" s="43"/>
      <c r="P388" s="43"/>
      <c r="Q388" s="43"/>
      <c r="R388" s="9"/>
      <c r="S388" s="9"/>
    </row>
    <row r="389" spans="1:19" ht="156" x14ac:dyDescent="0.25">
      <c r="A389" s="17" t="s">
        <v>180</v>
      </c>
      <c r="B389" s="17" t="s">
        <v>84</v>
      </c>
      <c r="C389" s="35" t="s">
        <v>85</v>
      </c>
      <c r="D389" s="35" t="s">
        <v>365</v>
      </c>
      <c r="E389" s="25">
        <f>25.1/100</f>
        <v>0.251</v>
      </c>
      <c r="H389" s="43"/>
      <c r="I389" s="43"/>
      <c r="J389" s="43"/>
      <c r="K389" s="43"/>
      <c r="L389" s="43"/>
      <c r="M389" s="43"/>
      <c r="N389" s="43"/>
      <c r="O389" s="43"/>
      <c r="P389" s="43"/>
      <c r="Q389" s="43"/>
      <c r="R389" s="9"/>
      <c r="S389" s="9"/>
    </row>
    <row r="390" spans="1:19" ht="62.4" x14ac:dyDescent="0.25">
      <c r="A390" s="17" t="s">
        <v>86</v>
      </c>
      <c r="B390" s="17" t="s">
        <v>87</v>
      </c>
      <c r="C390" s="35" t="s">
        <v>86</v>
      </c>
      <c r="D390" s="35" t="s">
        <v>215</v>
      </c>
      <c r="E390" s="25">
        <f>0.84/1000</f>
        <v>8.3999999999999993E-4</v>
      </c>
      <c r="H390" s="43"/>
      <c r="I390" s="43"/>
      <c r="J390" s="43"/>
      <c r="K390" s="43"/>
      <c r="L390" s="43"/>
      <c r="M390" s="43"/>
      <c r="N390" s="43"/>
      <c r="O390" s="43"/>
      <c r="P390" s="43"/>
      <c r="Q390" s="43"/>
      <c r="R390" s="9"/>
      <c r="S390" s="9"/>
    </row>
    <row r="391" spans="1:19" ht="124.8" x14ac:dyDescent="0.25">
      <c r="A391" s="17" t="s">
        <v>181</v>
      </c>
      <c r="B391" s="17" t="s">
        <v>88</v>
      </c>
      <c r="C391" s="35" t="s">
        <v>89</v>
      </c>
      <c r="D391" s="35" t="s">
        <v>360</v>
      </c>
      <c r="E391" s="25">
        <f>43.33/1000</f>
        <v>4.333E-2</v>
      </c>
      <c r="H391" s="43"/>
      <c r="I391" s="43"/>
      <c r="J391" s="43"/>
      <c r="K391" s="43"/>
      <c r="L391" s="43"/>
      <c r="M391" s="43"/>
      <c r="N391" s="43"/>
      <c r="O391" s="43"/>
      <c r="P391" s="43"/>
      <c r="Q391" s="43"/>
      <c r="R391" s="9"/>
      <c r="S391" s="9"/>
    </row>
    <row r="392" spans="1:19" ht="33.6" x14ac:dyDescent="0.25">
      <c r="A392" s="17" t="s">
        <v>182</v>
      </c>
      <c r="B392" s="17" t="s">
        <v>90</v>
      </c>
      <c r="C392" s="35" t="s">
        <v>91</v>
      </c>
      <c r="D392" s="35" t="s">
        <v>92</v>
      </c>
      <c r="E392" s="25">
        <v>74.099999999999994</v>
      </c>
      <c r="H392" s="43"/>
      <c r="I392" s="43"/>
      <c r="J392" s="43"/>
      <c r="K392" s="43"/>
      <c r="L392" s="43"/>
      <c r="M392" s="43"/>
      <c r="N392" s="43"/>
      <c r="O392" s="43"/>
      <c r="P392" s="43"/>
      <c r="Q392" s="43"/>
      <c r="R392" s="9"/>
      <c r="S392" s="9"/>
    </row>
    <row r="394" spans="1:19" x14ac:dyDescent="0.25">
      <c r="A394" s="33" t="s">
        <v>8</v>
      </c>
      <c r="B394" s="33" t="s">
        <v>9</v>
      </c>
      <c r="C394" s="34" t="s">
        <v>10</v>
      </c>
      <c r="D394" s="34" t="s">
        <v>340</v>
      </c>
      <c r="E394" s="16" t="s">
        <v>65</v>
      </c>
    </row>
    <row r="395" spans="1:19" ht="18" x14ac:dyDescent="0.25">
      <c r="A395" s="15" t="s">
        <v>183</v>
      </c>
      <c r="B395" s="17" t="s">
        <v>103</v>
      </c>
      <c r="C395" s="35" t="s">
        <v>184</v>
      </c>
      <c r="D395" s="53" t="s">
        <v>393</v>
      </c>
      <c r="E395" s="18">
        <f>ROUNDUP(E344+E368+E372+E376+E384,0)</f>
        <v>251</v>
      </c>
    </row>
    <row r="396" spans="1:19" s="200" customFormat="1" ht="43.2" customHeight="1" x14ac:dyDescent="0.25">
      <c r="A396" s="200" t="s">
        <v>235</v>
      </c>
    </row>
    <row r="397" spans="1:19" ht="23.4" customHeight="1" x14ac:dyDescent="0.25">
      <c r="A397" s="201" t="s">
        <v>105</v>
      </c>
      <c r="B397" s="201"/>
      <c r="C397" s="201"/>
      <c r="D397" s="201"/>
      <c r="E397" s="201"/>
      <c r="F397" s="201"/>
      <c r="G397" s="201"/>
      <c r="H397" s="201"/>
      <c r="I397" s="201"/>
      <c r="J397" s="201"/>
      <c r="K397" s="201"/>
      <c r="L397" s="201"/>
      <c r="M397" s="201"/>
      <c r="N397" s="201"/>
      <c r="O397" s="201"/>
      <c r="P397" s="201"/>
      <c r="Q397" s="202"/>
    </row>
    <row r="398" spans="1:19" s="10" customFormat="1" ht="31.2" x14ac:dyDescent="0.25">
      <c r="A398" s="15" t="s">
        <v>8</v>
      </c>
      <c r="B398" s="15" t="s">
        <v>9</v>
      </c>
      <c r="C398" s="15" t="s">
        <v>10</v>
      </c>
      <c r="D398" s="15" t="s">
        <v>340</v>
      </c>
      <c r="E398" s="16" t="s">
        <v>11</v>
      </c>
      <c r="F398" s="16" t="s">
        <v>292</v>
      </c>
      <c r="G398" s="16" t="s">
        <v>292</v>
      </c>
      <c r="H398" s="16" t="s">
        <v>292</v>
      </c>
      <c r="I398" s="16" t="s">
        <v>292</v>
      </c>
      <c r="J398" s="16" t="s">
        <v>292</v>
      </c>
      <c r="K398" s="16" t="s">
        <v>292</v>
      </c>
      <c r="L398" s="16" t="s">
        <v>292</v>
      </c>
      <c r="M398" s="16" t="s">
        <v>292</v>
      </c>
      <c r="N398" s="16" t="s">
        <v>302</v>
      </c>
      <c r="O398" s="16" t="s">
        <v>293</v>
      </c>
      <c r="P398" s="16" t="s">
        <v>294</v>
      </c>
      <c r="Q398" s="16" t="s">
        <v>295</v>
      </c>
      <c r="R398" s="54"/>
      <c r="S398" s="54"/>
    </row>
    <row r="399" spans="1:19" s="10" customFormat="1" x14ac:dyDescent="0.25">
      <c r="A399" s="203" t="s">
        <v>106</v>
      </c>
      <c r="B399" s="203"/>
      <c r="C399" s="203"/>
      <c r="D399" s="203"/>
      <c r="E399" s="204"/>
      <c r="F399" s="16" t="s">
        <v>297</v>
      </c>
      <c r="G399" s="16" t="s">
        <v>297</v>
      </c>
      <c r="H399" s="16" t="s">
        <v>297</v>
      </c>
      <c r="I399" s="16" t="s">
        <v>297</v>
      </c>
      <c r="J399" s="16" t="s">
        <v>297</v>
      </c>
      <c r="K399" s="16" t="s">
        <v>297</v>
      </c>
      <c r="L399" s="16" t="s">
        <v>297</v>
      </c>
      <c r="M399" s="16" t="s">
        <v>297</v>
      </c>
      <c r="N399" s="16">
        <v>18</v>
      </c>
      <c r="O399" s="16">
        <v>31</v>
      </c>
      <c r="P399" s="16">
        <v>30</v>
      </c>
      <c r="Q399" s="16">
        <v>31</v>
      </c>
      <c r="R399" s="54"/>
      <c r="S399" s="54"/>
    </row>
    <row r="400" spans="1:19" s="10" customFormat="1" ht="31.2" x14ac:dyDescent="0.25">
      <c r="A400" s="15" t="s">
        <v>107</v>
      </c>
      <c r="B400" s="17" t="s">
        <v>103</v>
      </c>
      <c r="C400" s="17" t="s">
        <v>108</v>
      </c>
      <c r="D400" s="17" t="s">
        <v>381</v>
      </c>
      <c r="E400" s="18">
        <f>E401+E411</f>
        <v>0</v>
      </c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54"/>
      <c r="S400" s="54"/>
    </row>
    <row r="401" spans="1:17" ht="46.8" x14ac:dyDescent="0.25">
      <c r="A401" s="17" t="s">
        <v>109</v>
      </c>
      <c r="B401" s="17" t="s">
        <v>103</v>
      </c>
      <c r="C401" s="17" t="s">
        <v>110</v>
      </c>
      <c r="D401" s="17" t="s">
        <v>382</v>
      </c>
      <c r="E401" s="19">
        <f>SUM(F401:Q401)</f>
        <v>0</v>
      </c>
      <c r="F401" s="19" t="s">
        <v>297</v>
      </c>
      <c r="G401" s="19" t="s">
        <v>297</v>
      </c>
      <c r="H401" s="19" t="s">
        <v>297</v>
      </c>
      <c r="I401" s="19" t="s">
        <v>297</v>
      </c>
      <c r="J401" s="19" t="s">
        <v>297</v>
      </c>
      <c r="K401" s="19" t="s">
        <v>297</v>
      </c>
      <c r="L401" s="19" t="s">
        <v>297</v>
      </c>
      <c r="M401" s="19" t="s">
        <v>297</v>
      </c>
      <c r="N401" s="19">
        <f t="shared" ref="N401:Q401" si="47">IF(N402&gt;=0.8,0,$E$15*$E$16*0.4*(N403-N406)*N399)</f>
        <v>0</v>
      </c>
      <c r="O401" s="19">
        <f t="shared" si="47"/>
        <v>0</v>
      </c>
      <c r="P401" s="19">
        <f t="shared" si="47"/>
        <v>0</v>
      </c>
      <c r="Q401" s="19">
        <f t="shared" si="47"/>
        <v>0</v>
      </c>
    </row>
    <row r="402" spans="1:17" ht="62.4" x14ac:dyDescent="0.25">
      <c r="A402" s="17" t="s">
        <v>111</v>
      </c>
      <c r="B402" s="17" t="s">
        <v>37</v>
      </c>
      <c r="C402" s="17" t="s">
        <v>112</v>
      </c>
      <c r="D402" s="17" t="s">
        <v>383</v>
      </c>
      <c r="E402" s="20">
        <f>AVERAGE(N402:Q402)</f>
        <v>0.95498757704475257</v>
      </c>
      <c r="F402" s="20" t="s">
        <v>297</v>
      </c>
      <c r="G402" s="20" t="s">
        <v>297</v>
      </c>
      <c r="H402" s="20" t="s">
        <v>297</v>
      </c>
      <c r="I402" s="20" t="s">
        <v>297</v>
      </c>
      <c r="J402" s="20" t="s">
        <v>297</v>
      </c>
      <c r="K402" s="20" t="s">
        <v>297</v>
      </c>
      <c r="L402" s="20" t="s">
        <v>297</v>
      </c>
      <c r="M402" s="20" t="s">
        <v>297</v>
      </c>
      <c r="N402" s="20">
        <f t="shared" ref="N402:Q402" si="48">(N403-N406)/N403</f>
        <v>0.95541894395387283</v>
      </c>
      <c r="O402" s="20">
        <f t="shared" si="48"/>
        <v>0.95505169104335363</v>
      </c>
      <c r="P402" s="20">
        <f t="shared" si="48"/>
        <v>0.95507467730524864</v>
      </c>
      <c r="Q402" s="20">
        <f t="shared" si="48"/>
        <v>0.95440499587653527</v>
      </c>
    </row>
    <row r="403" spans="1:17" ht="46.8" x14ac:dyDescent="0.25">
      <c r="A403" s="17" t="s">
        <v>113</v>
      </c>
      <c r="B403" s="17" t="s">
        <v>24</v>
      </c>
      <c r="C403" s="17" t="s">
        <v>114</v>
      </c>
      <c r="D403" s="17" t="s">
        <v>384</v>
      </c>
      <c r="E403" s="20">
        <f>SUM(N403:Q403)</f>
        <v>10.107597962074989</v>
      </c>
      <c r="F403" s="20" t="s">
        <v>297</v>
      </c>
      <c r="G403" s="20" t="s">
        <v>297</v>
      </c>
      <c r="H403" s="20" t="s">
        <v>297</v>
      </c>
      <c r="I403" s="20" t="s">
        <v>297</v>
      </c>
      <c r="J403" s="20" t="s">
        <v>297</v>
      </c>
      <c r="K403" s="20" t="s">
        <v>297</v>
      </c>
      <c r="L403" s="20" t="s">
        <v>297</v>
      </c>
      <c r="M403" s="20" t="s">
        <v>297</v>
      </c>
      <c r="N403" s="20">
        <f t="shared" ref="N403:Q403" si="49">N404*N405</f>
        <v>2.6801875844087455</v>
      </c>
      <c r="O403" s="20">
        <f t="shared" si="49"/>
        <v>2.6793515589386043</v>
      </c>
      <c r="P403" s="20">
        <f t="shared" si="49"/>
        <v>2.3744441112491108</v>
      </c>
      <c r="Q403" s="20">
        <f t="shared" si="49"/>
        <v>2.3736147074785285</v>
      </c>
    </row>
    <row r="404" spans="1:17" ht="76.2" customHeight="1" x14ac:dyDescent="0.25">
      <c r="A404" s="17" t="s">
        <v>115</v>
      </c>
      <c r="B404" s="17" t="s">
        <v>116</v>
      </c>
      <c r="C404" s="17" t="s">
        <v>117</v>
      </c>
      <c r="D404" s="17" t="s">
        <v>336</v>
      </c>
      <c r="E404" s="129">
        <f>SUM(N404:Q404)</f>
        <v>23735.147797132613</v>
      </c>
      <c r="F404" s="21" t="s">
        <v>297</v>
      </c>
      <c r="G404" s="21" t="s">
        <v>297</v>
      </c>
      <c r="H404" s="21" t="s">
        <v>297</v>
      </c>
      <c r="I404" s="21" t="s">
        <v>297</v>
      </c>
      <c r="J404" s="21" t="s">
        <v>297</v>
      </c>
      <c r="K404" s="21" t="s">
        <v>297</v>
      </c>
      <c r="L404" s="21" t="s">
        <v>297</v>
      </c>
      <c r="M404" s="21" t="s">
        <v>297</v>
      </c>
      <c r="N404" s="129">
        <f>'Baseline Emissions 2020'!N391</f>
        <v>6295.2624444444446</v>
      </c>
      <c r="O404" s="129">
        <f>'Baseline Emissions 2020'!O391</f>
        <v>6292.9290322580637</v>
      </c>
      <c r="P404" s="129">
        <f>'Baseline Emissions 2020'!P391</f>
        <v>5572.9839333333339</v>
      </c>
      <c r="Q404" s="129">
        <f>'Baseline Emissions 2020'!Q391</f>
        <v>5573.9723870967719</v>
      </c>
    </row>
    <row r="405" spans="1:17" ht="46.8" x14ac:dyDescent="0.25">
      <c r="A405" s="17" t="s">
        <v>118</v>
      </c>
      <c r="B405" s="17" t="s">
        <v>119</v>
      </c>
      <c r="C405" s="17" t="s">
        <v>120</v>
      </c>
      <c r="D405" s="35" t="s">
        <v>338</v>
      </c>
      <c r="E405" s="120">
        <f>AVERAGE(N405:Q405)</f>
        <v>4.2585521132019116E-4</v>
      </c>
      <c r="F405" s="23" t="str">
        <f>'Baseline Emissions 2020'!F395</f>
        <v>—</v>
      </c>
      <c r="G405" s="23" t="str">
        <f>'Baseline Emissions 2020'!G395</f>
        <v>—</v>
      </c>
      <c r="H405" s="23" t="str">
        <f>'Baseline Emissions 2020'!H395</f>
        <v>—</v>
      </c>
      <c r="I405" s="23" t="str">
        <f>'Baseline Emissions 2020'!I395</f>
        <v>—</v>
      </c>
      <c r="J405" s="23" t="str">
        <f>'Baseline Emissions 2020'!J395</f>
        <v>—</v>
      </c>
      <c r="K405" s="23" t="str">
        <f>'Baseline Emissions 2020'!K395</f>
        <v>—</v>
      </c>
      <c r="L405" s="23" t="str">
        <f>'Baseline Emissions 2020'!L395</f>
        <v>—</v>
      </c>
      <c r="M405" s="23" t="str">
        <f>'Baseline Emissions 2020'!M395</f>
        <v>—</v>
      </c>
      <c r="N405" s="130">
        <f>'Baseline Emissions 2020'!N395</f>
        <v>4.2574675925925932E-4</v>
      </c>
      <c r="O405" s="130">
        <f>'Baseline Emissions 2020'!O395</f>
        <v>4.2577177419354827E-4</v>
      </c>
      <c r="P405" s="130">
        <f>'Baseline Emissions 2020'!P395</f>
        <v>4.2606333333333323E-4</v>
      </c>
      <c r="Q405" s="130">
        <f>'Baseline Emissions 2020'!Q395</f>
        <v>4.258389784946237E-4</v>
      </c>
    </row>
    <row r="406" spans="1:17" ht="46.8" x14ac:dyDescent="0.25">
      <c r="A406" s="17" t="s">
        <v>121</v>
      </c>
      <c r="B406" s="17" t="s">
        <v>24</v>
      </c>
      <c r="C406" s="17" t="s">
        <v>122</v>
      </c>
      <c r="D406" s="17" t="s">
        <v>384</v>
      </c>
      <c r="E406" s="20">
        <f>SUM(N406:Q406)</f>
        <v>0.45481555488282344</v>
      </c>
      <c r="F406" s="20" t="s">
        <v>297</v>
      </c>
      <c r="G406" s="20" t="s">
        <v>297</v>
      </c>
      <c r="H406" s="20" t="s">
        <v>297</v>
      </c>
      <c r="I406" s="20" t="s">
        <v>297</v>
      </c>
      <c r="J406" s="20" t="s">
        <v>297</v>
      </c>
      <c r="K406" s="20" t="s">
        <v>297</v>
      </c>
      <c r="L406" s="20" t="s">
        <v>297</v>
      </c>
      <c r="M406" s="20" t="s">
        <v>297</v>
      </c>
      <c r="N406" s="20">
        <f t="shared" ref="N406:Q406" si="50">SUM(N407*N408)</f>
        <v>0.1194855929146605</v>
      </c>
      <c r="O406" s="20">
        <f t="shared" si="50"/>
        <v>0.12043232167464442</v>
      </c>
      <c r="P406" s="20">
        <f t="shared" si="50"/>
        <v>0.10667266791851851</v>
      </c>
      <c r="Q406" s="20">
        <f t="shared" si="50"/>
        <v>0.10822497237500003</v>
      </c>
    </row>
    <row r="407" spans="1:17" ht="62.4" x14ac:dyDescent="0.25">
      <c r="A407" s="17" t="s">
        <v>123</v>
      </c>
      <c r="B407" s="17" t="s">
        <v>116</v>
      </c>
      <c r="C407" s="17" t="s">
        <v>124</v>
      </c>
      <c r="D407" s="17" t="s">
        <v>337</v>
      </c>
      <c r="E407" s="129">
        <f>SUM(F407:Q407)</f>
        <v>23278.554367383509</v>
      </c>
      <c r="F407" s="21" t="s">
        <v>297</v>
      </c>
      <c r="G407" s="21" t="s">
        <v>297</v>
      </c>
      <c r="H407" s="21" t="s">
        <v>297</v>
      </c>
      <c r="I407" s="21" t="s">
        <v>297</v>
      </c>
      <c r="J407" s="21" t="s">
        <v>297</v>
      </c>
      <c r="K407" s="21" t="s">
        <v>297</v>
      </c>
      <c r="L407" s="21" t="s">
        <v>297</v>
      </c>
      <c r="M407" s="21" t="s">
        <v>297</v>
      </c>
      <c r="N407" s="129">
        <v>6181.1773888888893</v>
      </c>
      <c r="O407" s="129">
        <v>6180.0206451612885</v>
      </c>
      <c r="P407" s="129">
        <v>5458.3413333333328</v>
      </c>
      <c r="Q407" s="129">
        <v>5459.0150000000003</v>
      </c>
    </row>
    <row r="408" spans="1:17" ht="46.8" x14ac:dyDescent="0.25">
      <c r="A408" s="17" t="s">
        <v>125</v>
      </c>
      <c r="B408" s="17" t="s">
        <v>119</v>
      </c>
      <c r="C408" s="17" t="s">
        <v>126</v>
      </c>
      <c r="D408" s="35" t="s">
        <v>339</v>
      </c>
      <c r="E408" s="131">
        <f>AVERAGE(N408:Q408)</f>
        <v>1.954649417562724E-5</v>
      </c>
      <c r="F408" s="24" t="str">
        <f>'Baseline Emissions 2020'!F396</f>
        <v>—</v>
      </c>
      <c r="G408" s="24" t="str">
        <f>'Baseline Emissions 2020'!G396</f>
        <v>—</v>
      </c>
      <c r="H408" s="24" t="str">
        <f>'Baseline Emissions 2020'!H396</f>
        <v>—</v>
      </c>
      <c r="I408" s="24" t="str">
        <f>'Baseline Emissions 2020'!I396</f>
        <v>—</v>
      </c>
      <c r="J408" s="24" t="str">
        <f>'Baseline Emissions 2020'!J396</f>
        <v>—</v>
      </c>
      <c r="K408" s="24" t="str">
        <f>'Baseline Emissions 2020'!K396</f>
        <v>—</v>
      </c>
      <c r="L408" s="24" t="str">
        <f>'Baseline Emissions 2020'!L396</f>
        <v>—</v>
      </c>
      <c r="M408" s="24" t="str">
        <f>'Baseline Emissions 2020'!M396</f>
        <v>—</v>
      </c>
      <c r="N408" s="131">
        <f>'Baseline Emissions 2020'!N396</f>
        <v>1.9330555555555555E-5</v>
      </c>
      <c r="O408" s="131">
        <f>'Baseline Emissions 2020'!O396</f>
        <v>1.9487365591397848E-5</v>
      </c>
      <c r="P408" s="131">
        <f>'Baseline Emissions 2020'!P396</f>
        <v>1.9543055555555557E-5</v>
      </c>
      <c r="Q408" s="131">
        <f>'Baseline Emissions 2020'!Q396</f>
        <v>1.9825000000000004E-5</v>
      </c>
    </row>
    <row r="409" spans="1:17" ht="31.2" x14ac:dyDescent="0.25">
      <c r="A409" s="17" t="s">
        <v>127</v>
      </c>
      <c r="B409" s="17" t="s">
        <v>128</v>
      </c>
      <c r="C409" s="17" t="s">
        <v>17</v>
      </c>
      <c r="D409" s="17" t="s">
        <v>129</v>
      </c>
      <c r="E409" s="176">
        <v>28</v>
      </c>
      <c r="F409" s="176"/>
      <c r="G409" s="176"/>
      <c r="H409" s="176"/>
      <c r="I409" s="176"/>
      <c r="J409" s="176"/>
      <c r="K409" s="176"/>
      <c r="L409" s="176"/>
      <c r="M409" s="176"/>
      <c r="N409" s="176"/>
      <c r="O409" s="176"/>
      <c r="P409" s="176"/>
      <c r="Q409" s="176"/>
    </row>
    <row r="410" spans="1:17" ht="64.8" x14ac:dyDescent="0.25">
      <c r="A410" s="17" t="s">
        <v>130</v>
      </c>
      <c r="B410" s="17" t="s">
        <v>19</v>
      </c>
      <c r="C410" s="17" t="s">
        <v>131</v>
      </c>
      <c r="D410" s="17" t="s">
        <v>394</v>
      </c>
      <c r="E410" s="176">
        <v>0.21</v>
      </c>
      <c r="F410" s="176"/>
      <c r="G410" s="176"/>
      <c r="H410" s="176"/>
      <c r="I410" s="176"/>
      <c r="J410" s="176"/>
      <c r="K410" s="176"/>
      <c r="L410" s="176"/>
      <c r="M410" s="176"/>
      <c r="N410" s="176"/>
      <c r="O410" s="176"/>
      <c r="P410" s="176"/>
      <c r="Q410" s="176"/>
    </row>
    <row r="411" spans="1:17" ht="46.8" x14ac:dyDescent="0.25">
      <c r="A411" s="17" t="s">
        <v>132</v>
      </c>
      <c r="B411" s="17" t="s">
        <v>103</v>
      </c>
      <c r="C411" s="17" t="s">
        <v>133</v>
      </c>
      <c r="D411" s="17" t="s">
        <v>385</v>
      </c>
      <c r="E411" s="19">
        <f>SUM(F411:Q411)</f>
        <v>0</v>
      </c>
      <c r="F411" s="19" t="s">
        <v>297</v>
      </c>
      <c r="G411" s="19" t="s">
        <v>297</v>
      </c>
      <c r="H411" s="19" t="s">
        <v>297</v>
      </c>
      <c r="I411" s="19" t="s">
        <v>297</v>
      </c>
      <c r="J411" s="19" t="s">
        <v>297</v>
      </c>
      <c r="K411" s="19" t="s">
        <v>297</v>
      </c>
      <c r="L411" s="19" t="s">
        <v>297</v>
      </c>
      <c r="M411" s="19" t="s">
        <v>297</v>
      </c>
      <c r="N411" s="19">
        <f t="shared" ref="N411:Q411" si="51">$E$15*$E$16*N412*N406*N399</f>
        <v>0</v>
      </c>
      <c r="O411" s="19">
        <f t="shared" si="51"/>
        <v>0</v>
      </c>
      <c r="P411" s="19">
        <f t="shared" si="51"/>
        <v>0</v>
      </c>
      <c r="Q411" s="19">
        <f t="shared" si="51"/>
        <v>0</v>
      </c>
    </row>
    <row r="412" spans="1:17" ht="18" x14ac:dyDescent="0.25">
      <c r="A412" s="17" t="s">
        <v>134</v>
      </c>
      <c r="B412" s="17" t="s">
        <v>37</v>
      </c>
      <c r="C412" s="17" t="s">
        <v>135</v>
      </c>
      <c r="D412" s="17" t="s">
        <v>386</v>
      </c>
      <c r="E412" s="26">
        <f>AVERAGE(F412:Q412)</f>
        <v>0</v>
      </c>
      <c r="F412" s="26" t="s">
        <v>297</v>
      </c>
      <c r="G412" s="26" t="s">
        <v>297</v>
      </c>
      <c r="H412" s="26" t="s">
        <v>297</v>
      </c>
      <c r="I412" s="26" t="s">
        <v>297</v>
      </c>
      <c r="J412" s="26" t="s">
        <v>297</v>
      </c>
      <c r="K412" s="26" t="s">
        <v>297</v>
      </c>
      <c r="L412" s="26" t="s">
        <v>297</v>
      </c>
      <c r="M412" s="26" t="s">
        <v>297</v>
      </c>
      <c r="N412" s="26">
        <f>N413*$E$414*0.89</f>
        <v>0</v>
      </c>
      <c r="O412" s="26">
        <f t="shared" ref="O412:Q412" si="52">O413*$E$414*0.89</f>
        <v>0</v>
      </c>
      <c r="P412" s="26">
        <f t="shared" si="52"/>
        <v>0</v>
      </c>
      <c r="Q412" s="26">
        <f t="shared" si="52"/>
        <v>0</v>
      </c>
    </row>
    <row r="413" spans="1:17" ht="31.2" x14ac:dyDescent="0.25">
      <c r="A413" s="17" t="s">
        <v>136</v>
      </c>
      <c r="B413" s="17" t="s">
        <v>37</v>
      </c>
      <c r="C413" s="17" t="s">
        <v>46</v>
      </c>
      <c r="D413" s="17" t="s">
        <v>387</v>
      </c>
      <c r="E413" s="25">
        <v>0</v>
      </c>
      <c r="F413" s="25" t="s">
        <v>297</v>
      </c>
      <c r="G413" s="25" t="s">
        <v>297</v>
      </c>
      <c r="H413" s="25" t="s">
        <v>297</v>
      </c>
      <c r="I413" s="25" t="s">
        <v>297</v>
      </c>
      <c r="J413" s="25" t="s">
        <v>297</v>
      </c>
      <c r="K413" s="25" t="s">
        <v>297</v>
      </c>
      <c r="L413" s="25" t="s">
        <v>297</v>
      </c>
      <c r="M413" s="25" t="s">
        <v>297</v>
      </c>
      <c r="N413" s="25">
        <v>0</v>
      </c>
      <c r="O413" s="25">
        <v>0</v>
      </c>
      <c r="P413" s="25">
        <v>0</v>
      </c>
      <c r="Q413" s="25">
        <v>0</v>
      </c>
    </row>
    <row r="414" spans="1:17" ht="31.2" x14ac:dyDescent="0.25">
      <c r="A414" s="17" t="s">
        <v>137</v>
      </c>
      <c r="B414" s="17" t="s">
        <v>201</v>
      </c>
      <c r="C414" s="17" t="s">
        <v>138</v>
      </c>
      <c r="D414" s="17" t="s">
        <v>388</v>
      </c>
      <c r="E414" s="196">
        <f>(N415*N420+O415*O420+P415*P420+Q415*Q420)/(N408*N407*N399+O407*O408*O399+P408*P407*P399+Q408*Q407*Q399)</f>
        <v>0.55723627579831514</v>
      </c>
      <c r="F414" s="196"/>
      <c r="G414" s="196"/>
      <c r="H414" s="196"/>
      <c r="I414" s="196"/>
      <c r="J414" s="196"/>
      <c r="K414" s="196"/>
      <c r="L414" s="196"/>
      <c r="M414" s="196"/>
      <c r="N414" s="196"/>
      <c r="O414" s="196"/>
      <c r="P414" s="196"/>
      <c r="Q414" s="196"/>
    </row>
    <row r="415" spans="1:17" ht="31.2" x14ac:dyDescent="0.25">
      <c r="A415" s="17" t="s">
        <v>139</v>
      </c>
      <c r="B415" s="17" t="s">
        <v>37</v>
      </c>
      <c r="C415" s="17" t="s">
        <v>140</v>
      </c>
      <c r="D415" s="17" t="s">
        <v>375</v>
      </c>
      <c r="E415" s="27">
        <f>AVERAGE(N415:Q415)</f>
        <v>0.58075944952101688</v>
      </c>
      <c r="F415" s="27" t="s">
        <v>297</v>
      </c>
      <c r="G415" s="27" t="s">
        <v>297</v>
      </c>
      <c r="H415" s="27" t="s">
        <v>297</v>
      </c>
      <c r="I415" s="27" t="s">
        <v>297</v>
      </c>
      <c r="J415" s="27" t="s">
        <v>297</v>
      </c>
      <c r="K415" s="27" t="s">
        <v>297</v>
      </c>
      <c r="L415" s="27" t="s">
        <v>297</v>
      </c>
      <c r="M415" s="27" t="s">
        <v>297</v>
      </c>
      <c r="N415" s="27">
        <f t="shared" ref="N415:Q415" si="53">IF(N419&lt;283,0,IF(N419&gt;303,1,EXP(($E$22*(N419-$E$23))/($E$24*$E$23*N419))))</f>
        <v>0.84523513966163832</v>
      </c>
      <c r="O415" s="27">
        <f t="shared" si="53"/>
        <v>0.62729263560178183</v>
      </c>
      <c r="P415" s="27">
        <f t="shared" si="53"/>
        <v>0.52733825786216582</v>
      </c>
      <c r="Q415" s="27">
        <f t="shared" si="53"/>
        <v>0.32317176495848171</v>
      </c>
    </row>
    <row r="416" spans="1:17" x14ac:dyDescent="0.25">
      <c r="A416" s="17" t="s">
        <v>51</v>
      </c>
      <c r="B416" s="17" t="s">
        <v>52</v>
      </c>
      <c r="C416" s="17" t="s">
        <v>53</v>
      </c>
      <c r="D416" s="17" t="s">
        <v>389</v>
      </c>
      <c r="E416" s="176">
        <v>15175</v>
      </c>
      <c r="F416" s="176"/>
      <c r="G416" s="176"/>
      <c r="H416" s="176"/>
      <c r="I416" s="176"/>
      <c r="J416" s="176"/>
      <c r="K416" s="176"/>
      <c r="L416" s="176"/>
      <c r="M416" s="176"/>
      <c r="N416" s="176"/>
      <c r="O416" s="176"/>
      <c r="P416" s="176"/>
      <c r="Q416" s="176"/>
    </row>
    <row r="417" spans="1:17" ht="18" x14ac:dyDescent="0.25">
      <c r="A417" s="17" t="s">
        <v>141</v>
      </c>
      <c r="B417" s="17" t="s">
        <v>55</v>
      </c>
      <c r="C417" s="17" t="s">
        <v>56</v>
      </c>
      <c r="D417" s="17" t="s">
        <v>389</v>
      </c>
      <c r="E417" s="176">
        <v>303.16000000000003</v>
      </c>
      <c r="F417" s="176"/>
      <c r="G417" s="176"/>
      <c r="H417" s="176"/>
      <c r="I417" s="176"/>
      <c r="J417" s="176"/>
      <c r="K417" s="176"/>
      <c r="L417" s="176"/>
      <c r="M417" s="176"/>
      <c r="N417" s="176"/>
      <c r="O417" s="176"/>
      <c r="P417" s="176"/>
      <c r="Q417" s="176"/>
    </row>
    <row r="418" spans="1:17" x14ac:dyDescent="0.25">
      <c r="A418" s="17" t="s">
        <v>57</v>
      </c>
      <c r="B418" s="17" t="s">
        <v>58</v>
      </c>
      <c r="C418" s="17" t="s">
        <v>59</v>
      </c>
      <c r="D418" s="17" t="s">
        <v>389</v>
      </c>
      <c r="E418" s="176">
        <v>1.9870000000000001</v>
      </c>
      <c r="F418" s="176"/>
      <c r="G418" s="176"/>
      <c r="H418" s="176"/>
      <c r="I418" s="176"/>
      <c r="J418" s="176"/>
      <c r="K418" s="176"/>
      <c r="L418" s="176"/>
      <c r="M418" s="176"/>
      <c r="N418" s="176"/>
      <c r="O418" s="176"/>
      <c r="P418" s="176"/>
      <c r="Q418" s="176"/>
    </row>
    <row r="419" spans="1:17" ht="18" x14ac:dyDescent="0.25">
      <c r="A419" s="17" t="s">
        <v>142</v>
      </c>
      <c r="B419" s="17" t="s">
        <v>55</v>
      </c>
      <c r="C419" s="17" t="s">
        <v>143</v>
      </c>
      <c r="D419" s="144" t="s">
        <v>363</v>
      </c>
      <c r="E419" s="28">
        <f>AVERAGE(N419:Q419)</f>
        <v>296.14999999999998</v>
      </c>
      <c r="F419" s="25" t="s">
        <v>297</v>
      </c>
      <c r="G419" s="25" t="s">
        <v>297</v>
      </c>
      <c r="H419" s="25" t="s">
        <v>297</v>
      </c>
      <c r="I419" s="25" t="s">
        <v>297</v>
      </c>
      <c r="J419" s="25" t="s">
        <v>297</v>
      </c>
      <c r="K419" s="25" t="s">
        <v>297</v>
      </c>
      <c r="L419" s="25" t="s">
        <v>297</v>
      </c>
      <c r="M419" s="25" t="s">
        <v>297</v>
      </c>
      <c r="N419" s="25">
        <v>301.14999999999998</v>
      </c>
      <c r="O419" s="25">
        <v>297.64999999999998</v>
      </c>
      <c r="P419" s="25">
        <v>295.64999999999998</v>
      </c>
      <c r="Q419" s="25">
        <v>290.14999999999998</v>
      </c>
    </row>
    <row r="420" spans="1:17" ht="46.8" x14ac:dyDescent="0.25">
      <c r="A420" s="17" t="s">
        <v>144</v>
      </c>
      <c r="B420" s="17" t="s">
        <v>24</v>
      </c>
      <c r="C420" s="17" t="s">
        <v>145</v>
      </c>
      <c r="D420" s="17" t="s">
        <v>390</v>
      </c>
      <c r="E420" s="29">
        <f>SUM(N420:Q420)</f>
        <v>12.439296825558422</v>
      </c>
      <c r="F420" s="29" t="s">
        <v>297</v>
      </c>
      <c r="G420" s="29" t="s">
        <v>297</v>
      </c>
      <c r="H420" s="29" t="s">
        <v>297</v>
      </c>
      <c r="I420" s="29" t="s">
        <v>297</v>
      </c>
      <c r="J420" s="29" t="s">
        <v>297</v>
      </c>
      <c r="K420" s="29" t="s">
        <v>297</v>
      </c>
      <c r="L420" s="29" t="s">
        <v>297</v>
      </c>
      <c r="M420" s="29" t="s">
        <v>297</v>
      </c>
      <c r="N420" s="29">
        <f>N407*N408*'Project Emissions 2020'!N399+(1-N415)*0</f>
        <v>2.1507406724638889</v>
      </c>
      <c r="O420" s="29">
        <f>O407*O408*'Project Emissions 2020'!O399+(1-O415)*0</f>
        <v>3.733401971913977</v>
      </c>
      <c r="P420" s="29">
        <f>P407*P408*'Project Emissions 2020'!P399+(1-P415)*0</f>
        <v>3.2001800375555551</v>
      </c>
      <c r="Q420" s="29">
        <f>Q407*Q408*'Project Emissions 2020'!Q399+(1-Q415)*0</f>
        <v>3.3549741436250011</v>
      </c>
    </row>
    <row r="421" spans="1:17" x14ac:dyDescent="0.3">
      <c r="A421" s="30"/>
      <c r="E421" s="31"/>
      <c r="F421" s="31"/>
      <c r="G421" s="31"/>
      <c r="H421" s="31"/>
      <c r="I421" s="31"/>
      <c r="J421" s="31"/>
      <c r="K421" s="31"/>
      <c r="L421" s="31"/>
      <c r="M421" s="31"/>
      <c r="N421" s="31"/>
      <c r="O421" s="31"/>
      <c r="P421" s="31"/>
      <c r="Q421" s="31"/>
    </row>
    <row r="422" spans="1:17" x14ac:dyDescent="0.25">
      <c r="A422" s="174" t="s">
        <v>146</v>
      </c>
      <c r="B422" s="174"/>
      <c r="C422" s="175"/>
      <c r="D422" s="175"/>
      <c r="E422" s="195"/>
      <c r="F422" s="32"/>
      <c r="G422" s="32"/>
      <c r="H422" s="32"/>
      <c r="I422" s="32"/>
      <c r="J422" s="32"/>
      <c r="K422" s="32"/>
      <c r="L422" s="32"/>
      <c r="M422" s="32"/>
      <c r="N422" s="32"/>
      <c r="O422" s="32"/>
      <c r="P422" s="32"/>
      <c r="Q422" s="32"/>
    </row>
    <row r="423" spans="1:17" x14ac:dyDescent="0.25">
      <c r="A423" s="33" t="s">
        <v>8</v>
      </c>
      <c r="B423" s="33" t="s">
        <v>9</v>
      </c>
      <c r="C423" s="34" t="s">
        <v>10</v>
      </c>
      <c r="D423" s="34" t="s">
        <v>340</v>
      </c>
      <c r="E423" s="16" t="s">
        <v>65</v>
      </c>
      <c r="F423" s="32"/>
      <c r="G423" s="32"/>
      <c r="H423" s="32"/>
      <c r="I423" s="32"/>
      <c r="J423" s="32"/>
      <c r="K423" s="32"/>
      <c r="L423" s="32"/>
      <c r="M423" s="32"/>
      <c r="N423" s="32"/>
      <c r="O423" s="32"/>
      <c r="P423" s="32"/>
      <c r="Q423" s="32"/>
    </row>
    <row r="424" spans="1:17" ht="46.8" x14ac:dyDescent="0.25">
      <c r="A424" s="15" t="s">
        <v>147</v>
      </c>
      <c r="B424" s="17" t="s">
        <v>95</v>
      </c>
      <c r="C424" s="35" t="s">
        <v>148</v>
      </c>
      <c r="D424" s="35" t="s">
        <v>68</v>
      </c>
      <c r="E424" s="16">
        <v>0</v>
      </c>
      <c r="F424" s="32"/>
      <c r="G424" s="32"/>
      <c r="H424" s="32"/>
      <c r="I424" s="32"/>
      <c r="J424" s="32"/>
      <c r="K424" s="32"/>
      <c r="L424" s="32"/>
      <c r="M424" s="32"/>
      <c r="N424" s="32"/>
      <c r="O424" s="32"/>
      <c r="P424" s="32"/>
      <c r="Q424" s="32"/>
    </row>
    <row r="425" spans="1:17" x14ac:dyDescent="0.25">
      <c r="A425" s="36"/>
      <c r="B425" s="36"/>
      <c r="C425" s="37"/>
      <c r="D425" s="37"/>
      <c r="E425" s="32"/>
      <c r="F425" s="32"/>
      <c r="G425" s="32"/>
      <c r="H425" s="32"/>
      <c r="I425" s="32"/>
      <c r="J425" s="32"/>
      <c r="K425" s="32"/>
      <c r="L425" s="32"/>
      <c r="M425" s="32"/>
      <c r="N425" s="32"/>
      <c r="O425" s="32"/>
      <c r="P425" s="32"/>
      <c r="Q425" s="32"/>
    </row>
    <row r="426" spans="1:17" x14ac:dyDescent="0.25">
      <c r="A426" s="174" t="s">
        <v>149</v>
      </c>
      <c r="B426" s="174"/>
      <c r="C426" s="175"/>
      <c r="D426" s="175"/>
      <c r="E426" s="195"/>
      <c r="F426" s="32"/>
      <c r="G426" s="32"/>
      <c r="H426" s="32"/>
      <c r="I426" s="32"/>
      <c r="J426" s="32"/>
      <c r="K426" s="32"/>
      <c r="L426" s="32"/>
      <c r="M426" s="32"/>
      <c r="N426" s="32"/>
      <c r="O426" s="32"/>
      <c r="P426" s="32"/>
      <c r="Q426" s="32"/>
    </row>
    <row r="427" spans="1:17" x14ac:dyDescent="0.25">
      <c r="A427" s="33" t="s">
        <v>8</v>
      </c>
      <c r="B427" s="33" t="s">
        <v>9</v>
      </c>
      <c r="C427" s="34" t="s">
        <v>10</v>
      </c>
      <c r="D427" s="34" t="s">
        <v>340</v>
      </c>
      <c r="E427" s="16" t="s">
        <v>65</v>
      </c>
      <c r="F427" s="32"/>
      <c r="G427" s="32"/>
      <c r="H427" s="32"/>
      <c r="I427" s="32"/>
      <c r="J427" s="32"/>
      <c r="K427" s="32"/>
      <c r="L427" s="32"/>
      <c r="M427" s="32"/>
      <c r="N427" s="32"/>
      <c r="O427" s="32"/>
      <c r="P427" s="32"/>
      <c r="Q427" s="32"/>
    </row>
    <row r="428" spans="1:17" ht="46.8" x14ac:dyDescent="0.25">
      <c r="A428" s="15" t="s">
        <v>150</v>
      </c>
      <c r="B428" s="17" t="s">
        <v>95</v>
      </c>
      <c r="C428" s="35" t="s">
        <v>151</v>
      </c>
      <c r="D428" s="35" t="s">
        <v>68</v>
      </c>
      <c r="E428" s="16">
        <v>0</v>
      </c>
      <c r="F428" s="32"/>
      <c r="G428" s="32"/>
      <c r="H428" s="32"/>
      <c r="I428" s="32"/>
      <c r="J428" s="32"/>
      <c r="K428" s="32"/>
      <c r="L428" s="32"/>
      <c r="M428" s="32"/>
      <c r="N428" s="32"/>
      <c r="O428" s="32"/>
      <c r="P428" s="32"/>
      <c r="Q428" s="32"/>
    </row>
    <row r="429" spans="1:17" x14ac:dyDescent="0.25">
      <c r="F429" s="32"/>
      <c r="G429" s="32"/>
      <c r="H429" s="32"/>
      <c r="I429" s="32"/>
      <c r="J429" s="32"/>
      <c r="K429" s="32"/>
      <c r="L429" s="32"/>
      <c r="M429" s="32"/>
      <c r="N429" s="32"/>
      <c r="O429" s="32"/>
      <c r="P429" s="32"/>
      <c r="Q429" s="32"/>
    </row>
    <row r="430" spans="1:17" x14ac:dyDescent="0.25">
      <c r="A430" s="174" t="s">
        <v>152</v>
      </c>
      <c r="B430" s="174"/>
      <c r="C430" s="175"/>
      <c r="D430" s="175"/>
      <c r="E430" s="195"/>
      <c r="F430" s="32"/>
      <c r="G430" s="32"/>
      <c r="H430" s="32"/>
      <c r="I430" s="32"/>
      <c r="J430" s="32"/>
      <c r="K430" s="32"/>
      <c r="L430" s="32"/>
      <c r="M430" s="32"/>
      <c r="N430" s="32"/>
      <c r="O430" s="32"/>
      <c r="P430" s="32"/>
      <c r="Q430" s="32"/>
    </row>
    <row r="431" spans="1:17" s="10" customFormat="1" x14ac:dyDescent="0.25">
      <c r="A431" s="15" t="s">
        <v>8</v>
      </c>
      <c r="B431" s="15" t="s">
        <v>9</v>
      </c>
      <c r="C431" s="38" t="s">
        <v>10</v>
      </c>
      <c r="D431" s="38" t="s">
        <v>340</v>
      </c>
      <c r="E431" s="16" t="s">
        <v>65</v>
      </c>
      <c r="F431" s="32"/>
      <c r="G431" s="32"/>
      <c r="H431" s="39"/>
      <c r="I431" s="39"/>
      <c r="J431" s="39"/>
      <c r="K431" s="39"/>
      <c r="L431" s="39"/>
      <c r="M431" s="39"/>
      <c r="N431" s="39"/>
      <c r="O431" s="39"/>
      <c r="P431" s="39"/>
      <c r="Q431" s="39"/>
    </row>
    <row r="432" spans="1:17" s="10" customFormat="1" ht="18" x14ac:dyDescent="0.4">
      <c r="A432" s="40" t="s">
        <v>153</v>
      </c>
      <c r="B432" s="17" t="s">
        <v>103</v>
      </c>
      <c r="C432" s="35" t="s">
        <v>154</v>
      </c>
      <c r="D432" s="35" t="s">
        <v>155</v>
      </c>
      <c r="E432" s="41">
        <f>E433*E435*(1+E434)</f>
        <v>171.05525210639999</v>
      </c>
      <c r="F432" s="32"/>
      <c r="G432" s="32"/>
      <c r="H432" s="39"/>
      <c r="I432" s="39"/>
      <c r="J432" s="39"/>
      <c r="K432" s="39"/>
      <c r="L432" s="39"/>
      <c r="M432" s="39"/>
      <c r="N432" s="39"/>
      <c r="O432" s="39"/>
      <c r="P432" s="39"/>
      <c r="Q432" s="39"/>
    </row>
    <row r="433" spans="1:19" ht="31.2" x14ac:dyDescent="0.25">
      <c r="A433" s="17" t="s">
        <v>156</v>
      </c>
      <c r="B433" s="17" t="s">
        <v>157</v>
      </c>
      <c r="C433" s="35" t="s">
        <v>158</v>
      </c>
      <c r="D433" s="35" t="s">
        <v>343</v>
      </c>
      <c r="E433" s="64">
        <f>280133.72/1000</f>
        <v>280.13371999999998</v>
      </c>
      <c r="G433" s="42"/>
      <c r="H433" s="43"/>
      <c r="I433" s="43"/>
      <c r="J433" s="43"/>
      <c r="K433" s="43"/>
      <c r="L433" s="43"/>
      <c r="M433" s="43"/>
      <c r="N433" s="43"/>
      <c r="O433" s="43"/>
      <c r="P433" s="43"/>
      <c r="Q433" s="43"/>
      <c r="R433" s="9"/>
      <c r="S433" s="9"/>
    </row>
    <row r="434" spans="1:19" ht="31.2" x14ac:dyDescent="0.25">
      <c r="A434" s="17" t="s">
        <v>159</v>
      </c>
      <c r="B434" s="17" t="s">
        <v>160</v>
      </c>
      <c r="C434" s="35" t="s">
        <v>161</v>
      </c>
      <c r="D434" s="35" t="s">
        <v>162</v>
      </c>
      <c r="E434" s="44">
        <v>0.2</v>
      </c>
      <c r="H434" s="43"/>
      <c r="I434" s="43"/>
      <c r="J434" s="43"/>
      <c r="K434" s="43"/>
      <c r="L434" s="43"/>
      <c r="M434" s="43"/>
      <c r="N434" s="43"/>
      <c r="O434" s="43"/>
      <c r="P434" s="43"/>
      <c r="Q434" s="43"/>
      <c r="R434" s="9"/>
      <c r="S434" s="9"/>
    </row>
    <row r="435" spans="1:19" ht="46.8" x14ac:dyDescent="0.25">
      <c r="A435" s="17" t="s">
        <v>163</v>
      </c>
      <c r="B435" s="17" t="s">
        <v>164</v>
      </c>
      <c r="C435" s="35" t="s">
        <v>165</v>
      </c>
      <c r="D435" s="35" t="s">
        <v>166</v>
      </c>
      <c r="E435" s="45">
        <f>0.5*0.8042+0.5*0.2135</f>
        <v>0.50885000000000002</v>
      </c>
      <c r="F435" s="46"/>
      <c r="G435" s="46"/>
      <c r="H435" s="46"/>
      <c r="I435" s="46"/>
      <c r="J435" s="46"/>
      <c r="K435" s="46"/>
      <c r="L435" s="46"/>
      <c r="M435" s="46"/>
      <c r="N435" s="46"/>
      <c r="O435" s="46"/>
      <c r="P435" s="46"/>
      <c r="Q435" s="46"/>
    </row>
    <row r="436" spans="1:19" ht="31.2" x14ac:dyDescent="0.4">
      <c r="A436" s="40" t="s">
        <v>167</v>
      </c>
      <c r="B436" s="17" t="s">
        <v>103</v>
      </c>
      <c r="C436" s="35" t="s">
        <v>168</v>
      </c>
      <c r="D436" s="35" t="s">
        <v>169</v>
      </c>
      <c r="E436" s="47">
        <v>0</v>
      </c>
      <c r="H436" s="43"/>
      <c r="I436" s="43"/>
      <c r="J436" s="43"/>
      <c r="K436" s="43"/>
      <c r="L436" s="43"/>
      <c r="M436" s="43"/>
      <c r="N436" s="43"/>
      <c r="O436" s="43"/>
      <c r="P436" s="43"/>
      <c r="Q436" s="43"/>
      <c r="R436" s="9"/>
      <c r="S436" s="9"/>
    </row>
    <row r="437" spans="1:19" x14ac:dyDescent="0.3">
      <c r="A437" s="48"/>
      <c r="E437" s="49"/>
      <c r="H437" s="43"/>
      <c r="I437" s="43"/>
      <c r="J437" s="43"/>
      <c r="K437" s="43"/>
      <c r="L437" s="43"/>
      <c r="M437" s="43"/>
      <c r="N437" s="43"/>
      <c r="O437" s="43"/>
      <c r="P437" s="43"/>
      <c r="Q437" s="43"/>
      <c r="R437" s="9"/>
      <c r="S437" s="9"/>
    </row>
    <row r="438" spans="1:19" x14ac:dyDescent="0.25">
      <c r="A438" s="174" t="s">
        <v>170</v>
      </c>
      <c r="B438" s="174"/>
      <c r="C438" s="175"/>
      <c r="D438" s="175"/>
      <c r="E438" s="195"/>
      <c r="F438" s="32"/>
      <c r="G438" s="32"/>
      <c r="H438" s="32"/>
      <c r="I438" s="32"/>
      <c r="J438" s="32"/>
      <c r="K438" s="32"/>
      <c r="L438" s="32"/>
      <c r="M438" s="32"/>
      <c r="N438" s="32"/>
      <c r="O438" s="32"/>
      <c r="P438" s="32"/>
      <c r="Q438" s="32"/>
    </row>
    <row r="439" spans="1:19" x14ac:dyDescent="0.25">
      <c r="A439" s="15" t="s">
        <v>8</v>
      </c>
      <c r="B439" s="15" t="s">
        <v>9</v>
      </c>
      <c r="C439" s="38" t="s">
        <v>10</v>
      </c>
      <c r="D439" s="38" t="s">
        <v>340</v>
      </c>
      <c r="E439" s="16" t="s">
        <v>65</v>
      </c>
      <c r="H439" s="43"/>
      <c r="I439" s="43"/>
      <c r="J439" s="43"/>
      <c r="K439" s="43"/>
      <c r="L439" s="43"/>
      <c r="M439" s="43"/>
      <c r="N439" s="43"/>
      <c r="O439" s="43"/>
      <c r="P439" s="43"/>
      <c r="Q439" s="43"/>
      <c r="R439" s="9"/>
      <c r="S439" s="9"/>
    </row>
    <row r="440" spans="1:19" ht="33.6" x14ac:dyDescent="0.4">
      <c r="A440" s="40" t="s">
        <v>171</v>
      </c>
      <c r="B440" s="17" t="s">
        <v>74</v>
      </c>
      <c r="C440" s="35" t="s">
        <v>172</v>
      </c>
      <c r="D440" s="35" t="s">
        <v>391</v>
      </c>
      <c r="E440" s="50">
        <f>E441*E444*E445*E446*E447*E448</f>
        <v>1.578930221061648</v>
      </c>
      <c r="H440" s="43"/>
      <c r="I440" s="43"/>
      <c r="J440" s="43"/>
      <c r="K440" s="43"/>
      <c r="L440" s="43"/>
      <c r="M440" s="43"/>
      <c r="N440" s="43"/>
      <c r="O440" s="43"/>
      <c r="P440" s="43"/>
      <c r="Q440" s="43"/>
      <c r="R440" s="9"/>
      <c r="S440" s="9"/>
    </row>
    <row r="441" spans="1:19" ht="46.8" x14ac:dyDescent="0.4">
      <c r="A441" s="51" t="s">
        <v>173</v>
      </c>
      <c r="B441" s="17" t="s">
        <v>76</v>
      </c>
      <c r="C441" s="35" t="s">
        <v>174</v>
      </c>
      <c r="D441" s="35" t="s">
        <v>392</v>
      </c>
      <c r="E441" s="69">
        <f>ROUNDUP(E442/E443,0)</f>
        <v>49</v>
      </c>
      <c r="H441" s="43"/>
      <c r="I441" s="43"/>
      <c r="J441" s="43"/>
      <c r="K441" s="43"/>
      <c r="L441" s="43"/>
      <c r="M441" s="43"/>
      <c r="N441" s="43"/>
      <c r="O441" s="43"/>
      <c r="P441" s="43"/>
      <c r="Q441" s="43"/>
      <c r="R441" s="9"/>
      <c r="S441" s="9"/>
    </row>
    <row r="442" spans="1:19" ht="62.4" x14ac:dyDescent="0.25">
      <c r="A442" s="17" t="s">
        <v>175</v>
      </c>
      <c r="B442" s="17" t="s">
        <v>78</v>
      </c>
      <c r="C442" s="35" t="s">
        <v>176</v>
      </c>
      <c r="D442" s="35" t="s">
        <v>346</v>
      </c>
      <c r="E442" s="153">
        <v>243.096</v>
      </c>
      <c r="H442" s="43"/>
      <c r="I442" s="43"/>
      <c r="J442" s="43"/>
      <c r="K442" s="43"/>
      <c r="L442" s="43"/>
      <c r="M442" s="43"/>
      <c r="N442" s="43"/>
      <c r="O442" s="43"/>
      <c r="P442" s="43"/>
      <c r="Q442" s="43"/>
      <c r="R442" s="9"/>
      <c r="S442" s="9"/>
    </row>
    <row r="443" spans="1:19" ht="62.4" x14ac:dyDescent="0.25">
      <c r="A443" s="17" t="s">
        <v>177</v>
      </c>
      <c r="B443" s="17" t="s">
        <v>80</v>
      </c>
      <c r="C443" s="35" t="s">
        <v>81</v>
      </c>
      <c r="D443" s="35" t="s">
        <v>345</v>
      </c>
      <c r="E443" s="25">
        <f>5</f>
        <v>5</v>
      </c>
      <c r="H443" s="43"/>
      <c r="I443" s="43"/>
      <c r="J443" s="43"/>
      <c r="K443" s="43"/>
      <c r="L443" s="43"/>
      <c r="M443" s="43"/>
      <c r="N443" s="43"/>
      <c r="O443" s="43"/>
      <c r="P443" s="43"/>
      <c r="Q443" s="43"/>
      <c r="R443" s="9"/>
      <c r="S443" s="9"/>
    </row>
    <row r="444" spans="1:19" ht="202.8" x14ac:dyDescent="0.25">
      <c r="A444" s="17" t="s">
        <v>178</v>
      </c>
      <c r="B444" s="17" t="s">
        <v>82</v>
      </c>
      <c r="C444" s="35" t="s">
        <v>179</v>
      </c>
      <c r="D444" s="35" t="s">
        <v>367</v>
      </c>
      <c r="E444" s="25">
        <f>23.8*2</f>
        <v>47.6</v>
      </c>
      <c r="H444" s="43"/>
      <c r="I444" s="43"/>
      <c r="J444" s="43"/>
      <c r="K444" s="43"/>
      <c r="L444" s="43"/>
      <c r="M444" s="43"/>
      <c r="N444" s="43"/>
      <c r="O444" s="43"/>
      <c r="P444" s="43"/>
      <c r="Q444" s="43"/>
      <c r="R444" s="9"/>
      <c r="S444" s="9"/>
    </row>
    <row r="445" spans="1:19" ht="156" x14ac:dyDescent="0.25">
      <c r="A445" s="17" t="s">
        <v>180</v>
      </c>
      <c r="B445" s="17" t="s">
        <v>84</v>
      </c>
      <c r="C445" s="35" t="s">
        <v>85</v>
      </c>
      <c r="D445" s="35" t="s">
        <v>365</v>
      </c>
      <c r="E445" s="25">
        <f>25.1/100</f>
        <v>0.251</v>
      </c>
      <c r="H445" s="43"/>
      <c r="I445" s="43"/>
      <c r="J445" s="43"/>
      <c r="K445" s="43"/>
      <c r="L445" s="43"/>
      <c r="M445" s="43"/>
      <c r="N445" s="43"/>
      <c r="O445" s="43"/>
      <c r="P445" s="43"/>
      <c r="Q445" s="43"/>
      <c r="R445" s="9"/>
      <c r="S445" s="9"/>
    </row>
    <row r="446" spans="1:19" ht="62.4" x14ac:dyDescent="0.25">
      <c r="A446" s="17" t="s">
        <v>86</v>
      </c>
      <c r="B446" s="17" t="s">
        <v>87</v>
      </c>
      <c r="C446" s="35" t="s">
        <v>86</v>
      </c>
      <c r="D446" s="35" t="s">
        <v>215</v>
      </c>
      <c r="E446" s="25">
        <f>0.84/1000</f>
        <v>8.3999999999999993E-4</v>
      </c>
      <c r="H446" s="43"/>
      <c r="I446" s="43"/>
      <c r="J446" s="43"/>
      <c r="K446" s="43"/>
      <c r="L446" s="43"/>
      <c r="M446" s="43"/>
      <c r="N446" s="43"/>
      <c r="O446" s="43"/>
      <c r="P446" s="43"/>
      <c r="Q446" s="43"/>
      <c r="R446" s="9"/>
      <c r="S446" s="9"/>
    </row>
    <row r="447" spans="1:19" ht="124.8" x14ac:dyDescent="0.25">
      <c r="A447" s="17" t="s">
        <v>181</v>
      </c>
      <c r="B447" s="17" t="s">
        <v>88</v>
      </c>
      <c r="C447" s="35" t="s">
        <v>89</v>
      </c>
      <c r="D447" s="35" t="s">
        <v>360</v>
      </c>
      <c r="E447" s="25">
        <f>43.33/1000</f>
        <v>4.333E-2</v>
      </c>
      <c r="H447" s="43"/>
      <c r="I447" s="43"/>
      <c r="J447" s="43"/>
      <c r="K447" s="43"/>
      <c r="L447" s="43"/>
      <c r="M447" s="43"/>
      <c r="N447" s="43"/>
      <c r="O447" s="43"/>
      <c r="P447" s="43"/>
      <c r="Q447" s="43"/>
      <c r="R447" s="9"/>
      <c r="S447" s="9"/>
    </row>
    <row r="448" spans="1:19" ht="33.6" x14ac:dyDescent="0.25">
      <c r="A448" s="17" t="s">
        <v>182</v>
      </c>
      <c r="B448" s="17" t="s">
        <v>90</v>
      </c>
      <c r="C448" s="35" t="s">
        <v>91</v>
      </c>
      <c r="D448" s="35" t="s">
        <v>92</v>
      </c>
      <c r="E448" s="25">
        <v>74.099999999999994</v>
      </c>
      <c r="H448" s="43"/>
      <c r="I448" s="43"/>
      <c r="J448" s="43"/>
      <c r="K448" s="43"/>
      <c r="L448" s="43"/>
      <c r="M448" s="43"/>
      <c r="N448" s="43"/>
      <c r="O448" s="43"/>
      <c r="P448" s="43"/>
      <c r="Q448" s="43"/>
      <c r="R448" s="9"/>
      <c r="S448" s="9"/>
    </row>
    <row r="450" spans="1:19" x14ac:dyDescent="0.25">
      <c r="A450" s="33" t="s">
        <v>8</v>
      </c>
      <c r="B450" s="33" t="s">
        <v>9</v>
      </c>
      <c r="C450" s="34" t="s">
        <v>10</v>
      </c>
      <c r="D450" s="34" t="s">
        <v>340</v>
      </c>
      <c r="E450" s="16" t="s">
        <v>65</v>
      </c>
    </row>
    <row r="451" spans="1:19" ht="18" x14ac:dyDescent="0.25">
      <c r="A451" s="15" t="s">
        <v>183</v>
      </c>
      <c r="B451" s="17" t="s">
        <v>103</v>
      </c>
      <c r="C451" s="35" t="s">
        <v>184</v>
      </c>
      <c r="D451" s="53" t="s">
        <v>393</v>
      </c>
      <c r="E451" s="18">
        <f>ROUNDUP(E400+E424+E428+E432+E440,0)</f>
        <v>173</v>
      </c>
    </row>
    <row r="452" spans="1:19" s="209" customFormat="1" ht="38.4" customHeight="1" x14ac:dyDescent="0.25">
      <c r="A452" s="208" t="s">
        <v>226</v>
      </c>
    </row>
    <row r="453" spans="1:19" ht="23.4" customHeight="1" x14ac:dyDescent="0.25">
      <c r="A453" s="201" t="s">
        <v>105</v>
      </c>
      <c r="B453" s="201"/>
      <c r="C453" s="201"/>
      <c r="D453" s="201"/>
      <c r="E453" s="201"/>
      <c r="F453" s="201"/>
      <c r="G453" s="201"/>
      <c r="H453" s="201"/>
      <c r="I453" s="201"/>
      <c r="J453" s="201"/>
      <c r="K453" s="201"/>
      <c r="L453" s="201"/>
      <c r="M453" s="201"/>
      <c r="N453" s="201"/>
      <c r="O453" s="201"/>
      <c r="P453" s="201"/>
      <c r="Q453" s="202"/>
    </row>
    <row r="454" spans="1:19" s="10" customFormat="1" ht="31.2" x14ac:dyDescent="0.25">
      <c r="A454" s="15" t="s">
        <v>8</v>
      </c>
      <c r="B454" s="15" t="s">
        <v>9</v>
      </c>
      <c r="C454" s="15" t="s">
        <v>10</v>
      </c>
      <c r="D454" s="15" t="s">
        <v>340</v>
      </c>
      <c r="E454" s="16" t="s">
        <v>11</v>
      </c>
      <c r="F454" s="16" t="s">
        <v>292</v>
      </c>
      <c r="G454" s="16" t="s">
        <v>292</v>
      </c>
      <c r="H454" s="16" t="s">
        <v>292</v>
      </c>
      <c r="I454" s="16" t="s">
        <v>292</v>
      </c>
      <c r="J454" s="16" t="s">
        <v>292</v>
      </c>
      <c r="K454" s="16" t="s">
        <v>292</v>
      </c>
      <c r="L454" s="16" t="s">
        <v>292</v>
      </c>
      <c r="M454" s="16" t="s">
        <v>292</v>
      </c>
      <c r="N454" s="16" t="s">
        <v>305</v>
      </c>
      <c r="O454" s="16" t="s">
        <v>293</v>
      </c>
      <c r="P454" s="16" t="s">
        <v>294</v>
      </c>
      <c r="Q454" s="16" t="s">
        <v>295</v>
      </c>
      <c r="R454" s="54"/>
      <c r="S454" s="54"/>
    </row>
    <row r="455" spans="1:19" s="10" customFormat="1" x14ac:dyDescent="0.25">
      <c r="A455" s="203" t="s">
        <v>106</v>
      </c>
      <c r="B455" s="203"/>
      <c r="C455" s="203"/>
      <c r="D455" s="203"/>
      <c r="E455" s="204"/>
      <c r="F455" s="16" t="s">
        <v>297</v>
      </c>
      <c r="G455" s="16" t="s">
        <v>297</v>
      </c>
      <c r="H455" s="16" t="s">
        <v>297</v>
      </c>
      <c r="I455" s="16" t="s">
        <v>297</v>
      </c>
      <c r="J455" s="16" t="s">
        <v>297</v>
      </c>
      <c r="K455" s="16" t="s">
        <v>297</v>
      </c>
      <c r="L455" s="16" t="s">
        <v>297</v>
      </c>
      <c r="M455" s="16" t="s">
        <v>297</v>
      </c>
      <c r="N455" s="16">
        <v>16</v>
      </c>
      <c r="O455" s="16">
        <v>31</v>
      </c>
      <c r="P455" s="16">
        <v>30</v>
      </c>
      <c r="Q455" s="16">
        <v>31</v>
      </c>
      <c r="R455" s="54"/>
      <c r="S455" s="54"/>
    </row>
    <row r="456" spans="1:19" s="10" customFormat="1" ht="31.2" x14ac:dyDescent="0.25">
      <c r="A456" s="15" t="s">
        <v>107</v>
      </c>
      <c r="B456" s="17" t="s">
        <v>103</v>
      </c>
      <c r="C456" s="17" t="s">
        <v>108</v>
      </c>
      <c r="D456" s="17" t="s">
        <v>381</v>
      </c>
      <c r="E456" s="18">
        <f>E457+E467</f>
        <v>0</v>
      </c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54"/>
      <c r="S456" s="54"/>
    </row>
    <row r="457" spans="1:19" ht="46.8" x14ac:dyDescent="0.25">
      <c r="A457" s="17" t="s">
        <v>109</v>
      </c>
      <c r="B457" s="17" t="s">
        <v>103</v>
      </c>
      <c r="C457" s="17" t="s">
        <v>110</v>
      </c>
      <c r="D457" s="17" t="s">
        <v>382</v>
      </c>
      <c r="E457" s="19">
        <f>SUM(F457:Q457)</f>
        <v>0</v>
      </c>
      <c r="F457" s="19" t="s">
        <v>297</v>
      </c>
      <c r="G457" s="19" t="s">
        <v>297</v>
      </c>
      <c r="H457" s="19" t="s">
        <v>297</v>
      </c>
      <c r="I457" s="19" t="s">
        <v>297</v>
      </c>
      <c r="J457" s="19" t="s">
        <v>297</v>
      </c>
      <c r="K457" s="19" t="s">
        <v>297</v>
      </c>
      <c r="L457" s="19" t="s">
        <v>297</v>
      </c>
      <c r="M457" s="19" t="s">
        <v>297</v>
      </c>
      <c r="N457" s="19">
        <f t="shared" ref="N457:Q457" si="54">IF(N458&gt;=0.8,0,$E$15*$E$16*0.4*(N459-N462)*N455)</f>
        <v>0</v>
      </c>
      <c r="O457" s="19">
        <f t="shared" si="54"/>
        <v>0</v>
      </c>
      <c r="P457" s="19">
        <f t="shared" si="54"/>
        <v>0</v>
      </c>
      <c r="Q457" s="19">
        <f t="shared" si="54"/>
        <v>0</v>
      </c>
    </row>
    <row r="458" spans="1:19" ht="62.4" x14ac:dyDescent="0.25">
      <c r="A458" s="17" t="s">
        <v>111</v>
      </c>
      <c r="B458" s="17" t="s">
        <v>37</v>
      </c>
      <c r="C458" s="17" t="s">
        <v>112</v>
      </c>
      <c r="D458" s="17" t="s">
        <v>383</v>
      </c>
      <c r="E458" s="20">
        <f>AVERAGE(F458:Q458)</f>
        <v>0.95257895817901705</v>
      </c>
      <c r="F458" s="20" t="s">
        <v>297</v>
      </c>
      <c r="G458" s="20" t="s">
        <v>297</v>
      </c>
      <c r="H458" s="20" t="s">
        <v>297</v>
      </c>
      <c r="I458" s="20" t="s">
        <v>297</v>
      </c>
      <c r="J458" s="20" t="s">
        <v>297</v>
      </c>
      <c r="K458" s="20" t="s">
        <v>297</v>
      </c>
      <c r="L458" s="20" t="s">
        <v>297</v>
      </c>
      <c r="M458" s="20" t="s">
        <v>297</v>
      </c>
      <c r="N458" s="20">
        <f t="shared" ref="N458:Q458" si="55">(N459-N462)/N459</f>
        <v>0.95071197432090793</v>
      </c>
      <c r="O458" s="20">
        <f t="shared" si="55"/>
        <v>0.95352323591647459</v>
      </c>
      <c r="P458" s="20">
        <f t="shared" si="55"/>
        <v>0.95342439047574734</v>
      </c>
      <c r="Q458" s="20">
        <f t="shared" si="55"/>
        <v>0.95265623200293847</v>
      </c>
    </row>
    <row r="459" spans="1:19" ht="46.8" x14ac:dyDescent="0.25">
      <c r="A459" s="17" t="s">
        <v>113</v>
      </c>
      <c r="B459" s="17" t="s">
        <v>24</v>
      </c>
      <c r="C459" s="17" t="s">
        <v>114</v>
      </c>
      <c r="D459" s="17" t="s">
        <v>384</v>
      </c>
      <c r="E459" s="20">
        <f>SUM(F459:Q459)</f>
        <v>36.276020614549601</v>
      </c>
      <c r="F459" s="20" t="s">
        <v>297</v>
      </c>
      <c r="G459" s="20" t="s">
        <v>297</v>
      </c>
      <c r="H459" s="20" t="s">
        <v>297</v>
      </c>
      <c r="I459" s="20" t="s">
        <v>297</v>
      </c>
      <c r="J459" s="20" t="s">
        <v>297</v>
      </c>
      <c r="K459" s="20" t="s">
        <v>297</v>
      </c>
      <c r="L459" s="20" t="s">
        <v>297</v>
      </c>
      <c r="M459" s="20" t="s">
        <v>297</v>
      </c>
      <c r="N459" s="20">
        <f t="shared" ref="N459:Q459" si="56">N460*N461</f>
        <v>9.2565797850417653</v>
      </c>
      <c r="O459" s="20">
        <f t="shared" si="56"/>
        <v>9.2766690745184182</v>
      </c>
      <c r="P459" s="20">
        <f t="shared" si="56"/>
        <v>8.8728167609779991</v>
      </c>
      <c r="Q459" s="20">
        <f t="shared" si="56"/>
        <v>8.8699549940114224</v>
      </c>
    </row>
    <row r="460" spans="1:19" ht="63.6" customHeight="1" x14ac:dyDescent="0.25">
      <c r="A460" s="17" t="s">
        <v>115</v>
      </c>
      <c r="B460" s="17" t="s">
        <v>116</v>
      </c>
      <c r="C460" s="17" t="s">
        <v>117</v>
      </c>
      <c r="D460" s="17" t="s">
        <v>336</v>
      </c>
      <c r="E460" s="129">
        <f>SUM(N460:Q460)</f>
        <v>77462.726121370972</v>
      </c>
      <c r="F460" s="21" t="s">
        <v>297</v>
      </c>
      <c r="G460" s="21" t="s">
        <v>297</v>
      </c>
      <c r="H460" s="21" t="s">
        <v>297</v>
      </c>
      <c r="I460" s="21" t="s">
        <v>297</v>
      </c>
      <c r="J460" s="21" t="s">
        <v>297</v>
      </c>
      <c r="K460" s="21" t="s">
        <v>297</v>
      </c>
      <c r="L460" s="21" t="s">
        <v>297</v>
      </c>
      <c r="M460" s="21" t="s">
        <v>297</v>
      </c>
      <c r="N460" s="129">
        <f>'Baseline Emissions 2020'!N446</f>
        <v>19795.120437500002</v>
      </c>
      <c r="O460" s="129">
        <f>'Baseline Emissions 2020'!O446</f>
        <v>19805.992645161288</v>
      </c>
      <c r="P460" s="129">
        <f>'Baseline Emissions 2020'!P446</f>
        <v>18936.9912</v>
      </c>
      <c r="Q460" s="129">
        <f>'Baseline Emissions 2020'!Q446</f>
        <v>18924.621838709681</v>
      </c>
    </row>
    <row r="461" spans="1:19" ht="46.8" x14ac:dyDescent="0.25">
      <c r="A461" s="17" t="s">
        <v>118</v>
      </c>
      <c r="B461" s="17" t="s">
        <v>119</v>
      </c>
      <c r="C461" s="17" t="s">
        <v>120</v>
      </c>
      <c r="D461" s="35" t="s">
        <v>338</v>
      </c>
      <c r="E461" s="120">
        <f>AVERAGE(F461:Q461)</f>
        <v>4.6830987819220432E-4</v>
      </c>
      <c r="F461" s="23" t="str">
        <f>'Baseline Emissions 2020'!F450</f>
        <v>—</v>
      </c>
      <c r="G461" s="23" t="str">
        <f>'Baseline Emissions 2020'!G450</f>
        <v>—</v>
      </c>
      <c r="H461" s="23" t="str">
        <f>'Baseline Emissions 2020'!H450</f>
        <v>—</v>
      </c>
      <c r="I461" s="23" t="str">
        <f>'Baseline Emissions 2020'!I450</f>
        <v>—</v>
      </c>
      <c r="J461" s="23" t="str">
        <f>'Baseline Emissions 2020'!J450</f>
        <v>—</v>
      </c>
      <c r="K461" s="23" t="str">
        <f>'Baseline Emissions 2020'!K450</f>
        <v>—</v>
      </c>
      <c r="L461" s="23" t="str">
        <f>'Baseline Emissions 2020'!L450</f>
        <v>—</v>
      </c>
      <c r="M461" s="23" t="str">
        <f>'Baseline Emissions 2020'!M450</f>
        <v>—</v>
      </c>
      <c r="N461" s="130">
        <f>'Baseline Emissions 2020'!N450</f>
        <v>4.6761927083333331E-4</v>
      </c>
      <c r="O461" s="130">
        <f>'Baseline Emissions 2020'!O450</f>
        <v>4.6837688172043018E-4</v>
      </c>
      <c r="P461" s="130">
        <f>'Baseline Emissions 2020'!P450</f>
        <v>4.6854416666666662E-4</v>
      </c>
      <c r="Q461" s="130">
        <f>'Baseline Emissions 2020'!Q450</f>
        <v>4.6869919354838711E-4</v>
      </c>
    </row>
    <row r="462" spans="1:19" ht="46.8" x14ac:dyDescent="0.25">
      <c r="A462" s="17" t="s">
        <v>121</v>
      </c>
      <c r="B462" s="17" t="s">
        <v>24</v>
      </c>
      <c r="C462" s="17" t="s">
        <v>122</v>
      </c>
      <c r="D462" s="17" t="s">
        <v>384</v>
      </c>
      <c r="E462" s="20">
        <f>SUM(F462:Q462)</f>
        <v>1.7205820424234395</v>
      </c>
      <c r="F462" s="20" t="s">
        <v>297</v>
      </c>
      <c r="G462" s="20" t="s">
        <v>297</v>
      </c>
      <c r="H462" s="20" t="s">
        <v>297</v>
      </c>
      <c r="I462" s="20" t="s">
        <v>297</v>
      </c>
      <c r="J462" s="20" t="s">
        <v>297</v>
      </c>
      <c r="K462" s="20" t="s">
        <v>297</v>
      </c>
      <c r="L462" s="20" t="s">
        <v>297</v>
      </c>
      <c r="M462" s="20" t="s">
        <v>297</v>
      </c>
      <c r="N462" s="20">
        <f t="shared" ref="N462:Q462" si="57">SUM(N463*N464)</f>
        <v>0.45623854214570309</v>
      </c>
      <c r="O462" s="20">
        <f t="shared" si="57"/>
        <v>0.43114956005732741</v>
      </c>
      <c r="P462" s="20">
        <f t="shared" si="57"/>
        <v>0.41325684883955566</v>
      </c>
      <c r="Q462" s="20">
        <f t="shared" si="57"/>
        <v>0.41993709138085328</v>
      </c>
    </row>
    <row r="463" spans="1:19" ht="62.4" x14ac:dyDescent="0.25">
      <c r="A463" s="17" t="s">
        <v>123</v>
      </c>
      <c r="B463" s="17" t="s">
        <v>116</v>
      </c>
      <c r="C463" s="17" t="s">
        <v>124</v>
      </c>
      <c r="D463" s="17" t="s">
        <v>337</v>
      </c>
      <c r="E463" s="129">
        <f>SUM(N463:Q463)</f>
        <v>76530.297535752688</v>
      </c>
      <c r="F463" s="21" t="s">
        <v>297</v>
      </c>
      <c r="G463" s="21" t="s">
        <v>297</v>
      </c>
      <c r="H463" s="21" t="s">
        <v>297</v>
      </c>
      <c r="I463" s="21" t="s">
        <v>297</v>
      </c>
      <c r="J463" s="21" t="s">
        <v>297</v>
      </c>
      <c r="K463" s="21" t="s">
        <v>297</v>
      </c>
      <c r="L463" s="21" t="s">
        <v>297</v>
      </c>
      <c r="M463" s="21" t="s">
        <v>297</v>
      </c>
      <c r="N463" s="129">
        <v>19588.935124999996</v>
      </c>
      <c r="O463" s="129">
        <v>19597.946741935484</v>
      </c>
      <c r="P463" s="129">
        <v>18676.868733333336</v>
      </c>
      <c r="Q463" s="129">
        <v>18666.546935483871</v>
      </c>
    </row>
    <row r="464" spans="1:19" ht="46.8" x14ac:dyDescent="0.25">
      <c r="A464" s="17" t="s">
        <v>125</v>
      </c>
      <c r="B464" s="17" t="s">
        <v>119</v>
      </c>
      <c r="C464" s="17" t="s">
        <v>126</v>
      </c>
      <c r="D464" s="35" t="s">
        <v>339</v>
      </c>
      <c r="E464" s="131">
        <f>AVERAGE(N464:Q464)</f>
        <v>2.2478449260752688E-5</v>
      </c>
      <c r="F464" s="24" t="str">
        <f>'Baseline Emissions 2020'!F451</f>
        <v>—</v>
      </c>
      <c r="G464" s="24" t="str">
        <f>'Baseline Emissions 2020'!G451</f>
        <v>—</v>
      </c>
      <c r="H464" s="24" t="str">
        <f>'Baseline Emissions 2020'!H451</f>
        <v>—</v>
      </c>
      <c r="I464" s="24" t="str">
        <f>'Baseline Emissions 2020'!I451</f>
        <v>—</v>
      </c>
      <c r="J464" s="24" t="str">
        <f>'Baseline Emissions 2020'!J451</f>
        <v>—</v>
      </c>
      <c r="K464" s="24" t="str">
        <f>'Baseline Emissions 2020'!K451</f>
        <v>—</v>
      </c>
      <c r="L464" s="24" t="str">
        <f>'Baseline Emissions 2020'!L451</f>
        <v>—</v>
      </c>
      <c r="M464" s="24" t="str">
        <f>'Baseline Emissions 2020'!M451</f>
        <v>—</v>
      </c>
      <c r="N464" s="131">
        <f>'Baseline Emissions 2020'!N451</f>
        <v>2.3290625000000002E-5</v>
      </c>
      <c r="O464" s="131">
        <f>'Baseline Emissions 2020'!O451</f>
        <v>2.1999731182795697E-5</v>
      </c>
      <c r="P464" s="131">
        <f>'Baseline Emissions 2020'!P451</f>
        <v>2.2126666666666669E-5</v>
      </c>
      <c r="Q464" s="131">
        <f>'Baseline Emissions 2020'!Q451</f>
        <v>2.2496774193548387E-5</v>
      </c>
    </row>
    <row r="465" spans="1:17" ht="31.2" x14ac:dyDescent="0.25">
      <c r="A465" s="17" t="s">
        <v>127</v>
      </c>
      <c r="B465" s="17" t="s">
        <v>128</v>
      </c>
      <c r="C465" s="17" t="s">
        <v>17</v>
      </c>
      <c r="D465" s="17" t="s">
        <v>129</v>
      </c>
      <c r="E465" s="176">
        <v>28</v>
      </c>
      <c r="F465" s="176"/>
      <c r="G465" s="176"/>
      <c r="H465" s="176"/>
      <c r="I465" s="176"/>
      <c r="J465" s="176"/>
      <c r="K465" s="176"/>
      <c r="L465" s="176"/>
      <c r="M465" s="176"/>
      <c r="N465" s="176"/>
      <c r="O465" s="176"/>
      <c r="P465" s="176"/>
      <c r="Q465" s="176"/>
    </row>
    <row r="466" spans="1:17" ht="64.8" x14ac:dyDescent="0.25">
      <c r="A466" s="17" t="s">
        <v>130</v>
      </c>
      <c r="B466" s="17" t="s">
        <v>19</v>
      </c>
      <c r="C466" s="17" t="s">
        <v>131</v>
      </c>
      <c r="D466" s="17" t="s">
        <v>394</v>
      </c>
      <c r="E466" s="176">
        <v>0.21</v>
      </c>
      <c r="F466" s="176"/>
      <c r="G466" s="176"/>
      <c r="H466" s="176"/>
      <c r="I466" s="176"/>
      <c r="J466" s="176"/>
      <c r="K466" s="176"/>
      <c r="L466" s="176"/>
      <c r="M466" s="176"/>
      <c r="N466" s="176"/>
      <c r="O466" s="176"/>
      <c r="P466" s="176"/>
      <c r="Q466" s="176"/>
    </row>
    <row r="467" spans="1:17" ht="46.8" x14ac:dyDescent="0.25">
      <c r="A467" s="17" t="s">
        <v>132</v>
      </c>
      <c r="B467" s="17" t="s">
        <v>103</v>
      </c>
      <c r="C467" s="17" t="s">
        <v>133</v>
      </c>
      <c r="D467" s="17" t="s">
        <v>385</v>
      </c>
      <c r="E467" s="19">
        <f>SUM(F467:Q467)</f>
        <v>0</v>
      </c>
      <c r="F467" s="19" t="s">
        <v>297</v>
      </c>
      <c r="G467" s="19" t="s">
        <v>297</v>
      </c>
      <c r="H467" s="19" t="s">
        <v>297</v>
      </c>
      <c r="I467" s="19" t="s">
        <v>297</v>
      </c>
      <c r="J467" s="19" t="s">
        <v>297</v>
      </c>
      <c r="K467" s="19" t="s">
        <v>297</v>
      </c>
      <c r="L467" s="19" t="s">
        <v>297</v>
      </c>
      <c r="M467" s="19" t="s">
        <v>297</v>
      </c>
      <c r="N467" s="19">
        <f t="shared" ref="N467:Q467" si="58">$E$15*$E$16*N468*N462*N455</f>
        <v>0</v>
      </c>
      <c r="O467" s="19">
        <f t="shared" si="58"/>
        <v>0</v>
      </c>
      <c r="P467" s="19">
        <f t="shared" si="58"/>
        <v>0</v>
      </c>
      <c r="Q467" s="19">
        <f t="shared" si="58"/>
        <v>0</v>
      </c>
    </row>
    <row r="468" spans="1:17" ht="18" x14ac:dyDescent="0.25">
      <c r="A468" s="17" t="s">
        <v>134</v>
      </c>
      <c r="B468" s="17" t="s">
        <v>37</v>
      </c>
      <c r="C468" s="17" t="s">
        <v>135</v>
      </c>
      <c r="D468" s="17" t="s">
        <v>386</v>
      </c>
      <c r="E468" s="26">
        <f>AVERAGE(F468:Q468)</f>
        <v>0</v>
      </c>
      <c r="F468" s="26" t="s">
        <v>297</v>
      </c>
      <c r="G468" s="26" t="s">
        <v>297</v>
      </c>
      <c r="H468" s="26" t="s">
        <v>297</v>
      </c>
      <c r="I468" s="26" t="s">
        <v>297</v>
      </c>
      <c r="J468" s="26" t="s">
        <v>297</v>
      </c>
      <c r="K468" s="26" t="s">
        <v>297</v>
      </c>
      <c r="L468" s="26" t="s">
        <v>297</v>
      </c>
      <c r="M468" s="26" t="s">
        <v>297</v>
      </c>
      <c r="N468" s="26">
        <f>N469*$E$470*0.89</f>
        <v>0</v>
      </c>
      <c r="O468" s="26">
        <f t="shared" ref="O468:Q468" si="59">O469*$E$470*0.89</f>
        <v>0</v>
      </c>
      <c r="P468" s="26">
        <f t="shared" si="59"/>
        <v>0</v>
      </c>
      <c r="Q468" s="26">
        <f t="shared" si="59"/>
        <v>0</v>
      </c>
    </row>
    <row r="469" spans="1:17" ht="31.2" x14ac:dyDescent="0.25">
      <c r="A469" s="17" t="s">
        <v>136</v>
      </c>
      <c r="B469" s="17" t="s">
        <v>37</v>
      </c>
      <c r="C469" s="17" t="s">
        <v>46</v>
      </c>
      <c r="D469" s="17" t="s">
        <v>387</v>
      </c>
      <c r="E469" s="25">
        <v>0</v>
      </c>
      <c r="F469" s="25" t="s">
        <v>297</v>
      </c>
      <c r="G469" s="25" t="s">
        <v>297</v>
      </c>
      <c r="H469" s="25" t="s">
        <v>297</v>
      </c>
      <c r="I469" s="25" t="s">
        <v>297</v>
      </c>
      <c r="J469" s="25" t="s">
        <v>297</v>
      </c>
      <c r="K469" s="25" t="s">
        <v>297</v>
      </c>
      <c r="L469" s="25" t="s">
        <v>297</v>
      </c>
      <c r="M469" s="25" t="s">
        <v>297</v>
      </c>
      <c r="N469" s="25">
        <v>0</v>
      </c>
      <c r="O469" s="25">
        <v>0</v>
      </c>
      <c r="P469" s="25">
        <v>0</v>
      </c>
      <c r="Q469" s="25">
        <v>0</v>
      </c>
    </row>
    <row r="470" spans="1:17" ht="31.2" x14ac:dyDescent="0.25">
      <c r="A470" s="17" t="s">
        <v>137</v>
      </c>
      <c r="B470" s="17" t="s">
        <v>201</v>
      </c>
      <c r="C470" s="17" t="s">
        <v>138</v>
      </c>
      <c r="D470" s="17" t="s">
        <v>388</v>
      </c>
      <c r="E470" s="196">
        <f>(N471*N476+O471*O476+P471*P476+Q471*Q476)/(N464*N463*N455+O463*O464*O455+P464*P463*P455+Q464*Q463*Q455)</f>
        <v>0.51253081956182756</v>
      </c>
      <c r="F470" s="196"/>
      <c r="G470" s="196"/>
      <c r="H470" s="196"/>
      <c r="I470" s="196"/>
      <c r="J470" s="196"/>
      <c r="K470" s="196"/>
      <c r="L470" s="196"/>
      <c r="M470" s="196"/>
      <c r="N470" s="196"/>
      <c r="O470" s="196"/>
      <c r="P470" s="196"/>
      <c r="Q470" s="196"/>
    </row>
    <row r="471" spans="1:17" ht="31.2" x14ac:dyDescent="0.25">
      <c r="A471" s="17" t="s">
        <v>139</v>
      </c>
      <c r="B471" s="17" t="s">
        <v>37</v>
      </c>
      <c r="C471" s="17" t="s">
        <v>140</v>
      </c>
      <c r="D471" s="17" t="s">
        <v>375</v>
      </c>
      <c r="E471" s="27">
        <f>AVERAGE(N471:Q471)</f>
        <v>0.55228107112857039</v>
      </c>
      <c r="F471" s="27" t="s">
        <v>297</v>
      </c>
      <c r="G471" s="27" t="s">
        <v>297</v>
      </c>
      <c r="H471" s="27" t="s">
        <v>297</v>
      </c>
      <c r="I471" s="27" t="s">
        <v>297</v>
      </c>
      <c r="J471" s="27" t="s">
        <v>297</v>
      </c>
      <c r="K471" s="27" t="s">
        <v>297</v>
      </c>
      <c r="L471" s="27" t="s">
        <v>297</v>
      </c>
      <c r="M471" s="27" t="s">
        <v>297</v>
      </c>
      <c r="N471" s="27">
        <f>IF(N475&lt;283,0,IF(N475&gt;303,1,EXP(($E$472*(N475-$E$473))/($E$474*$E$473*N475))))</f>
        <v>0.88152221926734242</v>
      </c>
      <c r="O471" s="27">
        <f t="shared" ref="O471:Q471" si="60">IF(O475&lt;283,0,IF(O475&gt;303,1,EXP(($E$472*(O475-$E$473))/($E$474*$E$473*O475))))</f>
        <v>0.57531644493802248</v>
      </c>
      <c r="P471" s="27">
        <f t="shared" si="60"/>
        <v>0.48307557293036196</v>
      </c>
      <c r="Q471" s="27">
        <f t="shared" si="60"/>
        <v>0.26921004737855481</v>
      </c>
    </row>
    <row r="472" spans="1:17" x14ac:dyDescent="0.25">
      <c r="A472" s="17" t="s">
        <v>51</v>
      </c>
      <c r="B472" s="17" t="s">
        <v>52</v>
      </c>
      <c r="C472" s="17" t="s">
        <v>53</v>
      </c>
      <c r="D472" s="17" t="s">
        <v>389</v>
      </c>
      <c r="E472" s="176">
        <v>15175</v>
      </c>
      <c r="F472" s="176"/>
      <c r="G472" s="176"/>
      <c r="H472" s="176"/>
      <c r="I472" s="176"/>
      <c r="J472" s="176"/>
      <c r="K472" s="176"/>
      <c r="L472" s="176"/>
      <c r="M472" s="176"/>
      <c r="N472" s="176"/>
      <c r="O472" s="176"/>
      <c r="P472" s="176"/>
      <c r="Q472" s="176"/>
    </row>
    <row r="473" spans="1:17" ht="18" x14ac:dyDescent="0.25">
      <c r="A473" s="17" t="s">
        <v>141</v>
      </c>
      <c r="B473" s="17" t="s">
        <v>55</v>
      </c>
      <c r="C473" s="17" t="s">
        <v>56</v>
      </c>
      <c r="D473" s="17" t="s">
        <v>389</v>
      </c>
      <c r="E473" s="176">
        <v>303.16000000000003</v>
      </c>
      <c r="F473" s="176"/>
      <c r="G473" s="176"/>
      <c r="H473" s="176"/>
      <c r="I473" s="176"/>
      <c r="J473" s="176"/>
      <c r="K473" s="176"/>
      <c r="L473" s="176"/>
      <c r="M473" s="176"/>
      <c r="N473" s="176"/>
      <c r="O473" s="176"/>
      <c r="P473" s="176"/>
      <c r="Q473" s="176"/>
    </row>
    <row r="474" spans="1:17" x14ac:dyDescent="0.25">
      <c r="A474" s="17" t="s">
        <v>57</v>
      </c>
      <c r="B474" s="17" t="s">
        <v>58</v>
      </c>
      <c r="C474" s="17" t="s">
        <v>59</v>
      </c>
      <c r="D474" s="17" t="s">
        <v>389</v>
      </c>
      <c r="E474" s="176">
        <v>1.9870000000000001</v>
      </c>
      <c r="F474" s="176"/>
      <c r="G474" s="176"/>
      <c r="H474" s="176"/>
      <c r="I474" s="176"/>
      <c r="J474" s="176"/>
      <c r="K474" s="176"/>
      <c r="L474" s="176"/>
      <c r="M474" s="176"/>
      <c r="N474" s="176"/>
      <c r="O474" s="176"/>
      <c r="P474" s="176"/>
      <c r="Q474" s="176"/>
    </row>
    <row r="475" spans="1:17" ht="18" x14ac:dyDescent="0.25">
      <c r="A475" s="17" t="s">
        <v>142</v>
      </c>
      <c r="B475" s="17" t="s">
        <v>55</v>
      </c>
      <c r="C475" s="17" t="s">
        <v>143</v>
      </c>
      <c r="D475" s="144" t="s">
        <v>363</v>
      </c>
      <c r="E475" s="28">
        <f>AVERAGE(N475:Q475)</f>
        <v>295.27499999999998</v>
      </c>
      <c r="F475" s="25" t="s">
        <v>297</v>
      </c>
      <c r="G475" s="25" t="s">
        <v>297</v>
      </c>
      <c r="H475" s="25" t="s">
        <v>297</v>
      </c>
      <c r="I475" s="25" t="s">
        <v>297</v>
      </c>
      <c r="J475" s="25" t="s">
        <v>297</v>
      </c>
      <c r="K475" s="25" t="s">
        <v>297</v>
      </c>
      <c r="L475" s="25" t="s">
        <v>297</v>
      </c>
      <c r="M475" s="25" t="s">
        <v>297</v>
      </c>
      <c r="N475" s="25">
        <v>301.64999999999998</v>
      </c>
      <c r="O475" s="25">
        <v>296.64999999999998</v>
      </c>
      <c r="P475" s="25">
        <v>294.64999999999998</v>
      </c>
      <c r="Q475" s="25">
        <v>288.14999999999998</v>
      </c>
    </row>
    <row r="476" spans="1:17" ht="46.8" x14ac:dyDescent="0.25">
      <c r="A476" s="17" t="s">
        <v>144</v>
      </c>
      <c r="B476" s="17" t="s">
        <v>24</v>
      </c>
      <c r="C476" s="17" t="s">
        <v>145</v>
      </c>
      <c r="D476" s="17" t="s">
        <v>390</v>
      </c>
      <c r="E476" s="29">
        <f>SUM(N476:Q476)</f>
        <v>46.081208334101518</v>
      </c>
      <c r="F476" s="29" t="s">
        <v>297</v>
      </c>
      <c r="G476" s="29" t="s">
        <v>297</v>
      </c>
      <c r="H476" s="29" t="s">
        <v>297</v>
      </c>
      <c r="I476" s="29" t="s">
        <v>297</v>
      </c>
      <c r="J476" s="29" t="s">
        <v>297</v>
      </c>
      <c r="K476" s="29" t="s">
        <v>297</v>
      </c>
      <c r="L476" s="29" t="s">
        <v>297</v>
      </c>
      <c r="M476" s="29" t="s">
        <v>297</v>
      </c>
      <c r="N476" s="29">
        <f>N463*N464*'Project Emissions 2020'!N455+(1-N471)*0</f>
        <v>7.2998166743312494</v>
      </c>
      <c r="O476" s="29">
        <f>O463*O464*'Project Emissions 2020'!O455+(1-O471)*0</f>
        <v>13.365636361777149</v>
      </c>
      <c r="P476" s="29">
        <f>P463*P464*'Project Emissions 2020'!P455+(1-P471)*0</f>
        <v>12.39770546518667</v>
      </c>
      <c r="Q476" s="29">
        <f>Q463*Q464*'Project Emissions 2020'!Q455+(1-Q471)*0</f>
        <v>13.018049832806451</v>
      </c>
    </row>
    <row r="477" spans="1:17" x14ac:dyDescent="0.3">
      <c r="A477" s="30"/>
      <c r="E477" s="31"/>
      <c r="F477" s="31"/>
      <c r="G477" s="31"/>
      <c r="H477" s="31"/>
      <c r="I477" s="31"/>
      <c r="J477" s="31"/>
      <c r="K477" s="31"/>
      <c r="L477" s="31"/>
      <c r="M477" s="31"/>
      <c r="N477" s="31"/>
      <c r="O477" s="31"/>
      <c r="P477" s="31"/>
      <c r="Q477" s="31"/>
    </row>
    <row r="478" spans="1:17" x14ac:dyDescent="0.25">
      <c r="A478" s="174" t="s">
        <v>146</v>
      </c>
      <c r="B478" s="174"/>
      <c r="C478" s="175"/>
      <c r="D478" s="175"/>
      <c r="E478" s="195"/>
      <c r="F478" s="32"/>
      <c r="G478" s="32"/>
      <c r="H478" s="32"/>
      <c r="I478" s="32"/>
      <c r="J478" s="32"/>
      <c r="K478" s="32"/>
      <c r="L478" s="32"/>
      <c r="M478" s="32"/>
      <c r="N478" s="32"/>
      <c r="O478" s="32"/>
      <c r="P478" s="32"/>
      <c r="Q478" s="32"/>
    </row>
    <row r="479" spans="1:17" x14ac:dyDescent="0.25">
      <c r="A479" s="33" t="s">
        <v>8</v>
      </c>
      <c r="B479" s="33" t="s">
        <v>9</v>
      </c>
      <c r="C479" s="34" t="s">
        <v>10</v>
      </c>
      <c r="D479" s="34" t="s">
        <v>340</v>
      </c>
      <c r="E479" s="16" t="s">
        <v>65</v>
      </c>
      <c r="F479" s="32"/>
      <c r="G479" s="32"/>
      <c r="H479" s="32"/>
      <c r="I479" s="32"/>
      <c r="J479" s="32"/>
      <c r="K479" s="32"/>
      <c r="L479" s="32"/>
      <c r="M479" s="32"/>
      <c r="N479" s="32"/>
      <c r="O479" s="32"/>
      <c r="P479" s="32"/>
      <c r="Q479" s="32"/>
    </row>
    <row r="480" spans="1:17" ht="46.8" x14ac:dyDescent="0.25">
      <c r="A480" s="15" t="s">
        <v>147</v>
      </c>
      <c r="B480" s="17" t="s">
        <v>95</v>
      </c>
      <c r="C480" s="35" t="s">
        <v>148</v>
      </c>
      <c r="D480" s="35" t="s">
        <v>68</v>
      </c>
      <c r="E480" s="16">
        <v>0</v>
      </c>
      <c r="F480" s="32"/>
      <c r="G480" s="32"/>
      <c r="H480" s="32"/>
      <c r="I480" s="32"/>
      <c r="J480" s="32"/>
      <c r="K480" s="32"/>
      <c r="L480" s="32"/>
      <c r="M480" s="32"/>
      <c r="N480" s="32"/>
      <c r="O480" s="32"/>
      <c r="P480" s="32"/>
      <c r="Q480" s="32"/>
    </row>
    <row r="481" spans="1:19" x14ac:dyDescent="0.25">
      <c r="A481" s="36"/>
      <c r="B481" s="36"/>
      <c r="C481" s="37"/>
      <c r="D481" s="37"/>
      <c r="E481" s="32"/>
      <c r="F481" s="32"/>
      <c r="G481" s="32"/>
      <c r="H481" s="32"/>
      <c r="I481" s="32"/>
      <c r="J481" s="32"/>
      <c r="K481" s="32"/>
      <c r="L481" s="32"/>
      <c r="M481" s="32"/>
      <c r="N481" s="32"/>
      <c r="O481" s="32"/>
      <c r="P481" s="32"/>
      <c r="Q481" s="32"/>
    </row>
    <row r="482" spans="1:19" x14ac:dyDescent="0.25">
      <c r="A482" s="174" t="s">
        <v>149</v>
      </c>
      <c r="B482" s="174"/>
      <c r="C482" s="175"/>
      <c r="D482" s="175"/>
      <c r="E482" s="195"/>
      <c r="F482" s="32"/>
      <c r="G482" s="32"/>
      <c r="H482" s="32"/>
      <c r="I482" s="32"/>
      <c r="J482" s="32"/>
      <c r="K482" s="32"/>
      <c r="L482" s="32"/>
      <c r="M482" s="32"/>
      <c r="N482" s="32"/>
      <c r="O482" s="32"/>
      <c r="P482" s="32"/>
      <c r="Q482" s="32"/>
    </row>
    <row r="483" spans="1:19" x14ac:dyDescent="0.25">
      <c r="A483" s="33" t="s">
        <v>8</v>
      </c>
      <c r="B483" s="33" t="s">
        <v>9</v>
      </c>
      <c r="C483" s="34" t="s">
        <v>10</v>
      </c>
      <c r="D483" s="34" t="s">
        <v>340</v>
      </c>
      <c r="E483" s="16" t="s">
        <v>65</v>
      </c>
      <c r="F483" s="32"/>
      <c r="G483" s="32"/>
      <c r="H483" s="32"/>
      <c r="I483" s="32"/>
      <c r="J483" s="32"/>
      <c r="K483" s="32"/>
      <c r="L483" s="32"/>
      <c r="M483" s="32"/>
      <c r="N483" s="32"/>
      <c r="O483" s="32"/>
      <c r="P483" s="32"/>
      <c r="Q483" s="32"/>
    </row>
    <row r="484" spans="1:19" ht="46.8" x14ac:dyDescent="0.25">
      <c r="A484" s="15" t="s">
        <v>150</v>
      </c>
      <c r="B484" s="17" t="s">
        <v>95</v>
      </c>
      <c r="C484" s="35" t="s">
        <v>151</v>
      </c>
      <c r="D484" s="35" t="s">
        <v>68</v>
      </c>
      <c r="E484" s="16">
        <v>0</v>
      </c>
      <c r="F484" s="32"/>
      <c r="G484" s="32"/>
      <c r="H484" s="32"/>
      <c r="I484" s="32"/>
      <c r="J484" s="32"/>
      <c r="K484" s="32"/>
      <c r="L484" s="32"/>
      <c r="M484" s="32"/>
      <c r="N484" s="32"/>
      <c r="O484" s="32"/>
      <c r="P484" s="32"/>
      <c r="Q484" s="32"/>
    </row>
    <row r="485" spans="1:19" x14ac:dyDescent="0.25">
      <c r="F485" s="32"/>
      <c r="G485" s="32"/>
      <c r="H485" s="32"/>
      <c r="I485" s="32"/>
      <c r="J485" s="32"/>
      <c r="K485" s="32"/>
      <c r="L485" s="32"/>
      <c r="M485" s="32"/>
      <c r="N485" s="32"/>
      <c r="O485" s="32"/>
      <c r="P485" s="32"/>
      <c r="Q485" s="32"/>
    </row>
    <row r="486" spans="1:19" x14ac:dyDescent="0.25">
      <c r="A486" s="174" t="s">
        <v>152</v>
      </c>
      <c r="B486" s="174"/>
      <c r="C486" s="175"/>
      <c r="D486" s="175"/>
      <c r="E486" s="195"/>
      <c r="F486" s="32"/>
      <c r="G486" s="32"/>
      <c r="H486" s="32"/>
      <c r="I486" s="32"/>
      <c r="J486" s="32"/>
      <c r="K486" s="32"/>
      <c r="L486" s="32"/>
      <c r="M486" s="32"/>
      <c r="N486" s="32"/>
      <c r="O486" s="32"/>
      <c r="P486" s="32"/>
      <c r="Q486" s="32"/>
    </row>
    <row r="487" spans="1:19" s="10" customFormat="1" x14ac:dyDescent="0.25">
      <c r="A487" s="15" t="s">
        <v>8</v>
      </c>
      <c r="B487" s="15" t="s">
        <v>9</v>
      </c>
      <c r="C487" s="38" t="s">
        <v>10</v>
      </c>
      <c r="D487" s="38" t="s">
        <v>340</v>
      </c>
      <c r="E487" s="16" t="s">
        <v>65</v>
      </c>
      <c r="F487" s="32"/>
      <c r="G487" s="32"/>
      <c r="H487" s="39"/>
      <c r="I487" s="39"/>
      <c r="J487" s="39"/>
      <c r="K487" s="39"/>
      <c r="L487" s="39"/>
      <c r="M487" s="39"/>
      <c r="N487" s="39"/>
      <c r="O487" s="39"/>
      <c r="P487" s="39"/>
      <c r="Q487" s="39"/>
    </row>
    <row r="488" spans="1:19" s="10" customFormat="1" ht="18" x14ac:dyDescent="0.4">
      <c r="A488" s="40" t="s">
        <v>153</v>
      </c>
      <c r="B488" s="17" t="s">
        <v>103</v>
      </c>
      <c r="C488" s="35" t="s">
        <v>154</v>
      </c>
      <c r="D488" s="35" t="s">
        <v>155</v>
      </c>
      <c r="E488" s="41">
        <f>E489*E491*(1+E490)</f>
        <v>625.23148323660007</v>
      </c>
      <c r="F488" s="32"/>
      <c r="G488" s="32"/>
      <c r="H488" s="39"/>
      <c r="I488" s="39"/>
      <c r="J488" s="39"/>
      <c r="K488" s="39"/>
      <c r="L488" s="39"/>
      <c r="M488" s="39"/>
      <c r="N488" s="39"/>
      <c r="O488" s="39"/>
      <c r="P488" s="39"/>
      <c r="Q488" s="39"/>
    </row>
    <row r="489" spans="1:19" ht="31.2" x14ac:dyDescent="0.25">
      <c r="A489" s="17" t="s">
        <v>156</v>
      </c>
      <c r="B489" s="17" t="s">
        <v>157</v>
      </c>
      <c r="C489" s="35" t="s">
        <v>158</v>
      </c>
      <c r="D489" s="35" t="s">
        <v>343</v>
      </c>
      <c r="E489" s="20">
        <f>1023928.93/1000</f>
        <v>1023.92893</v>
      </c>
      <c r="G489" s="42"/>
      <c r="H489" s="43"/>
      <c r="I489" s="43"/>
      <c r="J489" s="43"/>
      <c r="K489" s="43"/>
      <c r="L489" s="43"/>
      <c r="M489" s="43"/>
      <c r="N489" s="43"/>
      <c r="O489" s="43"/>
      <c r="P489" s="43"/>
      <c r="Q489" s="43"/>
      <c r="R489" s="9"/>
      <c r="S489" s="9"/>
    </row>
    <row r="490" spans="1:19" ht="31.2" x14ac:dyDescent="0.25">
      <c r="A490" s="17" t="s">
        <v>159</v>
      </c>
      <c r="B490" s="17" t="s">
        <v>160</v>
      </c>
      <c r="C490" s="35" t="s">
        <v>161</v>
      </c>
      <c r="D490" s="35" t="s">
        <v>162</v>
      </c>
      <c r="E490" s="44">
        <v>0.2</v>
      </c>
      <c r="H490" s="43"/>
      <c r="I490" s="43"/>
      <c r="J490" s="43"/>
      <c r="K490" s="43"/>
      <c r="L490" s="43"/>
      <c r="M490" s="43"/>
      <c r="N490" s="43"/>
      <c r="O490" s="43"/>
      <c r="P490" s="43"/>
      <c r="Q490" s="43"/>
      <c r="R490" s="9"/>
      <c r="S490" s="9"/>
    </row>
    <row r="491" spans="1:19" ht="46.8" x14ac:dyDescent="0.25">
      <c r="A491" s="17" t="s">
        <v>163</v>
      </c>
      <c r="B491" s="17" t="s">
        <v>164</v>
      </c>
      <c r="C491" s="35" t="s">
        <v>165</v>
      </c>
      <c r="D491" s="35" t="s">
        <v>166</v>
      </c>
      <c r="E491" s="45">
        <f>0.5*0.8042+0.5*0.2135</f>
        <v>0.50885000000000002</v>
      </c>
      <c r="F491" s="46"/>
      <c r="G491" s="46"/>
      <c r="H491" s="46"/>
      <c r="I491" s="46"/>
      <c r="J491" s="46"/>
      <c r="K491" s="46"/>
      <c r="L491" s="46"/>
      <c r="M491" s="46"/>
      <c r="N491" s="46"/>
      <c r="O491" s="46"/>
      <c r="P491" s="46"/>
      <c r="Q491" s="46"/>
    </row>
    <row r="492" spans="1:19" ht="31.2" x14ac:dyDescent="0.4">
      <c r="A492" s="40" t="s">
        <v>167</v>
      </c>
      <c r="B492" s="17" t="s">
        <v>103</v>
      </c>
      <c r="C492" s="35" t="s">
        <v>168</v>
      </c>
      <c r="D492" s="35" t="s">
        <v>169</v>
      </c>
      <c r="E492" s="47">
        <v>0</v>
      </c>
      <c r="H492" s="43"/>
      <c r="I492" s="43"/>
      <c r="J492" s="43"/>
      <c r="K492" s="43"/>
      <c r="L492" s="43"/>
      <c r="M492" s="43"/>
      <c r="N492" s="43"/>
      <c r="O492" s="43"/>
      <c r="P492" s="43"/>
      <c r="Q492" s="43"/>
      <c r="R492" s="9"/>
      <c r="S492" s="9"/>
    </row>
    <row r="493" spans="1:19" x14ac:dyDescent="0.3">
      <c r="A493" s="48"/>
      <c r="E493" s="49"/>
      <c r="H493" s="43"/>
      <c r="I493" s="43"/>
      <c r="J493" s="43"/>
      <c r="K493" s="43"/>
      <c r="L493" s="43"/>
      <c r="M493" s="43"/>
      <c r="N493" s="43"/>
      <c r="O493" s="43"/>
      <c r="P493" s="43"/>
      <c r="Q493" s="43"/>
      <c r="R493" s="9"/>
      <c r="S493" s="9"/>
    </row>
    <row r="494" spans="1:19" x14ac:dyDescent="0.25">
      <c r="A494" s="174" t="s">
        <v>170</v>
      </c>
      <c r="B494" s="174"/>
      <c r="C494" s="175"/>
      <c r="D494" s="175"/>
      <c r="E494" s="195"/>
      <c r="F494" s="32"/>
      <c r="G494" s="32"/>
      <c r="H494" s="32"/>
      <c r="I494" s="32"/>
      <c r="J494" s="32"/>
      <c r="K494" s="32"/>
      <c r="L494" s="32"/>
      <c r="M494" s="32"/>
      <c r="N494" s="32"/>
      <c r="O494" s="32"/>
      <c r="P494" s="32"/>
      <c r="Q494" s="32"/>
    </row>
    <row r="495" spans="1:19" x14ac:dyDescent="0.25">
      <c r="A495" s="15" t="s">
        <v>8</v>
      </c>
      <c r="B495" s="15" t="s">
        <v>9</v>
      </c>
      <c r="C495" s="38" t="s">
        <v>10</v>
      </c>
      <c r="D495" s="38" t="s">
        <v>340</v>
      </c>
      <c r="E495" s="16" t="s">
        <v>65</v>
      </c>
      <c r="H495" s="43"/>
      <c r="I495" s="43"/>
      <c r="J495" s="43"/>
      <c r="K495" s="43"/>
      <c r="L495" s="43"/>
      <c r="M495" s="43"/>
      <c r="N495" s="43"/>
      <c r="O495" s="43"/>
      <c r="P495" s="43"/>
      <c r="Q495" s="43"/>
      <c r="R495" s="9"/>
      <c r="S495" s="9"/>
    </row>
    <row r="496" spans="1:19" ht="33.6" x14ac:dyDescent="0.4">
      <c r="A496" s="40" t="s">
        <v>171</v>
      </c>
      <c r="B496" s="17" t="s">
        <v>74</v>
      </c>
      <c r="C496" s="35" t="s">
        <v>172</v>
      </c>
      <c r="D496" s="35" t="s">
        <v>391</v>
      </c>
      <c r="E496" s="50">
        <f>E497*E500*E501*E502*E503*E504</f>
        <v>2.5503608792778474</v>
      </c>
      <c r="H496" s="43"/>
      <c r="I496" s="43"/>
      <c r="J496" s="43"/>
      <c r="K496" s="43"/>
      <c r="L496" s="43"/>
      <c r="M496" s="43"/>
      <c r="N496" s="43"/>
      <c r="O496" s="43"/>
      <c r="P496" s="43"/>
      <c r="Q496" s="43"/>
      <c r="R496" s="9"/>
      <c r="S496" s="9"/>
    </row>
    <row r="497" spans="1:19" ht="46.8" x14ac:dyDescent="0.4">
      <c r="A497" s="51" t="s">
        <v>173</v>
      </c>
      <c r="B497" s="17" t="s">
        <v>76</v>
      </c>
      <c r="C497" s="35" t="s">
        <v>174</v>
      </c>
      <c r="D497" s="35" t="s">
        <v>392</v>
      </c>
      <c r="E497" s="69">
        <f>ROUNDUP(E498/E499,0)</f>
        <v>207</v>
      </c>
      <c r="H497" s="43"/>
      <c r="I497" s="43"/>
      <c r="J497" s="43"/>
      <c r="K497" s="43"/>
      <c r="L497" s="43"/>
      <c r="M497" s="43"/>
      <c r="N497" s="43"/>
      <c r="O497" s="43"/>
      <c r="P497" s="43"/>
      <c r="Q497" s="43"/>
      <c r="R497" s="9"/>
      <c r="S497" s="9"/>
    </row>
    <row r="498" spans="1:19" ht="62.4" x14ac:dyDescent="0.25">
      <c r="A498" s="17" t="s">
        <v>175</v>
      </c>
      <c r="B498" s="17" t="s">
        <v>78</v>
      </c>
      <c r="C498" s="35" t="s">
        <v>176</v>
      </c>
      <c r="D498" s="35" t="s">
        <v>346</v>
      </c>
      <c r="E498" s="52">
        <v>1031.7389999999998</v>
      </c>
      <c r="H498" s="43"/>
      <c r="I498" s="43"/>
      <c r="J498" s="43"/>
      <c r="K498" s="43"/>
      <c r="L498" s="43"/>
      <c r="M498" s="43"/>
      <c r="N498" s="43"/>
      <c r="O498" s="43"/>
      <c r="P498" s="43"/>
      <c r="Q498" s="43"/>
      <c r="R498" s="9"/>
      <c r="S498" s="9"/>
    </row>
    <row r="499" spans="1:19" ht="62.4" x14ac:dyDescent="0.25">
      <c r="A499" s="17" t="s">
        <v>177</v>
      </c>
      <c r="B499" s="17" t="s">
        <v>80</v>
      </c>
      <c r="C499" s="35" t="s">
        <v>81</v>
      </c>
      <c r="D499" s="35" t="s">
        <v>345</v>
      </c>
      <c r="E499" s="25">
        <f>5</f>
        <v>5</v>
      </c>
      <c r="H499" s="43"/>
      <c r="I499" s="43"/>
      <c r="J499" s="43"/>
      <c r="K499" s="43"/>
      <c r="L499" s="43"/>
      <c r="M499" s="43"/>
      <c r="N499" s="43"/>
      <c r="O499" s="43"/>
      <c r="P499" s="43"/>
      <c r="Q499" s="43"/>
      <c r="R499" s="9"/>
      <c r="S499" s="9"/>
    </row>
    <row r="500" spans="1:19" ht="202.8" x14ac:dyDescent="0.25">
      <c r="A500" s="17" t="s">
        <v>178</v>
      </c>
      <c r="B500" s="17" t="s">
        <v>82</v>
      </c>
      <c r="C500" s="35" t="s">
        <v>179</v>
      </c>
      <c r="D500" s="35" t="s">
        <v>367</v>
      </c>
      <c r="E500" s="25">
        <v>18.2</v>
      </c>
      <c r="H500" s="43"/>
      <c r="I500" s="43"/>
      <c r="J500" s="43"/>
      <c r="K500" s="43"/>
      <c r="L500" s="43"/>
      <c r="M500" s="43"/>
      <c r="N500" s="43"/>
      <c r="O500" s="43"/>
      <c r="P500" s="43"/>
      <c r="Q500" s="43"/>
      <c r="R500" s="9"/>
      <c r="S500" s="9"/>
    </row>
    <row r="501" spans="1:19" ht="156" x14ac:dyDescent="0.25">
      <c r="A501" s="17" t="s">
        <v>180</v>
      </c>
      <c r="B501" s="17" t="s">
        <v>84</v>
      </c>
      <c r="C501" s="35" t="s">
        <v>85</v>
      </c>
      <c r="D501" s="35" t="s">
        <v>365</v>
      </c>
      <c r="E501" s="25">
        <f>25.1/100</f>
        <v>0.251</v>
      </c>
      <c r="H501" s="43"/>
      <c r="I501" s="43"/>
      <c r="J501" s="43"/>
      <c r="K501" s="43"/>
      <c r="L501" s="43"/>
      <c r="M501" s="43"/>
      <c r="N501" s="43"/>
      <c r="O501" s="43"/>
      <c r="P501" s="43"/>
      <c r="Q501" s="43"/>
      <c r="R501" s="9"/>
      <c r="S501" s="9"/>
    </row>
    <row r="502" spans="1:19" ht="62.4" x14ac:dyDescent="0.25">
      <c r="A502" s="17" t="s">
        <v>86</v>
      </c>
      <c r="B502" s="17" t="s">
        <v>87</v>
      </c>
      <c r="C502" s="35" t="s">
        <v>86</v>
      </c>
      <c r="D502" s="35" t="s">
        <v>215</v>
      </c>
      <c r="E502" s="25">
        <f>0.84/1000</f>
        <v>8.3999999999999993E-4</v>
      </c>
      <c r="H502" s="43"/>
      <c r="I502" s="43"/>
      <c r="J502" s="43"/>
      <c r="K502" s="43"/>
      <c r="L502" s="43"/>
      <c r="M502" s="43"/>
      <c r="N502" s="43"/>
      <c r="O502" s="43"/>
      <c r="P502" s="43"/>
      <c r="Q502" s="43"/>
      <c r="R502" s="9"/>
      <c r="S502" s="9"/>
    </row>
    <row r="503" spans="1:19" ht="124.8" x14ac:dyDescent="0.25">
      <c r="A503" s="17" t="s">
        <v>181</v>
      </c>
      <c r="B503" s="17" t="s">
        <v>88</v>
      </c>
      <c r="C503" s="35" t="s">
        <v>89</v>
      </c>
      <c r="D503" s="35" t="s">
        <v>360</v>
      </c>
      <c r="E503" s="25">
        <f>43.33/1000</f>
        <v>4.333E-2</v>
      </c>
      <c r="H503" s="43"/>
      <c r="I503" s="43"/>
      <c r="J503" s="43"/>
      <c r="K503" s="43"/>
      <c r="L503" s="43"/>
      <c r="M503" s="43"/>
      <c r="N503" s="43"/>
      <c r="O503" s="43"/>
      <c r="P503" s="43"/>
      <c r="Q503" s="43"/>
      <c r="R503" s="9"/>
      <c r="S503" s="9"/>
    </row>
    <row r="504" spans="1:19" ht="33.6" x14ac:dyDescent="0.25">
      <c r="A504" s="17" t="s">
        <v>182</v>
      </c>
      <c r="B504" s="17" t="s">
        <v>90</v>
      </c>
      <c r="C504" s="35" t="s">
        <v>91</v>
      </c>
      <c r="D504" s="35" t="s">
        <v>92</v>
      </c>
      <c r="E504" s="25">
        <v>74.099999999999994</v>
      </c>
      <c r="H504" s="43"/>
      <c r="I504" s="43"/>
      <c r="J504" s="43"/>
      <c r="K504" s="43"/>
      <c r="L504" s="43"/>
      <c r="M504" s="43"/>
      <c r="N504" s="43"/>
      <c r="O504" s="43"/>
      <c r="P504" s="43"/>
      <c r="Q504" s="43"/>
      <c r="R504" s="9"/>
      <c r="S504" s="9"/>
    </row>
    <row r="506" spans="1:19" x14ac:dyDescent="0.25">
      <c r="A506" s="33" t="s">
        <v>8</v>
      </c>
      <c r="B506" s="33" t="s">
        <v>9</v>
      </c>
      <c r="C506" s="34" t="s">
        <v>10</v>
      </c>
      <c r="D506" s="34" t="s">
        <v>340</v>
      </c>
      <c r="E506" s="16" t="s">
        <v>65</v>
      </c>
    </row>
    <row r="507" spans="1:19" ht="18" x14ac:dyDescent="0.25">
      <c r="A507" s="15" t="s">
        <v>183</v>
      </c>
      <c r="B507" s="17" t="s">
        <v>103</v>
      </c>
      <c r="C507" s="35" t="s">
        <v>184</v>
      </c>
      <c r="D507" s="53" t="s">
        <v>393</v>
      </c>
      <c r="E507" s="18">
        <f>ROUNDUP(E456+E480+E484+E488+E496,0)</f>
        <v>628</v>
      </c>
    </row>
    <row r="508" spans="1:19" s="209" customFormat="1" ht="38.4" customHeight="1" x14ac:dyDescent="0.25">
      <c r="A508" s="208" t="s">
        <v>227</v>
      </c>
    </row>
    <row r="509" spans="1:19" s="200" customFormat="1" ht="43.2" customHeight="1" x14ac:dyDescent="0.25">
      <c r="A509" s="200" t="s">
        <v>228</v>
      </c>
    </row>
    <row r="510" spans="1:19" ht="23.4" customHeight="1" x14ac:dyDescent="0.25">
      <c r="A510" s="201" t="s">
        <v>105</v>
      </c>
      <c r="B510" s="201"/>
      <c r="C510" s="201"/>
      <c r="D510" s="201"/>
      <c r="E510" s="201"/>
      <c r="F510" s="201"/>
      <c r="G510" s="201"/>
      <c r="H510" s="201"/>
      <c r="I510" s="201"/>
      <c r="J510" s="201"/>
      <c r="K510" s="201"/>
      <c r="L510" s="201"/>
      <c r="M510" s="201"/>
      <c r="N510" s="201"/>
      <c r="O510" s="201"/>
      <c r="P510" s="201"/>
      <c r="Q510" s="202"/>
    </row>
    <row r="511" spans="1:19" s="10" customFormat="1" ht="31.2" x14ac:dyDescent="0.25">
      <c r="A511" s="15" t="s">
        <v>8</v>
      </c>
      <c r="B511" s="15" t="s">
        <v>9</v>
      </c>
      <c r="C511" s="15" t="s">
        <v>10</v>
      </c>
      <c r="D511" s="15" t="s">
        <v>340</v>
      </c>
      <c r="E511" s="16" t="s">
        <v>11</v>
      </c>
      <c r="F511" s="16" t="s">
        <v>292</v>
      </c>
      <c r="G511" s="16" t="s">
        <v>292</v>
      </c>
      <c r="H511" s="16" t="s">
        <v>292</v>
      </c>
      <c r="I511" s="16" t="s">
        <v>292</v>
      </c>
      <c r="J511" s="16" t="s">
        <v>292</v>
      </c>
      <c r="K511" s="16" t="s">
        <v>292</v>
      </c>
      <c r="L511" s="16" t="s">
        <v>292</v>
      </c>
      <c r="M511" s="16" t="s">
        <v>292</v>
      </c>
      <c r="N511" s="16" t="s">
        <v>306</v>
      </c>
      <c r="O511" s="16" t="s">
        <v>293</v>
      </c>
      <c r="P511" s="16" t="s">
        <v>294</v>
      </c>
      <c r="Q511" s="16" t="s">
        <v>295</v>
      </c>
      <c r="R511" s="54"/>
      <c r="S511" s="54"/>
    </row>
    <row r="512" spans="1:19" s="10" customFormat="1" x14ac:dyDescent="0.25">
      <c r="A512" s="203" t="s">
        <v>106</v>
      </c>
      <c r="B512" s="203"/>
      <c r="C512" s="203"/>
      <c r="D512" s="203"/>
      <c r="E512" s="204"/>
      <c r="F512" s="16" t="s">
        <v>297</v>
      </c>
      <c r="G512" s="16" t="s">
        <v>297</v>
      </c>
      <c r="H512" s="16" t="s">
        <v>297</v>
      </c>
      <c r="I512" s="16" t="s">
        <v>297</v>
      </c>
      <c r="J512" s="16" t="s">
        <v>297</v>
      </c>
      <c r="K512" s="16" t="s">
        <v>297</v>
      </c>
      <c r="L512" s="16" t="s">
        <v>297</v>
      </c>
      <c r="M512" s="16" t="s">
        <v>297</v>
      </c>
      <c r="N512" s="16">
        <v>22</v>
      </c>
      <c r="O512" s="16">
        <v>31</v>
      </c>
      <c r="P512" s="16">
        <v>30</v>
      </c>
      <c r="Q512" s="16">
        <v>31</v>
      </c>
      <c r="R512" s="54"/>
      <c r="S512" s="54"/>
    </row>
    <row r="513" spans="1:19" s="10" customFormat="1" ht="31.2" x14ac:dyDescent="0.25">
      <c r="A513" s="15" t="s">
        <v>107</v>
      </c>
      <c r="B513" s="17" t="s">
        <v>103</v>
      </c>
      <c r="C513" s="17" t="s">
        <v>108</v>
      </c>
      <c r="D513" s="17" t="s">
        <v>381</v>
      </c>
      <c r="E513" s="18">
        <f>E514+E524</f>
        <v>0</v>
      </c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54"/>
      <c r="S513" s="54"/>
    </row>
    <row r="514" spans="1:19" ht="46.8" x14ac:dyDescent="0.25">
      <c r="A514" s="17" t="s">
        <v>109</v>
      </c>
      <c r="B514" s="17" t="s">
        <v>103</v>
      </c>
      <c r="C514" s="17" t="s">
        <v>110</v>
      </c>
      <c r="D514" s="17" t="s">
        <v>382</v>
      </c>
      <c r="E514" s="19">
        <f>SUM(F514:Q514)</f>
        <v>0</v>
      </c>
      <c r="F514" s="19" t="s">
        <v>297</v>
      </c>
      <c r="G514" s="19" t="s">
        <v>297</v>
      </c>
      <c r="H514" s="19" t="s">
        <v>297</v>
      </c>
      <c r="I514" s="19" t="s">
        <v>297</v>
      </c>
      <c r="J514" s="19" t="s">
        <v>297</v>
      </c>
      <c r="K514" s="19" t="s">
        <v>297</v>
      </c>
      <c r="L514" s="19" t="s">
        <v>297</v>
      </c>
      <c r="M514" s="19" t="s">
        <v>297</v>
      </c>
      <c r="N514" s="19">
        <f t="shared" ref="N514:Q514" si="61">IF(N515&gt;=0.8,0,$E$15*$E$16*0.4*(N516-N519)*N512)</f>
        <v>0</v>
      </c>
      <c r="O514" s="19">
        <f t="shared" si="61"/>
        <v>0</v>
      </c>
      <c r="P514" s="19">
        <f t="shared" si="61"/>
        <v>0</v>
      </c>
      <c r="Q514" s="19">
        <f t="shared" si="61"/>
        <v>0</v>
      </c>
    </row>
    <row r="515" spans="1:19" ht="62.4" x14ac:dyDescent="0.25">
      <c r="A515" s="17" t="s">
        <v>111</v>
      </c>
      <c r="B515" s="17" t="s">
        <v>37</v>
      </c>
      <c r="C515" s="17" t="s">
        <v>112</v>
      </c>
      <c r="D515" s="17" t="s">
        <v>383</v>
      </c>
      <c r="E515" s="20">
        <f>AVERAGE(N515:Q515)</f>
        <v>0.95422724444585105</v>
      </c>
      <c r="F515" s="20" t="s">
        <v>297</v>
      </c>
      <c r="G515" s="20" t="s">
        <v>297</v>
      </c>
      <c r="H515" s="20" t="s">
        <v>297</v>
      </c>
      <c r="I515" s="20" t="s">
        <v>297</v>
      </c>
      <c r="J515" s="20" t="s">
        <v>297</v>
      </c>
      <c r="K515" s="20" t="s">
        <v>297</v>
      </c>
      <c r="L515" s="20" t="s">
        <v>297</v>
      </c>
      <c r="M515" s="20" t="s">
        <v>297</v>
      </c>
      <c r="N515" s="20">
        <f t="shared" ref="N515:Q515" si="62">(N516-N519)/N516</f>
        <v>0.95399611265212092</v>
      </c>
      <c r="O515" s="20">
        <f t="shared" si="62"/>
        <v>0.95407825239581967</v>
      </c>
      <c r="P515" s="20">
        <f t="shared" si="62"/>
        <v>0.95469759444815128</v>
      </c>
      <c r="Q515" s="20">
        <f t="shared" si="62"/>
        <v>0.95413701828731246</v>
      </c>
    </row>
    <row r="516" spans="1:19" ht="46.8" x14ac:dyDescent="0.25">
      <c r="A516" s="17" t="s">
        <v>113</v>
      </c>
      <c r="B516" s="17" t="s">
        <v>24</v>
      </c>
      <c r="C516" s="17" t="s">
        <v>114</v>
      </c>
      <c r="D516" s="17" t="s">
        <v>384</v>
      </c>
      <c r="E516" s="20">
        <f>SUM(N516:Q516)</f>
        <v>8.6739436059708446</v>
      </c>
      <c r="F516" s="20" t="s">
        <v>297</v>
      </c>
      <c r="G516" s="20" t="s">
        <v>297</v>
      </c>
      <c r="H516" s="20" t="s">
        <v>297</v>
      </c>
      <c r="I516" s="20" t="s">
        <v>297</v>
      </c>
      <c r="J516" s="20" t="s">
        <v>297</v>
      </c>
      <c r="K516" s="20" t="s">
        <v>297</v>
      </c>
      <c r="L516" s="20" t="s">
        <v>297</v>
      </c>
      <c r="M516" s="20" t="s">
        <v>297</v>
      </c>
      <c r="N516" s="20">
        <f t="shared" ref="N516:Q516" si="63">N517*N518</f>
        <v>2.2709647743711256</v>
      </c>
      <c r="O516" s="20">
        <f t="shared" si="63"/>
        <v>2.269361540478668</v>
      </c>
      <c r="P516" s="20">
        <f t="shared" si="63"/>
        <v>2.0658837692992775</v>
      </c>
      <c r="Q516" s="20">
        <f t="shared" si="63"/>
        <v>2.0677335218217743</v>
      </c>
    </row>
    <row r="517" spans="1:19" ht="69" customHeight="1" x14ac:dyDescent="0.25">
      <c r="A517" s="17" t="s">
        <v>115</v>
      </c>
      <c r="B517" s="17" t="s">
        <v>116</v>
      </c>
      <c r="C517" s="17" t="s">
        <v>117</v>
      </c>
      <c r="D517" s="17" t="s">
        <v>336</v>
      </c>
      <c r="E517" s="129">
        <f>SUM(N517:Q517)</f>
        <v>20357.742669305961</v>
      </c>
      <c r="F517" s="21" t="s">
        <v>297</v>
      </c>
      <c r="G517" s="21" t="s">
        <v>297</v>
      </c>
      <c r="H517" s="21" t="s">
        <v>297</v>
      </c>
      <c r="I517" s="21" t="s">
        <v>297</v>
      </c>
      <c r="J517" s="21" t="s">
        <v>297</v>
      </c>
      <c r="K517" s="21" t="s">
        <v>297</v>
      </c>
      <c r="L517" s="21" t="s">
        <v>297</v>
      </c>
      <c r="M517" s="21" t="s">
        <v>297</v>
      </c>
      <c r="N517" s="129">
        <f>'Baseline Emissions 2020'!N501</f>
        <v>5328.7284090909088</v>
      </c>
      <c r="O517" s="129">
        <f>'Baseline Emissions 2020'!O501</f>
        <v>5329.5611935483876</v>
      </c>
      <c r="P517" s="129">
        <f>'Baseline Emissions 2020'!P501</f>
        <v>4848.7620666666662</v>
      </c>
      <c r="Q517" s="129">
        <f>'Baseline Emissions 2020'!Q501</f>
        <v>4850.6909999999998</v>
      </c>
    </row>
    <row r="518" spans="1:19" ht="46.8" x14ac:dyDescent="0.25">
      <c r="A518" s="17" t="s">
        <v>118</v>
      </c>
      <c r="B518" s="17" t="s">
        <v>119</v>
      </c>
      <c r="C518" s="17" t="s">
        <v>120</v>
      </c>
      <c r="D518" s="35" t="s">
        <v>338</v>
      </c>
      <c r="E518" s="120">
        <f>AVERAGE(N518:Q518)</f>
        <v>4.2608013929618766E-4</v>
      </c>
      <c r="F518" s="23" t="str">
        <f>'Baseline Emissions 2020'!F505</f>
        <v>—</v>
      </c>
      <c r="G518" s="23" t="str">
        <f>'Baseline Emissions 2020'!G505</f>
        <v>—</v>
      </c>
      <c r="H518" s="23" t="str">
        <f>'Baseline Emissions 2020'!H505</f>
        <v>—</v>
      </c>
      <c r="I518" s="23" t="str">
        <f>'Baseline Emissions 2020'!I505</f>
        <v>—</v>
      </c>
      <c r="J518" s="23" t="str">
        <f>'Baseline Emissions 2020'!J505</f>
        <v>—</v>
      </c>
      <c r="K518" s="23" t="str">
        <f>'Baseline Emissions 2020'!K505</f>
        <v>—</v>
      </c>
      <c r="L518" s="23" t="str">
        <f>'Baseline Emissions 2020'!L505</f>
        <v>—</v>
      </c>
      <c r="M518" s="23" t="str">
        <f>'Baseline Emissions 2020'!M505</f>
        <v>—</v>
      </c>
      <c r="N518" s="130">
        <f>'Baseline Emissions 2020'!N505</f>
        <v>4.2617386363636361E-4</v>
      </c>
      <c r="O518" s="130">
        <f>'Baseline Emissions 2020'!O505</f>
        <v>4.258064516129032E-4</v>
      </c>
      <c r="P518" s="130">
        <f>'Baseline Emissions 2020'!P505</f>
        <v>4.2606416666666661E-4</v>
      </c>
      <c r="Q518" s="130">
        <f>'Baseline Emissions 2020'!Q505</f>
        <v>4.2627607526881728E-4</v>
      </c>
    </row>
    <row r="519" spans="1:19" ht="46.8" x14ac:dyDescent="0.25">
      <c r="A519" s="17" t="s">
        <v>121</v>
      </c>
      <c r="B519" s="17" t="s">
        <v>24</v>
      </c>
      <c r="C519" s="17" t="s">
        <v>122</v>
      </c>
      <c r="D519" s="17" t="s">
        <v>384</v>
      </c>
      <c r="E519" s="20">
        <f>SUM(N519:Q519)</f>
        <v>0.39710818457346675</v>
      </c>
      <c r="F519" s="20" t="s">
        <v>297</v>
      </c>
      <c r="G519" s="20" t="s">
        <v>297</v>
      </c>
      <c r="H519" s="20" t="s">
        <v>297</v>
      </c>
      <c r="I519" s="20" t="s">
        <v>297</v>
      </c>
      <c r="J519" s="20" t="s">
        <v>297</v>
      </c>
      <c r="K519" s="20" t="s">
        <v>297</v>
      </c>
      <c r="L519" s="20" t="s">
        <v>297</v>
      </c>
      <c r="M519" s="20" t="s">
        <v>297</v>
      </c>
      <c r="N519" s="20">
        <f t="shared" ref="N519:Q519" si="64">SUM(N520*N521)</f>
        <v>0.10447320765117075</v>
      </c>
      <c r="O519" s="20">
        <f t="shared" si="64"/>
        <v>0.10421304788449533</v>
      </c>
      <c r="P519" s="20">
        <f t="shared" si="64"/>
        <v>9.3589504339777779E-2</v>
      </c>
      <c r="Q519" s="20">
        <f t="shared" si="64"/>
        <v>9.4832424698022902E-2</v>
      </c>
    </row>
    <row r="520" spans="1:19" ht="62.4" x14ac:dyDescent="0.25">
      <c r="A520" s="17" t="s">
        <v>123</v>
      </c>
      <c r="B520" s="17" t="s">
        <v>116</v>
      </c>
      <c r="C520" s="17" t="s">
        <v>124</v>
      </c>
      <c r="D520" s="17" t="s">
        <v>337</v>
      </c>
      <c r="E520" s="129">
        <f>SUM(N520:Q520)</f>
        <v>19900.834832160312</v>
      </c>
      <c r="F520" s="21" t="s">
        <v>297</v>
      </c>
      <c r="G520" s="21" t="s">
        <v>297</v>
      </c>
      <c r="H520" s="21" t="s">
        <v>297</v>
      </c>
      <c r="I520" s="21" t="s">
        <v>297</v>
      </c>
      <c r="J520" s="21" t="s">
        <v>297</v>
      </c>
      <c r="K520" s="21" t="s">
        <v>297</v>
      </c>
      <c r="L520" s="21" t="s">
        <v>297</v>
      </c>
      <c r="M520" s="21" t="s">
        <v>297</v>
      </c>
      <c r="N520" s="129">
        <v>5212.3078181818173</v>
      </c>
      <c r="O520" s="129">
        <v>5212.0534838709682</v>
      </c>
      <c r="P520" s="129">
        <v>4737.9094333333333</v>
      </c>
      <c r="Q520" s="129">
        <v>4738.5640967741938</v>
      </c>
    </row>
    <row r="521" spans="1:19" ht="46.8" x14ac:dyDescent="0.25">
      <c r="A521" s="17" t="s">
        <v>125</v>
      </c>
      <c r="B521" s="17" t="s">
        <v>119</v>
      </c>
      <c r="C521" s="17" t="s">
        <v>126</v>
      </c>
      <c r="D521" s="35" t="s">
        <v>339</v>
      </c>
      <c r="E521" s="131">
        <f>AVERAGE(N521:Q521)</f>
        <v>1.995110520527859E-5</v>
      </c>
      <c r="F521" s="131" t="str">
        <f>'Baseline Emissions 2020'!F506</f>
        <v>—</v>
      </c>
      <c r="G521" s="131" t="str">
        <f>'Baseline Emissions 2020'!G506</f>
        <v>—</v>
      </c>
      <c r="H521" s="131" t="str">
        <f>'Baseline Emissions 2020'!H506</f>
        <v>—</v>
      </c>
      <c r="I521" s="131" t="str">
        <f>'Baseline Emissions 2020'!I506</f>
        <v>—</v>
      </c>
      <c r="J521" s="131" t="str">
        <f>'Baseline Emissions 2020'!J506</f>
        <v>—</v>
      </c>
      <c r="K521" s="131" t="str">
        <f>'Baseline Emissions 2020'!K506</f>
        <v>—</v>
      </c>
      <c r="L521" s="131" t="str">
        <f>'Baseline Emissions 2020'!L506</f>
        <v>—</v>
      </c>
      <c r="M521" s="131" t="str">
        <f>'Baseline Emissions 2020'!M506</f>
        <v>—</v>
      </c>
      <c r="N521" s="131">
        <f>'Baseline Emissions 2020'!N506</f>
        <v>2.0043560606060601E-5</v>
      </c>
      <c r="O521" s="131">
        <f>'Baseline Emissions 2020'!O506</f>
        <v>1.9994623655913979E-5</v>
      </c>
      <c r="P521" s="131">
        <f>'Baseline Emissions 2020'!P506</f>
        <v>1.9753333333333333E-5</v>
      </c>
      <c r="Q521" s="131">
        <f>'Baseline Emissions 2020'!Q506</f>
        <v>2.0012903225806452E-5</v>
      </c>
    </row>
    <row r="522" spans="1:19" ht="31.2" x14ac:dyDescent="0.25">
      <c r="A522" s="17" t="s">
        <v>127</v>
      </c>
      <c r="B522" s="17" t="s">
        <v>128</v>
      </c>
      <c r="C522" s="17" t="s">
        <v>17</v>
      </c>
      <c r="D522" s="17" t="s">
        <v>129</v>
      </c>
      <c r="E522" s="176">
        <v>28</v>
      </c>
      <c r="F522" s="176"/>
      <c r="G522" s="176"/>
      <c r="H522" s="176"/>
      <c r="I522" s="176"/>
      <c r="J522" s="176"/>
      <c r="K522" s="176"/>
      <c r="L522" s="176"/>
      <c r="M522" s="176"/>
      <c r="N522" s="176"/>
      <c r="O522" s="176"/>
      <c r="P522" s="176"/>
      <c r="Q522" s="176"/>
    </row>
    <row r="523" spans="1:19" ht="64.8" x14ac:dyDescent="0.25">
      <c r="A523" s="17" t="s">
        <v>130</v>
      </c>
      <c r="B523" s="17" t="s">
        <v>19</v>
      </c>
      <c r="C523" s="17" t="s">
        <v>131</v>
      </c>
      <c r="D523" s="17" t="s">
        <v>394</v>
      </c>
      <c r="E523" s="176">
        <v>0.21</v>
      </c>
      <c r="F523" s="176"/>
      <c r="G523" s="176"/>
      <c r="H523" s="176"/>
      <c r="I523" s="176"/>
      <c r="J523" s="176"/>
      <c r="K523" s="176"/>
      <c r="L523" s="176"/>
      <c r="M523" s="176"/>
      <c r="N523" s="176"/>
      <c r="O523" s="176"/>
      <c r="P523" s="176"/>
      <c r="Q523" s="176"/>
    </row>
    <row r="524" spans="1:19" ht="46.8" x14ac:dyDescent="0.25">
      <c r="A524" s="17" t="s">
        <v>132</v>
      </c>
      <c r="B524" s="17" t="s">
        <v>103</v>
      </c>
      <c r="C524" s="17" t="s">
        <v>133</v>
      </c>
      <c r="D524" s="17" t="s">
        <v>385</v>
      </c>
      <c r="E524" s="19">
        <f>SUM(F524:Q524)</f>
        <v>0</v>
      </c>
      <c r="F524" s="19" t="s">
        <v>297</v>
      </c>
      <c r="G524" s="19" t="s">
        <v>297</v>
      </c>
      <c r="H524" s="19" t="s">
        <v>297</v>
      </c>
      <c r="I524" s="19" t="s">
        <v>297</v>
      </c>
      <c r="J524" s="19" t="s">
        <v>297</v>
      </c>
      <c r="K524" s="19" t="s">
        <v>297</v>
      </c>
      <c r="L524" s="19" t="s">
        <v>297</v>
      </c>
      <c r="M524" s="19" t="s">
        <v>297</v>
      </c>
      <c r="N524" s="19">
        <f t="shared" ref="N524:Q524" si="65">$E$15*$E$16*N525*N519*N512</f>
        <v>0</v>
      </c>
      <c r="O524" s="19">
        <f t="shared" si="65"/>
        <v>0</v>
      </c>
      <c r="P524" s="19">
        <f t="shared" si="65"/>
        <v>0</v>
      </c>
      <c r="Q524" s="19">
        <f t="shared" si="65"/>
        <v>0</v>
      </c>
    </row>
    <row r="525" spans="1:19" ht="18" x14ac:dyDescent="0.25">
      <c r="A525" s="17" t="s">
        <v>134</v>
      </c>
      <c r="B525" s="17" t="s">
        <v>37</v>
      </c>
      <c r="C525" s="17" t="s">
        <v>135</v>
      </c>
      <c r="D525" s="17" t="s">
        <v>386</v>
      </c>
      <c r="E525" s="26">
        <f>AVERAGE(F525:Q525)</f>
        <v>0</v>
      </c>
      <c r="F525" s="26" t="s">
        <v>297</v>
      </c>
      <c r="G525" s="26" t="s">
        <v>297</v>
      </c>
      <c r="H525" s="26" t="s">
        <v>297</v>
      </c>
      <c r="I525" s="26" t="s">
        <v>297</v>
      </c>
      <c r="J525" s="26" t="s">
        <v>297</v>
      </c>
      <c r="K525" s="26" t="s">
        <v>297</v>
      </c>
      <c r="L525" s="26" t="s">
        <v>297</v>
      </c>
      <c r="M525" s="26" t="s">
        <v>297</v>
      </c>
      <c r="N525" s="26">
        <f>N526*$E$527*0.89</f>
        <v>0</v>
      </c>
      <c r="O525" s="26">
        <f t="shared" ref="O525:Q525" si="66">O526*$E$527*0.89</f>
        <v>0</v>
      </c>
      <c r="P525" s="26">
        <f t="shared" si="66"/>
        <v>0</v>
      </c>
      <c r="Q525" s="26">
        <f t="shared" si="66"/>
        <v>0</v>
      </c>
    </row>
    <row r="526" spans="1:19" ht="31.2" x14ac:dyDescent="0.25">
      <c r="A526" s="17" t="s">
        <v>136</v>
      </c>
      <c r="B526" s="17" t="s">
        <v>37</v>
      </c>
      <c r="C526" s="17" t="s">
        <v>46</v>
      </c>
      <c r="D526" s="17" t="s">
        <v>387</v>
      </c>
      <c r="E526" s="25">
        <v>0</v>
      </c>
      <c r="F526" s="25" t="s">
        <v>297</v>
      </c>
      <c r="G526" s="25" t="s">
        <v>297</v>
      </c>
      <c r="H526" s="25" t="s">
        <v>297</v>
      </c>
      <c r="I526" s="25" t="s">
        <v>297</v>
      </c>
      <c r="J526" s="25" t="s">
        <v>297</v>
      </c>
      <c r="K526" s="25" t="s">
        <v>297</v>
      </c>
      <c r="L526" s="25" t="s">
        <v>297</v>
      </c>
      <c r="M526" s="25" t="s">
        <v>297</v>
      </c>
      <c r="N526" s="25">
        <v>0</v>
      </c>
      <c r="O526" s="25">
        <v>0</v>
      </c>
      <c r="P526" s="25">
        <v>0</v>
      </c>
      <c r="Q526" s="25">
        <v>0</v>
      </c>
    </row>
    <row r="527" spans="1:19" ht="31.2" x14ac:dyDescent="0.25">
      <c r="A527" s="17" t="s">
        <v>137</v>
      </c>
      <c r="B527" s="17" t="s">
        <v>201</v>
      </c>
      <c r="C527" s="17" t="s">
        <v>138</v>
      </c>
      <c r="D527" s="17" t="s">
        <v>388</v>
      </c>
      <c r="E527" s="196">
        <f>(N528*N533+O528*O533+P528*P533+Q528*Q533)/(N521*N520*N512+O520*O521*O512+P521*P520*P512+Q521*Q520*Q512)</f>
        <v>0.53709879252779125</v>
      </c>
      <c r="F527" s="196"/>
      <c r="G527" s="196"/>
      <c r="H527" s="196"/>
      <c r="I527" s="196"/>
      <c r="J527" s="196"/>
      <c r="K527" s="196"/>
      <c r="L527" s="196"/>
      <c r="M527" s="196"/>
      <c r="N527" s="196"/>
      <c r="O527" s="196"/>
      <c r="P527" s="196"/>
      <c r="Q527" s="196"/>
    </row>
    <row r="528" spans="1:19" ht="31.2" x14ac:dyDescent="0.25">
      <c r="A528" s="17" t="s">
        <v>139</v>
      </c>
      <c r="B528" s="17" t="s">
        <v>37</v>
      </c>
      <c r="C528" s="17" t="s">
        <v>140</v>
      </c>
      <c r="D528" s="17" t="s">
        <v>375</v>
      </c>
      <c r="E528" s="27">
        <f>AVERAGE(N528:Q528)</f>
        <v>0.55196746463981816</v>
      </c>
      <c r="F528" s="27" t="s">
        <v>297</v>
      </c>
      <c r="G528" s="27" t="s">
        <v>297</v>
      </c>
      <c r="H528" s="27" t="s">
        <v>297</v>
      </c>
      <c r="I528" s="27" t="s">
        <v>297</v>
      </c>
      <c r="J528" s="27" t="s">
        <v>297</v>
      </c>
      <c r="K528" s="27" t="s">
        <v>297</v>
      </c>
      <c r="L528" s="27" t="s">
        <v>297</v>
      </c>
      <c r="M528" s="27" t="s">
        <v>297</v>
      </c>
      <c r="N528" s="27">
        <f>IF(N532&lt;283,0,IF(N532&gt;303,1,EXP(($E$529*(N532-$E$530))/($E$531*$E$530*N532))))</f>
        <v>0.84523513966163832</v>
      </c>
      <c r="O528" s="27">
        <f t="shared" ref="O528:Q528" si="67">IF(O532&lt;283,0,IF(O532&gt;303,1,EXP(($E$529*(O532-$E$530))/($E$531*$E$530*O532))))</f>
        <v>0.60078639810878987</v>
      </c>
      <c r="P528" s="27">
        <f t="shared" si="67"/>
        <v>0.50475941545474445</v>
      </c>
      <c r="Q528" s="27">
        <f t="shared" si="67"/>
        <v>0.25708890533410012</v>
      </c>
    </row>
    <row r="529" spans="1:17" x14ac:dyDescent="0.25">
      <c r="A529" s="17" t="s">
        <v>51</v>
      </c>
      <c r="B529" s="17" t="s">
        <v>52</v>
      </c>
      <c r="C529" s="17" t="s">
        <v>53</v>
      </c>
      <c r="D529" s="17" t="s">
        <v>389</v>
      </c>
      <c r="E529" s="176">
        <v>15175</v>
      </c>
      <c r="F529" s="176"/>
      <c r="G529" s="176"/>
      <c r="H529" s="176"/>
      <c r="I529" s="176"/>
      <c r="J529" s="176"/>
      <c r="K529" s="176"/>
      <c r="L529" s="176"/>
      <c r="M529" s="176"/>
      <c r="N529" s="176"/>
      <c r="O529" s="176"/>
      <c r="P529" s="176"/>
      <c r="Q529" s="176"/>
    </row>
    <row r="530" spans="1:17" ht="18" x14ac:dyDescent="0.25">
      <c r="A530" s="17" t="s">
        <v>141</v>
      </c>
      <c r="B530" s="17" t="s">
        <v>55</v>
      </c>
      <c r="C530" s="17" t="s">
        <v>56</v>
      </c>
      <c r="D530" s="17" t="s">
        <v>389</v>
      </c>
      <c r="E530" s="176">
        <v>303.16000000000003</v>
      </c>
      <c r="F530" s="176"/>
      <c r="G530" s="176"/>
      <c r="H530" s="176"/>
      <c r="I530" s="176"/>
      <c r="J530" s="176"/>
      <c r="K530" s="176"/>
      <c r="L530" s="176"/>
      <c r="M530" s="176"/>
      <c r="N530" s="176"/>
      <c r="O530" s="176"/>
      <c r="P530" s="176"/>
      <c r="Q530" s="176"/>
    </row>
    <row r="531" spans="1:17" x14ac:dyDescent="0.25">
      <c r="A531" s="17" t="s">
        <v>57</v>
      </c>
      <c r="B531" s="17" t="s">
        <v>58</v>
      </c>
      <c r="C531" s="17" t="s">
        <v>59</v>
      </c>
      <c r="D531" s="17" t="s">
        <v>389</v>
      </c>
      <c r="E531" s="176">
        <v>1.9870000000000001</v>
      </c>
      <c r="F531" s="176"/>
      <c r="G531" s="176"/>
      <c r="H531" s="176"/>
      <c r="I531" s="176"/>
      <c r="J531" s="176"/>
      <c r="K531" s="176"/>
      <c r="L531" s="176"/>
      <c r="M531" s="176"/>
      <c r="N531" s="176"/>
      <c r="O531" s="176"/>
      <c r="P531" s="176"/>
      <c r="Q531" s="176"/>
    </row>
    <row r="532" spans="1:17" ht="18" x14ac:dyDescent="0.25">
      <c r="A532" s="17" t="s">
        <v>142</v>
      </c>
      <c r="B532" s="17" t="s">
        <v>55</v>
      </c>
      <c r="C532" s="17" t="s">
        <v>143</v>
      </c>
      <c r="D532" s="144" t="s">
        <v>363</v>
      </c>
      <c r="E532" s="28">
        <f>AVERAGE(N532:Q532)</f>
        <v>295.27499999999998</v>
      </c>
      <c r="F532" s="25" t="s">
        <v>297</v>
      </c>
      <c r="G532" s="25" t="s">
        <v>297</v>
      </c>
      <c r="H532" s="25" t="s">
        <v>297</v>
      </c>
      <c r="I532" s="25" t="s">
        <v>297</v>
      </c>
      <c r="J532" s="25" t="s">
        <v>297</v>
      </c>
      <c r="K532" s="25" t="s">
        <v>297</v>
      </c>
      <c r="L532" s="25" t="s">
        <v>297</v>
      </c>
      <c r="M532" s="25" t="s">
        <v>297</v>
      </c>
      <c r="N532" s="25">
        <v>301.14999999999998</v>
      </c>
      <c r="O532" s="25">
        <v>297.14999999999998</v>
      </c>
      <c r="P532" s="25">
        <v>295.14999999999998</v>
      </c>
      <c r="Q532" s="25">
        <v>287.64999999999998</v>
      </c>
    </row>
    <row r="533" spans="1:17" ht="46.8" x14ac:dyDescent="0.25">
      <c r="A533" s="17" t="s">
        <v>144</v>
      </c>
      <c r="B533" s="17" t="s">
        <v>24</v>
      </c>
      <c r="C533" s="17" t="s">
        <v>145</v>
      </c>
      <c r="D533" s="17" t="s">
        <v>390</v>
      </c>
      <c r="E533" s="29">
        <f>SUM(N533:Q533)</f>
        <v>11.276505348577155</v>
      </c>
      <c r="F533" s="29" t="s">
        <v>297</v>
      </c>
      <c r="G533" s="29" t="s">
        <v>297</v>
      </c>
      <c r="H533" s="29" t="s">
        <v>297</v>
      </c>
      <c r="I533" s="29" t="s">
        <v>297</v>
      </c>
      <c r="J533" s="29" t="s">
        <v>297</v>
      </c>
      <c r="K533" s="29" t="s">
        <v>297</v>
      </c>
      <c r="L533" s="29" t="s">
        <v>297</v>
      </c>
      <c r="M533" s="29" t="s">
        <v>297</v>
      </c>
      <c r="N533" s="29">
        <f>N520*N521*'Project Emissions 2020'!N512+(1-N528)*0</f>
        <v>2.2984105683257567</v>
      </c>
      <c r="O533" s="29">
        <f>O520*O521*'Project Emissions 2020'!O512+(1-O528)*0</f>
        <v>3.2306044844193553</v>
      </c>
      <c r="P533" s="29">
        <f>P520*P521*'Project Emissions 2020'!P512+(1-P528)*0</f>
        <v>2.8076851301933332</v>
      </c>
      <c r="Q533" s="29">
        <f>Q520*Q521*'Project Emissions 2020'!Q512+(1-Q528)*0</f>
        <v>2.9398051656387101</v>
      </c>
    </row>
    <row r="534" spans="1:17" x14ac:dyDescent="0.3">
      <c r="A534" s="30"/>
      <c r="E534" s="31"/>
      <c r="F534" s="31"/>
      <c r="G534" s="31"/>
      <c r="H534" s="31"/>
      <c r="I534" s="31"/>
      <c r="J534" s="31"/>
      <c r="K534" s="31"/>
      <c r="L534" s="31"/>
      <c r="M534" s="31"/>
      <c r="N534" s="31"/>
      <c r="O534" s="31"/>
      <c r="P534" s="31"/>
      <c r="Q534" s="31"/>
    </row>
    <row r="535" spans="1:17" x14ac:dyDescent="0.25">
      <c r="A535" s="174" t="s">
        <v>146</v>
      </c>
      <c r="B535" s="174"/>
      <c r="C535" s="175"/>
      <c r="D535" s="175"/>
      <c r="E535" s="195"/>
      <c r="F535" s="32"/>
      <c r="G535" s="32"/>
      <c r="H535" s="32"/>
      <c r="I535" s="32"/>
      <c r="J535" s="32"/>
      <c r="K535" s="32"/>
      <c r="L535" s="32"/>
      <c r="M535" s="32"/>
      <c r="N535" s="32"/>
      <c r="O535" s="32"/>
      <c r="P535" s="32"/>
      <c r="Q535" s="32"/>
    </row>
    <row r="536" spans="1:17" x14ac:dyDescent="0.25">
      <c r="A536" s="33" t="s">
        <v>8</v>
      </c>
      <c r="B536" s="33" t="s">
        <v>9</v>
      </c>
      <c r="C536" s="34" t="s">
        <v>10</v>
      </c>
      <c r="D536" s="34" t="s">
        <v>340</v>
      </c>
      <c r="E536" s="16" t="s">
        <v>65</v>
      </c>
      <c r="F536" s="32"/>
      <c r="G536" s="32"/>
      <c r="H536" s="32"/>
      <c r="I536" s="32"/>
      <c r="J536" s="32"/>
      <c r="K536" s="32"/>
      <c r="L536" s="32"/>
      <c r="M536" s="32"/>
      <c r="N536" s="32"/>
      <c r="O536" s="32"/>
      <c r="P536" s="32"/>
      <c r="Q536" s="32"/>
    </row>
    <row r="537" spans="1:17" ht="46.8" x14ac:dyDescent="0.25">
      <c r="A537" s="15" t="s">
        <v>147</v>
      </c>
      <c r="B537" s="17" t="s">
        <v>95</v>
      </c>
      <c r="C537" s="35" t="s">
        <v>148</v>
      </c>
      <c r="D537" s="35" t="s">
        <v>68</v>
      </c>
      <c r="E537" s="16">
        <v>0</v>
      </c>
      <c r="F537" s="32"/>
      <c r="G537" s="32"/>
      <c r="H537" s="32"/>
      <c r="I537" s="32"/>
      <c r="J537" s="32"/>
      <c r="K537" s="32"/>
      <c r="L537" s="32"/>
      <c r="M537" s="32"/>
      <c r="N537" s="32"/>
      <c r="O537" s="32"/>
      <c r="P537" s="32"/>
      <c r="Q537" s="32"/>
    </row>
    <row r="538" spans="1:17" x14ac:dyDescent="0.25">
      <c r="A538" s="36"/>
      <c r="B538" s="36"/>
      <c r="C538" s="37"/>
      <c r="D538" s="37"/>
      <c r="E538" s="32"/>
      <c r="F538" s="32"/>
      <c r="G538" s="32"/>
      <c r="H538" s="32"/>
      <c r="I538" s="32"/>
      <c r="J538" s="32"/>
      <c r="K538" s="32"/>
      <c r="L538" s="32"/>
      <c r="M538" s="32"/>
      <c r="N538" s="32"/>
      <c r="O538" s="32"/>
      <c r="P538" s="32"/>
      <c r="Q538" s="32"/>
    </row>
    <row r="539" spans="1:17" x14ac:dyDescent="0.25">
      <c r="A539" s="174" t="s">
        <v>149</v>
      </c>
      <c r="B539" s="174"/>
      <c r="C539" s="175"/>
      <c r="D539" s="175"/>
      <c r="E539" s="195"/>
      <c r="F539" s="32"/>
      <c r="G539" s="32"/>
      <c r="H539" s="32"/>
      <c r="I539" s="32"/>
      <c r="J539" s="32"/>
      <c r="K539" s="32"/>
      <c r="L539" s="32"/>
      <c r="M539" s="32"/>
      <c r="N539" s="32"/>
      <c r="O539" s="32"/>
      <c r="P539" s="32"/>
      <c r="Q539" s="32"/>
    </row>
    <row r="540" spans="1:17" x14ac:dyDescent="0.25">
      <c r="A540" s="33" t="s">
        <v>8</v>
      </c>
      <c r="B540" s="33" t="s">
        <v>9</v>
      </c>
      <c r="C540" s="34" t="s">
        <v>10</v>
      </c>
      <c r="D540" s="34" t="s">
        <v>340</v>
      </c>
      <c r="E540" s="16" t="s">
        <v>65</v>
      </c>
      <c r="F540" s="32"/>
      <c r="G540" s="32"/>
      <c r="H540" s="32"/>
      <c r="I540" s="32"/>
      <c r="J540" s="32"/>
      <c r="K540" s="32"/>
      <c r="L540" s="32"/>
      <c r="M540" s="32"/>
      <c r="N540" s="32"/>
      <c r="O540" s="32"/>
      <c r="P540" s="32"/>
      <c r="Q540" s="32"/>
    </row>
    <row r="541" spans="1:17" ht="46.8" x14ac:dyDescent="0.25">
      <c r="A541" s="15" t="s">
        <v>150</v>
      </c>
      <c r="B541" s="17" t="s">
        <v>95</v>
      </c>
      <c r="C541" s="35" t="s">
        <v>151</v>
      </c>
      <c r="D541" s="35" t="s">
        <v>68</v>
      </c>
      <c r="E541" s="16">
        <v>0</v>
      </c>
      <c r="F541" s="32"/>
      <c r="G541" s="32"/>
      <c r="H541" s="32"/>
      <c r="I541" s="32"/>
      <c r="J541" s="32"/>
      <c r="K541" s="32"/>
      <c r="L541" s="32"/>
      <c r="M541" s="32"/>
      <c r="N541" s="32"/>
      <c r="O541" s="32"/>
      <c r="P541" s="32"/>
      <c r="Q541" s="32"/>
    </row>
    <row r="542" spans="1:17" x14ac:dyDescent="0.25">
      <c r="F542" s="32"/>
      <c r="G542" s="32"/>
      <c r="H542" s="32"/>
      <c r="I542" s="32"/>
      <c r="J542" s="32"/>
      <c r="K542" s="32"/>
      <c r="L542" s="32"/>
      <c r="M542" s="32"/>
      <c r="N542" s="32"/>
      <c r="O542" s="32"/>
      <c r="P542" s="32"/>
      <c r="Q542" s="32"/>
    </row>
    <row r="543" spans="1:17" x14ac:dyDescent="0.25">
      <c r="A543" s="174" t="s">
        <v>152</v>
      </c>
      <c r="B543" s="174"/>
      <c r="C543" s="175"/>
      <c r="D543" s="175"/>
      <c r="E543" s="195"/>
      <c r="F543" s="32"/>
      <c r="G543" s="32"/>
      <c r="H543" s="32"/>
      <c r="I543" s="32"/>
      <c r="J543" s="32"/>
      <c r="K543" s="32"/>
      <c r="L543" s="32"/>
      <c r="M543" s="32"/>
      <c r="N543" s="32"/>
      <c r="O543" s="32"/>
      <c r="P543" s="32"/>
      <c r="Q543" s="32"/>
    </row>
    <row r="544" spans="1:17" s="10" customFormat="1" x14ac:dyDescent="0.25">
      <c r="A544" s="15" t="s">
        <v>8</v>
      </c>
      <c r="B544" s="15" t="s">
        <v>9</v>
      </c>
      <c r="C544" s="38" t="s">
        <v>10</v>
      </c>
      <c r="D544" s="38" t="s">
        <v>340</v>
      </c>
      <c r="E544" s="16" t="s">
        <v>65</v>
      </c>
      <c r="F544" s="32"/>
      <c r="G544" s="32"/>
      <c r="H544" s="39"/>
      <c r="I544" s="39"/>
      <c r="J544" s="39"/>
      <c r="K544" s="39"/>
      <c r="L544" s="39"/>
      <c r="M544" s="39"/>
      <c r="N544" s="39"/>
      <c r="O544" s="39"/>
      <c r="P544" s="39"/>
      <c r="Q544" s="39"/>
    </row>
    <row r="545" spans="1:19" s="10" customFormat="1" ht="18" x14ac:dyDescent="0.4">
      <c r="A545" s="40" t="s">
        <v>153</v>
      </c>
      <c r="B545" s="17" t="s">
        <v>103</v>
      </c>
      <c r="C545" s="35" t="s">
        <v>154</v>
      </c>
      <c r="D545" s="35" t="s">
        <v>155</v>
      </c>
      <c r="E545" s="41">
        <f>E546*E548*(1+E547)</f>
        <v>130.77915991560002</v>
      </c>
      <c r="F545" s="32"/>
      <c r="G545" s="32"/>
      <c r="H545" s="39"/>
      <c r="I545" s="39"/>
      <c r="J545" s="39"/>
      <c r="K545" s="39"/>
      <c r="L545" s="39"/>
      <c r="M545" s="39"/>
      <c r="N545" s="39"/>
      <c r="O545" s="39"/>
      <c r="P545" s="39"/>
      <c r="Q545" s="39"/>
    </row>
    <row r="546" spans="1:19" ht="31.2" x14ac:dyDescent="0.25">
      <c r="A546" s="17" t="s">
        <v>156</v>
      </c>
      <c r="B546" s="17" t="s">
        <v>157</v>
      </c>
      <c r="C546" s="35" t="s">
        <v>158</v>
      </c>
      <c r="D546" s="35" t="s">
        <v>343</v>
      </c>
      <c r="E546" s="20">
        <f>214174.38/1000</f>
        <v>214.17438000000001</v>
      </c>
      <c r="G546" s="42"/>
      <c r="H546" s="43"/>
      <c r="I546" s="43"/>
      <c r="J546" s="43"/>
      <c r="K546" s="43"/>
      <c r="L546" s="43"/>
      <c r="M546" s="43"/>
      <c r="N546" s="43"/>
      <c r="O546" s="43"/>
      <c r="P546" s="43"/>
      <c r="Q546" s="43"/>
      <c r="R546" s="9"/>
      <c r="S546" s="9"/>
    </row>
    <row r="547" spans="1:19" ht="31.2" x14ac:dyDescent="0.25">
      <c r="A547" s="17" t="s">
        <v>159</v>
      </c>
      <c r="B547" s="17" t="s">
        <v>160</v>
      </c>
      <c r="C547" s="35" t="s">
        <v>161</v>
      </c>
      <c r="D547" s="35" t="s">
        <v>162</v>
      </c>
      <c r="E547" s="44">
        <v>0.2</v>
      </c>
      <c r="H547" s="43"/>
      <c r="I547" s="43"/>
      <c r="J547" s="43"/>
      <c r="K547" s="43"/>
      <c r="L547" s="43"/>
      <c r="M547" s="43"/>
      <c r="N547" s="43"/>
      <c r="O547" s="43"/>
      <c r="P547" s="43"/>
      <c r="Q547" s="43"/>
      <c r="R547" s="9"/>
      <c r="S547" s="9"/>
    </row>
    <row r="548" spans="1:19" ht="46.8" x14ac:dyDescent="0.25">
      <c r="A548" s="17" t="s">
        <v>163</v>
      </c>
      <c r="B548" s="17" t="s">
        <v>164</v>
      </c>
      <c r="C548" s="35" t="s">
        <v>165</v>
      </c>
      <c r="D548" s="35" t="s">
        <v>166</v>
      </c>
      <c r="E548" s="45">
        <f>0.5*0.8042+0.5*0.2135</f>
        <v>0.50885000000000002</v>
      </c>
      <c r="F548" s="46"/>
      <c r="G548" s="46"/>
      <c r="H548" s="46"/>
      <c r="I548" s="46"/>
      <c r="J548" s="46"/>
      <c r="K548" s="46"/>
      <c r="L548" s="46"/>
      <c r="M548" s="46"/>
      <c r="N548" s="46"/>
      <c r="O548" s="46"/>
      <c r="P548" s="46"/>
      <c r="Q548" s="46"/>
    </row>
    <row r="549" spans="1:19" ht="31.2" x14ac:dyDescent="0.4">
      <c r="A549" s="40" t="s">
        <v>167</v>
      </c>
      <c r="B549" s="17" t="s">
        <v>103</v>
      </c>
      <c r="C549" s="35" t="s">
        <v>168</v>
      </c>
      <c r="D549" s="35" t="s">
        <v>169</v>
      </c>
      <c r="E549" s="47">
        <v>0</v>
      </c>
      <c r="H549" s="43"/>
      <c r="I549" s="43"/>
      <c r="J549" s="43"/>
      <c r="K549" s="43"/>
      <c r="L549" s="43"/>
      <c r="M549" s="43"/>
      <c r="N549" s="43"/>
      <c r="O549" s="43"/>
      <c r="P549" s="43"/>
      <c r="Q549" s="43"/>
      <c r="R549" s="9"/>
      <c r="S549" s="9"/>
    </row>
    <row r="550" spans="1:19" x14ac:dyDescent="0.3">
      <c r="A550" s="48"/>
      <c r="E550" s="49"/>
      <c r="H550" s="43"/>
      <c r="I550" s="43"/>
      <c r="J550" s="43"/>
      <c r="K550" s="43"/>
      <c r="L550" s="43"/>
      <c r="M550" s="43"/>
      <c r="N550" s="43"/>
      <c r="O550" s="43"/>
      <c r="P550" s="43"/>
      <c r="Q550" s="43"/>
      <c r="R550" s="9"/>
      <c r="S550" s="9"/>
    </row>
    <row r="551" spans="1:19" x14ac:dyDescent="0.25">
      <c r="A551" s="174" t="s">
        <v>170</v>
      </c>
      <c r="B551" s="174"/>
      <c r="C551" s="175"/>
      <c r="D551" s="175"/>
      <c r="E551" s="195"/>
      <c r="F551" s="32"/>
      <c r="G551" s="32"/>
      <c r="H551" s="32"/>
      <c r="I551" s="32"/>
      <c r="J551" s="32"/>
      <c r="K551" s="32"/>
      <c r="L551" s="32"/>
      <c r="M551" s="32"/>
      <c r="N551" s="32"/>
      <c r="O551" s="32"/>
      <c r="P551" s="32"/>
      <c r="Q551" s="32"/>
    </row>
    <row r="552" spans="1:19" x14ac:dyDescent="0.25">
      <c r="A552" s="15" t="s">
        <v>8</v>
      </c>
      <c r="B552" s="15" t="s">
        <v>9</v>
      </c>
      <c r="C552" s="38" t="s">
        <v>10</v>
      </c>
      <c r="D552" s="38" t="s">
        <v>340</v>
      </c>
      <c r="E552" s="16" t="s">
        <v>65</v>
      </c>
      <c r="H552" s="43"/>
      <c r="I552" s="43"/>
      <c r="J552" s="43"/>
      <c r="K552" s="43"/>
      <c r="L552" s="43"/>
      <c r="M552" s="43"/>
      <c r="N552" s="43"/>
      <c r="O552" s="43"/>
      <c r="P552" s="43"/>
      <c r="Q552" s="43"/>
      <c r="R552" s="9"/>
      <c r="S552" s="9"/>
    </row>
    <row r="553" spans="1:19" ht="33.6" x14ac:dyDescent="0.4">
      <c r="A553" s="40" t="s">
        <v>171</v>
      </c>
      <c r="B553" s="17" t="s">
        <v>74</v>
      </c>
      <c r="C553" s="35" t="s">
        <v>172</v>
      </c>
      <c r="D553" s="35" t="s">
        <v>391</v>
      </c>
      <c r="E553" s="50">
        <f>E554*E557*E558*E559*E560*E561</f>
        <v>7.3633766937625422</v>
      </c>
      <c r="H553" s="43"/>
      <c r="I553" s="43"/>
      <c r="J553" s="43"/>
      <c r="K553" s="43"/>
      <c r="L553" s="43"/>
      <c r="M553" s="43"/>
      <c r="N553" s="43"/>
      <c r="O553" s="43"/>
      <c r="P553" s="43"/>
      <c r="Q553" s="43"/>
      <c r="R553" s="9"/>
      <c r="S553" s="9"/>
    </row>
    <row r="554" spans="1:19" ht="46.8" x14ac:dyDescent="0.4">
      <c r="A554" s="51" t="s">
        <v>173</v>
      </c>
      <c r="B554" s="17" t="s">
        <v>76</v>
      </c>
      <c r="C554" s="35" t="s">
        <v>174</v>
      </c>
      <c r="D554" s="35" t="s">
        <v>392</v>
      </c>
      <c r="E554" s="69">
        <f>ROUNDUP(E555/E556,0)</f>
        <v>71</v>
      </c>
      <c r="H554" s="43"/>
      <c r="I554" s="43"/>
      <c r="J554" s="43"/>
      <c r="K554" s="43"/>
      <c r="L554" s="43"/>
      <c r="M554" s="43"/>
      <c r="N554" s="43"/>
      <c r="O554" s="43"/>
      <c r="P554" s="43"/>
      <c r="Q554" s="43"/>
      <c r="R554" s="9"/>
      <c r="S554" s="9"/>
    </row>
    <row r="555" spans="1:19" ht="62.4" x14ac:dyDescent="0.25">
      <c r="A555" s="17" t="s">
        <v>175</v>
      </c>
      <c r="B555" s="17" t="s">
        <v>78</v>
      </c>
      <c r="C555" s="35" t="s">
        <v>176</v>
      </c>
      <c r="D555" s="35" t="s">
        <v>346</v>
      </c>
      <c r="E555" s="52">
        <v>354.40699999999998</v>
      </c>
      <c r="H555" s="43"/>
      <c r="I555" s="43"/>
      <c r="J555" s="43"/>
      <c r="K555" s="43"/>
      <c r="L555" s="43"/>
      <c r="M555" s="43"/>
      <c r="N555" s="43"/>
      <c r="O555" s="43"/>
      <c r="P555" s="43"/>
      <c r="Q555" s="43"/>
      <c r="R555" s="9"/>
      <c r="S555" s="9"/>
    </row>
    <row r="556" spans="1:19" ht="62.4" x14ac:dyDescent="0.25">
      <c r="A556" s="17" t="s">
        <v>177</v>
      </c>
      <c r="B556" s="17" t="s">
        <v>80</v>
      </c>
      <c r="C556" s="35" t="s">
        <v>81</v>
      </c>
      <c r="D556" s="35" t="s">
        <v>345</v>
      </c>
      <c r="E556" s="25">
        <f>5</f>
        <v>5</v>
      </c>
      <c r="H556" s="43"/>
      <c r="I556" s="43"/>
      <c r="J556" s="43"/>
      <c r="K556" s="43"/>
      <c r="L556" s="43"/>
      <c r="M556" s="43"/>
      <c r="N556" s="43"/>
      <c r="O556" s="43"/>
      <c r="P556" s="43"/>
      <c r="Q556" s="43"/>
      <c r="R556" s="9"/>
      <c r="S556" s="9"/>
    </row>
    <row r="557" spans="1:19" ht="202.8" x14ac:dyDescent="0.25">
      <c r="A557" s="17" t="s">
        <v>178</v>
      </c>
      <c r="B557" s="17" t="s">
        <v>82</v>
      </c>
      <c r="C557" s="35" t="s">
        <v>179</v>
      </c>
      <c r="D557" s="35" t="s">
        <v>367</v>
      </c>
      <c r="E557" s="25">
        <f>76.6*2</f>
        <v>153.19999999999999</v>
      </c>
      <c r="H557" s="43"/>
      <c r="I557" s="43"/>
      <c r="J557" s="43"/>
      <c r="K557" s="43"/>
      <c r="L557" s="43"/>
      <c r="M557" s="43"/>
      <c r="N557" s="43"/>
      <c r="O557" s="43"/>
      <c r="P557" s="43"/>
      <c r="Q557" s="43"/>
      <c r="R557" s="9"/>
      <c r="S557" s="9"/>
    </row>
    <row r="558" spans="1:19" ht="156" x14ac:dyDescent="0.25">
      <c r="A558" s="17" t="s">
        <v>180</v>
      </c>
      <c r="B558" s="17" t="s">
        <v>84</v>
      </c>
      <c r="C558" s="35" t="s">
        <v>85</v>
      </c>
      <c r="D558" s="35" t="s">
        <v>365</v>
      </c>
      <c r="E558" s="25">
        <f>25.1/100</f>
        <v>0.251</v>
      </c>
      <c r="H558" s="43"/>
      <c r="I558" s="43"/>
      <c r="J558" s="43"/>
      <c r="K558" s="43"/>
      <c r="L558" s="43"/>
      <c r="M558" s="43"/>
      <c r="N558" s="43"/>
      <c r="O558" s="43"/>
      <c r="P558" s="43"/>
      <c r="Q558" s="43"/>
      <c r="R558" s="9"/>
      <c r="S558" s="9"/>
    </row>
    <row r="559" spans="1:19" ht="62.4" x14ac:dyDescent="0.25">
      <c r="A559" s="17" t="s">
        <v>86</v>
      </c>
      <c r="B559" s="17" t="s">
        <v>87</v>
      </c>
      <c r="C559" s="35" t="s">
        <v>86</v>
      </c>
      <c r="D559" s="35" t="s">
        <v>215</v>
      </c>
      <c r="E559" s="25">
        <f>0.84/1000</f>
        <v>8.3999999999999993E-4</v>
      </c>
      <c r="H559" s="43"/>
      <c r="I559" s="43"/>
      <c r="J559" s="43"/>
      <c r="K559" s="43"/>
      <c r="L559" s="43"/>
      <c r="M559" s="43"/>
      <c r="N559" s="43"/>
      <c r="O559" s="43"/>
      <c r="P559" s="43"/>
      <c r="Q559" s="43"/>
      <c r="R559" s="9"/>
      <c r="S559" s="9"/>
    </row>
    <row r="560" spans="1:19" ht="124.8" x14ac:dyDescent="0.25">
      <c r="A560" s="17" t="s">
        <v>181</v>
      </c>
      <c r="B560" s="17" t="s">
        <v>88</v>
      </c>
      <c r="C560" s="35" t="s">
        <v>89</v>
      </c>
      <c r="D560" s="35" t="s">
        <v>360</v>
      </c>
      <c r="E560" s="25">
        <f>43.33/1000</f>
        <v>4.333E-2</v>
      </c>
      <c r="H560" s="43"/>
      <c r="I560" s="43"/>
      <c r="J560" s="43"/>
      <c r="K560" s="43"/>
      <c r="L560" s="43"/>
      <c r="M560" s="43"/>
      <c r="N560" s="43"/>
      <c r="O560" s="43"/>
      <c r="P560" s="43"/>
      <c r="Q560" s="43"/>
      <c r="R560" s="9"/>
      <c r="S560" s="9"/>
    </row>
    <row r="561" spans="1:133" ht="33.6" x14ac:dyDescent="0.25">
      <c r="A561" s="17" t="s">
        <v>182</v>
      </c>
      <c r="B561" s="17" t="s">
        <v>90</v>
      </c>
      <c r="C561" s="35" t="s">
        <v>91</v>
      </c>
      <c r="D561" s="35" t="s">
        <v>92</v>
      </c>
      <c r="E561" s="25">
        <v>74.099999999999994</v>
      </c>
      <c r="H561" s="43"/>
      <c r="I561" s="43"/>
      <c r="J561" s="43"/>
      <c r="K561" s="43"/>
      <c r="L561" s="43"/>
      <c r="M561" s="43"/>
      <c r="N561" s="43"/>
      <c r="O561" s="43"/>
      <c r="P561" s="43"/>
      <c r="Q561" s="43"/>
      <c r="R561" s="9"/>
      <c r="S561" s="9"/>
    </row>
    <row r="563" spans="1:133" x14ac:dyDescent="0.25">
      <c r="A563" s="33" t="s">
        <v>8</v>
      </c>
      <c r="B563" s="33" t="s">
        <v>9</v>
      </c>
      <c r="C563" s="34" t="s">
        <v>10</v>
      </c>
      <c r="D563" s="34" t="s">
        <v>340</v>
      </c>
      <c r="E563" s="16" t="s">
        <v>65</v>
      </c>
    </row>
    <row r="564" spans="1:133" ht="18" x14ac:dyDescent="0.25">
      <c r="A564" s="15" t="s">
        <v>183</v>
      </c>
      <c r="B564" s="17" t="s">
        <v>103</v>
      </c>
      <c r="C564" s="35" t="s">
        <v>184</v>
      </c>
      <c r="D564" s="53" t="s">
        <v>393</v>
      </c>
      <c r="E564" s="18">
        <f>ROUNDUP(E513+E537+E541+E545+E553,0)</f>
        <v>139</v>
      </c>
    </row>
    <row r="565" spans="1:133" s="200" customFormat="1" ht="43.2" customHeight="1" x14ac:dyDescent="0.25">
      <c r="A565" s="197" t="s">
        <v>229</v>
      </c>
      <c r="B565" s="198"/>
      <c r="C565" s="198"/>
      <c r="D565" s="198"/>
      <c r="E565" s="198"/>
      <c r="F565" s="198"/>
      <c r="G565" s="198"/>
      <c r="H565" s="198"/>
      <c r="I565" s="198"/>
      <c r="J565" s="198"/>
      <c r="K565" s="198"/>
      <c r="L565" s="198"/>
      <c r="M565" s="198"/>
      <c r="N565" s="198"/>
      <c r="O565" s="198"/>
      <c r="P565" s="198"/>
      <c r="Q565" s="198"/>
      <c r="R565" s="198"/>
      <c r="S565" s="198"/>
      <c r="T565" s="198"/>
      <c r="U565" s="198"/>
      <c r="V565" s="198"/>
      <c r="W565" s="198"/>
      <c r="X565" s="198"/>
      <c r="Y565" s="198"/>
      <c r="Z565" s="198"/>
      <c r="AA565" s="198"/>
      <c r="AB565" s="198"/>
      <c r="AC565" s="198"/>
      <c r="AD565" s="198"/>
      <c r="AE565" s="198"/>
      <c r="AF565" s="198"/>
      <c r="AG565" s="198"/>
      <c r="AH565" s="198"/>
      <c r="AI565" s="198"/>
      <c r="AJ565" s="198"/>
      <c r="AK565" s="198"/>
      <c r="AL565" s="198"/>
      <c r="AM565" s="198"/>
      <c r="AN565" s="198"/>
      <c r="AO565" s="198"/>
      <c r="AP565" s="198"/>
      <c r="AQ565" s="198"/>
      <c r="AR565" s="198"/>
      <c r="AS565" s="198"/>
      <c r="AT565" s="198"/>
      <c r="AU565" s="198"/>
      <c r="AV565" s="198"/>
      <c r="AW565" s="198"/>
      <c r="AX565" s="198"/>
      <c r="AY565" s="198"/>
      <c r="AZ565" s="198"/>
      <c r="BA565" s="198"/>
      <c r="BB565" s="198"/>
      <c r="BC565" s="198"/>
      <c r="BD565" s="198"/>
      <c r="BE565" s="198"/>
      <c r="BF565" s="198"/>
      <c r="BG565" s="198"/>
      <c r="BH565" s="198"/>
      <c r="BI565" s="198"/>
      <c r="BJ565" s="198"/>
      <c r="BK565" s="198"/>
      <c r="BL565" s="198"/>
      <c r="BM565" s="198"/>
      <c r="BN565" s="198"/>
      <c r="BO565" s="198"/>
      <c r="BP565" s="198"/>
      <c r="BQ565" s="198"/>
      <c r="BR565" s="198"/>
      <c r="BS565" s="198"/>
      <c r="BT565" s="198"/>
      <c r="BU565" s="198"/>
      <c r="BV565" s="198"/>
      <c r="BW565" s="198"/>
      <c r="BX565" s="198"/>
      <c r="BY565" s="198"/>
      <c r="BZ565" s="198"/>
      <c r="CA565" s="198"/>
      <c r="CB565" s="198"/>
      <c r="CC565" s="198"/>
      <c r="CD565" s="198"/>
      <c r="CE565" s="198"/>
      <c r="CF565" s="198"/>
      <c r="CG565" s="198"/>
      <c r="CH565" s="198"/>
      <c r="CI565" s="198"/>
      <c r="CJ565" s="198"/>
      <c r="CK565" s="198"/>
      <c r="CL565" s="198"/>
      <c r="CM565" s="198"/>
      <c r="CN565" s="198"/>
      <c r="CO565" s="198"/>
      <c r="CP565" s="198"/>
      <c r="CQ565" s="198"/>
      <c r="CR565" s="198"/>
      <c r="CS565" s="198"/>
      <c r="CT565" s="198"/>
      <c r="CU565" s="198"/>
      <c r="CV565" s="198"/>
      <c r="CW565" s="198"/>
      <c r="CX565" s="198"/>
      <c r="CY565" s="198"/>
      <c r="CZ565" s="198"/>
      <c r="DA565" s="198"/>
      <c r="DB565" s="198"/>
      <c r="DC565" s="198"/>
      <c r="DD565" s="198"/>
      <c r="DE565" s="198"/>
      <c r="DF565" s="198"/>
      <c r="DG565" s="198"/>
      <c r="DH565" s="198"/>
      <c r="DI565" s="198"/>
      <c r="DJ565" s="198"/>
      <c r="DK565" s="198"/>
      <c r="DL565" s="198"/>
      <c r="DM565" s="198"/>
      <c r="DN565" s="198"/>
      <c r="DO565" s="198"/>
      <c r="DP565" s="198"/>
      <c r="DQ565" s="198"/>
      <c r="DR565" s="198"/>
      <c r="DS565" s="198"/>
      <c r="DT565" s="198"/>
      <c r="DU565" s="198"/>
      <c r="DV565" s="198"/>
      <c r="DW565" s="198"/>
      <c r="DX565" s="198"/>
      <c r="DY565" s="198"/>
      <c r="DZ565" s="198"/>
      <c r="EA565" s="198"/>
      <c r="EB565" s="198"/>
      <c r="EC565" s="199"/>
    </row>
    <row r="566" spans="1:133" ht="23.4" customHeight="1" x14ac:dyDescent="0.25">
      <c r="A566" s="201" t="s">
        <v>105</v>
      </c>
      <c r="B566" s="201"/>
      <c r="C566" s="201"/>
      <c r="D566" s="201"/>
      <c r="E566" s="201"/>
      <c r="F566" s="201"/>
      <c r="G566" s="201"/>
      <c r="H566" s="201"/>
      <c r="I566" s="201"/>
      <c r="J566" s="201"/>
      <c r="K566" s="201"/>
      <c r="L566" s="201"/>
      <c r="M566" s="201"/>
      <c r="N566" s="201"/>
      <c r="O566" s="201"/>
      <c r="P566" s="201"/>
      <c r="Q566" s="202"/>
    </row>
    <row r="567" spans="1:133" s="10" customFormat="1" ht="31.2" x14ac:dyDescent="0.25">
      <c r="A567" s="15" t="s">
        <v>8</v>
      </c>
      <c r="B567" s="15" t="s">
        <v>9</v>
      </c>
      <c r="C567" s="15" t="s">
        <v>10</v>
      </c>
      <c r="D567" s="15" t="s">
        <v>340</v>
      </c>
      <c r="E567" s="16" t="s">
        <v>11</v>
      </c>
      <c r="F567" s="16" t="s">
        <v>292</v>
      </c>
      <c r="G567" s="16" t="s">
        <v>292</v>
      </c>
      <c r="H567" s="16" t="s">
        <v>292</v>
      </c>
      <c r="I567" s="16" t="s">
        <v>292</v>
      </c>
      <c r="J567" s="16" t="s">
        <v>292</v>
      </c>
      <c r="K567" s="16" t="s">
        <v>292</v>
      </c>
      <c r="L567" s="16" t="s">
        <v>292</v>
      </c>
      <c r="M567" s="16" t="s">
        <v>292</v>
      </c>
      <c r="N567" s="16" t="s">
        <v>307</v>
      </c>
      <c r="O567" s="16" t="s">
        <v>293</v>
      </c>
      <c r="P567" s="16" t="s">
        <v>294</v>
      </c>
      <c r="Q567" s="16" t="s">
        <v>295</v>
      </c>
      <c r="R567" s="54"/>
      <c r="S567" s="54"/>
    </row>
    <row r="568" spans="1:133" s="10" customFormat="1" x14ac:dyDescent="0.25">
      <c r="A568" s="203" t="s">
        <v>106</v>
      </c>
      <c r="B568" s="203"/>
      <c r="C568" s="203"/>
      <c r="D568" s="203"/>
      <c r="E568" s="204"/>
      <c r="F568" s="16" t="s">
        <v>297</v>
      </c>
      <c r="G568" s="16" t="s">
        <v>297</v>
      </c>
      <c r="H568" s="16" t="s">
        <v>297</v>
      </c>
      <c r="I568" s="16" t="s">
        <v>297</v>
      </c>
      <c r="J568" s="16" t="s">
        <v>297</v>
      </c>
      <c r="K568" s="16" t="s">
        <v>297</v>
      </c>
      <c r="L568" s="16" t="s">
        <v>297</v>
      </c>
      <c r="M568" s="16" t="s">
        <v>297</v>
      </c>
      <c r="N568" s="16">
        <v>18</v>
      </c>
      <c r="O568" s="16">
        <v>31</v>
      </c>
      <c r="P568" s="16">
        <v>30</v>
      </c>
      <c r="Q568" s="16">
        <v>31</v>
      </c>
      <c r="R568" s="54"/>
      <c r="S568" s="54"/>
    </row>
    <row r="569" spans="1:133" s="10" customFormat="1" ht="31.2" x14ac:dyDescent="0.25">
      <c r="A569" s="15" t="s">
        <v>107</v>
      </c>
      <c r="B569" s="17" t="s">
        <v>103</v>
      </c>
      <c r="C569" s="17" t="s">
        <v>108</v>
      </c>
      <c r="D569" s="17" t="s">
        <v>381</v>
      </c>
      <c r="E569" s="18">
        <f>E570+E580</f>
        <v>0</v>
      </c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54"/>
      <c r="S569" s="54"/>
    </row>
    <row r="570" spans="1:133" ht="46.8" x14ac:dyDescent="0.25">
      <c r="A570" s="17" t="s">
        <v>109</v>
      </c>
      <c r="B570" s="17" t="s">
        <v>103</v>
      </c>
      <c r="C570" s="17" t="s">
        <v>110</v>
      </c>
      <c r="D570" s="17" t="s">
        <v>382</v>
      </c>
      <c r="E570" s="19">
        <f>SUM(F570:Q570)</f>
        <v>0</v>
      </c>
      <c r="F570" s="19" t="s">
        <v>297</v>
      </c>
      <c r="G570" s="19" t="s">
        <v>297</v>
      </c>
      <c r="H570" s="19" t="s">
        <v>297</v>
      </c>
      <c r="I570" s="19" t="s">
        <v>297</v>
      </c>
      <c r="J570" s="19" t="s">
        <v>297</v>
      </c>
      <c r="K570" s="19" t="s">
        <v>297</v>
      </c>
      <c r="L570" s="19" t="s">
        <v>297</v>
      </c>
      <c r="M570" s="19" t="s">
        <v>297</v>
      </c>
      <c r="N570" s="19">
        <f t="shared" ref="N570:Q570" si="68">IF(N571&gt;=0.8,0,$E$15*$E$16*0.4*(N572-N575)*N568)</f>
        <v>0</v>
      </c>
      <c r="O570" s="19">
        <f t="shared" si="68"/>
        <v>0</v>
      </c>
      <c r="P570" s="19">
        <f t="shared" si="68"/>
        <v>0</v>
      </c>
      <c r="Q570" s="19">
        <f t="shared" si="68"/>
        <v>0</v>
      </c>
    </row>
    <row r="571" spans="1:133" ht="62.4" x14ac:dyDescent="0.25">
      <c r="A571" s="17" t="s">
        <v>111</v>
      </c>
      <c r="B571" s="17" t="s">
        <v>37</v>
      </c>
      <c r="C571" s="17" t="s">
        <v>112</v>
      </c>
      <c r="D571" s="17" t="s">
        <v>383</v>
      </c>
      <c r="E571" s="20">
        <f>AVERAGE(N571:Q571)</f>
        <v>0.95324276248940376</v>
      </c>
      <c r="F571" s="20" t="s">
        <v>297</v>
      </c>
      <c r="G571" s="20" t="s">
        <v>297</v>
      </c>
      <c r="H571" s="20" t="s">
        <v>297</v>
      </c>
      <c r="I571" s="20" t="s">
        <v>297</v>
      </c>
      <c r="J571" s="20" t="s">
        <v>297</v>
      </c>
      <c r="K571" s="20" t="s">
        <v>297</v>
      </c>
      <c r="L571" s="20" t="s">
        <v>297</v>
      </c>
      <c r="M571" s="20" t="s">
        <v>297</v>
      </c>
      <c r="N571" s="20">
        <f t="shared" ref="N571:Q571" si="69">(N572-N575)/N572</f>
        <v>0.95283089144824296</v>
      </c>
      <c r="O571" s="20">
        <f t="shared" si="69"/>
        <v>0.95292976314246325</v>
      </c>
      <c r="P571" s="20">
        <f t="shared" si="69"/>
        <v>0.95341127610858345</v>
      </c>
      <c r="Q571" s="20">
        <f t="shared" si="69"/>
        <v>0.9537991192583255</v>
      </c>
    </row>
    <row r="572" spans="1:133" ht="46.8" x14ac:dyDescent="0.25">
      <c r="A572" s="17" t="s">
        <v>113</v>
      </c>
      <c r="B572" s="17" t="s">
        <v>24</v>
      </c>
      <c r="C572" s="17" t="s">
        <v>114</v>
      </c>
      <c r="D572" s="17" t="s">
        <v>384</v>
      </c>
      <c r="E572" s="20">
        <f>SUM(N572:Q572)</f>
        <v>10.269645757044016</v>
      </c>
      <c r="F572" s="20" t="s">
        <v>297</v>
      </c>
      <c r="G572" s="20" t="s">
        <v>297</v>
      </c>
      <c r="H572" s="20" t="s">
        <v>297</v>
      </c>
      <c r="I572" s="20" t="s">
        <v>297</v>
      </c>
      <c r="J572" s="20" t="s">
        <v>297</v>
      </c>
      <c r="K572" s="20" t="s">
        <v>297</v>
      </c>
      <c r="L572" s="20" t="s">
        <v>297</v>
      </c>
      <c r="M572" s="20" t="s">
        <v>297</v>
      </c>
      <c r="N572" s="20">
        <f t="shared" ref="N572:Q572" si="70">N573*N574</f>
        <v>2.736454027932548</v>
      </c>
      <c r="O572" s="20">
        <f t="shared" si="70"/>
        <v>2.736780915712409</v>
      </c>
      <c r="P572" s="20">
        <f t="shared" si="70"/>
        <v>2.4001118411316025</v>
      </c>
      <c r="Q572" s="20">
        <f t="shared" si="70"/>
        <v>2.3962989722674557</v>
      </c>
    </row>
    <row r="573" spans="1:133" ht="60" customHeight="1" x14ac:dyDescent="0.25">
      <c r="A573" s="17" t="s">
        <v>115</v>
      </c>
      <c r="B573" s="17" t="s">
        <v>116</v>
      </c>
      <c r="C573" s="17" t="s">
        <v>117</v>
      </c>
      <c r="D573" s="17" t="s">
        <v>336</v>
      </c>
      <c r="E573" s="129">
        <f>SUM(N573:Q573)</f>
        <v>21930.283615223547</v>
      </c>
      <c r="F573" s="21" t="s">
        <v>297</v>
      </c>
      <c r="G573" s="21" t="s">
        <v>297</v>
      </c>
      <c r="H573" s="21" t="s">
        <v>297</v>
      </c>
      <c r="I573" s="21" t="s">
        <v>297</v>
      </c>
      <c r="J573" s="21" t="s">
        <v>297</v>
      </c>
      <c r="K573" s="21" t="s">
        <v>297</v>
      </c>
      <c r="L573" s="21" t="s">
        <v>297</v>
      </c>
      <c r="M573" s="21" t="s">
        <v>297</v>
      </c>
      <c r="N573" s="129">
        <f>'Baseline Emissions 2020'!N555</f>
        <v>5843.5588421052626</v>
      </c>
      <c r="O573" s="129">
        <f>'Baseline Emissions 2020'!O555</f>
        <v>5842.1546774193557</v>
      </c>
      <c r="P573" s="129">
        <f>'Baseline Emissions 2020'!P555</f>
        <v>5123.2229666666681</v>
      </c>
      <c r="Q573" s="129">
        <f>'Baseline Emissions 2020'!Q555</f>
        <v>5121.3471290322577</v>
      </c>
    </row>
    <row r="574" spans="1:133" ht="46.8" x14ac:dyDescent="0.25">
      <c r="A574" s="17" t="s">
        <v>118</v>
      </c>
      <c r="B574" s="17" t="s">
        <v>119</v>
      </c>
      <c r="C574" s="17" t="s">
        <v>120</v>
      </c>
      <c r="D574" s="35" t="s">
        <v>338</v>
      </c>
      <c r="E574" s="120">
        <f>AVERAGE(N574:Q574)</f>
        <v>4.6828013381909075E-4</v>
      </c>
      <c r="F574" s="23" t="str">
        <f>'Baseline Emissions 2020'!F559</f>
        <v>—</v>
      </c>
      <c r="G574" s="23" t="str">
        <f>'Baseline Emissions 2020'!G559</f>
        <v>—</v>
      </c>
      <c r="H574" s="23" t="str">
        <f>'Baseline Emissions 2020'!H559</f>
        <v>—</v>
      </c>
      <c r="I574" s="23" t="str">
        <f>'Baseline Emissions 2020'!I559</f>
        <v>—</v>
      </c>
      <c r="J574" s="23" t="str">
        <f>'Baseline Emissions 2020'!J559</f>
        <v>—</v>
      </c>
      <c r="K574" s="23" t="str">
        <f>'Baseline Emissions 2020'!K559</f>
        <v>—</v>
      </c>
      <c r="L574" s="23" t="str">
        <f>'Baseline Emissions 2020'!L559</f>
        <v>—</v>
      </c>
      <c r="M574" s="23" t="str">
        <f>'Baseline Emissions 2020'!M559</f>
        <v>—</v>
      </c>
      <c r="N574" s="130">
        <f>'Baseline Emissions 2020'!N559</f>
        <v>4.6828552631578943E-4</v>
      </c>
      <c r="O574" s="130">
        <f>'Baseline Emissions 2020'!O559</f>
        <v>4.6845403225806442E-4</v>
      </c>
      <c r="P574" s="130">
        <f>'Baseline Emissions 2020'!P559</f>
        <v>4.6847694444444442E-4</v>
      </c>
      <c r="Q574" s="130">
        <f>'Baseline Emissions 2020'!Q559</f>
        <v>4.6790403225806449E-4</v>
      </c>
    </row>
    <row r="575" spans="1:133" ht="46.8" x14ac:dyDescent="0.25">
      <c r="A575" s="17" t="s">
        <v>121</v>
      </c>
      <c r="B575" s="17" t="s">
        <v>24</v>
      </c>
      <c r="C575" s="17" t="s">
        <v>122</v>
      </c>
      <c r="D575" s="17" t="s">
        <v>384</v>
      </c>
      <c r="E575" s="20">
        <f>SUM(N575:Q575)</f>
        <v>0.48042629393433844</v>
      </c>
      <c r="F575" s="20" t="s">
        <v>297</v>
      </c>
      <c r="G575" s="20" t="s">
        <v>297</v>
      </c>
      <c r="H575" s="20" t="s">
        <v>297</v>
      </c>
      <c r="I575" s="20" t="s">
        <v>297</v>
      </c>
      <c r="J575" s="20" t="s">
        <v>297</v>
      </c>
      <c r="K575" s="20" t="s">
        <v>297</v>
      </c>
      <c r="L575" s="20" t="s">
        <v>297</v>
      </c>
      <c r="M575" s="20" t="s">
        <v>297</v>
      </c>
      <c r="N575" s="20">
        <f t="shared" ref="N575:Q575" si="71">SUM(N576*N577)</f>
        <v>0.12907609709044318</v>
      </c>
      <c r="O575" s="20">
        <f t="shared" si="71"/>
        <v>0.12882092592976935</v>
      </c>
      <c r="P575" s="20">
        <f t="shared" si="71"/>
        <v>0.111818147875</v>
      </c>
      <c r="Q575" s="20">
        <f t="shared" si="71"/>
        <v>0.11071112303912592</v>
      </c>
    </row>
    <row r="576" spans="1:133" ht="62.4" x14ac:dyDescent="0.25">
      <c r="A576" s="17" t="s">
        <v>123</v>
      </c>
      <c r="B576" s="17" t="s">
        <v>116</v>
      </c>
      <c r="C576" s="17" t="s">
        <v>124</v>
      </c>
      <c r="D576" s="17" t="s">
        <v>337</v>
      </c>
      <c r="E576" s="129">
        <f>SUM(N576:Q576)</f>
        <v>21390.56687945671</v>
      </c>
      <c r="F576" s="21" t="s">
        <v>297</v>
      </c>
      <c r="G576" s="21" t="s">
        <v>297</v>
      </c>
      <c r="H576" s="21" t="s">
        <v>297</v>
      </c>
      <c r="I576" s="21" t="s">
        <v>297</v>
      </c>
      <c r="J576" s="21" t="s">
        <v>297</v>
      </c>
      <c r="K576" s="21" t="s">
        <v>297</v>
      </c>
      <c r="L576" s="21" t="s">
        <v>297</v>
      </c>
      <c r="M576" s="21" t="s">
        <v>297</v>
      </c>
      <c r="N576" s="129">
        <v>5677.6151052631576</v>
      </c>
      <c r="O576" s="129">
        <v>5688.6058387096782</v>
      </c>
      <c r="P576" s="129">
        <v>5013.3300000000008</v>
      </c>
      <c r="Q576" s="129">
        <v>5011.0159354838706</v>
      </c>
    </row>
    <row r="577" spans="1:17" ht="46.8" x14ac:dyDescent="0.25">
      <c r="A577" s="17" t="s">
        <v>125</v>
      </c>
      <c r="B577" s="17" t="s">
        <v>119</v>
      </c>
      <c r="C577" s="17" t="s">
        <v>126</v>
      </c>
      <c r="D577" s="35" t="s">
        <v>339</v>
      </c>
      <c r="E577" s="131">
        <f>AVERAGE(N577:Q577)</f>
        <v>2.2444338921901527E-5</v>
      </c>
      <c r="F577" s="24" t="str">
        <f>'Baseline Emissions 2020'!F560</f>
        <v>—</v>
      </c>
      <c r="G577" s="24" t="str">
        <f>'Baseline Emissions 2020'!G560</f>
        <v>—</v>
      </c>
      <c r="H577" s="24" t="str">
        <f>'Baseline Emissions 2020'!H560</f>
        <v>—</v>
      </c>
      <c r="I577" s="24" t="str">
        <f>'Baseline Emissions 2020'!I560</f>
        <v>—</v>
      </c>
      <c r="J577" s="24" t="str">
        <f>'Baseline Emissions 2020'!J560</f>
        <v>—</v>
      </c>
      <c r="K577" s="24" t="str">
        <f>'Baseline Emissions 2020'!K560</f>
        <v>—</v>
      </c>
      <c r="L577" s="24" t="str">
        <f>'Baseline Emissions 2020'!L560</f>
        <v>—</v>
      </c>
      <c r="M577" s="24" t="str">
        <f>'Baseline Emissions 2020'!M560</f>
        <v>—</v>
      </c>
      <c r="N577" s="131">
        <f>'Baseline Emissions 2020'!N560</f>
        <v>2.2734210526315784E-5</v>
      </c>
      <c r="O577" s="131">
        <f>'Baseline Emissions 2020'!O560</f>
        <v>2.2645430107526883E-5</v>
      </c>
      <c r="P577" s="131">
        <f>'Baseline Emissions 2020'!P560</f>
        <v>2.2304166666666662E-5</v>
      </c>
      <c r="Q577" s="131">
        <f>'Baseline Emissions 2020'!Q560</f>
        <v>2.2093548387096777E-5</v>
      </c>
    </row>
    <row r="578" spans="1:17" ht="31.2" x14ac:dyDescent="0.25">
      <c r="A578" s="17" t="s">
        <v>127</v>
      </c>
      <c r="B578" s="17" t="s">
        <v>128</v>
      </c>
      <c r="C578" s="17" t="s">
        <v>17</v>
      </c>
      <c r="D578" s="17" t="s">
        <v>129</v>
      </c>
      <c r="E578" s="176">
        <v>28</v>
      </c>
      <c r="F578" s="176"/>
      <c r="G578" s="176"/>
      <c r="H578" s="176"/>
      <c r="I578" s="176"/>
      <c r="J578" s="176"/>
      <c r="K578" s="176"/>
      <c r="L578" s="176"/>
      <c r="M578" s="176"/>
      <c r="N578" s="176"/>
      <c r="O578" s="176"/>
      <c r="P578" s="176"/>
      <c r="Q578" s="176"/>
    </row>
    <row r="579" spans="1:17" ht="64.8" x14ac:dyDescent="0.25">
      <c r="A579" s="17" t="s">
        <v>130</v>
      </c>
      <c r="B579" s="17" t="s">
        <v>19</v>
      </c>
      <c r="C579" s="17" t="s">
        <v>131</v>
      </c>
      <c r="D579" s="17" t="s">
        <v>394</v>
      </c>
      <c r="E579" s="176">
        <v>0.21</v>
      </c>
      <c r="F579" s="176"/>
      <c r="G579" s="176"/>
      <c r="H579" s="176"/>
      <c r="I579" s="176"/>
      <c r="J579" s="176"/>
      <c r="K579" s="176"/>
      <c r="L579" s="176"/>
      <c r="M579" s="176"/>
      <c r="N579" s="176"/>
      <c r="O579" s="176"/>
      <c r="P579" s="176"/>
      <c r="Q579" s="176"/>
    </row>
    <row r="580" spans="1:17" ht="46.8" x14ac:dyDescent="0.25">
      <c r="A580" s="17" t="s">
        <v>132</v>
      </c>
      <c r="B580" s="17" t="s">
        <v>103</v>
      </c>
      <c r="C580" s="17" t="s">
        <v>133</v>
      </c>
      <c r="D580" s="17" t="s">
        <v>385</v>
      </c>
      <c r="E580" s="19">
        <f>SUM(F580:Q580)</f>
        <v>0</v>
      </c>
      <c r="F580" s="19" t="s">
        <v>297</v>
      </c>
      <c r="G580" s="19" t="s">
        <v>297</v>
      </c>
      <c r="H580" s="19" t="s">
        <v>297</v>
      </c>
      <c r="I580" s="19" t="s">
        <v>297</v>
      </c>
      <c r="J580" s="19" t="s">
        <v>297</v>
      </c>
      <c r="K580" s="19" t="s">
        <v>297</v>
      </c>
      <c r="L580" s="19" t="s">
        <v>297</v>
      </c>
      <c r="M580" s="19" t="s">
        <v>297</v>
      </c>
      <c r="N580" s="19">
        <f t="shared" ref="N580:Q580" si="72">$E$15*$E$16*N581*N575*N568</f>
        <v>0</v>
      </c>
      <c r="O580" s="19">
        <f t="shared" si="72"/>
        <v>0</v>
      </c>
      <c r="P580" s="19">
        <f t="shared" si="72"/>
        <v>0</v>
      </c>
      <c r="Q580" s="19">
        <f t="shared" si="72"/>
        <v>0</v>
      </c>
    </row>
    <row r="581" spans="1:17" ht="18" x14ac:dyDescent="0.25">
      <c r="A581" s="17" t="s">
        <v>134</v>
      </c>
      <c r="B581" s="17" t="s">
        <v>37</v>
      </c>
      <c r="C581" s="17" t="s">
        <v>135</v>
      </c>
      <c r="D581" s="17" t="s">
        <v>386</v>
      </c>
      <c r="E581" s="26">
        <f>AVERAGE(F581:Q581)</f>
        <v>0</v>
      </c>
      <c r="F581" s="26" t="s">
        <v>297</v>
      </c>
      <c r="G581" s="26" t="s">
        <v>297</v>
      </c>
      <c r="H581" s="26" t="s">
        <v>297</v>
      </c>
      <c r="I581" s="26" t="s">
        <v>297</v>
      </c>
      <c r="J581" s="26" t="s">
        <v>297</v>
      </c>
      <c r="K581" s="26" t="s">
        <v>297</v>
      </c>
      <c r="L581" s="26" t="s">
        <v>297</v>
      </c>
      <c r="M581" s="26" t="s">
        <v>297</v>
      </c>
      <c r="N581" s="26">
        <f>N582*$E$583*0.89</f>
        <v>0</v>
      </c>
      <c r="O581" s="26">
        <f t="shared" ref="O581:Q581" si="73">O582*$E$583*0.89</f>
        <v>0</v>
      </c>
      <c r="P581" s="26">
        <f t="shared" si="73"/>
        <v>0</v>
      </c>
      <c r="Q581" s="26">
        <f t="shared" si="73"/>
        <v>0</v>
      </c>
    </row>
    <row r="582" spans="1:17" ht="31.2" x14ac:dyDescent="0.25">
      <c r="A582" s="17" t="s">
        <v>136</v>
      </c>
      <c r="B582" s="17" t="s">
        <v>37</v>
      </c>
      <c r="C582" s="17" t="s">
        <v>46</v>
      </c>
      <c r="D582" s="17" t="s">
        <v>387</v>
      </c>
      <c r="E582" s="25">
        <v>0</v>
      </c>
      <c r="F582" s="25" t="s">
        <v>297</v>
      </c>
      <c r="G582" s="25" t="s">
        <v>297</v>
      </c>
      <c r="H582" s="25" t="s">
        <v>297</v>
      </c>
      <c r="I582" s="25" t="s">
        <v>297</v>
      </c>
      <c r="J582" s="25" t="s">
        <v>297</v>
      </c>
      <c r="K582" s="25" t="s">
        <v>297</v>
      </c>
      <c r="L582" s="25" t="s">
        <v>297</v>
      </c>
      <c r="M582" s="25" t="s">
        <v>297</v>
      </c>
      <c r="N582" s="25">
        <v>0</v>
      </c>
      <c r="O582" s="25">
        <v>0</v>
      </c>
      <c r="P582" s="25">
        <v>0</v>
      </c>
      <c r="Q582" s="25">
        <v>0</v>
      </c>
    </row>
    <row r="583" spans="1:17" ht="31.2" x14ac:dyDescent="0.25">
      <c r="A583" s="17" t="s">
        <v>137</v>
      </c>
      <c r="B583" s="17" t="s">
        <v>201</v>
      </c>
      <c r="C583" s="17" t="s">
        <v>138</v>
      </c>
      <c r="D583" s="17" t="s">
        <v>388</v>
      </c>
      <c r="E583" s="196">
        <f>(N584*N589+O584*O589+P584*P589+Q584*Q589)/(N577*N576*N568+O576*O577*O568+P577*P576*P568+Q577*Q576*Q568)</f>
        <v>0.52952499890640059</v>
      </c>
      <c r="F583" s="196"/>
      <c r="G583" s="196"/>
      <c r="H583" s="196"/>
      <c r="I583" s="196"/>
      <c r="J583" s="196"/>
      <c r="K583" s="196"/>
      <c r="L583" s="196"/>
      <c r="M583" s="196"/>
      <c r="N583" s="196"/>
      <c r="O583" s="196"/>
      <c r="P583" s="196"/>
      <c r="Q583" s="196"/>
    </row>
    <row r="584" spans="1:17" ht="31.2" x14ac:dyDescent="0.25">
      <c r="A584" s="17" t="s">
        <v>139</v>
      </c>
      <c r="B584" s="17" t="s">
        <v>37</v>
      </c>
      <c r="C584" s="17" t="s">
        <v>140</v>
      </c>
      <c r="D584" s="17" t="s">
        <v>375</v>
      </c>
      <c r="E584" s="27">
        <f>AVERAGE(F584:Q584)</f>
        <v>0.55196746463981816</v>
      </c>
      <c r="F584" s="27" t="s">
        <v>297</v>
      </c>
      <c r="G584" s="27" t="s">
        <v>297</v>
      </c>
      <c r="H584" s="27" t="s">
        <v>297</v>
      </c>
      <c r="I584" s="27" t="s">
        <v>297</v>
      </c>
      <c r="J584" s="27" t="s">
        <v>297</v>
      </c>
      <c r="K584" s="27" t="s">
        <v>297</v>
      </c>
      <c r="L584" s="27" t="s">
        <v>297</v>
      </c>
      <c r="M584" s="27" t="s">
        <v>297</v>
      </c>
      <c r="N584" s="27">
        <f>IF(N588&lt;283,0,IF(N588&gt;303,1,EXP(($E$585*(N588-$E$586))/($E$587*$E$586*N588))))</f>
        <v>0.84523513966163832</v>
      </c>
      <c r="O584" s="27">
        <f t="shared" ref="O584:Q584" si="74">IF(O588&lt;283,0,IF(O588&gt;303,1,EXP(($E$585*(O588-$E$586))/($E$587*$E$586*O588))))</f>
        <v>0.60078639810878987</v>
      </c>
      <c r="P584" s="27">
        <f t="shared" si="74"/>
        <v>0.50475941545474445</v>
      </c>
      <c r="Q584" s="27">
        <f t="shared" si="74"/>
        <v>0.25708890533410012</v>
      </c>
    </row>
    <row r="585" spans="1:17" x14ac:dyDescent="0.25">
      <c r="A585" s="17" t="s">
        <v>51</v>
      </c>
      <c r="B585" s="17" t="s">
        <v>52</v>
      </c>
      <c r="C585" s="17" t="s">
        <v>53</v>
      </c>
      <c r="D585" s="17" t="s">
        <v>389</v>
      </c>
      <c r="E585" s="176">
        <v>15175</v>
      </c>
      <c r="F585" s="176"/>
      <c r="G585" s="176"/>
      <c r="H585" s="176"/>
      <c r="I585" s="176"/>
      <c r="J585" s="176"/>
      <c r="K585" s="176"/>
      <c r="L585" s="176"/>
      <c r="M585" s="176"/>
      <c r="N585" s="176"/>
      <c r="O585" s="176"/>
      <c r="P585" s="176"/>
      <c r="Q585" s="176"/>
    </row>
    <row r="586" spans="1:17" ht="18" x14ac:dyDescent="0.25">
      <c r="A586" s="17" t="s">
        <v>141</v>
      </c>
      <c r="B586" s="17" t="s">
        <v>55</v>
      </c>
      <c r="C586" s="17" t="s">
        <v>56</v>
      </c>
      <c r="D586" s="17" t="s">
        <v>389</v>
      </c>
      <c r="E586" s="176">
        <v>303.16000000000003</v>
      </c>
      <c r="F586" s="176"/>
      <c r="G586" s="176"/>
      <c r="H586" s="176"/>
      <c r="I586" s="176"/>
      <c r="J586" s="176"/>
      <c r="K586" s="176"/>
      <c r="L586" s="176"/>
      <c r="M586" s="176"/>
      <c r="N586" s="176"/>
      <c r="O586" s="176"/>
      <c r="P586" s="176"/>
      <c r="Q586" s="176"/>
    </row>
    <row r="587" spans="1:17" x14ac:dyDescent="0.25">
      <c r="A587" s="17" t="s">
        <v>57</v>
      </c>
      <c r="B587" s="17" t="s">
        <v>58</v>
      </c>
      <c r="C587" s="17" t="s">
        <v>59</v>
      </c>
      <c r="D587" s="17" t="s">
        <v>389</v>
      </c>
      <c r="E587" s="176">
        <v>1.9870000000000001</v>
      </c>
      <c r="F587" s="176"/>
      <c r="G587" s="176"/>
      <c r="H587" s="176"/>
      <c r="I587" s="176"/>
      <c r="J587" s="176"/>
      <c r="K587" s="176"/>
      <c r="L587" s="176"/>
      <c r="M587" s="176"/>
      <c r="N587" s="176"/>
      <c r="O587" s="176"/>
      <c r="P587" s="176"/>
      <c r="Q587" s="176"/>
    </row>
    <row r="588" spans="1:17" ht="18" x14ac:dyDescent="0.25">
      <c r="A588" s="17" t="s">
        <v>142</v>
      </c>
      <c r="B588" s="17" t="s">
        <v>55</v>
      </c>
      <c r="C588" s="17" t="s">
        <v>143</v>
      </c>
      <c r="D588" s="144" t="s">
        <v>363</v>
      </c>
      <c r="E588" s="28">
        <f>AVERAGE(N588:Q588)</f>
        <v>295.27499999999998</v>
      </c>
      <c r="F588" s="25" t="s">
        <v>297</v>
      </c>
      <c r="G588" s="25" t="s">
        <v>297</v>
      </c>
      <c r="H588" s="25" t="s">
        <v>297</v>
      </c>
      <c r="I588" s="25" t="s">
        <v>297</v>
      </c>
      <c r="J588" s="25" t="s">
        <v>297</v>
      </c>
      <c r="K588" s="25" t="s">
        <v>297</v>
      </c>
      <c r="L588" s="25" t="s">
        <v>297</v>
      </c>
      <c r="M588" s="25" t="s">
        <v>297</v>
      </c>
      <c r="N588" s="25">
        <v>301.14999999999998</v>
      </c>
      <c r="O588" s="25">
        <v>297.14999999999998</v>
      </c>
      <c r="P588" s="25">
        <v>295.14999999999998</v>
      </c>
      <c r="Q588" s="25">
        <v>287.64999999999998</v>
      </c>
    </row>
    <row r="589" spans="1:17" ht="46.8" x14ac:dyDescent="0.25">
      <c r="A589" s="17" t="s">
        <v>144</v>
      </c>
      <c r="B589" s="17" t="s">
        <v>24</v>
      </c>
      <c r="C589" s="17" t="s">
        <v>145</v>
      </c>
      <c r="D589" s="17" t="s">
        <v>390</v>
      </c>
      <c r="E589" s="29">
        <f>SUM(N589:Q589)</f>
        <v>13.103407701913731</v>
      </c>
      <c r="F589" s="29" t="s">
        <v>297</v>
      </c>
      <c r="G589" s="29" t="s">
        <v>297</v>
      </c>
      <c r="H589" s="29" t="s">
        <v>297</v>
      </c>
      <c r="I589" s="29" t="s">
        <v>297</v>
      </c>
      <c r="J589" s="29" t="s">
        <v>297</v>
      </c>
      <c r="K589" s="29" t="s">
        <v>297</v>
      </c>
      <c r="L589" s="29" t="s">
        <v>297</v>
      </c>
      <c r="M589" s="29" t="s">
        <v>297</v>
      </c>
      <c r="N589" s="29">
        <f>N576*N577*'Project Emissions 2020'!N568+(1-N584)*0</f>
        <v>2.3233697476279773</v>
      </c>
      <c r="O589" s="29">
        <f>O576*O577*'Project Emissions 2020'!O568+(1-O584)*0</f>
        <v>3.9934487038228497</v>
      </c>
      <c r="P589" s="29">
        <f>P576*P577*'Project Emissions 2020'!P568+(1-P584)*0</f>
        <v>3.3545444362499999</v>
      </c>
      <c r="Q589" s="29">
        <f>Q576*Q577*'Project Emissions 2020'!Q568+(1-Q584)*0</f>
        <v>3.4320448142129036</v>
      </c>
    </row>
    <row r="590" spans="1:17" x14ac:dyDescent="0.3">
      <c r="A590" s="30"/>
      <c r="E590" s="31"/>
      <c r="F590" s="31"/>
      <c r="G590" s="31"/>
      <c r="H590" s="31"/>
      <c r="I590" s="31"/>
      <c r="J590" s="31"/>
      <c r="K590" s="31"/>
      <c r="L590" s="31"/>
      <c r="M590" s="31"/>
      <c r="N590" s="31"/>
      <c r="O590" s="31"/>
      <c r="P590" s="31"/>
      <c r="Q590" s="31"/>
    </row>
    <row r="591" spans="1:17" x14ac:dyDescent="0.25">
      <c r="A591" s="174" t="s">
        <v>146</v>
      </c>
      <c r="B591" s="174"/>
      <c r="C591" s="175"/>
      <c r="D591" s="175"/>
      <c r="E591" s="195"/>
      <c r="F591" s="32"/>
      <c r="G591" s="32"/>
      <c r="H591" s="32"/>
      <c r="I591" s="32"/>
      <c r="J591" s="32"/>
      <c r="K591" s="32"/>
      <c r="L591" s="32"/>
      <c r="M591" s="32"/>
      <c r="N591" s="32"/>
      <c r="O591" s="32"/>
      <c r="P591" s="32"/>
      <c r="Q591" s="32"/>
    </row>
    <row r="592" spans="1:17" x14ac:dyDescent="0.25">
      <c r="A592" s="33" t="s">
        <v>8</v>
      </c>
      <c r="B592" s="33" t="s">
        <v>9</v>
      </c>
      <c r="C592" s="34" t="s">
        <v>10</v>
      </c>
      <c r="D592" s="34" t="s">
        <v>340</v>
      </c>
      <c r="E592" s="16" t="s">
        <v>65</v>
      </c>
      <c r="F592" s="32"/>
      <c r="G592" s="32"/>
      <c r="H592" s="32"/>
      <c r="I592" s="32"/>
      <c r="J592" s="32"/>
      <c r="K592" s="32"/>
      <c r="L592" s="32"/>
      <c r="M592" s="32"/>
      <c r="N592" s="32"/>
      <c r="O592" s="32"/>
      <c r="P592" s="32"/>
      <c r="Q592" s="32"/>
    </row>
    <row r="593" spans="1:19" ht="46.8" x14ac:dyDescent="0.25">
      <c r="A593" s="15" t="s">
        <v>147</v>
      </c>
      <c r="B593" s="17" t="s">
        <v>95</v>
      </c>
      <c r="C593" s="35" t="s">
        <v>148</v>
      </c>
      <c r="D593" s="35" t="s">
        <v>68</v>
      </c>
      <c r="E593" s="16">
        <v>0</v>
      </c>
      <c r="F593" s="32"/>
      <c r="G593" s="32"/>
      <c r="H593" s="32"/>
      <c r="I593" s="32"/>
      <c r="J593" s="32"/>
      <c r="K593" s="32"/>
      <c r="L593" s="32"/>
      <c r="M593" s="32"/>
      <c r="N593" s="32"/>
      <c r="O593" s="32"/>
      <c r="P593" s="32"/>
      <c r="Q593" s="32"/>
    </row>
    <row r="594" spans="1:19" x14ac:dyDescent="0.25">
      <c r="A594" s="36"/>
      <c r="B594" s="36"/>
      <c r="C594" s="37"/>
      <c r="D594" s="37"/>
      <c r="E594" s="32"/>
      <c r="F594" s="32"/>
      <c r="G594" s="32"/>
      <c r="H594" s="32"/>
      <c r="I594" s="32"/>
      <c r="J594" s="32"/>
      <c r="K594" s="32"/>
      <c r="L594" s="32"/>
      <c r="M594" s="32"/>
      <c r="N594" s="32"/>
      <c r="O594" s="32"/>
      <c r="P594" s="32"/>
      <c r="Q594" s="32"/>
    </row>
    <row r="595" spans="1:19" x14ac:dyDescent="0.25">
      <c r="A595" s="174" t="s">
        <v>149</v>
      </c>
      <c r="B595" s="174"/>
      <c r="C595" s="175"/>
      <c r="D595" s="175"/>
      <c r="E595" s="195"/>
      <c r="F595" s="32"/>
      <c r="G595" s="32"/>
      <c r="H595" s="32"/>
      <c r="I595" s="32"/>
      <c r="J595" s="32"/>
      <c r="K595" s="32"/>
      <c r="L595" s="32"/>
      <c r="M595" s="32"/>
      <c r="N595" s="32"/>
      <c r="O595" s="32"/>
      <c r="P595" s="32"/>
      <c r="Q595" s="32"/>
    </row>
    <row r="596" spans="1:19" x14ac:dyDescent="0.25">
      <c r="A596" s="33" t="s">
        <v>8</v>
      </c>
      <c r="B596" s="33" t="s">
        <v>9</v>
      </c>
      <c r="C596" s="34" t="s">
        <v>10</v>
      </c>
      <c r="D596" s="34" t="s">
        <v>340</v>
      </c>
      <c r="E596" s="16" t="s">
        <v>65</v>
      </c>
      <c r="F596" s="32"/>
      <c r="G596" s="32"/>
      <c r="H596" s="32"/>
      <c r="I596" s="32"/>
      <c r="J596" s="32"/>
      <c r="K596" s="32"/>
      <c r="L596" s="32"/>
      <c r="M596" s="32"/>
      <c r="N596" s="32"/>
      <c r="O596" s="32"/>
      <c r="P596" s="32"/>
      <c r="Q596" s="32"/>
    </row>
    <row r="597" spans="1:19" ht="46.8" x14ac:dyDescent="0.25">
      <c r="A597" s="15" t="s">
        <v>150</v>
      </c>
      <c r="B597" s="17" t="s">
        <v>95</v>
      </c>
      <c r="C597" s="35" t="s">
        <v>151</v>
      </c>
      <c r="D597" s="35" t="s">
        <v>68</v>
      </c>
      <c r="E597" s="16">
        <v>0</v>
      </c>
      <c r="F597" s="32"/>
      <c r="G597" s="32"/>
      <c r="H597" s="32"/>
      <c r="I597" s="32"/>
      <c r="J597" s="32"/>
      <c r="K597" s="32"/>
      <c r="L597" s="32"/>
      <c r="M597" s="32"/>
      <c r="N597" s="32"/>
      <c r="O597" s="32"/>
      <c r="P597" s="32"/>
      <c r="Q597" s="32"/>
    </row>
    <row r="598" spans="1:19" x14ac:dyDescent="0.25">
      <c r="F598" s="32"/>
      <c r="G598" s="32"/>
      <c r="H598" s="32"/>
      <c r="I598" s="32"/>
      <c r="J598" s="32"/>
      <c r="K598" s="32"/>
      <c r="L598" s="32"/>
      <c r="M598" s="32"/>
      <c r="N598" s="32"/>
      <c r="O598" s="32"/>
      <c r="P598" s="32"/>
      <c r="Q598" s="32"/>
    </row>
    <row r="599" spans="1:19" x14ac:dyDescent="0.25">
      <c r="A599" s="174" t="s">
        <v>152</v>
      </c>
      <c r="B599" s="174"/>
      <c r="C599" s="175"/>
      <c r="D599" s="175"/>
      <c r="E599" s="195"/>
      <c r="F599" s="32"/>
      <c r="G599" s="32"/>
      <c r="H599" s="32"/>
      <c r="I599" s="32"/>
      <c r="J599" s="32"/>
      <c r="K599" s="32"/>
      <c r="L599" s="32"/>
      <c r="M599" s="32"/>
      <c r="N599" s="32"/>
      <c r="O599" s="32"/>
      <c r="P599" s="32"/>
      <c r="Q599" s="32"/>
    </row>
    <row r="600" spans="1:19" s="10" customFormat="1" x14ac:dyDescent="0.25">
      <c r="A600" s="15" t="s">
        <v>8</v>
      </c>
      <c r="B600" s="15" t="s">
        <v>9</v>
      </c>
      <c r="C600" s="38" t="s">
        <v>10</v>
      </c>
      <c r="D600" s="38" t="s">
        <v>340</v>
      </c>
      <c r="E600" s="16" t="s">
        <v>65</v>
      </c>
      <c r="F600" s="32"/>
      <c r="G600" s="32"/>
      <c r="H600" s="39"/>
      <c r="I600" s="39"/>
      <c r="J600" s="39"/>
      <c r="K600" s="39"/>
      <c r="L600" s="39"/>
      <c r="M600" s="39"/>
      <c r="N600" s="39"/>
      <c r="O600" s="39"/>
      <c r="P600" s="39"/>
      <c r="Q600" s="39"/>
    </row>
    <row r="601" spans="1:19" s="10" customFormat="1" ht="18" x14ac:dyDescent="0.4">
      <c r="A601" s="40" t="s">
        <v>153</v>
      </c>
      <c r="B601" s="17" t="s">
        <v>103</v>
      </c>
      <c r="C601" s="35" t="s">
        <v>154</v>
      </c>
      <c r="D601" s="35" t="s">
        <v>155</v>
      </c>
      <c r="E601" s="41">
        <f>E602*E604*(1+E603)</f>
        <v>145.12504787699999</v>
      </c>
      <c r="F601" s="32"/>
      <c r="G601" s="32"/>
      <c r="H601" s="39"/>
      <c r="I601" s="39"/>
      <c r="J601" s="39"/>
      <c r="K601" s="39"/>
      <c r="L601" s="39"/>
      <c r="M601" s="39"/>
      <c r="N601" s="39"/>
      <c r="O601" s="39"/>
      <c r="P601" s="39"/>
      <c r="Q601" s="39"/>
    </row>
    <row r="602" spans="1:19" ht="31.2" x14ac:dyDescent="0.25">
      <c r="A602" s="17" t="s">
        <v>156</v>
      </c>
      <c r="B602" s="17" t="s">
        <v>157</v>
      </c>
      <c r="C602" s="35" t="s">
        <v>158</v>
      </c>
      <c r="D602" s="35" t="s">
        <v>343</v>
      </c>
      <c r="E602" s="20">
        <f>237668.35/1000</f>
        <v>237.66835</v>
      </c>
      <c r="G602" s="42"/>
      <c r="H602" s="43"/>
      <c r="I602" s="43"/>
      <c r="J602" s="43"/>
      <c r="K602" s="43"/>
      <c r="L602" s="43"/>
      <c r="M602" s="43"/>
      <c r="N602" s="43"/>
      <c r="O602" s="43"/>
      <c r="P602" s="43"/>
      <c r="Q602" s="43"/>
      <c r="R602" s="9"/>
      <c r="S602" s="9"/>
    </row>
    <row r="603" spans="1:19" ht="31.2" x14ac:dyDescent="0.25">
      <c r="A603" s="17" t="s">
        <v>159</v>
      </c>
      <c r="B603" s="17" t="s">
        <v>160</v>
      </c>
      <c r="C603" s="35" t="s">
        <v>161</v>
      </c>
      <c r="D603" s="35" t="s">
        <v>162</v>
      </c>
      <c r="E603" s="44">
        <v>0.2</v>
      </c>
      <c r="H603" s="43"/>
      <c r="I603" s="43"/>
      <c r="J603" s="43"/>
      <c r="K603" s="43"/>
      <c r="L603" s="43"/>
      <c r="M603" s="43"/>
      <c r="N603" s="43"/>
      <c r="O603" s="43"/>
      <c r="P603" s="43"/>
      <c r="Q603" s="43"/>
      <c r="R603" s="9"/>
      <c r="S603" s="9"/>
    </row>
    <row r="604" spans="1:19" ht="46.8" x14ac:dyDescent="0.25">
      <c r="A604" s="17" t="s">
        <v>163</v>
      </c>
      <c r="B604" s="17" t="s">
        <v>164</v>
      </c>
      <c r="C604" s="35" t="s">
        <v>165</v>
      </c>
      <c r="D604" s="35" t="s">
        <v>166</v>
      </c>
      <c r="E604" s="45">
        <f>0.5*0.8042+0.5*0.2135</f>
        <v>0.50885000000000002</v>
      </c>
      <c r="F604" s="46"/>
      <c r="G604" s="46"/>
      <c r="H604" s="46"/>
      <c r="I604" s="46"/>
      <c r="J604" s="46"/>
      <c r="K604" s="46"/>
      <c r="L604" s="46"/>
      <c r="M604" s="46"/>
      <c r="N604" s="46"/>
      <c r="O604" s="46"/>
      <c r="P604" s="46"/>
      <c r="Q604" s="46"/>
    </row>
    <row r="605" spans="1:19" ht="31.2" x14ac:dyDescent="0.4">
      <c r="A605" s="40" t="s">
        <v>167</v>
      </c>
      <c r="B605" s="17" t="s">
        <v>103</v>
      </c>
      <c r="C605" s="35" t="s">
        <v>168</v>
      </c>
      <c r="D605" s="35" t="s">
        <v>169</v>
      </c>
      <c r="E605" s="47">
        <v>0</v>
      </c>
      <c r="H605" s="43"/>
      <c r="I605" s="43"/>
      <c r="J605" s="43"/>
      <c r="K605" s="43"/>
      <c r="L605" s="43"/>
      <c r="M605" s="43"/>
      <c r="N605" s="43"/>
      <c r="O605" s="43"/>
      <c r="P605" s="43"/>
      <c r="Q605" s="43"/>
      <c r="R605" s="9"/>
      <c r="S605" s="9"/>
    </row>
    <row r="606" spans="1:19" x14ac:dyDescent="0.3">
      <c r="A606" s="48"/>
      <c r="E606" s="49"/>
      <c r="H606" s="43"/>
      <c r="I606" s="43"/>
      <c r="J606" s="43"/>
      <c r="K606" s="43"/>
      <c r="L606" s="43"/>
      <c r="M606" s="43"/>
      <c r="N606" s="43"/>
      <c r="O606" s="43"/>
      <c r="P606" s="43"/>
      <c r="Q606" s="43"/>
      <c r="R606" s="9"/>
      <c r="S606" s="9"/>
    </row>
    <row r="607" spans="1:19" x14ac:dyDescent="0.25">
      <c r="A607" s="174" t="s">
        <v>170</v>
      </c>
      <c r="B607" s="174"/>
      <c r="C607" s="175"/>
      <c r="D607" s="175"/>
      <c r="E607" s="195"/>
      <c r="F607" s="32"/>
      <c r="G607" s="32"/>
      <c r="H607" s="32"/>
      <c r="I607" s="32"/>
      <c r="J607" s="32"/>
      <c r="K607" s="32"/>
      <c r="L607" s="32"/>
      <c r="M607" s="32"/>
      <c r="N607" s="32"/>
      <c r="O607" s="32"/>
      <c r="P607" s="32"/>
      <c r="Q607" s="32"/>
    </row>
    <row r="608" spans="1:19" x14ac:dyDescent="0.25">
      <c r="A608" s="15" t="s">
        <v>8</v>
      </c>
      <c r="B608" s="15" t="s">
        <v>9</v>
      </c>
      <c r="C608" s="38" t="s">
        <v>10</v>
      </c>
      <c r="D608" s="38" t="s">
        <v>340</v>
      </c>
      <c r="E608" s="16" t="s">
        <v>65</v>
      </c>
      <c r="H608" s="43"/>
      <c r="I608" s="43"/>
      <c r="J608" s="43"/>
      <c r="K608" s="43"/>
      <c r="L608" s="43"/>
      <c r="M608" s="43"/>
      <c r="N608" s="43"/>
      <c r="O608" s="43"/>
      <c r="P608" s="43"/>
      <c r="Q608" s="43"/>
      <c r="R608" s="9"/>
      <c r="S608" s="9"/>
    </row>
    <row r="609" spans="1:133" ht="33.6" x14ac:dyDescent="0.4">
      <c r="A609" s="40" t="s">
        <v>171</v>
      </c>
      <c r="B609" s="17" t="s">
        <v>74</v>
      </c>
      <c r="C609" s="35" t="s">
        <v>172</v>
      </c>
      <c r="D609" s="35" t="s">
        <v>391</v>
      </c>
      <c r="E609" s="50">
        <f>E610*E613*E614*E615*E616*E617</f>
        <v>7.2545223036293267</v>
      </c>
      <c r="H609" s="43"/>
      <c r="I609" s="43"/>
      <c r="J609" s="43"/>
      <c r="K609" s="43"/>
      <c r="L609" s="43"/>
      <c r="M609" s="43"/>
      <c r="N609" s="43"/>
      <c r="O609" s="43"/>
      <c r="P609" s="43"/>
      <c r="Q609" s="43"/>
      <c r="R609" s="9"/>
      <c r="S609" s="9"/>
    </row>
    <row r="610" spans="1:133" ht="46.8" x14ac:dyDescent="0.4">
      <c r="A610" s="51" t="s">
        <v>173</v>
      </c>
      <c r="B610" s="17" t="s">
        <v>76</v>
      </c>
      <c r="C610" s="35" t="s">
        <v>174</v>
      </c>
      <c r="D610" s="35" t="s">
        <v>392</v>
      </c>
      <c r="E610" s="69">
        <f>ROUNDUP(E611/E612,0)</f>
        <v>73</v>
      </c>
      <c r="H610" s="43"/>
      <c r="I610" s="43"/>
      <c r="J610" s="43"/>
      <c r="K610" s="43"/>
      <c r="L610" s="43"/>
      <c r="M610" s="43"/>
      <c r="N610" s="43"/>
      <c r="O610" s="43"/>
      <c r="P610" s="43"/>
      <c r="Q610" s="43"/>
      <c r="R610" s="9"/>
      <c r="S610" s="9"/>
    </row>
    <row r="611" spans="1:133" ht="62.4" x14ac:dyDescent="0.25">
      <c r="A611" s="17" t="s">
        <v>175</v>
      </c>
      <c r="B611" s="17" t="s">
        <v>78</v>
      </c>
      <c r="C611" s="35" t="s">
        <v>176</v>
      </c>
      <c r="D611" s="35" t="s">
        <v>346</v>
      </c>
      <c r="E611" s="52">
        <v>364.935</v>
      </c>
      <c r="H611" s="43"/>
      <c r="I611" s="43"/>
      <c r="J611" s="43"/>
      <c r="K611" s="43"/>
      <c r="L611" s="43"/>
      <c r="M611" s="43"/>
      <c r="N611" s="43"/>
      <c r="O611" s="43"/>
      <c r="P611" s="43"/>
      <c r="Q611" s="43"/>
      <c r="R611" s="9"/>
      <c r="S611" s="9"/>
    </row>
    <row r="612" spans="1:133" ht="62.4" x14ac:dyDescent="0.25">
      <c r="A612" s="17" t="s">
        <v>177</v>
      </c>
      <c r="B612" s="17" t="s">
        <v>80</v>
      </c>
      <c r="C612" s="35" t="s">
        <v>81</v>
      </c>
      <c r="D612" s="35" t="s">
        <v>345</v>
      </c>
      <c r="E612" s="25">
        <f>5</f>
        <v>5</v>
      </c>
      <c r="H612" s="43"/>
      <c r="I612" s="43"/>
      <c r="J612" s="43"/>
      <c r="K612" s="43"/>
      <c r="L612" s="43"/>
      <c r="M612" s="43"/>
      <c r="N612" s="43"/>
      <c r="O612" s="43"/>
      <c r="P612" s="43"/>
      <c r="Q612" s="43"/>
      <c r="R612" s="9"/>
      <c r="S612" s="9"/>
    </row>
    <row r="613" spans="1:133" ht="202.8" x14ac:dyDescent="0.25">
      <c r="A613" s="17" t="s">
        <v>178</v>
      </c>
      <c r="B613" s="17" t="s">
        <v>82</v>
      </c>
      <c r="C613" s="35" t="s">
        <v>179</v>
      </c>
      <c r="D613" s="35" t="s">
        <v>367</v>
      </c>
      <c r="E613" s="25">
        <v>146.80000000000001</v>
      </c>
      <c r="H613" s="43"/>
      <c r="I613" s="43"/>
      <c r="J613" s="43"/>
      <c r="K613" s="43"/>
      <c r="L613" s="43"/>
      <c r="M613" s="43"/>
      <c r="N613" s="43"/>
      <c r="O613" s="43"/>
      <c r="P613" s="43"/>
      <c r="Q613" s="43"/>
      <c r="R613" s="9"/>
      <c r="S613" s="9"/>
    </row>
    <row r="614" spans="1:133" ht="156" x14ac:dyDescent="0.25">
      <c r="A614" s="17" t="s">
        <v>180</v>
      </c>
      <c r="B614" s="17" t="s">
        <v>84</v>
      </c>
      <c r="C614" s="35" t="s">
        <v>85</v>
      </c>
      <c r="D614" s="35" t="s">
        <v>365</v>
      </c>
      <c r="E614" s="25">
        <f>25.1/100</f>
        <v>0.251</v>
      </c>
      <c r="H614" s="43"/>
      <c r="I614" s="43"/>
      <c r="J614" s="43"/>
      <c r="K614" s="43"/>
      <c r="L614" s="43"/>
      <c r="M614" s="43"/>
      <c r="N614" s="43"/>
      <c r="O614" s="43"/>
      <c r="P614" s="43"/>
      <c r="Q614" s="43"/>
      <c r="R614" s="9"/>
      <c r="S614" s="9"/>
    </row>
    <row r="615" spans="1:133" ht="62.4" x14ac:dyDescent="0.25">
      <c r="A615" s="17" t="s">
        <v>86</v>
      </c>
      <c r="B615" s="17" t="s">
        <v>87</v>
      </c>
      <c r="C615" s="35" t="s">
        <v>86</v>
      </c>
      <c r="D615" s="35" t="s">
        <v>215</v>
      </c>
      <c r="E615" s="25">
        <f>0.84/1000</f>
        <v>8.3999999999999993E-4</v>
      </c>
      <c r="H615" s="43"/>
      <c r="I615" s="43"/>
      <c r="J615" s="43"/>
      <c r="K615" s="43"/>
      <c r="L615" s="43"/>
      <c r="M615" s="43"/>
      <c r="N615" s="43"/>
      <c r="O615" s="43"/>
      <c r="P615" s="43"/>
      <c r="Q615" s="43"/>
      <c r="R615" s="9"/>
      <c r="S615" s="9"/>
    </row>
    <row r="616" spans="1:133" ht="124.8" x14ac:dyDescent="0.25">
      <c r="A616" s="17" t="s">
        <v>181</v>
      </c>
      <c r="B616" s="17" t="s">
        <v>88</v>
      </c>
      <c r="C616" s="35" t="s">
        <v>89</v>
      </c>
      <c r="D616" s="35" t="s">
        <v>360</v>
      </c>
      <c r="E616" s="25">
        <f>43.33/1000</f>
        <v>4.333E-2</v>
      </c>
      <c r="H616" s="43"/>
      <c r="I616" s="43"/>
      <c r="J616" s="43"/>
      <c r="K616" s="43"/>
      <c r="L616" s="43"/>
      <c r="M616" s="43"/>
      <c r="N616" s="43"/>
      <c r="O616" s="43"/>
      <c r="P616" s="43"/>
      <c r="Q616" s="43"/>
      <c r="R616" s="9"/>
      <c r="S616" s="9"/>
    </row>
    <row r="617" spans="1:133" ht="33.6" x14ac:dyDescent="0.25">
      <c r="A617" s="17" t="s">
        <v>182</v>
      </c>
      <c r="B617" s="17" t="s">
        <v>90</v>
      </c>
      <c r="C617" s="35" t="s">
        <v>91</v>
      </c>
      <c r="D617" s="35" t="s">
        <v>92</v>
      </c>
      <c r="E617" s="25">
        <v>74.099999999999994</v>
      </c>
      <c r="H617" s="43"/>
      <c r="I617" s="43"/>
      <c r="J617" s="43"/>
      <c r="K617" s="43"/>
      <c r="L617" s="43"/>
      <c r="M617" s="43"/>
      <c r="N617" s="43"/>
      <c r="O617" s="43"/>
      <c r="P617" s="43"/>
      <c r="Q617" s="43"/>
      <c r="R617" s="9"/>
      <c r="S617" s="9"/>
    </row>
    <row r="619" spans="1:133" x14ac:dyDescent="0.25">
      <c r="A619" s="33" t="s">
        <v>8</v>
      </c>
      <c r="B619" s="33" t="s">
        <v>9</v>
      </c>
      <c r="C619" s="34" t="s">
        <v>10</v>
      </c>
      <c r="D619" s="34" t="s">
        <v>340</v>
      </c>
      <c r="E619" s="16" t="s">
        <v>65</v>
      </c>
    </row>
    <row r="620" spans="1:133" ht="18" x14ac:dyDescent="0.25">
      <c r="A620" s="15" t="s">
        <v>183</v>
      </c>
      <c r="B620" s="17" t="s">
        <v>103</v>
      </c>
      <c r="C620" s="35" t="s">
        <v>184</v>
      </c>
      <c r="D620" s="53" t="s">
        <v>393</v>
      </c>
      <c r="E620" s="18">
        <f>ROUNDUP(E569+E593+E597+E601+E609,0)</f>
        <v>153</v>
      </c>
    </row>
    <row r="621" spans="1:133" s="208" customFormat="1" ht="38.4" customHeight="1" x14ac:dyDescent="0.25">
      <c r="A621" s="205" t="s">
        <v>230</v>
      </c>
      <c r="B621" s="206"/>
      <c r="C621" s="206"/>
      <c r="D621" s="206"/>
      <c r="E621" s="206"/>
      <c r="F621" s="206"/>
      <c r="G621" s="206"/>
      <c r="H621" s="206"/>
      <c r="I621" s="206"/>
      <c r="J621" s="206"/>
      <c r="K621" s="206"/>
      <c r="L621" s="206"/>
      <c r="M621" s="206"/>
      <c r="N621" s="206"/>
      <c r="O621" s="206"/>
      <c r="P621" s="206"/>
      <c r="Q621" s="206"/>
      <c r="R621" s="206"/>
      <c r="S621" s="206"/>
      <c r="T621" s="206"/>
      <c r="U621" s="206"/>
      <c r="V621" s="206"/>
      <c r="W621" s="206"/>
      <c r="X621" s="206"/>
      <c r="Y621" s="206"/>
      <c r="Z621" s="206"/>
      <c r="AA621" s="206"/>
      <c r="AB621" s="206"/>
      <c r="AC621" s="206"/>
      <c r="AD621" s="206"/>
      <c r="AE621" s="206"/>
      <c r="AF621" s="206"/>
      <c r="AG621" s="206"/>
      <c r="AH621" s="206"/>
      <c r="AI621" s="206"/>
      <c r="AJ621" s="206"/>
      <c r="AK621" s="206"/>
      <c r="AL621" s="206"/>
      <c r="AM621" s="206"/>
      <c r="AN621" s="206"/>
      <c r="AO621" s="206"/>
      <c r="AP621" s="206"/>
      <c r="AQ621" s="206"/>
      <c r="AR621" s="206"/>
      <c r="AS621" s="206"/>
      <c r="AT621" s="206"/>
      <c r="AU621" s="206"/>
      <c r="AV621" s="206"/>
      <c r="AW621" s="206"/>
      <c r="AX621" s="206"/>
      <c r="AY621" s="206"/>
      <c r="AZ621" s="206"/>
      <c r="BA621" s="206"/>
      <c r="BB621" s="206"/>
      <c r="BC621" s="206"/>
      <c r="BD621" s="206"/>
      <c r="BE621" s="206"/>
      <c r="BF621" s="206"/>
      <c r="BG621" s="206"/>
      <c r="BH621" s="206"/>
      <c r="BI621" s="206"/>
      <c r="BJ621" s="206"/>
      <c r="BK621" s="206"/>
      <c r="BL621" s="206"/>
      <c r="BM621" s="206"/>
      <c r="BN621" s="206"/>
      <c r="BO621" s="206"/>
      <c r="BP621" s="206"/>
      <c r="BQ621" s="206"/>
      <c r="BR621" s="206"/>
      <c r="BS621" s="206"/>
      <c r="BT621" s="206"/>
      <c r="BU621" s="206"/>
      <c r="BV621" s="206"/>
      <c r="BW621" s="206"/>
      <c r="BX621" s="206"/>
      <c r="BY621" s="206"/>
      <c r="BZ621" s="206"/>
      <c r="CA621" s="206"/>
      <c r="CB621" s="206"/>
      <c r="CC621" s="206"/>
      <c r="CD621" s="206"/>
      <c r="CE621" s="206"/>
      <c r="CF621" s="206"/>
      <c r="CG621" s="206"/>
      <c r="CH621" s="206"/>
      <c r="CI621" s="206"/>
      <c r="CJ621" s="206"/>
      <c r="CK621" s="206"/>
      <c r="CL621" s="206"/>
      <c r="CM621" s="206"/>
      <c r="CN621" s="206"/>
      <c r="CO621" s="206"/>
      <c r="CP621" s="206"/>
      <c r="CQ621" s="206"/>
      <c r="CR621" s="206"/>
      <c r="CS621" s="206"/>
      <c r="CT621" s="206"/>
      <c r="CU621" s="206"/>
      <c r="CV621" s="206"/>
      <c r="CW621" s="206"/>
      <c r="CX621" s="206"/>
      <c r="CY621" s="206"/>
      <c r="CZ621" s="206"/>
      <c r="DA621" s="206"/>
      <c r="DB621" s="206"/>
      <c r="DC621" s="206"/>
      <c r="DD621" s="206"/>
      <c r="DE621" s="206"/>
      <c r="DF621" s="206"/>
      <c r="DG621" s="206"/>
      <c r="DH621" s="206"/>
      <c r="DI621" s="206"/>
      <c r="DJ621" s="206"/>
      <c r="DK621" s="206"/>
      <c r="DL621" s="206"/>
      <c r="DM621" s="206"/>
      <c r="DN621" s="206"/>
      <c r="DO621" s="206"/>
      <c r="DP621" s="206"/>
      <c r="DQ621" s="206"/>
      <c r="DR621" s="206"/>
      <c r="DS621" s="206"/>
      <c r="DT621" s="206"/>
      <c r="DU621" s="206"/>
      <c r="DV621" s="206"/>
      <c r="DW621" s="206"/>
      <c r="DX621" s="206"/>
      <c r="DY621" s="206"/>
      <c r="DZ621" s="206"/>
      <c r="EA621" s="206"/>
      <c r="EB621" s="206"/>
      <c r="EC621" s="207"/>
    </row>
    <row r="622" spans="1:133" s="200" customFormat="1" ht="43.2" customHeight="1" x14ac:dyDescent="0.25">
      <c r="A622" s="197" t="s">
        <v>231</v>
      </c>
      <c r="B622" s="198"/>
      <c r="C622" s="198"/>
      <c r="D622" s="198"/>
      <c r="E622" s="198"/>
      <c r="F622" s="198"/>
      <c r="G622" s="198"/>
      <c r="H622" s="198"/>
      <c r="I622" s="198"/>
      <c r="J622" s="198"/>
      <c r="K622" s="198"/>
      <c r="L622" s="198"/>
      <c r="M622" s="198"/>
      <c r="N622" s="198"/>
      <c r="O622" s="198"/>
      <c r="P622" s="198"/>
      <c r="Q622" s="198"/>
      <c r="R622" s="198"/>
      <c r="S622" s="198"/>
      <c r="T622" s="198"/>
      <c r="U622" s="198"/>
      <c r="V622" s="198"/>
      <c r="W622" s="198"/>
      <c r="X622" s="198"/>
      <c r="Y622" s="198"/>
      <c r="Z622" s="198"/>
      <c r="AA622" s="198"/>
      <c r="AB622" s="198"/>
      <c r="AC622" s="198"/>
      <c r="AD622" s="198"/>
      <c r="AE622" s="198"/>
      <c r="AF622" s="198"/>
      <c r="AG622" s="198"/>
      <c r="AH622" s="198"/>
      <c r="AI622" s="198"/>
      <c r="AJ622" s="198"/>
      <c r="AK622" s="198"/>
      <c r="AL622" s="198"/>
      <c r="AM622" s="198"/>
      <c r="AN622" s="198"/>
      <c r="AO622" s="198"/>
      <c r="AP622" s="198"/>
      <c r="AQ622" s="198"/>
      <c r="AR622" s="198"/>
      <c r="AS622" s="198"/>
      <c r="AT622" s="198"/>
      <c r="AU622" s="198"/>
      <c r="AV622" s="198"/>
      <c r="AW622" s="198"/>
      <c r="AX622" s="198"/>
      <c r="AY622" s="198"/>
      <c r="AZ622" s="198"/>
      <c r="BA622" s="198"/>
      <c r="BB622" s="198"/>
      <c r="BC622" s="198"/>
      <c r="BD622" s="198"/>
      <c r="BE622" s="198"/>
      <c r="BF622" s="198"/>
      <c r="BG622" s="198"/>
      <c r="BH622" s="198"/>
      <c r="BI622" s="198"/>
      <c r="BJ622" s="198"/>
      <c r="BK622" s="198"/>
      <c r="BL622" s="198"/>
      <c r="BM622" s="198"/>
      <c r="BN622" s="198"/>
      <c r="BO622" s="198"/>
      <c r="BP622" s="198"/>
      <c r="BQ622" s="198"/>
      <c r="BR622" s="198"/>
      <c r="BS622" s="198"/>
      <c r="BT622" s="198"/>
      <c r="BU622" s="198"/>
      <c r="BV622" s="198"/>
      <c r="BW622" s="198"/>
      <c r="BX622" s="198"/>
      <c r="BY622" s="198"/>
      <c r="BZ622" s="198"/>
      <c r="CA622" s="198"/>
      <c r="CB622" s="198"/>
      <c r="CC622" s="198"/>
      <c r="CD622" s="198"/>
      <c r="CE622" s="198"/>
      <c r="CF622" s="198"/>
      <c r="CG622" s="198"/>
      <c r="CH622" s="198"/>
      <c r="CI622" s="198"/>
      <c r="CJ622" s="198"/>
      <c r="CK622" s="198"/>
      <c r="CL622" s="198"/>
      <c r="CM622" s="198"/>
      <c r="CN622" s="198"/>
      <c r="CO622" s="198"/>
      <c r="CP622" s="198"/>
      <c r="CQ622" s="198"/>
      <c r="CR622" s="198"/>
      <c r="CS622" s="198"/>
      <c r="CT622" s="198"/>
      <c r="CU622" s="198"/>
      <c r="CV622" s="198"/>
      <c r="CW622" s="198"/>
      <c r="CX622" s="198"/>
      <c r="CY622" s="198"/>
      <c r="CZ622" s="198"/>
      <c r="DA622" s="198"/>
      <c r="DB622" s="198"/>
      <c r="DC622" s="198"/>
      <c r="DD622" s="198"/>
      <c r="DE622" s="198"/>
      <c r="DF622" s="198"/>
      <c r="DG622" s="198"/>
      <c r="DH622" s="198"/>
      <c r="DI622" s="198"/>
      <c r="DJ622" s="198"/>
      <c r="DK622" s="198"/>
      <c r="DL622" s="198"/>
      <c r="DM622" s="198"/>
      <c r="DN622" s="198"/>
      <c r="DO622" s="198"/>
      <c r="DP622" s="198"/>
      <c r="DQ622" s="198"/>
      <c r="DR622" s="198"/>
      <c r="DS622" s="198"/>
      <c r="DT622" s="198"/>
      <c r="DU622" s="198"/>
      <c r="DV622" s="198"/>
      <c r="DW622" s="198"/>
      <c r="DX622" s="198"/>
      <c r="DY622" s="198"/>
      <c r="DZ622" s="198"/>
      <c r="EA622" s="198"/>
      <c r="EB622" s="198"/>
      <c r="EC622" s="199"/>
    </row>
    <row r="623" spans="1:133" ht="23.4" customHeight="1" x14ac:dyDescent="0.25">
      <c r="A623" s="201" t="s">
        <v>105</v>
      </c>
      <c r="B623" s="201"/>
      <c r="C623" s="201"/>
      <c r="D623" s="201"/>
      <c r="E623" s="201"/>
      <c r="F623" s="201"/>
      <c r="G623" s="201"/>
      <c r="H623" s="201"/>
      <c r="I623" s="201"/>
      <c r="J623" s="201"/>
      <c r="K623" s="201"/>
      <c r="L623" s="201"/>
      <c r="M623" s="201"/>
      <c r="N623" s="201"/>
      <c r="O623" s="201"/>
      <c r="P623" s="201"/>
      <c r="Q623" s="202"/>
    </row>
    <row r="624" spans="1:133" s="10" customFormat="1" ht="31.2" x14ac:dyDescent="0.25">
      <c r="A624" s="15" t="s">
        <v>8</v>
      </c>
      <c r="B624" s="15" t="s">
        <v>9</v>
      </c>
      <c r="C624" s="15" t="s">
        <v>10</v>
      </c>
      <c r="D624" s="15" t="s">
        <v>340</v>
      </c>
      <c r="E624" s="16" t="s">
        <v>11</v>
      </c>
      <c r="F624" s="16" t="s">
        <v>292</v>
      </c>
      <c r="G624" s="16" t="s">
        <v>292</v>
      </c>
      <c r="H624" s="16" t="s">
        <v>292</v>
      </c>
      <c r="I624" s="16" t="s">
        <v>292</v>
      </c>
      <c r="J624" s="16" t="s">
        <v>292</v>
      </c>
      <c r="K624" s="16" t="s">
        <v>292</v>
      </c>
      <c r="L624" s="16" t="s">
        <v>292</v>
      </c>
      <c r="M624" s="16" t="s">
        <v>292</v>
      </c>
      <c r="N624" s="16" t="s">
        <v>308</v>
      </c>
      <c r="O624" s="16" t="s">
        <v>293</v>
      </c>
      <c r="P624" s="16" t="s">
        <v>294</v>
      </c>
      <c r="Q624" s="16" t="s">
        <v>295</v>
      </c>
      <c r="R624" s="54"/>
      <c r="S624" s="54"/>
    </row>
    <row r="625" spans="1:19" s="10" customFormat="1" x14ac:dyDescent="0.25">
      <c r="A625" s="203" t="s">
        <v>106</v>
      </c>
      <c r="B625" s="203"/>
      <c r="C625" s="203"/>
      <c r="D625" s="203"/>
      <c r="E625" s="204"/>
      <c r="F625" s="16" t="s">
        <v>297</v>
      </c>
      <c r="G625" s="16" t="s">
        <v>297</v>
      </c>
      <c r="H625" s="16" t="s">
        <v>297</v>
      </c>
      <c r="I625" s="16" t="s">
        <v>297</v>
      </c>
      <c r="J625" s="16" t="s">
        <v>297</v>
      </c>
      <c r="K625" s="16" t="s">
        <v>297</v>
      </c>
      <c r="L625" s="16" t="s">
        <v>297</v>
      </c>
      <c r="M625" s="16" t="s">
        <v>297</v>
      </c>
      <c r="N625" s="16">
        <v>20</v>
      </c>
      <c r="O625" s="16">
        <v>31</v>
      </c>
      <c r="P625" s="16">
        <v>30</v>
      </c>
      <c r="Q625" s="16">
        <v>31</v>
      </c>
      <c r="R625" s="54"/>
      <c r="S625" s="54"/>
    </row>
    <row r="626" spans="1:19" s="10" customFormat="1" ht="31.2" x14ac:dyDescent="0.25">
      <c r="A626" s="15" t="s">
        <v>107</v>
      </c>
      <c r="B626" s="17" t="s">
        <v>103</v>
      </c>
      <c r="C626" s="17" t="s">
        <v>108</v>
      </c>
      <c r="D626" s="17" t="s">
        <v>381</v>
      </c>
      <c r="E626" s="18">
        <f>E627+E637</f>
        <v>0</v>
      </c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54"/>
      <c r="S626" s="54"/>
    </row>
    <row r="627" spans="1:19" ht="46.8" x14ac:dyDescent="0.25">
      <c r="A627" s="17" t="s">
        <v>109</v>
      </c>
      <c r="B627" s="17" t="s">
        <v>103</v>
      </c>
      <c r="C627" s="17" t="s">
        <v>110</v>
      </c>
      <c r="D627" s="17" t="s">
        <v>382</v>
      </c>
      <c r="E627" s="19">
        <f>SUM(F627:Q627)</f>
        <v>0</v>
      </c>
      <c r="F627" s="19" t="s">
        <v>297</v>
      </c>
      <c r="G627" s="19" t="s">
        <v>297</v>
      </c>
      <c r="H627" s="19" t="s">
        <v>297</v>
      </c>
      <c r="I627" s="19" t="s">
        <v>297</v>
      </c>
      <c r="J627" s="19" t="s">
        <v>297</v>
      </c>
      <c r="K627" s="19" t="s">
        <v>297</v>
      </c>
      <c r="L627" s="19" t="s">
        <v>297</v>
      </c>
      <c r="M627" s="19" t="s">
        <v>297</v>
      </c>
      <c r="N627" s="19">
        <f t="shared" ref="N627:Q627" si="75">IF(N628&gt;=0.8,0,$E$15*$E$16*0.4*(N629-N632)*N625)</f>
        <v>0</v>
      </c>
      <c r="O627" s="19">
        <f t="shared" si="75"/>
        <v>0</v>
      </c>
      <c r="P627" s="19">
        <f t="shared" si="75"/>
        <v>0</v>
      </c>
      <c r="Q627" s="19">
        <f t="shared" si="75"/>
        <v>0</v>
      </c>
    </row>
    <row r="628" spans="1:19" ht="62.4" x14ac:dyDescent="0.25">
      <c r="A628" s="17" t="s">
        <v>111</v>
      </c>
      <c r="B628" s="17" t="s">
        <v>37</v>
      </c>
      <c r="C628" s="17" t="s">
        <v>112</v>
      </c>
      <c r="D628" s="17" t="s">
        <v>383</v>
      </c>
      <c r="E628" s="20">
        <f>AVERAGE(N628:Q628)</f>
        <v>0.95405696708429433</v>
      </c>
      <c r="F628" s="20" t="s">
        <v>297</v>
      </c>
      <c r="G628" s="20" t="s">
        <v>297</v>
      </c>
      <c r="H628" s="20" t="s">
        <v>297</v>
      </c>
      <c r="I628" s="20" t="s">
        <v>297</v>
      </c>
      <c r="J628" s="20" t="s">
        <v>297</v>
      </c>
      <c r="K628" s="20" t="s">
        <v>297</v>
      </c>
      <c r="L628" s="20" t="s">
        <v>297</v>
      </c>
      <c r="M628" s="20" t="s">
        <v>297</v>
      </c>
      <c r="N628" s="20">
        <f t="shared" ref="N628:Q628" si="76">(N629-N632)/N629</f>
        <v>0.95342129738529202</v>
      </c>
      <c r="O628" s="20">
        <f t="shared" si="76"/>
        <v>0.95500560665184353</v>
      </c>
      <c r="P628" s="20">
        <f t="shared" si="76"/>
        <v>0.95330577987411658</v>
      </c>
      <c r="Q628" s="20">
        <f t="shared" si="76"/>
        <v>0.9544951844259254</v>
      </c>
    </row>
    <row r="629" spans="1:19" ht="46.8" x14ac:dyDescent="0.25">
      <c r="A629" s="17" t="s">
        <v>113</v>
      </c>
      <c r="B629" s="17" t="s">
        <v>24</v>
      </c>
      <c r="C629" s="17" t="s">
        <v>114</v>
      </c>
      <c r="D629" s="17" t="s">
        <v>384</v>
      </c>
      <c r="E629" s="20">
        <f>SUM(N629:Q629)</f>
        <v>7.1392526678366774</v>
      </c>
      <c r="F629" s="20" t="s">
        <v>297</v>
      </c>
      <c r="G629" s="20" t="s">
        <v>297</v>
      </c>
      <c r="H629" s="20" t="s">
        <v>297</v>
      </c>
      <c r="I629" s="20" t="s">
        <v>297</v>
      </c>
      <c r="J629" s="20" t="s">
        <v>297</v>
      </c>
      <c r="K629" s="20" t="s">
        <v>297</v>
      </c>
      <c r="L629" s="20" t="s">
        <v>297</v>
      </c>
      <c r="M629" s="20" t="s">
        <v>297</v>
      </c>
      <c r="N629" s="20">
        <f t="shared" ref="N629:Q629" si="77">N630*N631</f>
        <v>1.9026606662494996</v>
      </c>
      <c r="O629" s="20">
        <f t="shared" si="77"/>
        <v>1.9026982996269863</v>
      </c>
      <c r="P629" s="20">
        <f t="shared" si="77"/>
        <v>1.6669182699217595</v>
      </c>
      <c r="Q629" s="20">
        <f t="shared" si="77"/>
        <v>1.666975432038432</v>
      </c>
    </row>
    <row r="630" spans="1:19" ht="67.8" customHeight="1" x14ac:dyDescent="0.25">
      <c r="A630" s="17" t="s">
        <v>115</v>
      </c>
      <c r="B630" s="17" t="s">
        <v>116</v>
      </c>
      <c r="C630" s="17" t="s">
        <v>117</v>
      </c>
      <c r="D630" s="17" t="s">
        <v>336</v>
      </c>
      <c r="E630" s="129">
        <f>SUM(N630:Q630)</f>
        <v>21929.274745698927</v>
      </c>
      <c r="F630" s="21" t="s">
        <v>297</v>
      </c>
      <c r="G630" s="21" t="s">
        <v>297</v>
      </c>
      <c r="H630" s="21" t="s">
        <v>297</v>
      </c>
      <c r="I630" s="21" t="s">
        <v>297</v>
      </c>
      <c r="J630" s="21" t="s">
        <v>297</v>
      </c>
      <c r="K630" s="21" t="s">
        <v>297</v>
      </c>
      <c r="L630" s="21" t="s">
        <v>297</v>
      </c>
      <c r="M630" s="21" t="s">
        <v>297</v>
      </c>
      <c r="N630" s="129">
        <f>'Baseline Emissions 2020'!N610</f>
        <v>5843.372949999999</v>
      </c>
      <c r="O630" s="129">
        <f>'Baseline Emissions 2020'!O610</f>
        <v>5841.5170322580652</v>
      </c>
      <c r="P630" s="129">
        <f>'Baseline Emissions 2020'!P610</f>
        <v>5122.1016666666674</v>
      </c>
      <c r="Q630" s="129">
        <f>'Baseline Emissions 2020'!Q610</f>
        <v>5122.2830967741938</v>
      </c>
    </row>
    <row r="631" spans="1:19" ht="46.8" x14ac:dyDescent="0.25">
      <c r="A631" s="17" t="s">
        <v>118</v>
      </c>
      <c r="B631" s="17" t="s">
        <v>119</v>
      </c>
      <c r="C631" s="17" t="s">
        <v>120</v>
      </c>
      <c r="D631" s="35" t="s">
        <v>338</v>
      </c>
      <c r="E631" s="120">
        <f>AVERAGE(N631:Q631)</f>
        <v>3.2555057571684591E-4</v>
      </c>
      <c r="F631" s="130" t="str">
        <f>'Baseline Emissions 2020'!F614</f>
        <v>—</v>
      </c>
      <c r="G631" s="130" t="str">
        <f>'Baseline Emissions 2020'!G614</f>
        <v>—</v>
      </c>
      <c r="H631" s="130" t="str">
        <f>'Baseline Emissions 2020'!H614</f>
        <v>—</v>
      </c>
      <c r="I631" s="130" t="str">
        <f>'Baseline Emissions 2020'!I614</f>
        <v>—</v>
      </c>
      <c r="J631" s="130" t="str">
        <f>'Baseline Emissions 2020'!J614</f>
        <v>—</v>
      </c>
      <c r="K631" s="130" t="str">
        <f>'Baseline Emissions 2020'!K614</f>
        <v>—</v>
      </c>
      <c r="L631" s="130" t="str">
        <f>'Baseline Emissions 2020'!L614</f>
        <v>—</v>
      </c>
      <c r="M631" s="130" t="str">
        <f>'Baseline Emissions 2020'!M614</f>
        <v>—</v>
      </c>
      <c r="N631" s="130">
        <f>'Baseline Emissions 2020'!N614</f>
        <v>3.2560999999999999E-4</v>
      </c>
      <c r="O631" s="130">
        <f>'Baseline Emissions 2020'!O614</f>
        <v>3.2571989247311833E-4</v>
      </c>
      <c r="P631" s="130">
        <f>'Baseline Emissions 2020'!P614</f>
        <v>3.2543638888888888E-4</v>
      </c>
      <c r="Q631" s="130">
        <f>'Baseline Emissions 2020'!Q614</f>
        <v>3.2543602150537628E-4</v>
      </c>
    </row>
    <row r="632" spans="1:19" ht="46.8" x14ac:dyDescent="0.25">
      <c r="A632" s="17" t="s">
        <v>121</v>
      </c>
      <c r="B632" s="17" t="s">
        <v>24</v>
      </c>
      <c r="C632" s="17" t="s">
        <v>122</v>
      </c>
      <c r="D632" s="17" t="s">
        <v>384</v>
      </c>
      <c r="E632" s="20">
        <f>SUM(N632:Q632)</f>
        <v>0.32792507929522807</v>
      </c>
      <c r="F632" s="20" t="s">
        <v>297</v>
      </c>
      <c r="G632" s="20" t="s">
        <v>297</v>
      </c>
      <c r="H632" s="20" t="s">
        <v>297</v>
      </c>
      <c r="I632" s="20" t="s">
        <v>297</v>
      </c>
      <c r="J632" s="20" t="s">
        <v>297</v>
      </c>
      <c r="K632" s="20" t="s">
        <v>297</v>
      </c>
      <c r="L632" s="20" t="s">
        <v>297</v>
      </c>
      <c r="M632" s="20" t="s">
        <v>297</v>
      </c>
      <c r="N632" s="20">
        <f t="shared" ref="N632:Q632" si="78">SUM(N633*N634)</f>
        <v>8.8623465349937522E-2</v>
      </c>
      <c r="O632" s="20">
        <f t="shared" si="78"/>
        <v>8.5610755716285111E-2</v>
      </c>
      <c r="P632" s="20">
        <f t="shared" si="78"/>
        <v>7.7835448627583334E-2</v>
      </c>
      <c r="Q632" s="20">
        <f t="shared" si="78"/>
        <v>7.5855409601422119E-2</v>
      </c>
    </row>
    <row r="633" spans="1:19" ht="62.4" x14ac:dyDescent="0.25">
      <c r="A633" s="17" t="s">
        <v>123</v>
      </c>
      <c r="B633" s="17" t="s">
        <v>116</v>
      </c>
      <c r="C633" s="17" t="s">
        <v>124</v>
      </c>
      <c r="D633" s="17" t="s">
        <v>337</v>
      </c>
      <c r="E633" s="129">
        <f>SUM(N633:Q633)</f>
        <v>21399.866730645161</v>
      </c>
      <c r="F633" s="21" t="s">
        <v>297</v>
      </c>
      <c r="G633" s="21" t="s">
        <v>297</v>
      </c>
      <c r="H633" s="21" t="s">
        <v>297</v>
      </c>
      <c r="I633" s="21" t="s">
        <v>297</v>
      </c>
      <c r="J633" s="21" t="s">
        <v>297</v>
      </c>
      <c r="K633" s="21" t="s">
        <v>297</v>
      </c>
      <c r="L633" s="21" t="s">
        <v>297</v>
      </c>
      <c r="M633" s="21" t="s">
        <v>297</v>
      </c>
      <c r="N633" s="129">
        <v>5693.003850000001</v>
      </c>
      <c r="O633" s="129">
        <v>5685.5788064516128</v>
      </c>
      <c r="P633" s="129">
        <v>5009.8803000000007</v>
      </c>
      <c r="Q633" s="129">
        <v>5011.4037741935481</v>
      </c>
    </row>
    <row r="634" spans="1:19" ht="46.8" x14ac:dyDescent="0.25">
      <c r="A634" s="17" t="s">
        <v>125</v>
      </c>
      <c r="B634" s="17" t="s">
        <v>119</v>
      </c>
      <c r="C634" s="17" t="s">
        <v>126</v>
      </c>
      <c r="D634" s="35" t="s">
        <v>339</v>
      </c>
      <c r="E634" s="131">
        <f>AVERAGE(N634:Q634)</f>
        <v>1.5324389560931898E-5</v>
      </c>
      <c r="F634" s="24" t="str">
        <f>'Baseline Emissions 2020'!F615</f>
        <v>—</v>
      </c>
      <c r="G634" s="24" t="str">
        <f>'Baseline Emissions 2020'!G615</f>
        <v>—</v>
      </c>
      <c r="H634" s="24" t="str">
        <f>'Baseline Emissions 2020'!H615</f>
        <v>—</v>
      </c>
      <c r="I634" s="24" t="str">
        <f>'Baseline Emissions 2020'!I615</f>
        <v>—</v>
      </c>
      <c r="J634" s="24" t="str">
        <f>'Baseline Emissions 2020'!J615</f>
        <v>—</v>
      </c>
      <c r="K634" s="24" t="str">
        <f>'Baseline Emissions 2020'!K615</f>
        <v>—</v>
      </c>
      <c r="L634" s="24" t="str">
        <f>'Baseline Emissions 2020'!L615</f>
        <v>—</v>
      </c>
      <c r="M634" s="24" t="str">
        <f>'Baseline Emissions 2020'!M615</f>
        <v>—</v>
      </c>
      <c r="N634" s="131">
        <f>'Baseline Emissions 2020'!N615</f>
        <v>1.5567083333333335E-5</v>
      </c>
      <c r="O634" s="131">
        <f>'Baseline Emissions 2020'!O615</f>
        <v>1.5057526881720429E-5</v>
      </c>
      <c r="P634" s="131">
        <f>'Baseline Emissions 2020'!P615</f>
        <v>1.5536388888888887E-5</v>
      </c>
      <c r="Q634" s="131">
        <f>'Baseline Emissions 2020'!Q615</f>
        <v>1.5136559139784946E-5</v>
      </c>
    </row>
    <row r="635" spans="1:19" ht="31.2" x14ac:dyDescent="0.25">
      <c r="A635" s="17" t="s">
        <v>127</v>
      </c>
      <c r="B635" s="17" t="s">
        <v>128</v>
      </c>
      <c r="C635" s="17" t="s">
        <v>17</v>
      </c>
      <c r="D635" s="17" t="s">
        <v>129</v>
      </c>
      <c r="E635" s="176">
        <v>28</v>
      </c>
      <c r="F635" s="176"/>
      <c r="G635" s="176"/>
      <c r="H635" s="176"/>
      <c r="I635" s="176"/>
      <c r="J635" s="176"/>
      <c r="K635" s="176"/>
      <c r="L635" s="176"/>
      <c r="M635" s="176"/>
      <c r="N635" s="176"/>
      <c r="O635" s="176"/>
      <c r="P635" s="176"/>
      <c r="Q635" s="176"/>
    </row>
    <row r="636" spans="1:19" ht="64.8" x14ac:dyDescent="0.25">
      <c r="A636" s="17" t="s">
        <v>130</v>
      </c>
      <c r="B636" s="17" t="s">
        <v>19</v>
      </c>
      <c r="C636" s="17" t="s">
        <v>131</v>
      </c>
      <c r="D636" s="17" t="s">
        <v>394</v>
      </c>
      <c r="E636" s="176">
        <v>0.21</v>
      </c>
      <c r="F636" s="176"/>
      <c r="G636" s="176"/>
      <c r="H636" s="176"/>
      <c r="I636" s="176"/>
      <c r="J636" s="176"/>
      <c r="K636" s="176"/>
      <c r="L636" s="176"/>
      <c r="M636" s="176"/>
      <c r="N636" s="176"/>
      <c r="O636" s="176"/>
      <c r="P636" s="176"/>
      <c r="Q636" s="176"/>
    </row>
    <row r="637" spans="1:19" ht="46.8" x14ac:dyDescent="0.25">
      <c r="A637" s="17" t="s">
        <v>132</v>
      </c>
      <c r="B637" s="17" t="s">
        <v>103</v>
      </c>
      <c r="C637" s="17" t="s">
        <v>133</v>
      </c>
      <c r="D637" s="17" t="s">
        <v>385</v>
      </c>
      <c r="E637" s="19">
        <f>SUM(F637:Q637)</f>
        <v>0</v>
      </c>
      <c r="F637" s="19" t="s">
        <v>297</v>
      </c>
      <c r="G637" s="19" t="s">
        <v>297</v>
      </c>
      <c r="H637" s="19" t="s">
        <v>297</v>
      </c>
      <c r="I637" s="19" t="s">
        <v>297</v>
      </c>
      <c r="J637" s="19" t="s">
        <v>297</v>
      </c>
      <c r="K637" s="19" t="s">
        <v>297</v>
      </c>
      <c r="L637" s="19" t="s">
        <v>297</v>
      </c>
      <c r="M637" s="19" t="s">
        <v>297</v>
      </c>
      <c r="N637" s="19">
        <f t="shared" ref="N637:Q637" si="79">$E$15*$E$16*N638*N632*N625</f>
        <v>0</v>
      </c>
      <c r="O637" s="19">
        <f t="shared" si="79"/>
        <v>0</v>
      </c>
      <c r="P637" s="19">
        <f t="shared" si="79"/>
        <v>0</v>
      </c>
      <c r="Q637" s="19">
        <f t="shared" si="79"/>
        <v>0</v>
      </c>
    </row>
    <row r="638" spans="1:19" ht="18" x14ac:dyDescent="0.25">
      <c r="A638" s="17" t="s">
        <v>134</v>
      </c>
      <c r="B638" s="17" t="s">
        <v>37</v>
      </c>
      <c r="C638" s="17" t="s">
        <v>135</v>
      </c>
      <c r="D638" s="17" t="s">
        <v>386</v>
      </c>
      <c r="E638" s="26">
        <f>AVERAGE(F638:Q638)</f>
        <v>0</v>
      </c>
      <c r="F638" s="26" t="s">
        <v>297</v>
      </c>
      <c r="G638" s="26" t="s">
        <v>297</v>
      </c>
      <c r="H638" s="26" t="s">
        <v>297</v>
      </c>
      <c r="I638" s="26" t="s">
        <v>297</v>
      </c>
      <c r="J638" s="26" t="s">
        <v>297</v>
      </c>
      <c r="K638" s="26" t="s">
        <v>297</v>
      </c>
      <c r="L638" s="26" t="s">
        <v>297</v>
      </c>
      <c r="M638" s="26" t="s">
        <v>297</v>
      </c>
      <c r="N638" s="26">
        <f>N639*$E$640*0.89</f>
        <v>0</v>
      </c>
      <c r="O638" s="26">
        <f t="shared" ref="O638:Q638" si="80">O639*$E$640*0.89</f>
        <v>0</v>
      </c>
      <c r="P638" s="26">
        <f t="shared" si="80"/>
        <v>0</v>
      </c>
      <c r="Q638" s="26">
        <f t="shared" si="80"/>
        <v>0</v>
      </c>
    </row>
    <row r="639" spans="1:19" ht="31.2" x14ac:dyDescent="0.25">
      <c r="A639" s="17" t="s">
        <v>136</v>
      </c>
      <c r="B639" s="17" t="s">
        <v>37</v>
      </c>
      <c r="C639" s="17" t="s">
        <v>46</v>
      </c>
      <c r="D639" s="17" t="s">
        <v>387</v>
      </c>
      <c r="E639" s="25">
        <v>0</v>
      </c>
      <c r="F639" s="25" t="s">
        <v>297</v>
      </c>
      <c r="G639" s="25" t="s">
        <v>297</v>
      </c>
      <c r="H639" s="25" t="s">
        <v>297</v>
      </c>
      <c r="I639" s="25" t="s">
        <v>297</v>
      </c>
      <c r="J639" s="25" t="s">
        <v>297</v>
      </c>
      <c r="K639" s="25" t="s">
        <v>297</v>
      </c>
      <c r="L639" s="25" t="s">
        <v>297</v>
      </c>
      <c r="M639" s="25" t="s">
        <v>297</v>
      </c>
      <c r="N639" s="25">
        <v>0</v>
      </c>
      <c r="O639" s="25">
        <v>0</v>
      </c>
      <c r="P639" s="25">
        <v>0</v>
      </c>
      <c r="Q639" s="25">
        <v>0</v>
      </c>
    </row>
    <row r="640" spans="1:19" ht="31.2" x14ac:dyDescent="0.25">
      <c r="A640" s="17" t="s">
        <v>137</v>
      </c>
      <c r="B640" s="17" t="s">
        <v>201</v>
      </c>
      <c r="C640" s="17" t="s">
        <v>138</v>
      </c>
      <c r="D640" s="17" t="s">
        <v>388</v>
      </c>
      <c r="E640" s="196">
        <f>(N641*N646+O641*O646+P641*P646+Q641*Q646)/(N634*N633*N625+O633*O634*O625+P634*P633*P625+Q634*Q633*Q625)</f>
        <v>0.4852927205647804</v>
      </c>
      <c r="F640" s="196"/>
      <c r="G640" s="196"/>
      <c r="H640" s="196"/>
      <c r="I640" s="196"/>
      <c r="J640" s="196"/>
      <c r="K640" s="196"/>
      <c r="L640" s="196"/>
      <c r="M640" s="196"/>
      <c r="N640" s="196"/>
      <c r="O640" s="196"/>
      <c r="P640" s="196"/>
      <c r="Q640" s="196"/>
    </row>
    <row r="641" spans="1:17" ht="31.2" x14ac:dyDescent="0.25">
      <c r="A641" s="17" t="s">
        <v>139</v>
      </c>
      <c r="B641" s="17" t="s">
        <v>37</v>
      </c>
      <c r="C641" s="17" t="s">
        <v>140</v>
      </c>
      <c r="D641" s="17" t="s">
        <v>375</v>
      </c>
      <c r="E641" s="27">
        <f>AVERAGE(F641:Q641)</f>
        <v>0.50105255042206698</v>
      </c>
      <c r="F641" s="27" t="s">
        <v>297</v>
      </c>
      <c r="G641" s="27" t="s">
        <v>297</v>
      </c>
      <c r="H641" s="27" t="s">
        <v>297</v>
      </c>
      <c r="I641" s="27" t="s">
        <v>297</v>
      </c>
      <c r="J641" s="27" t="s">
        <v>297</v>
      </c>
      <c r="K641" s="27" t="s">
        <v>297</v>
      </c>
      <c r="L641" s="27" t="s">
        <v>297</v>
      </c>
      <c r="M641" s="27" t="s">
        <v>297</v>
      </c>
      <c r="N641" s="27">
        <f>IF(N645&lt;283,0,IF(N645&gt;303,1,EXP(($E$642*(N645-$E$643))/($E$644*$E$643*N645))))</f>
        <v>0.77675425208684001</v>
      </c>
      <c r="O641" s="27">
        <f t="shared" ref="O641:Q641" si="81">IF(O645&lt;283,0,IF(O645&gt;303,1,EXP(($E$642*(O645-$E$643))/($E$644*$E$643*O645))))</f>
        <v>0.55084569341606926</v>
      </c>
      <c r="P641" s="27">
        <f t="shared" si="81"/>
        <v>0.44226396815696317</v>
      </c>
      <c r="Q641" s="27">
        <f t="shared" si="81"/>
        <v>0.23434628802839541</v>
      </c>
    </row>
    <row r="642" spans="1:17" x14ac:dyDescent="0.25">
      <c r="A642" s="17" t="s">
        <v>51</v>
      </c>
      <c r="B642" s="17" t="s">
        <v>52</v>
      </c>
      <c r="C642" s="17" t="s">
        <v>53</v>
      </c>
      <c r="D642" s="17" t="s">
        <v>389</v>
      </c>
      <c r="E642" s="176">
        <v>15175</v>
      </c>
      <c r="F642" s="176"/>
      <c r="G642" s="176"/>
      <c r="H642" s="176"/>
      <c r="I642" s="176"/>
      <c r="J642" s="176"/>
      <c r="K642" s="176"/>
      <c r="L642" s="176"/>
      <c r="M642" s="176"/>
      <c r="N642" s="176"/>
      <c r="O642" s="176"/>
      <c r="P642" s="176"/>
      <c r="Q642" s="176"/>
    </row>
    <row r="643" spans="1:17" ht="18" x14ac:dyDescent="0.25">
      <c r="A643" s="17" t="s">
        <v>141</v>
      </c>
      <c r="B643" s="17" t="s">
        <v>55</v>
      </c>
      <c r="C643" s="17" t="s">
        <v>56</v>
      </c>
      <c r="D643" s="17" t="s">
        <v>389</v>
      </c>
      <c r="E643" s="176">
        <v>303.16000000000003</v>
      </c>
      <c r="F643" s="176"/>
      <c r="G643" s="176"/>
      <c r="H643" s="176"/>
      <c r="I643" s="176"/>
      <c r="J643" s="176"/>
      <c r="K643" s="176"/>
      <c r="L643" s="176"/>
      <c r="M643" s="176"/>
      <c r="N643" s="176"/>
      <c r="O643" s="176"/>
      <c r="P643" s="176"/>
      <c r="Q643" s="176"/>
    </row>
    <row r="644" spans="1:17" x14ac:dyDescent="0.25">
      <c r="A644" s="17" t="s">
        <v>57</v>
      </c>
      <c r="B644" s="17" t="s">
        <v>58</v>
      </c>
      <c r="C644" s="17" t="s">
        <v>59</v>
      </c>
      <c r="D644" s="17" t="s">
        <v>389</v>
      </c>
      <c r="E644" s="176">
        <v>1.9870000000000001</v>
      </c>
      <c r="F644" s="176"/>
      <c r="G644" s="176"/>
      <c r="H644" s="176"/>
      <c r="I644" s="176"/>
      <c r="J644" s="176"/>
      <c r="K644" s="176"/>
      <c r="L644" s="176"/>
      <c r="M644" s="176"/>
      <c r="N644" s="176"/>
      <c r="O644" s="176"/>
      <c r="P644" s="176"/>
      <c r="Q644" s="176"/>
    </row>
    <row r="645" spans="1:17" ht="18" x14ac:dyDescent="0.25">
      <c r="A645" s="17" t="s">
        <v>142</v>
      </c>
      <c r="B645" s="17" t="s">
        <v>55</v>
      </c>
      <c r="C645" s="17" t="s">
        <v>143</v>
      </c>
      <c r="D645" s="144" t="s">
        <v>363</v>
      </c>
      <c r="E645" s="28">
        <f>AVERAGE(N645:Q645)</f>
        <v>294.14999999999998</v>
      </c>
      <c r="F645" s="25" t="s">
        <v>297</v>
      </c>
      <c r="G645" s="25" t="s">
        <v>297</v>
      </c>
      <c r="H645" s="25" t="s">
        <v>297</v>
      </c>
      <c r="I645" s="25" t="s">
        <v>297</v>
      </c>
      <c r="J645" s="25" t="s">
        <v>297</v>
      </c>
      <c r="K645" s="25" t="s">
        <v>297</v>
      </c>
      <c r="L645" s="25" t="s">
        <v>297</v>
      </c>
      <c r="M645" s="25" t="s">
        <v>297</v>
      </c>
      <c r="N645" s="25">
        <v>300.14999999999998</v>
      </c>
      <c r="O645" s="25">
        <v>296.14999999999998</v>
      </c>
      <c r="P645" s="25">
        <v>293.64999999999998</v>
      </c>
      <c r="Q645" s="25">
        <v>286.64999999999998</v>
      </c>
    </row>
    <row r="646" spans="1:17" ht="46.8" x14ac:dyDescent="0.25">
      <c r="A646" s="17" t="s">
        <v>144</v>
      </c>
      <c r="B646" s="17" t="s">
        <v>24</v>
      </c>
      <c r="C646" s="17" t="s">
        <v>145</v>
      </c>
      <c r="D646" s="17" t="s">
        <v>390</v>
      </c>
      <c r="E646" s="29">
        <f>SUM(N646:Q646)</f>
        <v>9.1129838906751743</v>
      </c>
      <c r="F646" s="29" t="s">
        <v>297</v>
      </c>
      <c r="G646" s="29" t="s">
        <v>297</v>
      </c>
      <c r="H646" s="29" t="s">
        <v>297</v>
      </c>
      <c r="I646" s="29" t="s">
        <v>297</v>
      </c>
      <c r="J646" s="29" t="s">
        <v>297</v>
      </c>
      <c r="K646" s="29" t="s">
        <v>297</v>
      </c>
      <c r="L646" s="29" t="s">
        <v>297</v>
      </c>
      <c r="M646" s="29" t="s">
        <v>297</v>
      </c>
      <c r="N646" s="29">
        <f>N633*N634*'Project Emissions 2020'!N625+(1-N641)*0</f>
        <v>1.7724693069987505</v>
      </c>
      <c r="O646" s="29">
        <f>O633*O634*'Project Emissions 2020'!O625+(1-O641)*0</f>
        <v>2.6539334272048385</v>
      </c>
      <c r="P646" s="29">
        <f>P633*P634*'Project Emissions 2020'!P625+(1-P641)*0</f>
        <v>2.3350634588274999</v>
      </c>
      <c r="Q646" s="29">
        <f>Q633*Q634*'Project Emissions 2020'!Q625+(1-Q641)*0</f>
        <v>2.3515176976440859</v>
      </c>
    </row>
    <row r="647" spans="1:17" x14ac:dyDescent="0.3">
      <c r="A647" s="30"/>
      <c r="E647" s="31"/>
      <c r="F647" s="31"/>
      <c r="G647" s="31"/>
      <c r="H647" s="31"/>
      <c r="I647" s="31"/>
      <c r="J647" s="31"/>
      <c r="K647" s="31"/>
      <c r="L647" s="31"/>
      <c r="M647" s="31"/>
      <c r="N647" s="31"/>
      <c r="O647" s="31"/>
      <c r="P647" s="31"/>
      <c r="Q647" s="31"/>
    </row>
    <row r="648" spans="1:17" x14ac:dyDescent="0.25">
      <c r="A648" s="174" t="s">
        <v>146</v>
      </c>
      <c r="B648" s="174"/>
      <c r="C648" s="175"/>
      <c r="D648" s="175"/>
      <c r="E648" s="195"/>
      <c r="F648" s="32"/>
      <c r="G648" s="32"/>
      <c r="H648" s="32"/>
      <c r="I648" s="32"/>
      <c r="J648" s="32"/>
      <c r="K648" s="32"/>
      <c r="L648" s="32"/>
      <c r="M648" s="32"/>
      <c r="N648" s="32"/>
      <c r="O648" s="32"/>
      <c r="P648" s="32"/>
      <c r="Q648" s="32"/>
    </row>
    <row r="649" spans="1:17" x14ac:dyDescent="0.25">
      <c r="A649" s="33" t="s">
        <v>8</v>
      </c>
      <c r="B649" s="33" t="s">
        <v>9</v>
      </c>
      <c r="C649" s="34" t="s">
        <v>10</v>
      </c>
      <c r="D649" s="34" t="s">
        <v>340</v>
      </c>
      <c r="E649" s="16" t="s">
        <v>65</v>
      </c>
      <c r="F649" s="32"/>
      <c r="G649" s="32"/>
      <c r="H649" s="32"/>
      <c r="I649" s="32"/>
      <c r="J649" s="32"/>
      <c r="K649" s="32"/>
      <c r="L649" s="32"/>
      <c r="M649" s="32"/>
      <c r="N649" s="32"/>
      <c r="O649" s="32"/>
      <c r="P649" s="32"/>
      <c r="Q649" s="32"/>
    </row>
    <row r="650" spans="1:17" ht="46.8" x14ac:dyDescent="0.25">
      <c r="A650" s="15" t="s">
        <v>147</v>
      </c>
      <c r="B650" s="17" t="s">
        <v>95</v>
      </c>
      <c r="C650" s="35" t="s">
        <v>148</v>
      </c>
      <c r="D650" s="35" t="s">
        <v>68</v>
      </c>
      <c r="E650" s="16">
        <v>0</v>
      </c>
      <c r="F650" s="32"/>
      <c r="G650" s="32"/>
      <c r="H650" s="32"/>
      <c r="I650" s="32"/>
      <c r="J650" s="32"/>
      <c r="K650" s="32"/>
      <c r="L650" s="32"/>
      <c r="M650" s="32"/>
      <c r="N650" s="32"/>
      <c r="O650" s="32"/>
      <c r="P650" s="32"/>
      <c r="Q650" s="32"/>
    </row>
    <row r="651" spans="1:17" x14ac:dyDescent="0.25">
      <c r="A651" s="36"/>
      <c r="B651" s="36"/>
      <c r="C651" s="37"/>
      <c r="D651" s="37"/>
      <c r="E651" s="32"/>
      <c r="F651" s="32"/>
      <c r="G651" s="32"/>
      <c r="H651" s="32"/>
      <c r="I651" s="32"/>
      <c r="J651" s="32"/>
      <c r="K651" s="32"/>
      <c r="L651" s="32"/>
      <c r="M651" s="32"/>
      <c r="N651" s="32"/>
      <c r="O651" s="32"/>
      <c r="P651" s="32"/>
      <c r="Q651" s="32"/>
    </row>
    <row r="652" spans="1:17" x14ac:dyDescent="0.25">
      <c r="A652" s="174" t="s">
        <v>149</v>
      </c>
      <c r="B652" s="174"/>
      <c r="C652" s="175"/>
      <c r="D652" s="175"/>
      <c r="E652" s="195"/>
      <c r="F652" s="32"/>
      <c r="G652" s="32"/>
      <c r="H652" s="32"/>
      <c r="I652" s="32"/>
      <c r="J652" s="32"/>
      <c r="K652" s="32"/>
      <c r="L652" s="32"/>
      <c r="M652" s="32"/>
      <c r="N652" s="32"/>
      <c r="O652" s="32"/>
      <c r="P652" s="32"/>
      <c r="Q652" s="32"/>
    </row>
    <row r="653" spans="1:17" x14ac:dyDescent="0.25">
      <c r="A653" s="33" t="s">
        <v>8</v>
      </c>
      <c r="B653" s="33" t="s">
        <v>9</v>
      </c>
      <c r="C653" s="34" t="s">
        <v>10</v>
      </c>
      <c r="D653" s="34" t="s">
        <v>340</v>
      </c>
      <c r="E653" s="16" t="s">
        <v>65</v>
      </c>
      <c r="F653" s="32"/>
      <c r="G653" s="32"/>
      <c r="H653" s="32"/>
      <c r="I653" s="32"/>
      <c r="J653" s="32"/>
      <c r="K653" s="32"/>
      <c r="L653" s="32"/>
      <c r="M653" s="32"/>
      <c r="N653" s="32"/>
      <c r="O653" s="32"/>
      <c r="P653" s="32"/>
      <c r="Q653" s="32"/>
    </row>
    <row r="654" spans="1:17" ht="46.8" x14ac:dyDescent="0.25">
      <c r="A654" s="15" t="s">
        <v>150</v>
      </c>
      <c r="B654" s="17" t="s">
        <v>95</v>
      </c>
      <c r="C654" s="35" t="s">
        <v>151</v>
      </c>
      <c r="D654" s="35" t="s">
        <v>68</v>
      </c>
      <c r="E654" s="16">
        <v>0</v>
      </c>
      <c r="F654" s="32"/>
      <c r="G654" s="32"/>
      <c r="H654" s="32"/>
      <c r="I654" s="32"/>
      <c r="J654" s="32"/>
      <c r="K654" s="32"/>
      <c r="L654" s="32"/>
      <c r="M654" s="32"/>
      <c r="N654" s="32"/>
      <c r="O654" s="32"/>
      <c r="P654" s="32"/>
      <c r="Q654" s="32"/>
    </row>
    <row r="655" spans="1:17" x14ac:dyDescent="0.25">
      <c r="F655" s="32"/>
      <c r="G655" s="32"/>
      <c r="H655" s="32"/>
      <c r="I655" s="32"/>
      <c r="J655" s="32"/>
      <c r="K655" s="32"/>
      <c r="L655" s="32"/>
      <c r="M655" s="32"/>
      <c r="N655" s="32"/>
      <c r="O655" s="32"/>
      <c r="P655" s="32"/>
      <c r="Q655" s="32"/>
    </row>
    <row r="656" spans="1:17" x14ac:dyDescent="0.25">
      <c r="A656" s="174" t="s">
        <v>152</v>
      </c>
      <c r="B656" s="174"/>
      <c r="C656" s="175"/>
      <c r="D656" s="175"/>
      <c r="E656" s="195"/>
      <c r="F656" s="32"/>
      <c r="G656" s="32"/>
      <c r="H656" s="32"/>
      <c r="I656" s="32"/>
      <c r="J656" s="32"/>
      <c r="K656" s="32"/>
      <c r="L656" s="32"/>
      <c r="M656" s="32"/>
      <c r="N656" s="32"/>
      <c r="O656" s="32"/>
      <c r="P656" s="32"/>
      <c r="Q656" s="32"/>
    </row>
    <row r="657" spans="1:19" s="10" customFormat="1" x14ac:dyDescent="0.25">
      <c r="A657" s="15" t="s">
        <v>8</v>
      </c>
      <c r="B657" s="15" t="s">
        <v>9</v>
      </c>
      <c r="C657" s="38" t="s">
        <v>10</v>
      </c>
      <c r="D657" s="38" t="s">
        <v>340</v>
      </c>
      <c r="E657" s="16" t="s">
        <v>65</v>
      </c>
      <c r="F657" s="32"/>
      <c r="G657" s="32"/>
      <c r="H657" s="39"/>
      <c r="I657" s="39"/>
      <c r="J657" s="39"/>
      <c r="K657" s="39"/>
      <c r="L657" s="39"/>
      <c r="M657" s="39"/>
      <c r="N657" s="39"/>
      <c r="O657" s="39"/>
      <c r="P657" s="39"/>
      <c r="Q657" s="39"/>
    </row>
    <row r="658" spans="1:19" s="10" customFormat="1" ht="18" x14ac:dyDescent="0.4">
      <c r="A658" s="40" t="s">
        <v>153</v>
      </c>
      <c r="B658" s="17" t="s">
        <v>103</v>
      </c>
      <c r="C658" s="35" t="s">
        <v>154</v>
      </c>
      <c r="D658" s="35" t="s">
        <v>155</v>
      </c>
      <c r="E658" s="41">
        <f>E659*E661*(1+E660)</f>
        <v>144.9199223004</v>
      </c>
      <c r="F658" s="32"/>
      <c r="G658" s="32"/>
      <c r="H658" s="39"/>
      <c r="I658" s="39"/>
      <c r="J658" s="39"/>
      <c r="K658" s="39"/>
      <c r="L658" s="39"/>
      <c r="M658" s="39"/>
      <c r="N658" s="39"/>
      <c r="O658" s="39"/>
      <c r="P658" s="39"/>
      <c r="Q658" s="39"/>
    </row>
    <row r="659" spans="1:19" ht="31.2" x14ac:dyDescent="0.25">
      <c r="A659" s="17" t="s">
        <v>156</v>
      </c>
      <c r="B659" s="17" t="s">
        <v>157</v>
      </c>
      <c r="C659" s="35" t="s">
        <v>158</v>
      </c>
      <c r="D659" s="35" t="s">
        <v>343</v>
      </c>
      <c r="E659" s="20">
        <f>237332.42/1000</f>
        <v>237.33242000000001</v>
      </c>
      <c r="G659" s="42"/>
      <c r="H659" s="43"/>
      <c r="I659" s="43"/>
      <c r="J659" s="43"/>
      <c r="K659" s="43"/>
      <c r="L659" s="43"/>
      <c r="M659" s="43"/>
      <c r="N659" s="43"/>
      <c r="O659" s="43"/>
      <c r="P659" s="43"/>
      <c r="Q659" s="43"/>
      <c r="R659" s="9"/>
      <c r="S659" s="9"/>
    </row>
    <row r="660" spans="1:19" ht="31.2" x14ac:dyDescent="0.25">
      <c r="A660" s="17" t="s">
        <v>159</v>
      </c>
      <c r="B660" s="17" t="s">
        <v>160</v>
      </c>
      <c r="C660" s="35" t="s">
        <v>161</v>
      </c>
      <c r="D660" s="35" t="s">
        <v>162</v>
      </c>
      <c r="E660" s="44">
        <v>0.2</v>
      </c>
      <c r="H660" s="43"/>
      <c r="I660" s="43"/>
      <c r="J660" s="43"/>
      <c r="K660" s="43"/>
      <c r="L660" s="43"/>
      <c r="M660" s="43"/>
      <c r="N660" s="43"/>
      <c r="O660" s="43"/>
      <c r="P660" s="43"/>
      <c r="Q660" s="43"/>
      <c r="R660" s="9"/>
      <c r="S660" s="9"/>
    </row>
    <row r="661" spans="1:19" ht="46.8" x14ac:dyDescent="0.25">
      <c r="A661" s="17" t="s">
        <v>163</v>
      </c>
      <c r="B661" s="17" t="s">
        <v>164</v>
      </c>
      <c r="C661" s="35" t="s">
        <v>165</v>
      </c>
      <c r="D661" s="35" t="s">
        <v>166</v>
      </c>
      <c r="E661" s="45">
        <f>0.5*0.8042+0.5*0.2135</f>
        <v>0.50885000000000002</v>
      </c>
      <c r="F661" s="46"/>
      <c r="G661" s="46"/>
      <c r="H661" s="46"/>
      <c r="I661" s="46"/>
      <c r="J661" s="46"/>
      <c r="K661" s="46"/>
      <c r="L661" s="46"/>
      <c r="M661" s="46"/>
      <c r="N661" s="46"/>
      <c r="O661" s="46"/>
      <c r="P661" s="46"/>
      <c r="Q661" s="46"/>
    </row>
    <row r="662" spans="1:19" ht="31.2" x14ac:dyDescent="0.4">
      <c r="A662" s="40" t="s">
        <v>167</v>
      </c>
      <c r="B662" s="17" t="s">
        <v>103</v>
      </c>
      <c r="C662" s="35" t="s">
        <v>168</v>
      </c>
      <c r="D662" s="35" t="s">
        <v>169</v>
      </c>
      <c r="E662" s="47">
        <v>0</v>
      </c>
      <c r="H662" s="43"/>
      <c r="I662" s="43"/>
      <c r="J662" s="43"/>
      <c r="K662" s="43"/>
      <c r="L662" s="43"/>
      <c r="M662" s="43"/>
      <c r="N662" s="43"/>
      <c r="O662" s="43"/>
      <c r="P662" s="43"/>
      <c r="Q662" s="43"/>
      <c r="R662" s="9"/>
      <c r="S662" s="9"/>
    </row>
    <row r="663" spans="1:19" x14ac:dyDescent="0.3">
      <c r="A663" s="48"/>
      <c r="E663" s="49"/>
      <c r="H663" s="43"/>
      <c r="I663" s="43"/>
      <c r="J663" s="43"/>
      <c r="K663" s="43"/>
      <c r="L663" s="43"/>
      <c r="M663" s="43"/>
      <c r="N663" s="43"/>
      <c r="O663" s="43"/>
      <c r="P663" s="43"/>
      <c r="Q663" s="43"/>
      <c r="R663" s="9"/>
      <c r="S663" s="9"/>
    </row>
    <row r="664" spans="1:19" x14ac:dyDescent="0.25">
      <c r="A664" s="174" t="s">
        <v>170</v>
      </c>
      <c r="B664" s="174"/>
      <c r="C664" s="175"/>
      <c r="D664" s="175"/>
      <c r="E664" s="195"/>
      <c r="F664" s="32"/>
      <c r="G664" s="32"/>
      <c r="H664" s="32"/>
      <c r="I664" s="32"/>
      <c r="J664" s="32"/>
      <c r="K664" s="32"/>
      <c r="L664" s="32"/>
      <c r="M664" s="32"/>
      <c r="N664" s="32"/>
      <c r="O664" s="32"/>
      <c r="P664" s="32"/>
      <c r="Q664" s="32"/>
    </row>
    <row r="665" spans="1:19" x14ac:dyDescent="0.25">
      <c r="A665" s="15" t="s">
        <v>8</v>
      </c>
      <c r="B665" s="15" t="s">
        <v>9</v>
      </c>
      <c r="C665" s="38" t="s">
        <v>10</v>
      </c>
      <c r="D665" s="38" t="s">
        <v>340</v>
      </c>
      <c r="E665" s="16" t="s">
        <v>65</v>
      </c>
      <c r="H665" s="43"/>
      <c r="I665" s="43"/>
      <c r="J665" s="43"/>
      <c r="K665" s="43"/>
      <c r="L665" s="43"/>
      <c r="M665" s="43"/>
      <c r="N665" s="43"/>
      <c r="O665" s="43"/>
      <c r="P665" s="43"/>
      <c r="Q665" s="43"/>
      <c r="R665" s="9"/>
      <c r="S665" s="9"/>
    </row>
    <row r="666" spans="1:19" ht="33.6" x14ac:dyDescent="0.4">
      <c r="A666" s="40" t="s">
        <v>171</v>
      </c>
      <c r="B666" s="17" t="s">
        <v>74</v>
      </c>
      <c r="C666" s="35" t="s">
        <v>172</v>
      </c>
      <c r="D666" s="35" t="s">
        <v>391</v>
      </c>
      <c r="E666" s="50">
        <f>E667*E670*E671*E672*E673*E674</f>
        <v>4.1214384204542638</v>
      </c>
      <c r="H666" s="43"/>
      <c r="I666" s="43"/>
      <c r="J666" s="43"/>
      <c r="K666" s="43"/>
      <c r="L666" s="43"/>
      <c r="M666" s="43"/>
      <c r="N666" s="43"/>
      <c r="O666" s="43"/>
      <c r="P666" s="43"/>
      <c r="Q666" s="43"/>
      <c r="R666" s="9"/>
      <c r="S666" s="9"/>
    </row>
    <row r="667" spans="1:19" ht="46.8" x14ac:dyDescent="0.4">
      <c r="A667" s="51" t="s">
        <v>173</v>
      </c>
      <c r="B667" s="17" t="s">
        <v>76</v>
      </c>
      <c r="C667" s="35" t="s">
        <v>174</v>
      </c>
      <c r="D667" s="35" t="s">
        <v>392</v>
      </c>
      <c r="E667" s="69">
        <f>ROUNDUP(E668/E669,0)</f>
        <v>73</v>
      </c>
      <c r="H667" s="43"/>
      <c r="I667" s="43"/>
      <c r="J667" s="43"/>
      <c r="K667" s="43"/>
      <c r="L667" s="43"/>
      <c r="M667" s="43"/>
      <c r="N667" s="43"/>
      <c r="O667" s="43"/>
      <c r="P667" s="43"/>
      <c r="Q667" s="43"/>
      <c r="R667" s="9"/>
      <c r="S667" s="9"/>
    </row>
    <row r="668" spans="1:19" ht="62.4" x14ac:dyDescent="0.25">
      <c r="A668" s="17" t="s">
        <v>175</v>
      </c>
      <c r="B668" s="17" t="s">
        <v>78</v>
      </c>
      <c r="C668" s="35" t="s">
        <v>176</v>
      </c>
      <c r="D668" s="35" t="s">
        <v>346</v>
      </c>
      <c r="E668" s="153">
        <v>363.82499999999999</v>
      </c>
      <c r="H668" s="43"/>
      <c r="I668" s="43"/>
      <c r="J668" s="43"/>
      <c r="K668" s="43"/>
      <c r="L668" s="43"/>
      <c r="M668" s="43"/>
      <c r="N668" s="43"/>
      <c r="O668" s="43"/>
      <c r="P668" s="43"/>
      <c r="Q668" s="43"/>
      <c r="R668" s="9"/>
      <c r="S668" s="9"/>
    </row>
    <row r="669" spans="1:19" ht="62.4" x14ac:dyDescent="0.25">
      <c r="A669" s="17" t="s">
        <v>177</v>
      </c>
      <c r="B669" s="17" t="s">
        <v>80</v>
      </c>
      <c r="C669" s="35" t="s">
        <v>81</v>
      </c>
      <c r="D669" s="35" t="s">
        <v>345</v>
      </c>
      <c r="E669" s="25">
        <f>5</f>
        <v>5</v>
      </c>
      <c r="H669" s="43"/>
      <c r="I669" s="43"/>
      <c r="J669" s="43"/>
      <c r="K669" s="43"/>
      <c r="L669" s="43"/>
      <c r="M669" s="43"/>
      <c r="N669" s="43"/>
      <c r="O669" s="43"/>
      <c r="P669" s="43"/>
      <c r="Q669" s="43"/>
      <c r="R669" s="9"/>
      <c r="S669" s="9"/>
    </row>
    <row r="670" spans="1:19" ht="202.8" x14ac:dyDescent="0.25">
      <c r="A670" s="17" t="s">
        <v>178</v>
      </c>
      <c r="B670" s="17" t="s">
        <v>82</v>
      </c>
      <c r="C670" s="35" t="s">
        <v>179</v>
      </c>
      <c r="D670" s="35" t="s">
        <v>367</v>
      </c>
      <c r="E670" s="25">
        <f>41.7*2</f>
        <v>83.4</v>
      </c>
      <c r="H670" s="43"/>
      <c r="I670" s="43"/>
      <c r="J670" s="43"/>
      <c r="K670" s="43"/>
      <c r="L670" s="43"/>
      <c r="M670" s="43"/>
      <c r="N670" s="43"/>
      <c r="O670" s="43"/>
      <c r="P670" s="43"/>
      <c r="Q670" s="43"/>
      <c r="R670" s="9"/>
      <c r="S670" s="9"/>
    </row>
    <row r="671" spans="1:19" ht="156" x14ac:dyDescent="0.25">
      <c r="A671" s="17" t="s">
        <v>180</v>
      </c>
      <c r="B671" s="17" t="s">
        <v>84</v>
      </c>
      <c r="C671" s="35" t="s">
        <v>85</v>
      </c>
      <c r="D671" s="35" t="s">
        <v>365</v>
      </c>
      <c r="E671" s="25">
        <f>25.1/100</f>
        <v>0.251</v>
      </c>
      <c r="H671" s="43"/>
      <c r="I671" s="43"/>
      <c r="J671" s="43"/>
      <c r="K671" s="43"/>
      <c r="L671" s="43"/>
      <c r="M671" s="43"/>
      <c r="N671" s="43"/>
      <c r="O671" s="43"/>
      <c r="P671" s="43"/>
      <c r="Q671" s="43"/>
      <c r="R671" s="9"/>
      <c r="S671" s="9"/>
    </row>
    <row r="672" spans="1:19" ht="62.4" x14ac:dyDescent="0.25">
      <c r="A672" s="17" t="s">
        <v>86</v>
      </c>
      <c r="B672" s="17" t="s">
        <v>87</v>
      </c>
      <c r="C672" s="35" t="s">
        <v>86</v>
      </c>
      <c r="D672" s="35" t="s">
        <v>215</v>
      </c>
      <c r="E672" s="25">
        <f>0.84/1000</f>
        <v>8.3999999999999993E-4</v>
      </c>
      <c r="H672" s="43"/>
      <c r="I672" s="43"/>
      <c r="J672" s="43"/>
      <c r="K672" s="43"/>
      <c r="L672" s="43"/>
      <c r="M672" s="43"/>
      <c r="N672" s="43"/>
      <c r="O672" s="43"/>
      <c r="P672" s="43"/>
      <c r="Q672" s="43"/>
      <c r="R672" s="9"/>
      <c r="S672" s="9"/>
    </row>
    <row r="673" spans="1:133" ht="124.8" x14ac:dyDescent="0.25">
      <c r="A673" s="17" t="s">
        <v>181</v>
      </c>
      <c r="B673" s="17" t="s">
        <v>88</v>
      </c>
      <c r="C673" s="35" t="s">
        <v>89</v>
      </c>
      <c r="D673" s="35" t="s">
        <v>360</v>
      </c>
      <c r="E673" s="25">
        <f>43.33/1000</f>
        <v>4.333E-2</v>
      </c>
      <c r="H673" s="43"/>
      <c r="I673" s="43"/>
      <c r="J673" s="43"/>
      <c r="K673" s="43"/>
      <c r="L673" s="43"/>
      <c r="M673" s="43"/>
      <c r="N673" s="43"/>
      <c r="O673" s="43"/>
      <c r="P673" s="43"/>
      <c r="Q673" s="43"/>
      <c r="R673" s="9"/>
      <c r="S673" s="9"/>
    </row>
    <row r="674" spans="1:133" ht="33.6" x14ac:dyDescent="0.25">
      <c r="A674" s="17" t="s">
        <v>182</v>
      </c>
      <c r="B674" s="17" t="s">
        <v>90</v>
      </c>
      <c r="C674" s="35" t="s">
        <v>91</v>
      </c>
      <c r="D674" s="35" t="s">
        <v>92</v>
      </c>
      <c r="E674" s="25">
        <v>74.099999999999994</v>
      </c>
      <c r="H674" s="43"/>
      <c r="I674" s="43"/>
      <c r="J674" s="43"/>
      <c r="K674" s="43"/>
      <c r="L674" s="43"/>
      <c r="M674" s="43"/>
      <c r="N674" s="43"/>
      <c r="O674" s="43"/>
      <c r="P674" s="43"/>
      <c r="Q674" s="43"/>
      <c r="R674" s="9"/>
      <c r="S674" s="9"/>
    </row>
    <row r="676" spans="1:133" x14ac:dyDescent="0.25">
      <c r="A676" s="33" t="s">
        <v>8</v>
      </c>
      <c r="B676" s="33" t="s">
        <v>9</v>
      </c>
      <c r="C676" s="34" t="s">
        <v>10</v>
      </c>
      <c r="D676" s="34" t="s">
        <v>340</v>
      </c>
      <c r="E676" s="16" t="s">
        <v>65</v>
      </c>
    </row>
    <row r="677" spans="1:133" ht="18" x14ac:dyDescent="0.25">
      <c r="A677" s="15" t="s">
        <v>183</v>
      </c>
      <c r="B677" s="17" t="s">
        <v>103</v>
      </c>
      <c r="C677" s="35" t="s">
        <v>184</v>
      </c>
      <c r="D677" s="53" t="s">
        <v>393</v>
      </c>
      <c r="E677" s="18">
        <f>ROUNDUP(E626+E650+E654+E658+E666,0)</f>
        <v>150</v>
      </c>
    </row>
    <row r="678" spans="1:133" s="200" customFormat="1" ht="43.2" customHeight="1" x14ac:dyDescent="0.25">
      <c r="A678" s="197" t="s">
        <v>232</v>
      </c>
      <c r="B678" s="198"/>
      <c r="C678" s="198"/>
      <c r="D678" s="198"/>
      <c r="E678" s="198"/>
      <c r="F678" s="198"/>
      <c r="G678" s="198"/>
      <c r="H678" s="198"/>
      <c r="I678" s="198"/>
      <c r="J678" s="198"/>
      <c r="K678" s="198"/>
      <c r="L678" s="198"/>
      <c r="M678" s="198"/>
      <c r="N678" s="198"/>
      <c r="O678" s="198"/>
      <c r="P678" s="198"/>
      <c r="Q678" s="198"/>
      <c r="R678" s="198"/>
      <c r="S678" s="198"/>
      <c r="T678" s="198"/>
      <c r="U678" s="198"/>
      <c r="V678" s="198"/>
      <c r="W678" s="198"/>
      <c r="X678" s="198"/>
      <c r="Y678" s="198"/>
      <c r="Z678" s="198"/>
      <c r="AA678" s="198"/>
      <c r="AB678" s="198"/>
      <c r="AC678" s="198"/>
      <c r="AD678" s="198"/>
      <c r="AE678" s="198"/>
      <c r="AF678" s="198"/>
      <c r="AG678" s="198"/>
      <c r="AH678" s="198"/>
      <c r="AI678" s="198"/>
      <c r="AJ678" s="198"/>
      <c r="AK678" s="198"/>
      <c r="AL678" s="198"/>
      <c r="AM678" s="198"/>
      <c r="AN678" s="198"/>
      <c r="AO678" s="198"/>
      <c r="AP678" s="198"/>
      <c r="AQ678" s="198"/>
      <c r="AR678" s="198"/>
      <c r="AS678" s="198"/>
      <c r="AT678" s="198"/>
      <c r="AU678" s="198"/>
      <c r="AV678" s="198"/>
      <c r="AW678" s="198"/>
      <c r="AX678" s="198"/>
      <c r="AY678" s="198"/>
      <c r="AZ678" s="198"/>
      <c r="BA678" s="198"/>
      <c r="BB678" s="198"/>
      <c r="BC678" s="198"/>
      <c r="BD678" s="198"/>
      <c r="BE678" s="198"/>
      <c r="BF678" s="198"/>
      <c r="BG678" s="198"/>
      <c r="BH678" s="198"/>
      <c r="BI678" s="198"/>
      <c r="BJ678" s="198"/>
      <c r="BK678" s="198"/>
      <c r="BL678" s="198"/>
      <c r="BM678" s="198"/>
      <c r="BN678" s="198"/>
      <c r="BO678" s="198"/>
      <c r="BP678" s="198"/>
      <c r="BQ678" s="198"/>
      <c r="BR678" s="198"/>
      <c r="BS678" s="198"/>
      <c r="BT678" s="198"/>
      <c r="BU678" s="198"/>
      <c r="BV678" s="198"/>
      <c r="BW678" s="198"/>
      <c r="BX678" s="198"/>
      <c r="BY678" s="198"/>
      <c r="BZ678" s="198"/>
      <c r="CA678" s="198"/>
      <c r="CB678" s="198"/>
      <c r="CC678" s="198"/>
      <c r="CD678" s="198"/>
      <c r="CE678" s="198"/>
      <c r="CF678" s="198"/>
      <c r="CG678" s="198"/>
      <c r="CH678" s="198"/>
      <c r="CI678" s="198"/>
      <c r="CJ678" s="198"/>
      <c r="CK678" s="198"/>
      <c r="CL678" s="198"/>
      <c r="CM678" s="198"/>
      <c r="CN678" s="198"/>
      <c r="CO678" s="198"/>
      <c r="CP678" s="198"/>
      <c r="CQ678" s="198"/>
      <c r="CR678" s="198"/>
      <c r="CS678" s="198"/>
      <c r="CT678" s="198"/>
      <c r="CU678" s="198"/>
      <c r="CV678" s="198"/>
      <c r="CW678" s="198"/>
      <c r="CX678" s="198"/>
      <c r="CY678" s="198"/>
      <c r="CZ678" s="198"/>
      <c r="DA678" s="198"/>
      <c r="DB678" s="198"/>
      <c r="DC678" s="198"/>
      <c r="DD678" s="198"/>
      <c r="DE678" s="198"/>
      <c r="DF678" s="198"/>
      <c r="DG678" s="198"/>
      <c r="DH678" s="198"/>
      <c r="DI678" s="198"/>
      <c r="DJ678" s="198"/>
      <c r="DK678" s="198"/>
      <c r="DL678" s="198"/>
      <c r="DM678" s="198"/>
      <c r="DN678" s="198"/>
      <c r="DO678" s="198"/>
      <c r="DP678" s="198"/>
      <c r="DQ678" s="198"/>
      <c r="DR678" s="198"/>
      <c r="DS678" s="198"/>
      <c r="DT678" s="198"/>
      <c r="DU678" s="198"/>
      <c r="DV678" s="198"/>
      <c r="DW678" s="198"/>
      <c r="DX678" s="198"/>
      <c r="DY678" s="198"/>
      <c r="DZ678" s="198"/>
      <c r="EA678" s="198"/>
      <c r="EB678" s="198"/>
      <c r="EC678" s="199"/>
    </row>
    <row r="679" spans="1:133" ht="23.4" customHeight="1" x14ac:dyDescent="0.25">
      <c r="A679" s="201" t="s">
        <v>105</v>
      </c>
      <c r="B679" s="201"/>
      <c r="C679" s="201"/>
      <c r="D679" s="201"/>
      <c r="E679" s="201"/>
      <c r="F679" s="201"/>
      <c r="G679" s="201"/>
      <c r="H679" s="201"/>
      <c r="I679" s="201"/>
      <c r="J679" s="201"/>
      <c r="K679" s="201"/>
      <c r="L679" s="201"/>
      <c r="M679" s="201"/>
      <c r="N679" s="201"/>
      <c r="O679" s="201"/>
      <c r="P679" s="201"/>
      <c r="Q679" s="202"/>
    </row>
    <row r="680" spans="1:133" s="10" customFormat="1" ht="31.2" x14ac:dyDescent="0.25">
      <c r="A680" s="15" t="s">
        <v>8</v>
      </c>
      <c r="B680" s="15" t="s">
        <v>9</v>
      </c>
      <c r="C680" s="15" t="s">
        <v>10</v>
      </c>
      <c r="D680" s="15" t="s">
        <v>340</v>
      </c>
      <c r="E680" s="16" t="s">
        <v>11</v>
      </c>
      <c r="F680" s="16" t="s">
        <v>292</v>
      </c>
      <c r="G680" s="16" t="s">
        <v>292</v>
      </c>
      <c r="H680" s="16" t="s">
        <v>292</v>
      </c>
      <c r="I680" s="16" t="s">
        <v>292</v>
      </c>
      <c r="J680" s="16" t="s">
        <v>292</v>
      </c>
      <c r="K680" s="16" t="s">
        <v>292</v>
      </c>
      <c r="L680" s="16" t="s">
        <v>292</v>
      </c>
      <c r="M680" s="16" t="s">
        <v>292</v>
      </c>
      <c r="N680" s="16" t="s">
        <v>307</v>
      </c>
      <c r="O680" s="16" t="s">
        <v>293</v>
      </c>
      <c r="P680" s="16" t="s">
        <v>294</v>
      </c>
      <c r="Q680" s="16" t="s">
        <v>295</v>
      </c>
      <c r="R680" s="54"/>
      <c r="S680" s="54"/>
    </row>
    <row r="681" spans="1:133" s="10" customFormat="1" x14ac:dyDescent="0.25">
      <c r="A681" s="203" t="s">
        <v>106</v>
      </c>
      <c r="B681" s="203"/>
      <c r="C681" s="203"/>
      <c r="D681" s="203"/>
      <c r="E681" s="204"/>
      <c r="F681" s="16" t="s">
        <v>297</v>
      </c>
      <c r="G681" s="16" t="s">
        <v>297</v>
      </c>
      <c r="H681" s="16" t="s">
        <v>297</v>
      </c>
      <c r="I681" s="16" t="s">
        <v>297</v>
      </c>
      <c r="J681" s="16" t="s">
        <v>297</v>
      </c>
      <c r="K681" s="16" t="s">
        <v>297</v>
      </c>
      <c r="L681" s="16" t="s">
        <v>297</v>
      </c>
      <c r="M681" s="16" t="s">
        <v>297</v>
      </c>
      <c r="N681" s="16">
        <v>19</v>
      </c>
      <c r="O681" s="16">
        <v>31</v>
      </c>
      <c r="P681" s="16">
        <v>30</v>
      </c>
      <c r="Q681" s="16">
        <v>31</v>
      </c>
      <c r="R681" s="54"/>
      <c r="S681" s="54"/>
    </row>
    <row r="682" spans="1:133" s="10" customFormat="1" ht="31.2" x14ac:dyDescent="0.25">
      <c r="A682" s="15" t="s">
        <v>107</v>
      </c>
      <c r="B682" s="17" t="s">
        <v>103</v>
      </c>
      <c r="C682" s="17" t="s">
        <v>108</v>
      </c>
      <c r="D682" s="17" t="s">
        <v>381</v>
      </c>
      <c r="E682" s="18">
        <f>E683+E693</f>
        <v>0</v>
      </c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54"/>
      <c r="S682" s="54"/>
    </row>
    <row r="683" spans="1:133" ht="46.8" x14ac:dyDescent="0.25">
      <c r="A683" s="17" t="s">
        <v>109</v>
      </c>
      <c r="B683" s="17" t="s">
        <v>103</v>
      </c>
      <c r="C683" s="17" t="s">
        <v>110</v>
      </c>
      <c r="D683" s="17" t="s">
        <v>382</v>
      </c>
      <c r="E683" s="19">
        <f>SUM(F683:Q683)</f>
        <v>0</v>
      </c>
      <c r="F683" s="19" t="s">
        <v>297</v>
      </c>
      <c r="G683" s="19" t="s">
        <v>297</v>
      </c>
      <c r="H683" s="19" t="s">
        <v>297</v>
      </c>
      <c r="I683" s="19" t="s">
        <v>297</v>
      </c>
      <c r="J683" s="19" t="s">
        <v>297</v>
      </c>
      <c r="K683" s="19" t="s">
        <v>297</v>
      </c>
      <c r="L683" s="19" t="s">
        <v>297</v>
      </c>
      <c r="M683" s="19" t="s">
        <v>297</v>
      </c>
      <c r="N683" s="19">
        <f t="shared" ref="N683:Q683" si="82">IF(N684&gt;=0.8,0,$E$15*$E$16*0.4*(N685-N688)*N681)</f>
        <v>0</v>
      </c>
      <c r="O683" s="19">
        <f t="shared" si="82"/>
        <v>0</v>
      </c>
      <c r="P683" s="19">
        <f t="shared" si="82"/>
        <v>0</v>
      </c>
      <c r="Q683" s="19">
        <f t="shared" si="82"/>
        <v>0</v>
      </c>
    </row>
    <row r="684" spans="1:133" ht="62.4" x14ac:dyDescent="0.25">
      <c r="A684" s="17" t="s">
        <v>111</v>
      </c>
      <c r="B684" s="17" t="s">
        <v>37</v>
      </c>
      <c r="C684" s="17" t="s">
        <v>112</v>
      </c>
      <c r="D684" s="17" t="s">
        <v>383</v>
      </c>
      <c r="E684" s="20">
        <f>AVERAGE(N684:Q684)</f>
        <v>0.96219015007312281</v>
      </c>
      <c r="F684" s="20" t="s">
        <v>297</v>
      </c>
      <c r="G684" s="20" t="s">
        <v>297</v>
      </c>
      <c r="H684" s="20" t="s">
        <v>297</v>
      </c>
      <c r="I684" s="20" t="s">
        <v>297</v>
      </c>
      <c r="J684" s="20" t="s">
        <v>297</v>
      </c>
      <c r="K684" s="20" t="s">
        <v>297</v>
      </c>
      <c r="L684" s="20" t="s">
        <v>297</v>
      </c>
      <c r="M684" s="20" t="s">
        <v>297</v>
      </c>
      <c r="N684" s="20">
        <f t="shared" ref="N684:Q684" si="83">(N685-N688)/N685</f>
        <v>0.96217203621973024</v>
      </c>
      <c r="O684" s="20">
        <f t="shared" si="83"/>
        <v>0.96227120557113854</v>
      </c>
      <c r="P684" s="20">
        <f t="shared" si="83"/>
        <v>0.96262685308943463</v>
      </c>
      <c r="Q684" s="20">
        <f t="shared" si="83"/>
        <v>0.96169050541218815</v>
      </c>
    </row>
    <row r="685" spans="1:133" ht="46.8" x14ac:dyDescent="0.25">
      <c r="A685" s="17" t="s">
        <v>113</v>
      </c>
      <c r="B685" s="17" t="s">
        <v>24</v>
      </c>
      <c r="C685" s="17" t="s">
        <v>114</v>
      </c>
      <c r="D685" s="17" t="s">
        <v>384</v>
      </c>
      <c r="E685" s="20">
        <f>SUM(N685:Q685)</f>
        <v>12.989394646087987</v>
      </c>
      <c r="F685" s="20" t="s">
        <v>297</v>
      </c>
      <c r="G685" s="20" t="s">
        <v>297</v>
      </c>
      <c r="H685" s="20" t="s">
        <v>297</v>
      </c>
      <c r="I685" s="20" t="s">
        <v>297</v>
      </c>
      <c r="J685" s="20" t="s">
        <v>297</v>
      </c>
      <c r="K685" s="20" t="s">
        <v>297</v>
      </c>
      <c r="L685" s="20" t="s">
        <v>297</v>
      </c>
      <c r="M685" s="20" t="s">
        <v>297</v>
      </c>
      <c r="N685" s="20">
        <f t="shared" ref="N685:Q685" si="84">N686*N687</f>
        <v>3.4318587816394728</v>
      </c>
      <c r="O685" s="20">
        <f t="shared" si="84"/>
        <v>3.431519030747606</v>
      </c>
      <c r="P685" s="20">
        <f t="shared" si="84"/>
        <v>3.0629876995009444</v>
      </c>
      <c r="Q685" s="20">
        <f t="shared" si="84"/>
        <v>3.0630291341999651</v>
      </c>
    </row>
    <row r="686" spans="1:133" ht="72.599999999999994" customHeight="1" x14ac:dyDescent="0.25">
      <c r="A686" s="17" t="s">
        <v>115</v>
      </c>
      <c r="B686" s="17" t="s">
        <v>116</v>
      </c>
      <c r="C686" s="17" t="s">
        <v>117</v>
      </c>
      <c r="D686" s="17" t="s">
        <v>336</v>
      </c>
      <c r="E686" s="129">
        <f>SUM(N686:Q686)</f>
        <v>25197.856327560839</v>
      </c>
      <c r="F686" s="21" t="s">
        <v>297</v>
      </c>
      <c r="G686" s="21" t="s">
        <v>297</v>
      </c>
      <c r="H686" s="21" t="s">
        <v>297</v>
      </c>
      <c r="I686" s="21" t="s">
        <v>297</v>
      </c>
      <c r="J686" s="21" t="s">
        <v>297</v>
      </c>
      <c r="K686" s="21" t="s">
        <v>297</v>
      </c>
      <c r="L686" s="21" t="s">
        <v>297</v>
      </c>
      <c r="M686" s="21" t="s">
        <v>297</v>
      </c>
      <c r="N686" s="129">
        <f>'Baseline Emissions 2020'!N664</f>
        <v>6656.6943684210528</v>
      </c>
      <c r="O686" s="129">
        <f>'Baseline Emissions 2020'!O664</f>
        <v>6658.9484516129032</v>
      </c>
      <c r="P686" s="129">
        <f>'Baseline Emissions 2020'!P664</f>
        <v>5941.1367333333328</v>
      </c>
      <c r="Q686" s="129">
        <f>'Baseline Emissions 2020'!Q664</f>
        <v>5941.076774193547</v>
      </c>
    </row>
    <row r="687" spans="1:133" ht="46.8" x14ac:dyDescent="0.25">
      <c r="A687" s="17" t="s">
        <v>118</v>
      </c>
      <c r="B687" s="17" t="s">
        <v>119</v>
      </c>
      <c r="C687" s="17" t="s">
        <v>120</v>
      </c>
      <c r="D687" s="35" t="s">
        <v>338</v>
      </c>
      <c r="E687" s="120">
        <f>AVERAGE(N687:Q687)</f>
        <v>5.1549957661290314E-4</v>
      </c>
      <c r="F687" s="23" t="str">
        <f>'Baseline Emissions 2020'!F668</f>
        <v>—</v>
      </c>
      <c r="G687" s="23" t="str">
        <f>'Baseline Emissions 2020'!G668</f>
        <v>—</v>
      </c>
      <c r="H687" s="23" t="str">
        <f>'Baseline Emissions 2020'!H668</f>
        <v>—</v>
      </c>
      <c r="I687" s="23" t="str">
        <f>'Baseline Emissions 2020'!I668</f>
        <v>—</v>
      </c>
      <c r="J687" s="23" t="str">
        <f>'Baseline Emissions 2020'!J668</f>
        <v>—</v>
      </c>
      <c r="K687" s="23" t="str">
        <f>'Baseline Emissions 2020'!K668</f>
        <v>—</v>
      </c>
      <c r="L687" s="23" t="str">
        <f>'Baseline Emissions 2020'!L668</f>
        <v>—</v>
      </c>
      <c r="M687" s="23" t="str">
        <f>'Baseline Emissions 2020'!M668</f>
        <v>—</v>
      </c>
      <c r="N687" s="130">
        <f>'Baseline Emissions 2020'!N668</f>
        <v>5.1554999999999982E-4</v>
      </c>
      <c r="O687" s="130">
        <f>'Baseline Emissions 2020'!O668</f>
        <v>5.1532446236559129E-4</v>
      </c>
      <c r="P687" s="130">
        <f>'Baseline Emissions 2020'!P668</f>
        <v>5.1555583333333333E-4</v>
      </c>
      <c r="Q687" s="130">
        <f>'Baseline Emissions 2020'!Q668</f>
        <v>5.1556801075268823E-4</v>
      </c>
    </row>
    <row r="688" spans="1:133" ht="46.8" x14ac:dyDescent="0.25">
      <c r="A688" s="17" t="s">
        <v>121</v>
      </c>
      <c r="B688" s="17" t="s">
        <v>24</v>
      </c>
      <c r="C688" s="17" t="s">
        <v>122</v>
      </c>
      <c r="D688" s="17" t="s">
        <v>384</v>
      </c>
      <c r="E688" s="20">
        <f>SUM(N688:Q688)</f>
        <v>0.49110389309830854</v>
      </c>
      <c r="F688" s="20" t="s">
        <v>297</v>
      </c>
      <c r="G688" s="20" t="s">
        <v>297</v>
      </c>
      <c r="H688" s="20" t="s">
        <v>297</v>
      </c>
      <c r="I688" s="20" t="s">
        <v>297</v>
      </c>
      <c r="J688" s="20" t="s">
        <v>297</v>
      </c>
      <c r="K688" s="20" t="s">
        <v>297</v>
      </c>
      <c r="L688" s="20" t="s">
        <v>297</v>
      </c>
      <c r="M688" s="20" t="s">
        <v>297</v>
      </c>
      <c r="N688" s="20">
        <f t="shared" ref="N688:Q688" si="85">SUM(N689*N690)</f>
        <v>0.12982022969085871</v>
      </c>
      <c r="O688" s="20">
        <f t="shared" si="85"/>
        <v>0.12946707608980229</v>
      </c>
      <c r="P688" s="20">
        <f t="shared" si="85"/>
        <v>0.11447348927870375</v>
      </c>
      <c r="Q688" s="20">
        <f t="shared" si="85"/>
        <v>0.11734309803894377</v>
      </c>
    </row>
    <row r="689" spans="1:17" ht="62.4" x14ac:dyDescent="0.25">
      <c r="A689" s="17" t="s">
        <v>123</v>
      </c>
      <c r="B689" s="17" t="s">
        <v>116</v>
      </c>
      <c r="C689" s="17" t="s">
        <v>124</v>
      </c>
      <c r="D689" s="17" t="s">
        <v>337</v>
      </c>
      <c r="E689" s="129">
        <f>SUM(N689:Q689)</f>
        <v>24477.636745614032</v>
      </c>
      <c r="F689" s="21" t="s">
        <v>297</v>
      </c>
      <c r="G689" s="21" t="s">
        <v>297</v>
      </c>
      <c r="H689" s="21" t="s">
        <v>297</v>
      </c>
      <c r="I689" s="21" t="s">
        <v>297</v>
      </c>
      <c r="J689" s="21" t="s">
        <v>297</v>
      </c>
      <c r="K689" s="21" t="s">
        <v>297</v>
      </c>
      <c r="L689" s="21" t="s">
        <v>297</v>
      </c>
      <c r="M689" s="21" t="s">
        <v>297</v>
      </c>
      <c r="N689" s="129">
        <v>6488.0235789473672</v>
      </c>
      <c r="O689" s="129">
        <v>6487.6545483870968</v>
      </c>
      <c r="P689" s="129">
        <v>5750.8311666666668</v>
      </c>
      <c r="Q689" s="129">
        <v>5751.1274516129024</v>
      </c>
    </row>
    <row r="690" spans="1:17" ht="46.8" x14ac:dyDescent="0.25">
      <c r="A690" s="17" t="s">
        <v>125</v>
      </c>
      <c r="B690" s="17" t="s">
        <v>119</v>
      </c>
      <c r="C690" s="17" t="s">
        <v>126</v>
      </c>
      <c r="D690" s="35" t="s">
        <v>339</v>
      </c>
      <c r="E690" s="131">
        <f>AVERAGE(N690:Q690)</f>
        <v>2.0068543671005471E-5</v>
      </c>
      <c r="F690" s="24" t="str">
        <f>'Baseline Emissions 2020'!F669</f>
        <v>—</v>
      </c>
      <c r="G690" s="24" t="str">
        <f>'Baseline Emissions 2020'!G669</f>
        <v>—</v>
      </c>
      <c r="H690" s="24" t="str">
        <f>'Baseline Emissions 2020'!H669</f>
        <v>—</v>
      </c>
      <c r="I690" s="24" t="str">
        <f>'Baseline Emissions 2020'!I669</f>
        <v>—</v>
      </c>
      <c r="J690" s="24" t="str">
        <f>'Baseline Emissions 2020'!J669</f>
        <v>—</v>
      </c>
      <c r="K690" s="24" t="str">
        <f>'Baseline Emissions 2020'!K669</f>
        <v>—</v>
      </c>
      <c r="L690" s="24" t="str">
        <f>'Baseline Emissions 2020'!L669</f>
        <v>—</v>
      </c>
      <c r="M690" s="24" t="str">
        <f>'Baseline Emissions 2020'!M669</f>
        <v>—</v>
      </c>
      <c r="N690" s="131">
        <f>'Baseline Emissions 2020'!N669</f>
        <v>2.0009210526315789E-5</v>
      </c>
      <c r="O690" s="131">
        <f>'Baseline Emissions 2020'!O669</f>
        <v>1.9955913978494624E-5</v>
      </c>
      <c r="P690" s="131">
        <f>'Baseline Emissions 2020'!P669</f>
        <v>1.9905555555555562E-5</v>
      </c>
      <c r="Q690" s="131">
        <f>'Baseline Emissions 2020'!Q669</f>
        <v>2.0403494623655911E-5</v>
      </c>
    </row>
    <row r="691" spans="1:17" ht="31.2" x14ac:dyDescent="0.25">
      <c r="A691" s="17" t="s">
        <v>127</v>
      </c>
      <c r="B691" s="17" t="s">
        <v>128</v>
      </c>
      <c r="C691" s="17" t="s">
        <v>17</v>
      </c>
      <c r="D691" s="17" t="s">
        <v>129</v>
      </c>
      <c r="E691" s="176">
        <v>28</v>
      </c>
      <c r="F691" s="176"/>
      <c r="G691" s="176"/>
      <c r="H691" s="176"/>
      <c r="I691" s="176"/>
      <c r="J691" s="176"/>
      <c r="K691" s="176"/>
      <c r="L691" s="176"/>
      <c r="M691" s="176"/>
      <c r="N691" s="176"/>
      <c r="O691" s="176"/>
      <c r="P691" s="176"/>
      <c r="Q691" s="176"/>
    </row>
    <row r="692" spans="1:17" ht="64.8" x14ac:dyDescent="0.25">
      <c r="A692" s="17" t="s">
        <v>130</v>
      </c>
      <c r="B692" s="17" t="s">
        <v>19</v>
      </c>
      <c r="C692" s="17" t="s">
        <v>131</v>
      </c>
      <c r="D692" s="17" t="s">
        <v>394</v>
      </c>
      <c r="E692" s="176">
        <v>0.21</v>
      </c>
      <c r="F692" s="176"/>
      <c r="G692" s="176"/>
      <c r="H692" s="176"/>
      <c r="I692" s="176"/>
      <c r="J692" s="176"/>
      <c r="K692" s="176"/>
      <c r="L692" s="176"/>
      <c r="M692" s="176"/>
      <c r="N692" s="176"/>
      <c r="O692" s="176"/>
      <c r="P692" s="176"/>
      <c r="Q692" s="176"/>
    </row>
    <row r="693" spans="1:17" ht="46.8" x14ac:dyDescent="0.25">
      <c r="A693" s="17" t="s">
        <v>132</v>
      </c>
      <c r="B693" s="17" t="s">
        <v>103</v>
      </c>
      <c r="C693" s="17" t="s">
        <v>133</v>
      </c>
      <c r="D693" s="17" t="s">
        <v>385</v>
      </c>
      <c r="E693" s="19">
        <f>SUM(F693:Q693)</f>
        <v>0</v>
      </c>
      <c r="F693" s="19" t="s">
        <v>297</v>
      </c>
      <c r="G693" s="19" t="s">
        <v>297</v>
      </c>
      <c r="H693" s="19" t="s">
        <v>297</v>
      </c>
      <c r="I693" s="19" t="s">
        <v>297</v>
      </c>
      <c r="J693" s="19" t="s">
        <v>297</v>
      </c>
      <c r="K693" s="19" t="s">
        <v>297</v>
      </c>
      <c r="L693" s="19" t="s">
        <v>297</v>
      </c>
      <c r="M693" s="19" t="s">
        <v>297</v>
      </c>
      <c r="N693" s="19">
        <f t="shared" ref="N693:Q693" si="86">$E$15*$E$16*N694*N688*N681</f>
        <v>0</v>
      </c>
      <c r="O693" s="19">
        <f t="shared" si="86"/>
        <v>0</v>
      </c>
      <c r="P693" s="19">
        <f t="shared" si="86"/>
        <v>0</v>
      </c>
      <c r="Q693" s="19">
        <f t="shared" si="86"/>
        <v>0</v>
      </c>
    </row>
    <row r="694" spans="1:17" ht="18" x14ac:dyDescent="0.25">
      <c r="A694" s="17" t="s">
        <v>134</v>
      </c>
      <c r="B694" s="17" t="s">
        <v>37</v>
      </c>
      <c r="C694" s="17" t="s">
        <v>135</v>
      </c>
      <c r="D694" s="17" t="s">
        <v>386</v>
      </c>
      <c r="E694" s="26">
        <f>AVERAGE(F694:Q694)</f>
        <v>0</v>
      </c>
      <c r="F694" s="26" t="s">
        <v>297</v>
      </c>
      <c r="G694" s="26" t="s">
        <v>297</v>
      </c>
      <c r="H694" s="26" t="s">
        <v>297</v>
      </c>
      <c r="I694" s="26" t="s">
        <v>297</v>
      </c>
      <c r="J694" s="26" t="s">
        <v>297</v>
      </c>
      <c r="K694" s="26" t="s">
        <v>297</v>
      </c>
      <c r="L694" s="26" t="s">
        <v>297</v>
      </c>
      <c r="M694" s="26" t="s">
        <v>297</v>
      </c>
      <c r="N694" s="26">
        <f>N695*$E$696*0.89</f>
        <v>0</v>
      </c>
      <c r="O694" s="26">
        <f t="shared" ref="O694:Q694" si="87">O695*$E$696*0.89</f>
        <v>0</v>
      </c>
      <c r="P694" s="26">
        <f t="shared" si="87"/>
        <v>0</v>
      </c>
      <c r="Q694" s="26">
        <f t="shared" si="87"/>
        <v>0</v>
      </c>
    </row>
    <row r="695" spans="1:17" ht="31.2" x14ac:dyDescent="0.25">
      <c r="A695" s="17" t="s">
        <v>136</v>
      </c>
      <c r="B695" s="17" t="s">
        <v>37</v>
      </c>
      <c r="C695" s="17" t="s">
        <v>46</v>
      </c>
      <c r="D695" s="17" t="s">
        <v>387</v>
      </c>
      <c r="E695" s="25">
        <v>0</v>
      </c>
      <c r="F695" s="25" t="s">
        <v>297</v>
      </c>
      <c r="G695" s="25" t="s">
        <v>297</v>
      </c>
      <c r="H695" s="25" t="s">
        <v>297</v>
      </c>
      <c r="I695" s="25" t="s">
        <v>297</v>
      </c>
      <c r="J695" s="25" t="s">
        <v>297</v>
      </c>
      <c r="K695" s="25" t="s">
        <v>297</v>
      </c>
      <c r="L695" s="25" t="s">
        <v>297</v>
      </c>
      <c r="M695" s="25" t="s">
        <v>297</v>
      </c>
      <c r="N695" s="25">
        <v>0</v>
      </c>
      <c r="O695" s="25">
        <v>0</v>
      </c>
      <c r="P695" s="25">
        <v>0</v>
      </c>
      <c r="Q695" s="25">
        <v>0</v>
      </c>
    </row>
    <row r="696" spans="1:17" ht="31.2" x14ac:dyDescent="0.25">
      <c r="A696" s="17" t="s">
        <v>137</v>
      </c>
      <c r="B696" s="17" t="s">
        <v>201</v>
      </c>
      <c r="C696" s="17" t="s">
        <v>138</v>
      </c>
      <c r="D696" s="17" t="s">
        <v>388</v>
      </c>
      <c r="E696" s="196">
        <f>(N697*N702+O697*O702+P697*P702+Q697*Q702)/(N690*N689*N681+O689*O690*O681+P690*P689*P681+Q690*Q689*Q681)</f>
        <v>0.47949195874337774</v>
      </c>
      <c r="F696" s="196"/>
      <c r="G696" s="196"/>
      <c r="H696" s="196"/>
      <c r="I696" s="196"/>
      <c r="J696" s="196"/>
      <c r="K696" s="196"/>
      <c r="L696" s="196"/>
      <c r="M696" s="196"/>
      <c r="N696" s="196"/>
      <c r="O696" s="196"/>
      <c r="P696" s="196"/>
      <c r="Q696" s="196"/>
    </row>
    <row r="697" spans="1:17" ht="31.2" x14ac:dyDescent="0.25">
      <c r="A697" s="17" t="s">
        <v>139</v>
      </c>
      <c r="B697" s="17" t="s">
        <v>37</v>
      </c>
      <c r="C697" s="17" t="s">
        <v>140</v>
      </c>
      <c r="D697" s="17" t="s">
        <v>375</v>
      </c>
      <c r="E697" s="27">
        <f>AVERAGE(F697:Q697)</f>
        <v>0.50105255042206698</v>
      </c>
      <c r="F697" s="27" t="s">
        <v>297</v>
      </c>
      <c r="G697" s="27" t="s">
        <v>297</v>
      </c>
      <c r="H697" s="27" t="s">
        <v>297</v>
      </c>
      <c r="I697" s="27" t="s">
        <v>297</v>
      </c>
      <c r="J697" s="27" t="s">
        <v>297</v>
      </c>
      <c r="K697" s="27" t="s">
        <v>297</v>
      </c>
      <c r="L697" s="27" t="s">
        <v>297</v>
      </c>
      <c r="M697" s="27" t="s">
        <v>297</v>
      </c>
      <c r="N697" s="27">
        <f>IF(N701&lt;283,0,IF(N701&gt;303,1,EXP(($E$698*(N701-$E$699))/($E$700*$E$699*N701))))</f>
        <v>0.77675425208684001</v>
      </c>
      <c r="O697" s="27">
        <f t="shared" ref="O697:Q697" si="88">IF(O701&lt;283,0,IF(O701&gt;303,1,EXP(($E$698*(O701-$E$699))/($E$700*$E$699*O701))))</f>
        <v>0.55084569341606926</v>
      </c>
      <c r="P697" s="27">
        <f t="shared" si="88"/>
        <v>0.44226396815696317</v>
      </c>
      <c r="Q697" s="27">
        <f t="shared" si="88"/>
        <v>0.23434628802839541</v>
      </c>
    </row>
    <row r="698" spans="1:17" x14ac:dyDescent="0.25">
      <c r="A698" s="17" t="s">
        <v>51</v>
      </c>
      <c r="B698" s="17" t="s">
        <v>52</v>
      </c>
      <c r="C698" s="17" t="s">
        <v>53</v>
      </c>
      <c r="D698" s="17" t="s">
        <v>389</v>
      </c>
      <c r="E698" s="176">
        <v>15175</v>
      </c>
      <c r="F698" s="176"/>
      <c r="G698" s="176"/>
      <c r="H698" s="176"/>
      <c r="I698" s="176"/>
      <c r="J698" s="176"/>
      <c r="K698" s="176"/>
      <c r="L698" s="176"/>
      <c r="M698" s="176"/>
      <c r="N698" s="176"/>
      <c r="O698" s="176"/>
      <c r="P698" s="176"/>
      <c r="Q698" s="176"/>
    </row>
    <row r="699" spans="1:17" ht="18" x14ac:dyDescent="0.25">
      <c r="A699" s="17" t="s">
        <v>141</v>
      </c>
      <c r="B699" s="17" t="s">
        <v>55</v>
      </c>
      <c r="C699" s="17" t="s">
        <v>56</v>
      </c>
      <c r="D699" s="17" t="s">
        <v>389</v>
      </c>
      <c r="E699" s="176">
        <v>303.16000000000003</v>
      </c>
      <c r="F699" s="176"/>
      <c r="G699" s="176"/>
      <c r="H699" s="176"/>
      <c r="I699" s="176"/>
      <c r="J699" s="176"/>
      <c r="K699" s="176"/>
      <c r="L699" s="176"/>
      <c r="M699" s="176"/>
      <c r="N699" s="176"/>
      <c r="O699" s="176"/>
      <c r="P699" s="176"/>
      <c r="Q699" s="176"/>
    </row>
    <row r="700" spans="1:17" x14ac:dyDescent="0.25">
      <c r="A700" s="17" t="s">
        <v>57</v>
      </c>
      <c r="B700" s="17" t="s">
        <v>58</v>
      </c>
      <c r="C700" s="17" t="s">
        <v>59</v>
      </c>
      <c r="D700" s="17" t="s">
        <v>389</v>
      </c>
      <c r="E700" s="176">
        <v>1.9870000000000001</v>
      </c>
      <c r="F700" s="176"/>
      <c r="G700" s="176"/>
      <c r="H700" s="176"/>
      <c r="I700" s="176"/>
      <c r="J700" s="176"/>
      <c r="K700" s="176"/>
      <c r="L700" s="176"/>
      <c r="M700" s="176"/>
      <c r="N700" s="176"/>
      <c r="O700" s="176"/>
      <c r="P700" s="176"/>
      <c r="Q700" s="176"/>
    </row>
    <row r="701" spans="1:17" ht="18" x14ac:dyDescent="0.25">
      <c r="A701" s="17" t="s">
        <v>142</v>
      </c>
      <c r="B701" s="17" t="s">
        <v>55</v>
      </c>
      <c r="C701" s="17" t="s">
        <v>143</v>
      </c>
      <c r="D701" s="144" t="s">
        <v>363</v>
      </c>
      <c r="E701" s="28">
        <f>AVERAGE(N701:Q701)</f>
        <v>294.14999999999998</v>
      </c>
      <c r="F701" s="25" t="s">
        <v>297</v>
      </c>
      <c r="G701" s="25" t="s">
        <v>297</v>
      </c>
      <c r="H701" s="25" t="s">
        <v>297</v>
      </c>
      <c r="I701" s="25" t="s">
        <v>297</v>
      </c>
      <c r="J701" s="25" t="s">
        <v>297</v>
      </c>
      <c r="K701" s="25" t="s">
        <v>297</v>
      </c>
      <c r="L701" s="25" t="s">
        <v>297</v>
      </c>
      <c r="M701" s="25" t="s">
        <v>297</v>
      </c>
      <c r="N701" s="25">
        <v>300.14999999999998</v>
      </c>
      <c r="O701" s="25">
        <v>296.14999999999998</v>
      </c>
      <c r="P701" s="25">
        <v>293.64999999999998</v>
      </c>
      <c r="Q701" s="25">
        <v>286.64999999999998</v>
      </c>
    </row>
    <row r="702" spans="1:17" ht="46.8" x14ac:dyDescent="0.25">
      <c r="A702" s="17" t="s">
        <v>144</v>
      </c>
      <c r="B702" s="17" t="s">
        <v>24</v>
      </c>
      <c r="C702" s="17" t="s">
        <v>145</v>
      </c>
      <c r="D702" s="17" t="s">
        <v>390</v>
      </c>
      <c r="E702" s="29">
        <f>SUM(N702:Q702)</f>
        <v>13.551904440478555</v>
      </c>
      <c r="F702" s="29" t="s">
        <v>297</v>
      </c>
      <c r="G702" s="29" t="s">
        <v>297</v>
      </c>
      <c r="H702" s="29" t="s">
        <v>297</v>
      </c>
      <c r="I702" s="29" t="s">
        <v>297</v>
      </c>
      <c r="J702" s="29" t="s">
        <v>297</v>
      </c>
      <c r="K702" s="29" t="s">
        <v>297</v>
      </c>
      <c r="L702" s="29" t="s">
        <v>297</v>
      </c>
      <c r="M702" s="29" t="s">
        <v>297</v>
      </c>
      <c r="N702" s="29">
        <f>N689*N690*'Project Emissions 2020'!N681+(1-N697)*0</f>
        <v>2.4665843641263154</v>
      </c>
      <c r="O702" s="29">
        <f>O689*O690*'Project Emissions 2020'!O681+(1-O697)*0</f>
        <v>4.0134793587838713</v>
      </c>
      <c r="P702" s="29">
        <f>P689*P690*'Project Emissions 2020'!P681+(1-P697)*0</f>
        <v>3.4342046783611124</v>
      </c>
      <c r="Q702" s="29">
        <f>Q689*Q690*'Project Emissions 2020'!Q681+(1-Q697)*0</f>
        <v>3.6376360392072571</v>
      </c>
    </row>
    <row r="703" spans="1:17" x14ac:dyDescent="0.3">
      <c r="A703" s="30"/>
      <c r="E703" s="31"/>
      <c r="F703" s="31"/>
      <c r="G703" s="31"/>
      <c r="H703" s="31"/>
      <c r="I703" s="31"/>
      <c r="J703" s="31"/>
      <c r="K703" s="31"/>
      <c r="L703" s="31"/>
      <c r="M703" s="31"/>
      <c r="N703" s="31"/>
      <c r="O703" s="31"/>
      <c r="P703" s="31"/>
      <c r="Q703" s="31"/>
    </row>
    <row r="704" spans="1:17" x14ac:dyDescent="0.25">
      <c r="A704" s="174" t="s">
        <v>146</v>
      </c>
      <c r="B704" s="174"/>
      <c r="C704" s="175"/>
      <c r="D704" s="175"/>
      <c r="E704" s="195"/>
      <c r="F704" s="32"/>
      <c r="G704" s="32"/>
      <c r="H704" s="32"/>
      <c r="I704" s="32"/>
      <c r="J704" s="32"/>
      <c r="K704" s="32"/>
      <c r="L704" s="32"/>
      <c r="M704" s="32"/>
      <c r="N704" s="32"/>
      <c r="O704" s="32"/>
      <c r="P704" s="32"/>
      <c r="Q704" s="32"/>
    </row>
    <row r="705" spans="1:19" x14ac:dyDescent="0.25">
      <c r="A705" s="33" t="s">
        <v>8</v>
      </c>
      <c r="B705" s="33" t="s">
        <v>9</v>
      </c>
      <c r="C705" s="34" t="s">
        <v>10</v>
      </c>
      <c r="D705" s="34" t="s">
        <v>340</v>
      </c>
      <c r="E705" s="16" t="s">
        <v>65</v>
      </c>
      <c r="F705" s="32"/>
      <c r="G705" s="32"/>
      <c r="H705" s="32"/>
      <c r="I705" s="32"/>
      <c r="J705" s="32"/>
      <c r="K705" s="32"/>
      <c r="L705" s="32"/>
      <c r="M705" s="32"/>
      <c r="N705" s="32"/>
      <c r="O705" s="32"/>
      <c r="P705" s="32"/>
      <c r="Q705" s="32"/>
    </row>
    <row r="706" spans="1:19" ht="46.8" x14ac:dyDescent="0.25">
      <c r="A706" s="15" t="s">
        <v>147</v>
      </c>
      <c r="B706" s="17" t="s">
        <v>95</v>
      </c>
      <c r="C706" s="35" t="s">
        <v>148</v>
      </c>
      <c r="D706" s="35" t="s">
        <v>68</v>
      </c>
      <c r="E706" s="16">
        <v>0</v>
      </c>
      <c r="F706" s="32"/>
      <c r="G706" s="32"/>
      <c r="H706" s="32"/>
      <c r="I706" s="32"/>
      <c r="J706" s="32"/>
      <c r="K706" s="32"/>
      <c r="L706" s="32"/>
      <c r="M706" s="32"/>
      <c r="N706" s="32"/>
      <c r="O706" s="32"/>
      <c r="P706" s="32"/>
      <c r="Q706" s="32"/>
    </row>
    <row r="707" spans="1:19" x14ac:dyDescent="0.25">
      <c r="A707" s="36"/>
      <c r="B707" s="36"/>
      <c r="C707" s="37"/>
      <c r="D707" s="37"/>
      <c r="E707" s="32"/>
      <c r="F707" s="32"/>
      <c r="G707" s="32"/>
      <c r="H707" s="32"/>
      <c r="I707" s="32"/>
      <c r="J707" s="32"/>
      <c r="K707" s="32"/>
      <c r="L707" s="32"/>
      <c r="M707" s="32"/>
      <c r="N707" s="32"/>
      <c r="O707" s="32"/>
      <c r="P707" s="32"/>
      <c r="Q707" s="32"/>
    </row>
    <row r="708" spans="1:19" x14ac:dyDescent="0.25">
      <c r="A708" s="174" t="s">
        <v>149</v>
      </c>
      <c r="B708" s="174"/>
      <c r="C708" s="175"/>
      <c r="D708" s="175"/>
      <c r="E708" s="195"/>
      <c r="F708" s="32"/>
      <c r="G708" s="32"/>
      <c r="H708" s="32"/>
      <c r="I708" s="32"/>
      <c r="J708" s="32"/>
      <c r="K708" s="32"/>
      <c r="L708" s="32"/>
      <c r="M708" s="32"/>
      <c r="N708" s="32"/>
      <c r="O708" s="32"/>
      <c r="P708" s="32"/>
      <c r="Q708" s="32"/>
    </row>
    <row r="709" spans="1:19" x14ac:dyDescent="0.25">
      <c r="A709" s="33" t="s">
        <v>8</v>
      </c>
      <c r="B709" s="33" t="s">
        <v>9</v>
      </c>
      <c r="C709" s="34" t="s">
        <v>10</v>
      </c>
      <c r="D709" s="34" t="s">
        <v>340</v>
      </c>
      <c r="E709" s="16" t="s">
        <v>65</v>
      </c>
      <c r="F709" s="32"/>
      <c r="G709" s="32"/>
      <c r="H709" s="32"/>
      <c r="I709" s="32"/>
      <c r="J709" s="32"/>
      <c r="K709" s="32"/>
      <c r="L709" s="32"/>
      <c r="M709" s="32"/>
      <c r="N709" s="32"/>
      <c r="O709" s="32"/>
      <c r="P709" s="32"/>
      <c r="Q709" s="32"/>
    </row>
    <row r="710" spans="1:19" ht="46.8" x14ac:dyDescent="0.25">
      <c r="A710" s="15" t="s">
        <v>150</v>
      </c>
      <c r="B710" s="17" t="s">
        <v>95</v>
      </c>
      <c r="C710" s="35" t="s">
        <v>151</v>
      </c>
      <c r="D710" s="35" t="s">
        <v>68</v>
      </c>
      <c r="E710" s="16">
        <v>0</v>
      </c>
      <c r="F710" s="32"/>
      <c r="G710" s="32"/>
      <c r="H710" s="32"/>
      <c r="I710" s="32"/>
      <c r="J710" s="32"/>
      <c r="K710" s="32"/>
      <c r="L710" s="32"/>
      <c r="M710" s="32"/>
      <c r="N710" s="32"/>
      <c r="O710" s="32"/>
      <c r="P710" s="32"/>
      <c r="Q710" s="32"/>
    </row>
    <row r="711" spans="1:19" x14ac:dyDescent="0.25">
      <c r="F711" s="32"/>
      <c r="G711" s="32"/>
      <c r="H711" s="32"/>
      <c r="I711" s="32"/>
      <c r="J711" s="32"/>
      <c r="K711" s="32"/>
      <c r="L711" s="32"/>
      <c r="M711" s="32"/>
      <c r="N711" s="32"/>
      <c r="O711" s="32"/>
      <c r="P711" s="32"/>
      <c r="Q711" s="32"/>
    </row>
    <row r="712" spans="1:19" x14ac:dyDescent="0.25">
      <c r="A712" s="174" t="s">
        <v>152</v>
      </c>
      <c r="B712" s="174"/>
      <c r="C712" s="175"/>
      <c r="D712" s="175"/>
      <c r="E712" s="195"/>
      <c r="F712" s="32"/>
      <c r="G712" s="32"/>
      <c r="H712" s="32"/>
      <c r="I712" s="32"/>
      <c r="J712" s="32"/>
      <c r="K712" s="32"/>
      <c r="L712" s="32"/>
      <c r="M712" s="32"/>
      <c r="N712" s="32"/>
      <c r="O712" s="32"/>
      <c r="P712" s="32"/>
      <c r="Q712" s="32"/>
    </row>
    <row r="713" spans="1:19" s="10" customFormat="1" x14ac:dyDescent="0.25">
      <c r="A713" s="15" t="s">
        <v>8</v>
      </c>
      <c r="B713" s="15" t="s">
        <v>9</v>
      </c>
      <c r="C713" s="38" t="s">
        <v>10</v>
      </c>
      <c r="D713" s="38" t="s">
        <v>340</v>
      </c>
      <c r="E713" s="16" t="s">
        <v>65</v>
      </c>
      <c r="F713" s="32"/>
      <c r="G713" s="32"/>
      <c r="H713" s="39"/>
      <c r="I713" s="39"/>
      <c r="J713" s="39"/>
      <c r="K713" s="39"/>
      <c r="L713" s="39"/>
      <c r="M713" s="39"/>
      <c r="N713" s="39"/>
      <c r="O713" s="39"/>
      <c r="P713" s="39"/>
      <c r="Q713" s="39"/>
    </row>
    <row r="714" spans="1:19" s="10" customFormat="1" ht="18" x14ac:dyDescent="0.4">
      <c r="A714" s="40" t="s">
        <v>153</v>
      </c>
      <c r="B714" s="17" t="s">
        <v>103</v>
      </c>
      <c r="C714" s="35" t="s">
        <v>154</v>
      </c>
      <c r="D714" s="35" t="s">
        <v>155</v>
      </c>
      <c r="E714" s="41">
        <f>E715*E717*(1+E716)</f>
        <v>175.98664365120001</v>
      </c>
      <c r="F714" s="32"/>
      <c r="G714" s="32"/>
      <c r="H714" s="39"/>
      <c r="I714" s="39"/>
      <c r="J714" s="39"/>
      <c r="K714" s="39"/>
      <c r="L714" s="39"/>
      <c r="M714" s="39"/>
      <c r="N714" s="39"/>
      <c r="O714" s="39"/>
      <c r="P714" s="39"/>
      <c r="Q714" s="39"/>
    </row>
    <row r="715" spans="1:19" ht="31.2" x14ac:dyDescent="0.25">
      <c r="A715" s="17" t="s">
        <v>156</v>
      </c>
      <c r="B715" s="17" t="s">
        <v>157</v>
      </c>
      <c r="C715" s="35" t="s">
        <v>158</v>
      </c>
      <c r="D715" s="35" t="s">
        <v>343</v>
      </c>
      <c r="E715" s="20">
        <f>288209.76/1000</f>
        <v>288.20976000000002</v>
      </c>
      <c r="G715" s="42"/>
      <c r="H715" s="43"/>
      <c r="I715" s="43"/>
      <c r="J715" s="43"/>
      <c r="K715" s="43"/>
      <c r="L715" s="43"/>
      <c r="M715" s="43"/>
      <c r="N715" s="43"/>
      <c r="O715" s="43"/>
      <c r="P715" s="43"/>
      <c r="Q715" s="43"/>
      <c r="R715" s="9"/>
      <c r="S715" s="9"/>
    </row>
    <row r="716" spans="1:19" ht="31.2" x14ac:dyDescent="0.25">
      <c r="A716" s="17" t="s">
        <v>159</v>
      </c>
      <c r="B716" s="17" t="s">
        <v>160</v>
      </c>
      <c r="C716" s="35" t="s">
        <v>161</v>
      </c>
      <c r="D716" s="35" t="s">
        <v>162</v>
      </c>
      <c r="E716" s="44">
        <v>0.2</v>
      </c>
      <c r="H716" s="43"/>
      <c r="I716" s="43"/>
      <c r="J716" s="43"/>
      <c r="K716" s="43"/>
      <c r="L716" s="43"/>
      <c r="M716" s="43"/>
      <c r="N716" s="43"/>
      <c r="O716" s="43"/>
      <c r="P716" s="43"/>
      <c r="Q716" s="43"/>
      <c r="R716" s="9"/>
      <c r="S716" s="9"/>
    </row>
    <row r="717" spans="1:19" ht="46.8" x14ac:dyDescent="0.25">
      <c r="A717" s="17" t="s">
        <v>163</v>
      </c>
      <c r="B717" s="17" t="s">
        <v>164</v>
      </c>
      <c r="C717" s="35" t="s">
        <v>165</v>
      </c>
      <c r="D717" s="35" t="s">
        <v>166</v>
      </c>
      <c r="E717" s="45">
        <f>0.5*0.8042+0.5*0.2135</f>
        <v>0.50885000000000002</v>
      </c>
      <c r="F717" s="46"/>
      <c r="G717" s="46"/>
      <c r="H717" s="46"/>
      <c r="I717" s="46"/>
      <c r="J717" s="46"/>
      <c r="K717" s="46"/>
      <c r="L717" s="46"/>
      <c r="M717" s="46"/>
      <c r="N717" s="46"/>
      <c r="O717" s="46"/>
      <c r="P717" s="46"/>
      <c r="Q717" s="46"/>
    </row>
    <row r="718" spans="1:19" ht="31.2" x14ac:dyDescent="0.4">
      <c r="A718" s="40" t="s">
        <v>167</v>
      </c>
      <c r="B718" s="17" t="s">
        <v>103</v>
      </c>
      <c r="C718" s="35" t="s">
        <v>168</v>
      </c>
      <c r="D718" s="35" t="s">
        <v>169</v>
      </c>
      <c r="E718" s="47">
        <v>0</v>
      </c>
      <c r="H718" s="43"/>
      <c r="I718" s="43"/>
      <c r="J718" s="43"/>
      <c r="K718" s="43"/>
      <c r="L718" s="43"/>
      <c r="M718" s="43"/>
      <c r="N718" s="43"/>
      <c r="O718" s="43"/>
      <c r="P718" s="43"/>
      <c r="Q718" s="43"/>
      <c r="R718" s="9"/>
      <c r="S718" s="9"/>
    </row>
    <row r="719" spans="1:19" x14ac:dyDescent="0.3">
      <c r="A719" s="48"/>
      <c r="E719" s="49"/>
      <c r="H719" s="43"/>
      <c r="I719" s="43"/>
      <c r="J719" s="43"/>
      <c r="K719" s="43"/>
      <c r="L719" s="43"/>
      <c r="M719" s="43"/>
      <c r="N719" s="43"/>
      <c r="O719" s="43"/>
      <c r="P719" s="43"/>
      <c r="Q719" s="43"/>
      <c r="R719" s="9"/>
      <c r="S719" s="9"/>
    </row>
    <row r="720" spans="1:19" x14ac:dyDescent="0.25">
      <c r="A720" s="174" t="s">
        <v>170</v>
      </c>
      <c r="B720" s="174"/>
      <c r="C720" s="175"/>
      <c r="D720" s="175"/>
      <c r="E720" s="195"/>
      <c r="F720" s="32"/>
      <c r="G720" s="32"/>
      <c r="H720" s="32"/>
      <c r="I720" s="32"/>
      <c r="J720" s="32"/>
      <c r="K720" s="32"/>
      <c r="L720" s="32"/>
      <c r="M720" s="32"/>
      <c r="N720" s="32"/>
      <c r="O720" s="32"/>
      <c r="P720" s="32"/>
      <c r="Q720" s="32"/>
    </row>
    <row r="721" spans="1:133" x14ac:dyDescent="0.25">
      <c r="A721" s="15" t="s">
        <v>8</v>
      </c>
      <c r="B721" s="15" t="s">
        <v>9</v>
      </c>
      <c r="C721" s="38" t="s">
        <v>10</v>
      </c>
      <c r="D721" s="38" t="s">
        <v>340</v>
      </c>
      <c r="E721" s="16" t="s">
        <v>65</v>
      </c>
      <c r="H721" s="43"/>
      <c r="I721" s="43"/>
      <c r="J721" s="43"/>
      <c r="K721" s="43"/>
      <c r="L721" s="43"/>
      <c r="M721" s="43"/>
      <c r="N721" s="43"/>
      <c r="O721" s="43"/>
      <c r="P721" s="43"/>
      <c r="Q721" s="43"/>
      <c r="R721" s="9"/>
      <c r="S721" s="9"/>
    </row>
    <row r="722" spans="1:133" ht="33.6" x14ac:dyDescent="0.4">
      <c r="A722" s="40" t="s">
        <v>171</v>
      </c>
      <c r="B722" s="17" t="s">
        <v>74</v>
      </c>
      <c r="C722" s="35" t="s">
        <v>172</v>
      </c>
      <c r="D722" s="35" t="s">
        <v>391</v>
      </c>
      <c r="E722" s="50">
        <f>E723*E726*E727*E728*E729*E730</f>
        <v>5.3891046577892148</v>
      </c>
      <c r="H722" s="43"/>
      <c r="I722" s="43"/>
      <c r="J722" s="43"/>
      <c r="K722" s="43"/>
      <c r="L722" s="43"/>
      <c r="M722" s="43"/>
      <c r="N722" s="43"/>
      <c r="O722" s="43"/>
      <c r="P722" s="43"/>
      <c r="Q722" s="43"/>
      <c r="R722" s="9"/>
      <c r="S722" s="9"/>
    </row>
    <row r="723" spans="1:133" ht="46.8" x14ac:dyDescent="0.4">
      <c r="A723" s="51" t="s">
        <v>173</v>
      </c>
      <c r="B723" s="17" t="s">
        <v>76</v>
      </c>
      <c r="C723" s="35" t="s">
        <v>174</v>
      </c>
      <c r="D723" s="35" t="s">
        <v>392</v>
      </c>
      <c r="E723" s="69">
        <f>ROUNDUP(E724/E725,0)</f>
        <v>93</v>
      </c>
      <c r="H723" s="43"/>
      <c r="I723" s="43"/>
      <c r="J723" s="43"/>
      <c r="K723" s="43"/>
      <c r="L723" s="43"/>
      <c r="M723" s="43"/>
      <c r="N723" s="43"/>
      <c r="O723" s="43"/>
      <c r="P723" s="43"/>
      <c r="Q723" s="43"/>
      <c r="R723" s="9"/>
      <c r="S723" s="9"/>
    </row>
    <row r="724" spans="1:133" ht="62.4" x14ac:dyDescent="0.25">
      <c r="A724" s="17" t="s">
        <v>175</v>
      </c>
      <c r="B724" s="17" t="s">
        <v>78</v>
      </c>
      <c r="C724" s="35" t="s">
        <v>176</v>
      </c>
      <c r="D724" s="35" t="s">
        <v>346</v>
      </c>
      <c r="E724" s="153">
        <v>460.44899999999996</v>
      </c>
      <c r="H724" s="43"/>
      <c r="I724" s="43"/>
      <c r="J724" s="43"/>
      <c r="K724" s="43"/>
      <c r="L724" s="43"/>
      <c r="M724" s="43"/>
      <c r="N724" s="43"/>
      <c r="O724" s="43"/>
      <c r="P724" s="43"/>
      <c r="Q724" s="43"/>
      <c r="R724" s="9"/>
      <c r="S724" s="9"/>
    </row>
    <row r="725" spans="1:133" ht="62.4" x14ac:dyDescent="0.25">
      <c r="A725" s="17" t="s">
        <v>177</v>
      </c>
      <c r="B725" s="17" t="s">
        <v>80</v>
      </c>
      <c r="C725" s="35" t="s">
        <v>81</v>
      </c>
      <c r="D725" s="35" t="s">
        <v>345</v>
      </c>
      <c r="E725" s="25">
        <f>5</f>
        <v>5</v>
      </c>
      <c r="H725" s="43"/>
      <c r="I725" s="43"/>
      <c r="J725" s="43"/>
      <c r="K725" s="43"/>
      <c r="L725" s="43"/>
      <c r="M725" s="43"/>
      <c r="N725" s="43"/>
      <c r="O725" s="43"/>
      <c r="P725" s="43"/>
      <c r="Q725" s="43"/>
      <c r="R725" s="9"/>
      <c r="S725" s="9"/>
    </row>
    <row r="726" spans="1:133" ht="202.8" x14ac:dyDescent="0.25">
      <c r="A726" s="17" t="s">
        <v>178</v>
      </c>
      <c r="B726" s="17" t="s">
        <v>82</v>
      </c>
      <c r="C726" s="35" t="s">
        <v>179</v>
      </c>
      <c r="D726" s="35" t="s">
        <v>367</v>
      </c>
      <c r="E726" s="25">
        <f>42.8*2</f>
        <v>85.6</v>
      </c>
      <c r="H726" s="43"/>
      <c r="I726" s="43"/>
      <c r="J726" s="43"/>
      <c r="K726" s="43"/>
      <c r="L726" s="43"/>
      <c r="M726" s="43"/>
      <c r="N726" s="43"/>
      <c r="O726" s="43"/>
      <c r="P726" s="43"/>
      <c r="Q726" s="43"/>
      <c r="R726" s="9"/>
      <c r="S726" s="9"/>
    </row>
    <row r="727" spans="1:133" ht="156" x14ac:dyDescent="0.25">
      <c r="A727" s="17" t="s">
        <v>180</v>
      </c>
      <c r="B727" s="17" t="s">
        <v>84</v>
      </c>
      <c r="C727" s="35" t="s">
        <v>85</v>
      </c>
      <c r="D727" s="35" t="s">
        <v>365</v>
      </c>
      <c r="E727" s="25">
        <f>25.1/100</f>
        <v>0.251</v>
      </c>
      <c r="H727" s="43"/>
      <c r="I727" s="43"/>
      <c r="J727" s="43"/>
      <c r="K727" s="43"/>
      <c r="L727" s="43"/>
      <c r="M727" s="43"/>
      <c r="N727" s="43"/>
      <c r="O727" s="43"/>
      <c r="P727" s="43"/>
      <c r="Q727" s="43"/>
      <c r="R727" s="9"/>
      <c r="S727" s="9"/>
    </row>
    <row r="728" spans="1:133" ht="62.4" x14ac:dyDescent="0.25">
      <c r="A728" s="17" t="s">
        <v>86</v>
      </c>
      <c r="B728" s="17" t="s">
        <v>87</v>
      </c>
      <c r="C728" s="35" t="s">
        <v>86</v>
      </c>
      <c r="D728" s="35" t="s">
        <v>215</v>
      </c>
      <c r="E728" s="25">
        <f>0.84/1000</f>
        <v>8.3999999999999993E-4</v>
      </c>
      <c r="H728" s="43"/>
      <c r="I728" s="43"/>
      <c r="J728" s="43"/>
      <c r="K728" s="43"/>
      <c r="L728" s="43"/>
      <c r="M728" s="43"/>
      <c r="N728" s="43"/>
      <c r="O728" s="43"/>
      <c r="P728" s="43"/>
      <c r="Q728" s="43"/>
      <c r="R728" s="9"/>
      <c r="S728" s="9"/>
    </row>
    <row r="729" spans="1:133" ht="124.8" x14ac:dyDescent="0.25">
      <c r="A729" s="17" t="s">
        <v>181</v>
      </c>
      <c r="B729" s="17" t="s">
        <v>88</v>
      </c>
      <c r="C729" s="35" t="s">
        <v>89</v>
      </c>
      <c r="D729" s="35" t="s">
        <v>360</v>
      </c>
      <c r="E729" s="25">
        <f>43.33/1000</f>
        <v>4.333E-2</v>
      </c>
      <c r="H729" s="43"/>
      <c r="I729" s="43"/>
      <c r="J729" s="43"/>
      <c r="K729" s="43"/>
      <c r="L729" s="43"/>
      <c r="M729" s="43"/>
      <c r="N729" s="43"/>
      <c r="O729" s="43"/>
      <c r="P729" s="43"/>
      <c r="Q729" s="43"/>
      <c r="R729" s="9"/>
      <c r="S729" s="9"/>
    </row>
    <row r="730" spans="1:133" ht="33.6" x14ac:dyDescent="0.25">
      <c r="A730" s="17" t="s">
        <v>182</v>
      </c>
      <c r="B730" s="17" t="s">
        <v>90</v>
      </c>
      <c r="C730" s="35" t="s">
        <v>91</v>
      </c>
      <c r="D730" s="35" t="s">
        <v>92</v>
      </c>
      <c r="E730" s="25">
        <v>74.099999999999994</v>
      </c>
      <c r="H730" s="43"/>
      <c r="I730" s="43"/>
      <c r="J730" s="43"/>
      <c r="K730" s="43"/>
      <c r="L730" s="43"/>
      <c r="M730" s="43"/>
      <c r="N730" s="43"/>
      <c r="O730" s="43"/>
      <c r="P730" s="43"/>
      <c r="Q730" s="43"/>
      <c r="R730" s="9"/>
      <c r="S730" s="9"/>
    </row>
    <row r="732" spans="1:133" x14ac:dyDescent="0.25">
      <c r="A732" s="33" t="s">
        <v>8</v>
      </c>
      <c r="B732" s="33" t="s">
        <v>9</v>
      </c>
      <c r="C732" s="34" t="s">
        <v>10</v>
      </c>
      <c r="D732" s="34" t="s">
        <v>340</v>
      </c>
      <c r="E732" s="16" t="s">
        <v>65</v>
      </c>
    </row>
    <row r="733" spans="1:133" ht="18" x14ac:dyDescent="0.25">
      <c r="A733" s="15" t="s">
        <v>183</v>
      </c>
      <c r="B733" s="17" t="s">
        <v>103</v>
      </c>
      <c r="C733" s="35" t="s">
        <v>184</v>
      </c>
      <c r="D733" s="53" t="s">
        <v>393</v>
      </c>
      <c r="E733" s="18">
        <f>ROUNDUP(E682+E706+E710+E714+E722,0)</f>
        <v>182</v>
      </c>
    </row>
    <row r="734" spans="1:133" s="208" customFormat="1" ht="38.4" customHeight="1" x14ac:dyDescent="0.25">
      <c r="A734" s="205" t="s">
        <v>233</v>
      </c>
      <c r="B734" s="206"/>
      <c r="C734" s="206"/>
      <c r="D734" s="206"/>
      <c r="E734" s="206"/>
      <c r="F734" s="206"/>
      <c r="G734" s="206"/>
      <c r="H734" s="206"/>
      <c r="I734" s="206"/>
      <c r="J734" s="206"/>
      <c r="K734" s="206"/>
      <c r="L734" s="206"/>
      <c r="M734" s="206"/>
      <c r="N734" s="206"/>
      <c r="O734" s="206"/>
      <c r="P734" s="206"/>
      <c r="Q734" s="206"/>
      <c r="R734" s="206"/>
      <c r="S734" s="206"/>
      <c r="T734" s="206"/>
      <c r="U734" s="206"/>
      <c r="V734" s="206"/>
      <c r="W734" s="206"/>
      <c r="X734" s="206"/>
      <c r="Y734" s="206"/>
      <c r="Z734" s="206"/>
      <c r="AA734" s="206"/>
      <c r="AB734" s="206"/>
      <c r="AC734" s="206"/>
      <c r="AD734" s="206"/>
      <c r="AE734" s="206"/>
      <c r="AF734" s="206"/>
      <c r="AG734" s="206"/>
      <c r="AH734" s="206"/>
      <c r="AI734" s="206"/>
      <c r="AJ734" s="206"/>
      <c r="AK734" s="206"/>
      <c r="AL734" s="206"/>
      <c r="AM734" s="206"/>
      <c r="AN734" s="206"/>
      <c r="AO734" s="206"/>
      <c r="AP734" s="206"/>
      <c r="AQ734" s="206"/>
      <c r="AR734" s="206"/>
      <c r="AS734" s="206"/>
      <c r="AT734" s="206"/>
      <c r="AU734" s="206"/>
      <c r="AV734" s="206"/>
      <c r="AW734" s="206"/>
      <c r="AX734" s="206"/>
      <c r="AY734" s="206"/>
      <c r="AZ734" s="206"/>
      <c r="BA734" s="206"/>
      <c r="BB734" s="206"/>
      <c r="BC734" s="206"/>
      <c r="BD734" s="206"/>
      <c r="BE734" s="206"/>
      <c r="BF734" s="206"/>
      <c r="BG734" s="206"/>
      <c r="BH734" s="206"/>
      <c r="BI734" s="206"/>
      <c r="BJ734" s="206"/>
      <c r="BK734" s="206"/>
      <c r="BL734" s="206"/>
      <c r="BM734" s="206"/>
      <c r="BN734" s="206"/>
      <c r="BO734" s="206"/>
      <c r="BP734" s="206"/>
      <c r="BQ734" s="206"/>
      <c r="BR734" s="206"/>
      <c r="BS734" s="206"/>
      <c r="BT734" s="206"/>
      <c r="BU734" s="206"/>
      <c r="BV734" s="206"/>
      <c r="BW734" s="206"/>
      <c r="BX734" s="206"/>
      <c r="BY734" s="206"/>
      <c r="BZ734" s="206"/>
      <c r="CA734" s="206"/>
      <c r="CB734" s="206"/>
      <c r="CC734" s="206"/>
      <c r="CD734" s="206"/>
      <c r="CE734" s="206"/>
      <c r="CF734" s="206"/>
      <c r="CG734" s="206"/>
      <c r="CH734" s="206"/>
      <c r="CI734" s="206"/>
      <c r="CJ734" s="206"/>
      <c r="CK734" s="206"/>
      <c r="CL734" s="206"/>
      <c r="CM734" s="206"/>
      <c r="CN734" s="206"/>
      <c r="CO734" s="206"/>
      <c r="CP734" s="206"/>
      <c r="CQ734" s="206"/>
      <c r="CR734" s="206"/>
      <c r="CS734" s="206"/>
      <c r="CT734" s="206"/>
      <c r="CU734" s="206"/>
      <c r="CV734" s="206"/>
      <c r="CW734" s="206"/>
      <c r="CX734" s="206"/>
      <c r="CY734" s="206"/>
      <c r="CZ734" s="206"/>
      <c r="DA734" s="206"/>
      <c r="DB734" s="206"/>
      <c r="DC734" s="206"/>
      <c r="DD734" s="206"/>
      <c r="DE734" s="206"/>
      <c r="DF734" s="206"/>
      <c r="DG734" s="206"/>
      <c r="DH734" s="206"/>
      <c r="DI734" s="206"/>
      <c r="DJ734" s="206"/>
      <c r="DK734" s="206"/>
      <c r="DL734" s="206"/>
      <c r="DM734" s="206"/>
      <c r="DN734" s="206"/>
      <c r="DO734" s="206"/>
      <c r="DP734" s="206"/>
      <c r="DQ734" s="206"/>
      <c r="DR734" s="206"/>
      <c r="DS734" s="206"/>
      <c r="DT734" s="206"/>
      <c r="DU734" s="206"/>
      <c r="DV734" s="206"/>
      <c r="DW734" s="206"/>
      <c r="DX734" s="206"/>
      <c r="DY734" s="206"/>
      <c r="DZ734" s="206"/>
      <c r="EA734" s="206"/>
      <c r="EB734" s="206"/>
      <c r="EC734" s="207"/>
    </row>
    <row r="735" spans="1:133" s="200" customFormat="1" ht="43.2" customHeight="1" x14ac:dyDescent="0.25">
      <c r="A735" s="197" t="s">
        <v>234</v>
      </c>
      <c r="B735" s="198"/>
      <c r="C735" s="198"/>
      <c r="D735" s="198"/>
      <c r="E735" s="198"/>
      <c r="F735" s="198"/>
      <c r="G735" s="198"/>
      <c r="H735" s="198"/>
      <c r="I735" s="198"/>
      <c r="J735" s="198"/>
      <c r="K735" s="198"/>
      <c r="L735" s="198"/>
      <c r="M735" s="198"/>
      <c r="N735" s="198"/>
      <c r="O735" s="198"/>
      <c r="P735" s="198"/>
      <c r="Q735" s="198"/>
      <c r="R735" s="198"/>
      <c r="S735" s="198"/>
      <c r="T735" s="198"/>
      <c r="U735" s="198"/>
      <c r="V735" s="198"/>
      <c r="W735" s="198"/>
      <c r="X735" s="198"/>
      <c r="Y735" s="198"/>
      <c r="Z735" s="198"/>
      <c r="AA735" s="198"/>
      <c r="AB735" s="198"/>
      <c r="AC735" s="198"/>
      <c r="AD735" s="198"/>
      <c r="AE735" s="198"/>
      <c r="AF735" s="198"/>
      <c r="AG735" s="198"/>
      <c r="AH735" s="198"/>
      <c r="AI735" s="198"/>
      <c r="AJ735" s="198"/>
      <c r="AK735" s="198"/>
      <c r="AL735" s="198"/>
      <c r="AM735" s="198"/>
      <c r="AN735" s="198"/>
      <c r="AO735" s="198"/>
      <c r="AP735" s="198"/>
      <c r="AQ735" s="198"/>
      <c r="AR735" s="198"/>
      <c r="AS735" s="198"/>
      <c r="AT735" s="198"/>
      <c r="AU735" s="198"/>
      <c r="AV735" s="198"/>
      <c r="AW735" s="198"/>
      <c r="AX735" s="198"/>
      <c r="AY735" s="198"/>
      <c r="AZ735" s="198"/>
      <c r="BA735" s="198"/>
      <c r="BB735" s="198"/>
      <c r="BC735" s="198"/>
      <c r="BD735" s="198"/>
      <c r="BE735" s="198"/>
      <c r="BF735" s="198"/>
      <c r="BG735" s="198"/>
      <c r="BH735" s="198"/>
      <c r="BI735" s="198"/>
      <c r="BJ735" s="198"/>
      <c r="BK735" s="198"/>
      <c r="BL735" s="198"/>
      <c r="BM735" s="198"/>
      <c r="BN735" s="198"/>
      <c r="BO735" s="198"/>
      <c r="BP735" s="198"/>
      <c r="BQ735" s="198"/>
      <c r="BR735" s="198"/>
      <c r="BS735" s="198"/>
      <c r="BT735" s="198"/>
      <c r="BU735" s="198"/>
      <c r="BV735" s="198"/>
      <c r="BW735" s="198"/>
      <c r="BX735" s="198"/>
      <c r="BY735" s="198"/>
      <c r="BZ735" s="198"/>
      <c r="CA735" s="198"/>
      <c r="CB735" s="198"/>
      <c r="CC735" s="198"/>
      <c r="CD735" s="198"/>
      <c r="CE735" s="198"/>
      <c r="CF735" s="198"/>
      <c r="CG735" s="198"/>
      <c r="CH735" s="198"/>
      <c r="CI735" s="198"/>
      <c r="CJ735" s="198"/>
      <c r="CK735" s="198"/>
      <c r="CL735" s="198"/>
      <c r="CM735" s="198"/>
      <c r="CN735" s="198"/>
      <c r="CO735" s="198"/>
      <c r="CP735" s="198"/>
      <c r="CQ735" s="198"/>
      <c r="CR735" s="198"/>
      <c r="CS735" s="198"/>
      <c r="CT735" s="198"/>
      <c r="CU735" s="198"/>
      <c r="CV735" s="198"/>
      <c r="CW735" s="198"/>
      <c r="CX735" s="198"/>
      <c r="CY735" s="198"/>
      <c r="CZ735" s="198"/>
      <c r="DA735" s="198"/>
      <c r="DB735" s="198"/>
      <c r="DC735" s="198"/>
      <c r="DD735" s="198"/>
      <c r="DE735" s="198"/>
      <c r="DF735" s="198"/>
      <c r="DG735" s="198"/>
      <c r="DH735" s="198"/>
      <c r="DI735" s="198"/>
      <c r="DJ735" s="198"/>
      <c r="DK735" s="198"/>
      <c r="DL735" s="198"/>
      <c r="DM735" s="198"/>
      <c r="DN735" s="198"/>
      <c r="DO735" s="198"/>
      <c r="DP735" s="198"/>
      <c r="DQ735" s="198"/>
      <c r="DR735" s="198"/>
      <c r="DS735" s="198"/>
      <c r="DT735" s="198"/>
      <c r="DU735" s="198"/>
      <c r="DV735" s="198"/>
      <c r="DW735" s="198"/>
      <c r="DX735" s="198"/>
      <c r="DY735" s="198"/>
      <c r="DZ735" s="198"/>
      <c r="EA735" s="198"/>
      <c r="EB735" s="198"/>
      <c r="EC735" s="199"/>
    </row>
    <row r="736" spans="1:133" ht="23.4" customHeight="1" x14ac:dyDescent="0.25">
      <c r="A736" s="201" t="s">
        <v>105</v>
      </c>
      <c r="B736" s="201"/>
      <c r="C736" s="201"/>
      <c r="D736" s="201"/>
      <c r="E736" s="201"/>
      <c r="F736" s="201"/>
      <c r="G736" s="201"/>
      <c r="H736" s="201"/>
      <c r="I736" s="201"/>
      <c r="J736" s="201"/>
      <c r="K736" s="201"/>
      <c r="L736" s="201"/>
      <c r="M736" s="201"/>
      <c r="N736" s="201"/>
      <c r="O736" s="201"/>
      <c r="P736" s="201"/>
      <c r="Q736" s="202"/>
    </row>
    <row r="737" spans="1:19" s="10" customFormat="1" ht="31.2" x14ac:dyDescent="0.25">
      <c r="A737" s="15" t="s">
        <v>8</v>
      </c>
      <c r="B737" s="15" t="s">
        <v>9</v>
      </c>
      <c r="C737" s="15" t="s">
        <v>10</v>
      </c>
      <c r="D737" s="15" t="s">
        <v>340</v>
      </c>
      <c r="E737" s="16" t="s">
        <v>11</v>
      </c>
      <c r="F737" s="16" t="s">
        <v>292</v>
      </c>
      <c r="G737" s="16" t="s">
        <v>292</v>
      </c>
      <c r="H737" s="16" t="s">
        <v>292</v>
      </c>
      <c r="I737" s="16" t="s">
        <v>292</v>
      </c>
      <c r="J737" s="16" t="s">
        <v>292</v>
      </c>
      <c r="K737" s="16" t="s">
        <v>292</v>
      </c>
      <c r="L737" s="16" t="s">
        <v>292</v>
      </c>
      <c r="M737" s="16" t="s">
        <v>292</v>
      </c>
      <c r="N737" s="16" t="s">
        <v>309</v>
      </c>
      <c r="O737" s="16" t="s">
        <v>293</v>
      </c>
      <c r="P737" s="16" t="s">
        <v>294</v>
      </c>
      <c r="Q737" s="16" t="s">
        <v>295</v>
      </c>
      <c r="R737" s="54"/>
      <c r="S737" s="54"/>
    </row>
    <row r="738" spans="1:19" s="10" customFormat="1" x14ac:dyDescent="0.25">
      <c r="A738" s="203" t="s">
        <v>106</v>
      </c>
      <c r="B738" s="203"/>
      <c r="C738" s="203"/>
      <c r="D738" s="203"/>
      <c r="E738" s="204"/>
      <c r="F738" s="16" t="s">
        <v>297</v>
      </c>
      <c r="G738" s="16" t="s">
        <v>297</v>
      </c>
      <c r="H738" s="16" t="s">
        <v>297</v>
      </c>
      <c r="I738" s="16" t="s">
        <v>297</v>
      </c>
      <c r="J738" s="16" t="s">
        <v>297</v>
      </c>
      <c r="K738" s="16" t="s">
        <v>297</v>
      </c>
      <c r="L738" s="16" t="s">
        <v>297</v>
      </c>
      <c r="M738" s="16" t="s">
        <v>297</v>
      </c>
      <c r="N738" s="16">
        <v>13</v>
      </c>
      <c r="O738" s="16">
        <v>31</v>
      </c>
      <c r="P738" s="16">
        <v>30</v>
      </c>
      <c r="Q738" s="16">
        <v>31</v>
      </c>
      <c r="R738" s="54"/>
      <c r="S738" s="54"/>
    </row>
    <row r="739" spans="1:19" s="10" customFormat="1" ht="31.2" x14ac:dyDescent="0.25">
      <c r="A739" s="15" t="s">
        <v>107</v>
      </c>
      <c r="B739" s="17" t="s">
        <v>103</v>
      </c>
      <c r="C739" s="17" t="s">
        <v>108</v>
      </c>
      <c r="D739" s="17" t="s">
        <v>381</v>
      </c>
      <c r="E739" s="18">
        <f>E740+E750</f>
        <v>0</v>
      </c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54"/>
      <c r="S739" s="54"/>
    </row>
    <row r="740" spans="1:19" ht="46.8" x14ac:dyDescent="0.25">
      <c r="A740" s="17" t="s">
        <v>109</v>
      </c>
      <c r="B740" s="17" t="s">
        <v>103</v>
      </c>
      <c r="C740" s="17" t="s">
        <v>110</v>
      </c>
      <c r="D740" s="17" t="s">
        <v>382</v>
      </c>
      <c r="E740" s="19">
        <f>SUM(F740:Q740)</f>
        <v>0</v>
      </c>
      <c r="F740" s="19" t="s">
        <v>297</v>
      </c>
      <c r="G740" s="19" t="s">
        <v>297</v>
      </c>
      <c r="H740" s="19" t="s">
        <v>297</v>
      </c>
      <c r="I740" s="19" t="s">
        <v>297</v>
      </c>
      <c r="J740" s="19" t="s">
        <v>297</v>
      </c>
      <c r="K740" s="19" t="s">
        <v>297</v>
      </c>
      <c r="L740" s="19" t="s">
        <v>297</v>
      </c>
      <c r="M740" s="19" t="s">
        <v>297</v>
      </c>
      <c r="N740" s="19">
        <f t="shared" ref="N740:Q740" si="89">IF(N741&gt;=0.8,0,$E$15*$E$16*0.4*(N742-N745)*N738)</f>
        <v>0</v>
      </c>
      <c r="O740" s="19">
        <f t="shared" si="89"/>
        <v>0</v>
      </c>
      <c r="P740" s="19">
        <f t="shared" si="89"/>
        <v>0</v>
      </c>
      <c r="Q740" s="19">
        <f t="shared" si="89"/>
        <v>0</v>
      </c>
    </row>
    <row r="741" spans="1:19" ht="62.4" x14ac:dyDescent="0.25">
      <c r="A741" s="17" t="s">
        <v>111</v>
      </c>
      <c r="B741" s="17" t="s">
        <v>37</v>
      </c>
      <c r="C741" s="17" t="s">
        <v>112</v>
      </c>
      <c r="D741" s="17" t="s">
        <v>383</v>
      </c>
      <c r="E741" s="20">
        <f>AVERAGE(N741:Q741)</f>
        <v>0.9613055901404095</v>
      </c>
      <c r="F741" s="20" t="s">
        <v>297</v>
      </c>
      <c r="G741" s="20" t="s">
        <v>297</v>
      </c>
      <c r="H741" s="20" t="s">
        <v>297</v>
      </c>
      <c r="I741" s="20" t="s">
        <v>297</v>
      </c>
      <c r="J741" s="20" t="s">
        <v>297</v>
      </c>
      <c r="K741" s="20" t="s">
        <v>297</v>
      </c>
      <c r="L741" s="20" t="s">
        <v>297</v>
      </c>
      <c r="M741" s="20" t="s">
        <v>297</v>
      </c>
      <c r="N741" s="20">
        <f t="shared" ref="N741:Q741" si="90">(N742-N745)/N742</f>
        <v>0.96007282897292379</v>
      </c>
      <c r="O741" s="20">
        <f t="shared" si="90"/>
        <v>0.96186762046521124</v>
      </c>
      <c r="P741" s="20">
        <f t="shared" si="90"/>
        <v>0.96109121132321629</v>
      </c>
      <c r="Q741" s="20">
        <f t="shared" si="90"/>
        <v>0.96219069980028682</v>
      </c>
    </row>
    <row r="742" spans="1:19" ht="46.8" x14ac:dyDescent="0.25">
      <c r="A742" s="17" t="s">
        <v>113</v>
      </c>
      <c r="B742" s="17" t="s">
        <v>24</v>
      </c>
      <c r="C742" s="17" t="s">
        <v>114</v>
      </c>
      <c r="D742" s="17" t="s">
        <v>384</v>
      </c>
      <c r="E742" s="20">
        <f>SUM(N742:Q742)</f>
        <v>40.031169387302654</v>
      </c>
      <c r="F742" s="20" t="s">
        <v>297</v>
      </c>
      <c r="G742" s="20" t="s">
        <v>297</v>
      </c>
      <c r="H742" s="20" t="s">
        <v>297</v>
      </c>
      <c r="I742" s="20" t="s">
        <v>297</v>
      </c>
      <c r="J742" s="20" t="s">
        <v>297</v>
      </c>
      <c r="K742" s="20" t="s">
        <v>297</v>
      </c>
      <c r="L742" s="20" t="s">
        <v>297</v>
      </c>
      <c r="M742" s="20" t="s">
        <v>297</v>
      </c>
      <c r="N742" s="20">
        <f t="shared" ref="N742:Q742" si="91">N743*N744</f>
        <v>10.263700040764794</v>
      </c>
      <c r="O742" s="20">
        <f t="shared" si="91"/>
        <v>10.259065361793809</v>
      </c>
      <c r="P742" s="20">
        <f t="shared" si="91"/>
        <v>9.7495286029653343</v>
      </c>
      <c r="Q742" s="20">
        <f t="shared" si="91"/>
        <v>9.7588753817787186</v>
      </c>
    </row>
    <row r="743" spans="1:19" ht="67.8" customHeight="1" x14ac:dyDescent="0.25">
      <c r="A743" s="17" t="s">
        <v>115</v>
      </c>
      <c r="B743" s="17" t="s">
        <v>116</v>
      </c>
      <c r="C743" s="17" t="s">
        <v>117</v>
      </c>
      <c r="D743" s="17" t="s">
        <v>336</v>
      </c>
      <c r="E743" s="129">
        <f>SUM(N743:Q743)</f>
        <v>77676.748134987603</v>
      </c>
      <c r="F743" s="21" t="s">
        <v>297</v>
      </c>
      <c r="G743" s="21" t="s">
        <v>297</v>
      </c>
      <c r="H743" s="21" t="s">
        <v>297</v>
      </c>
      <c r="I743" s="21" t="s">
        <v>297</v>
      </c>
      <c r="J743" s="21" t="s">
        <v>297</v>
      </c>
      <c r="K743" s="21" t="s">
        <v>297</v>
      </c>
      <c r="L743" s="21" t="s">
        <v>297</v>
      </c>
      <c r="M743" s="21" t="s">
        <v>297</v>
      </c>
      <c r="N743" s="129">
        <f>'Baseline Emissions 2020'!N719</f>
        <v>19907.585076923078</v>
      </c>
      <c r="O743" s="129">
        <f>'Baseline Emissions 2020'!O719</f>
        <v>19914.933096774192</v>
      </c>
      <c r="P743" s="129">
        <f>'Baseline Emissions 2020'!P719</f>
        <v>18926.3868</v>
      </c>
      <c r="Q743" s="129">
        <f>'Baseline Emissions 2020'!Q719</f>
        <v>18927.843161290322</v>
      </c>
    </row>
    <row r="744" spans="1:19" ht="46.8" x14ac:dyDescent="0.25">
      <c r="A744" s="17" t="s">
        <v>118</v>
      </c>
      <c r="B744" s="17" t="s">
        <v>119</v>
      </c>
      <c r="C744" s="17" t="s">
        <v>120</v>
      </c>
      <c r="D744" s="35" t="s">
        <v>338</v>
      </c>
      <c r="E744" s="120">
        <f>AVERAGE(N744:Q744)</f>
        <v>5.1535590398400885E-4</v>
      </c>
      <c r="F744" s="23" t="str">
        <f>'Baseline Emissions 2020'!F723</f>
        <v>—</v>
      </c>
      <c r="G744" s="23" t="str">
        <f>'Baseline Emissions 2020'!G723</f>
        <v>—</v>
      </c>
      <c r="H744" s="23" t="str">
        <f>'Baseline Emissions 2020'!H723</f>
        <v>—</v>
      </c>
      <c r="I744" s="23" t="str">
        <f>'Baseline Emissions 2020'!I723</f>
        <v>—</v>
      </c>
      <c r="J744" s="23" t="str">
        <f>'Baseline Emissions 2020'!J723</f>
        <v>—</v>
      </c>
      <c r="K744" s="23" t="str">
        <f>'Baseline Emissions 2020'!K723</f>
        <v>—</v>
      </c>
      <c r="L744" s="23" t="str">
        <f>'Baseline Emissions 2020'!L723</f>
        <v>—</v>
      </c>
      <c r="M744" s="23" t="str">
        <f>'Baseline Emissions 2020'!M723</f>
        <v>—</v>
      </c>
      <c r="N744" s="130">
        <f>'Baseline Emissions 2020'!N723</f>
        <v>5.155673076923077E-4</v>
      </c>
      <c r="O744" s="130">
        <f>'Baseline Emissions 2020'!O723</f>
        <v>5.1514435483870978E-4</v>
      </c>
      <c r="P744" s="130">
        <f>'Baseline Emissions 2020'!P723</f>
        <v>5.1512888888888893E-4</v>
      </c>
      <c r="Q744" s="130">
        <f>'Baseline Emissions 2020'!Q723</f>
        <v>5.15583064516129E-4</v>
      </c>
    </row>
    <row r="745" spans="1:19" ht="46.8" x14ac:dyDescent="0.25">
      <c r="A745" s="17" t="s">
        <v>121</v>
      </c>
      <c r="B745" s="17" t="s">
        <v>24</v>
      </c>
      <c r="C745" s="17" t="s">
        <v>122</v>
      </c>
      <c r="D745" s="17" t="s">
        <v>384</v>
      </c>
      <c r="E745" s="20">
        <f>SUM(N745:Q745)</f>
        <v>1.5493216779786514</v>
      </c>
      <c r="F745" s="20" t="s">
        <v>297</v>
      </c>
      <c r="G745" s="20" t="s">
        <v>297</v>
      </c>
      <c r="H745" s="20" t="s">
        <v>297</v>
      </c>
      <c r="I745" s="20" t="s">
        <v>297</v>
      </c>
      <c r="J745" s="20" t="s">
        <v>297</v>
      </c>
      <c r="K745" s="20" t="s">
        <v>297</v>
      </c>
      <c r="L745" s="20" t="s">
        <v>297</v>
      </c>
      <c r="M745" s="20" t="s">
        <v>297</v>
      </c>
      <c r="N745" s="20">
        <f t="shared" ref="N745:Q745" si="92">SUM(N746*N747)</f>
        <v>0.40980050689822478</v>
      </c>
      <c r="O745" s="20">
        <f t="shared" si="92"/>
        <v>0.39120257404812703</v>
      </c>
      <c r="P745" s="20">
        <f t="shared" si="92"/>
        <v>0.37934234811103712</v>
      </c>
      <c r="Q745" s="20">
        <f t="shared" si="92"/>
        <v>0.36897624892126252</v>
      </c>
    </row>
    <row r="746" spans="1:19" ht="62.4" x14ac:dyDescent="0.25">
      <c r="A746" s="17" t="s">
        <v>123</v>
      </c>
      <c r="B746" s="17" t="s">
        <v>116</v>
      </c>
      <c r="C746" s="17" t="s">
        <v>124</v>
      </c>
      <c r="D746" s="17" t="s">
        <v>337</v>
      </c>
      <c r="E746" s="129">
        <f>SUM(N746:Q746)</f>
        <v>76673.347155665833</v>
      </c>
      <c r="F746" s="21" t="s">
        <v>297</v>
      </c>
      <c r="G746" s="21" t="s">
        <v>297</v>
      </c>
      <c r="H746" s="21" t="s">
        <v>297</v>
      </c>
      <c r="I746" s="21" t="s">
        <v>297</v>
      </c>
      <c r="J746" s="21" t="s">
        <v>297</v>
      </c>
      <c r="K746" s="21" t="s">
        <v>297</v>
      </c>
      <c r="L746" s="21" t="s">
        <v>297</v>
      </c>
      <c r="M746" s="21" t="s">
        <v>297</v>
      </c>
      <c r="N746" s="129">
        <v>19666.793538461534</v>
      </c>
      <c r="O746" s="129">
        <v>19661.873612903226</v>
      </c>
      <c r="P746" s="129">
        <v>18671.996133333334</v>
      </c>
      <c r="Q746" s="129">
        <v>18672.683870967739</v>
      </c>
    </row>
    <row r="747" spans="1:19" ht="46.8" x14ac:dyDescent="0.25">
      <c r="A747" s="17" t="s">
        <v>125</v>
      </c>
      <c r="B747" s="17" t="s">
        <v>119</v>
      </c>
      <c r="C747" s="17" t="s">
        <v>126</v>
      </c>
      <c r="D747" s="35" t="s">
        <v>339</v>
      </c>
      <c r="E747" s="131">
        <f>AVERAGE(N747:Q747)</f>
        <v>2.0202502757099533E-5</v>
      </c>
      <c r="F747" s="24" t="str">
        <f>'Baseline Emissions 2020'!F724</f>
        <v>—</v>
      </c>
      <c r="G747" s="24" t="str">
        <f>'Baseline Emissions 2020'!G724</f>
        <v>—</v>
      </c>
      <c r="H747" s="24" t="str">
        <f>'Baseline Emissions 2020'!H724</f>
        <v>—</v>
      </c>
      <c r="I747" s="24" t="str">
        <f>'Baseline Emissions 2020'!I724</f>
        <v>—</v>
      </c>
      <c r="J747" s="24" t="str">
        <f>'Baseline Emissions 2020'!J724</f>
        <v>—</v>
      </c>
      <c r="K747" s="24" t="str">
        <f>'Baseline Emissions 2020'!K724</f>
        <v>—</v>
      </c>
      <c r="L747" s="24" t="str">
        <f>'Baseline Emissions 2020'!L724</f>
        <v>—</v>
      </c>
      <c r="M747" s="24" t="str">
        <f>'Baseline Emissions 2020'!M724</f>
        <v>—</v>
      </c>
      <c r="N747" s="131">
        <f>'Baseline Emissions 2020'!N724</f>
        <v>2.0837179487179487E-5</v>
      </c>
      <c r="O747" s="131">
        <f>'Baseline Emissions 2020'!O724</f>
        <v>1.9896505376344089E-5</v>
      </c>
      <c r="P747" s="131">
        <f>'Baseline Emissions 2020'!P724</f>
        <v>2.0316111111111116E-5</v>
      </c>
      <c r="Q747" s="131">
        <f>'Baseline Emissions 2020'!Q724</f>
        <v>1.976021505376344E-5</v>
      </c>
    </row>
    <row r="748" spans="1:19" ht="31.2" x14ac:dyDescent="0.25">
      <c r="A748" s="17" t="s">
        <v>127</v>
      </c>
      <c r="B748" s="17" t="s">
        <v>128</v>
      </c>
      <c r="C748" s="17" t="s">
        <v>17</v>
      </c>
      <c r="D748" s="17" t="s">
        <v>129</v>
      </c>
      <c r="E748" s="176">
        <v>28</v>
      </c>
      <c r="F748" s="176"/>
      <c r="G748" s="176"/>
      <c r="H748" s="176"/>
      <c r="I748" s="176"/>
      <c r="J748" s="176"/>
      <c r="K748" s="176"/>
      <c r="L748" s="176"/>
      <c r="M748" s="176"/>
      <c r="N748" s="176"/>
      <c r="O748" s="176"/>
      <c r="P748" s="176"/>
      <c r="Q748" s="176"/>
    </row>
    <row r="749" spans="1:19" ht="64.8" x14ac:dyDescent="0.25">
      <c r="A749" s="17" t="s">
        <v>130</v>
      </c>
      <c r="B749" s="17" t="s">
        <v>19</v>
      </c>
      <c r="C749" s="17" t="s">
        <v>131</v>
      </c>
      <c r="D749" s="17" t="s">
        <v>394</v>
      </c>
      <c r="E749" s="176">
        <v>0.21</v>
      </c>
      <c r="F749" s="176"/>
      <c r="G749" s="176"/>
      <c r="H749" s="176"/>
      <c r="I749" s="176"/>
      <c r="J749" s="176"/>
      <c r="K749" s="176"/>
      <c r="L749" s="176"/>
      <c r="M749" s="176"/>
      <c r="N749" s="176"/>
      <c r="O749" s="176"/>
      <c r="P749" s="176"/>
      <c r="Q749" s="176"/>
    </row>
    <row r="750" spans="1:19" ht="46.8" x14ac:dyDescent="0.25">
      <c r="A750" s="17" t="s">
        <v>132</v>
      </c>
      <c r="B750" s="17" t="s">
        <v>103</v>
      </c>
      <c r="C750" s="17" t="s">
        <v>133</v>
      </c>
      <c r="D750" s="17" t="s">
        <v>385</v>
      </c>
      <c r="E750" s="19">
        <f>SUM(F750:Q750)</f>
        <v>0</v>
      </c>
      <c r="F750" s="19" t="s">
        <v>297</v>
      </c>
      <c r="G750" s="19" t="s">
        <v>297</v>
      </c>
      <c r="H750" s="19" t="s">
        <v>297</v>
      </c>
      <c r="I750" s="19" t="s">
        <v>297</v>
      </c>
      <c r="J750" s="19" t="s">
        <v>297</v>
      </c>
      <c r="K750" s="19" t="s">
        <v>297</v>
      </c>
      <c r="L750" s="19" t="s">
        <v>297</v>
      </c>
      <c r="M750" s="19" t="s">
        <v>297</v>
      </c>
      <c r="N750" s="19">
        <f t="shared" ref="N750:Q750" si="93">$E$15*$E$16*N751*N745*N738</f>
        <v>0</v>
      </c>
      <c r="O750" s="19">
        <f t="shared" si="93"/>
        <v>0</v>
      </c>
      <c r="P750" s="19">
        <f t="shared" si="93"/>
        <v>0</v>
      </c>
      <c r="Q750" s="19">
        <f t="shared" si="93"/>
        <v>0</v>
      </c>
    </row>
    <row r="751" spans="1:19" ht="18" x14ac:dyDescent="0.25">
      <c r="A751" s="17" t="s">
        <v>134</v>
      </c>
      <c r="B751" s="17" t="s">
        <v>37</v>
      </c>
      <c r="C751" s="17" t="s">
        <v>135</v>
      </c>
      <c r="D751" s="17" t="s">
        <v>386</v>
      </c>
      <c r="E751" s="26">
        <f>AVERAGE(F751:Q751)</f>
        <v>0</v>
      </c>
      <c r="F751" s="26" t="s">
        <v>297</v>
      </c>
      <c r="G751" s="26" t="s">
        <v>297</v>
      </c>
      <c r="H751" s="26" t="s">
        <v>297</v>
      </c>
      <c r="I751" s="26" t="s">
        <v>297</v>
      </c>
      <c r="J751" s="26" t="s">
        <v>297</v>
      </c>
      <c r="K751" s="26" t="s">
        <v>297</v>
      </c>
      <c r="L751" s="26" t="s">
        <v>297</v>
      </c>
      <c r="M751" s="26" t="s">
        <v>297</v>
      </c>
      <c r="N751" s="26">
        <f>N752*$E$753*0.89</f>
        <v>0</v>
      </c>
      <c r="O751" s="26">
        <f t="shared" ref="O751:Q751" si="94">O752*$E$753*0.89</f>
        <v>0</v>
      </c>
      <c r="P751" s="26">
        <f t="shared" si="94"/>
        <v>0</v>
      </c>
      <c r="Q751" s="26">
        <f t="shared" si="94"/>
        <v>0</v>
      </c>
    </row>
    <row r="752" spans="1:19" ht="31.2" x14ac:dyDescent="0.25">
      <c r="A752" s="17" t="s">
        <v>136</v>
      </c>
      <c r="B752" s="17" t="s">
        <v>37</v>
      </c>
      <c r="C752" s="17" t="s">
        <v>46</v>
      </c>
      <c r="D752" s="17" t="s">
        <v>387</v>
      </c>
      <c r="E752" s="25">
        <v>0</v>
      </c>
      <c r="F752" s="25" t="s">
        <v>297</v>
      </c>
      <c r="G752" s="25" t="s">
        <v>297</v>
      </c>
      <c r="H752" s="25" t="s">
        <v>297</v>
      </c>
      <c r="I752" s="25" t="s">
        <v>297</v>
      </c>
      <c r="J752" s="25" t="s">
        <v>297</v>
      </c>
      <c r="K752" s="25" t="s">
        <v>297</v>
      </c>
      <c r="L752" s="25" t="s">
        <v>297</v>
      </c>
      <c r="M752" s="25" t="s">
        <v>297</v>
      </c>
      <c r="N752" s="25">
        <v>0</v>
      </c>
      <c r="O752" s="25">
        <v>0</v>
      </c>
      <c r="P752" s="25">
        <v>0</v>
      </c>
      <c r="Q752" s="25">
        <v>0</v>
      </c>
    </row>
    <row r="753" spans="1:17" ht="31.2" x14ac:dyDescent="0.25">
      <c r="A753" s="17" t="s">
        <v>137</v>
      </c>
      <c r="B753" s="17" t="s">
        <v>201</v>
      </c>
      <c r="C753" s="17" t="s">
        <v>138</v>
      </c>
      <c r="D753" s="17" t="s">
        <v>388</v>
      </c>
      <c r="E753" s="196">
        <f>(N754*N759+O754*O759+P754*P759+Q754*Q759)/(N747*N746*N738+O746*O747*O738+P747*P746*P738+Q747*Q746*Q738)</f>
        <v>0.56550194267775078</v>
      </c>
      <c r="F753" s="196"/>
      <c r="G753" s="196"/>
      <c r="H753" s="196"/>
      <c r="I753" s="196"/>
      <c r="J753" s="196"/>
      <c r="K753" s="196"/>
      <c r="L753" s="196"/>
      <c r="M753" s="196"/>
      <c r="N753" s="196"/>
      <c r="O753" s="196"/>
      <c r="P753" s="196"/>
      <c r="Q753" s="196"/>
    </row>
    <row r="754" spans="1:17" ht="31.2" x14ac:dyDescent="0.25">
      <c r="A754" s="17" t="s">
        <v>139</v>
      </c>
      <c r="B754" s="17" t="s">
        <v>37</v>
      </c>
      <c r="C754" s="17" t="s">
        <v>140</v>
      </c>
      <c r="D754" s="17" t="s">
        <v>375</v>
      </c>
      <c r="E754" s="27">
        <f>AVERAGE(F754:Q754)</f>
        <v>0.60634569355483003</v>
      </c>
      <c r="F754" s="27" t="s">
        <v>297</v>
      </c>
      <c r="G754" s="27" t="s">
        <v>297</v>
      </c>
      <c r="H754" s="27" t="s">
        <v>297</v>
      </c>
      <c r="I754" s="27" t="s">
        <v>297</v>
      </c>
      <c r="J754" s="27" t="s">
        <v>297</v>
      </c>
      <c r="K754" s="27" t="s">
        <v>297</v>
      </c>
      <c r="L754" s="27" t="s">
        <v>297</v>
      </c>
      <c r="M754" s="27" t="s">
        <v>297</v>
      </c>
      <c r="N754" s="27">
        <f>IF(N758&lt;283,0,IF(N758&gt;303,1,EXP(($E$755*(N758-$E$756))/($E$757*$E$756*N758))))</f>
        <v>0.88152221926734242</v>
      </c>
      <c r="O754" s="27">
        <f t="shared" ref="O754:Q754" si="95">IF(O758&lt;283,0,IF(O758&gt;303,1,EXP(($E$755*(O758-$E$756))/($E$757*$E$756*O758))))</f>
        <v>0.65487347206548807</v>
      </c>
      <c r="P754" s="27">
        <f t="shared" si="95"/>
        <v>0.55084569341606926</v>
      </c>
      <c r="Q754" s="27">
        <f t="shared" si="95"/>
        <v>0.33814138947042022</v>
      </c>
    </row>
    <row r="755" spans="1:17" x14ac:dyDescent="0.25">
      <c r="A755" s="17" t="s">
        <v>51</v>
      </c>
      <c r="B755" s="17" t="s">
        <v>52</v>
      </c>
      <c r="C755" s="17" t="s">
        <v>53</v>
      </c>
      <c r="D755" s="17" t="s">
        <v>389</v>
      </c>
      <c r="E755" s="176">
        <v>15175</v>
      </c>
      <c r="F755" s="176"/>
      <c r="G755" s="176"/>
      <c r="H755" s="176"/>
      <c r="I755" s="176"/>
      <c r="J755" s="176"/>
      <c r="K755" s="176"/>
      <c r="L755" s="176"/>
      <c r="M755" s="176"/>
      <c r="N755" s="176"/>
      <c r="O755" s="176"/>
      <c r="P755" s="176"/>
      <c r="Q755" s="176"/>
    </row>
    <row r="756" spans="1:17" ht="18" x14ac:dyDescent="0.25">
      <c r="A756" s="17" t="s">
        <v>141</v>
      </c>
      <c r="B756" s="17" t="s">
        <v>55</v>
      </c>
      <c r="C756" s="17" t="s">
        <v>56</v>
      </c>
      <c r="D756" s="17" t="s">
        <v>389</v>
      </c>
      <c r="E756" s="176">
        <v>303.16000000000003</v>
      </c>
      <c r="F756" s="176"/>
      <c r="G756" s="176"/>
      <c r="H756" s="176"/>
      <c r="I756" s="176"/>
      <c r="J756" s="176"/>
      <c r="K756" s="176"/>
      <c r="L756" s="176"/>
      <c r="M756" s="176"/>
      <c r="N756" s="176"/>
      <c r="O756" s="176"/>
      <c r="P756" s="176"/>
      <c r="Q756" s="176"/>
    </row>
    <row r="757" spans="1:17" x14ac:dyDescent="0.25">
      <c r="A757" s="17" t="s">
        <v>57</v>
      </c>
      <c r="B757" s="17" t="s">
        <v>58</v>
      </c>
      <c r="C757" s="17" t="s">
        <v>59</v>
      </c>
      <c r="D757" s="17" t="s">
        <v>389</v>
      </c>
      <c r="E757" s="176">
        <v>1.9870000000000001</v>
      </c>
      <c r="F757" s="176"/>
      <c r="G757" s="176"/>
      <c r="H757" s="176"/>
      <c r="I757" s="176"/>
      <c r="J757" s="176"/>
      <c r="K757" s="176"/>
      <c r="L757" s="176"/>
      <c r="M757" s="176"/>
      <c r="N757" s="176"/>
      <c r="O757" s="176"/>
      <c r="P757" s="176"/>
      <c r="Q757" s="176"/>
    </row>
    <row r="758" spans="1:17" ht="18" x14ac:dyDescent="0.25">
      <c r="A758" s="17" t="s">
        <v>142</v>
      </c>
      <c r="B758" s="17" t="s">
        <v>55</v>
      </c>
      <c r="C758" s="17" t="s">
        <v>143</v>
      </c>
      <c r="D758" s="144" t="s">
        <v>363</v>
      </c>
      <c r="E758" s="28">
        <f>AVERAGE(F758:Q758)</f>
        <v>296.64999999999998</v>
      </c>
      <c r="F758" s="25" t="s">
        <v>297</v>
      </c>
      <c r="G758" s="25" t="s">
        <v>297</v>
      </c>
      <c r="H758" s="25" t="s">
        <v>297</v>
      </c>
      <c r="I758" s="25" t="s">
        <v>297</v>
      </c>
      <c r="J758" s="25" t="s">
        <v>297</v>
      </c>
      <c r="K758" s="25" t="s">
        <v>297</v>
      </c>
      <c r="L758" s="25" t="s">
        <v>297</v>
      </c>
      <c r="M758" s="25" t="s">
        <v>297</v>
      </c>
      <c r="N758" s="25">
        <v>301.64999999999998</v>
      </c>
      <c r="O758" s="25">
        <v>298.14999999999998</v>
      </c>
      <c r="P758" s="25">
        <v>296.14999999999998</v>
      </c>
      <c r="Q758" s="25">
        <v>290.64999999999998</v>
      </c>
    </row>
    <row r="759" spans="1:17" ht="46.8" x14ac:dyDescent="0.25">
      <c r="A759" s="17" t="s">
        <v>144</v>
      </c>
      <c r="B759" s="17" t="s">
        <v>24</v>
      </c>
      <c r="C759" s="17" t="s">
        <v>145</v>
      </c>
      <c r="D759" s="17" t="s">
        <v>390</v>
      </c>
      <c r="E759" s="29">
        <f>SUM(F759:Q759)</f>
        <v>40.273220545059118</v>
      </c>
      <c r="F759" s="29" t="s">
        <v>297</v>
      </c>
      <c r="G759" s="29" t="s">
        <v>297</v>
      </c>
      <c r="H759" s="29" t="s">
        <v>297</v>
      </c>
      <c r="I759" s="29" t="s">
        <v>297</v>
      </c>
      <c r="J759" s="29" t="s">
        <v>297</v>
      </c>
      <c r="K759" s="29" t="s">
        <v>297</v>
      </c>
      <c r="L759" s="29" t="s">
        <v>297</v>
      </c>
      <c r="M759" s="29" t="s">
        <v>297</v>
      </c>
      <c r="N759" s="29">
        <f>N746*N747*'Project Emissions 2020'!N738+(1-N754)*0</f>
        <v>5.3274065896769223</v>
      </c>
      <c r="O759" s="29">
        <f>O746*O747*'Project Emissions 2020'!O738+(1-O754)*0</f>
        <v>12.127279795491939</v>
      </c>
      <c r="P759" s="29">
        <f>P746*P747*'Project Emissions 2020'!P738+(1-P754)*0</f>
        <v>11.380270443331113</v>
      </c>
      <c r="Q759" s="29">
        <f>Q746*Q747*'Project Emissions 2020'!Q738+(1-Q754)*0</f>
        <v>11.438263716559138</v>
      </c>
    </row>
    <row r="760" spans="1:17" x14ac:dyDescent="0.3">
      <c r="A760" s="30"/>
      <c r="E760" s="31"/>
      <c r="F760" s="31"/>
      <c r="G760" s="31"/>
      <c r="H760" s="31"/>
      <c r="I760" s="31"/>
      <c r="J760" s="31"/>
      <c r="K760" s="31"/>
      <c r="L760" s="31"/>
      <c r="M760" s="31"/>
      <c r="N760" s="31"/>
      <c r="O760" s="31"/>
      <c r="P760" s="31"/>
      <c r="Q760" s="31"/>
    </row>
    <row r="761" spans="1:17" x14ac:dyDescent="0.25">
      <c r="A761" s="174" t="s">
        <v>146</v>
      </c>
      <c r="B761" s="174"/>
      <c r="C761" s="175"/>
      <c r="D761" s="175"/>
      <c r="E761" s="195"/>
      <c r="F761" s="32"/>
      <c r="G761" s="32"/>
      <c r="H761" s="32"/>
      <c r="I761" s="32"/>
      <c r="J761" s="32"/>
      <c r="K761" s="32"/>
      <c r="L761" s="32"/>
      <c r="M761" s="32"/>
      <c r="N761" s="32"/>
      <c r="O761" s="32"/>
      <c r="P761" s="32"/>
      <c r="Q761" s="32"/>
    </row>
    <row r="762" spans="1:17" x14ac:dyDescent="0.25">
      <c r="A762" s="33" t="s">
        <v>8</v>
      </c>
      <c r="B762" s="33" t="s">
        <v>9</v>
      </c>
      <c r="C762" s="34" t="s">
        <v>10</v>
      </c>
      <c r="D762" s="34" t="s">
        <v>340</v>
      </c>
      <c r="E762" s="16" t="s">
        <v>65</v>
      </c>
      <c r="F762" s="32"/>
      <c r="G762" s="32"/>
      <c r="H762" s="32"/>
      <c r="I762" s="32"/>
      <c r="J762" s="32"/>
      <c r="K762" s="32"/>
      <c r="L762" s="32"/>
      <c r="M762" s="32"/>
      <c r="N762" s="32"/>
      <c r="O762" s="32"/>
      <c r="P762" s="32"/>
      <c r="Q762" s="32"/>
    </row>
    <row r="763" spans="1:17" ht="46.8" x14ac:dyDescent="0.25">
      <c r="A763" s="15" t="s">
        <v>147</v>
      </c>
      <c r="B763" s="17" t="s">
        <v>95</v>
      </c>
      <c r="C763" s="35" t="s">
        <v>148</v>
      </c>
      <c r="D763" s="35" t="s">
        <v>68</v>
      </c>
      <c r="E763" s="16">
        <v>0</v>
      </c>
      <c r="F763" s="32"/>
      <c r="G763" s="32"/>
      <c r="H763" s="32"/>
      <c r="I763" s="32"/>
      <c r="J763" s="32"/>
      <c r="K763" s="32"/>
      <c r="L763" s="32"/>
      <c r="M763" s="32"/>
      <c r="N763" s="32"/>
      <c r="O763" s="32"/>
      <c r="P763" s="32"/>
      <c r="Q763" s="32"/>
    </row>
    <row r="764" spans="1:17" x14ac:dyDescent="0.25">
      <c r="A764" s="36"/>
      <c r="B764" s="36"/>
      <c r="C764" s="37"/>
      <c r="D764" s="37"/>
      <c r="E764" s="32"/>
      <c r="F764" s="32"/>
      <c r="G764" s="32"/>
      <c r="H764" s="32"/>
      <c r="I764" s="32"/>
      <c r="J764" s="32"/>
      <c r="K764" s="32"/>
      <c r="L764" s="32"/>
      <c r="M764" s="32"/>
      <c r="N764" s="32"/>
      <c r="O764" s="32"/>
      <c r="P764" s="32"/>
      <c r="Q764" s="32"/>
    </row>
    <row r="765" spans="1:17" x14ac:dyDescent="0.25">
      <c r="A765" s="174" t="s">
        <v>149</v>
      </c>
      <c r="B765" s="174"/>
      <c r="C765" s="175"/>
      <c r="D765" s="175"/>
      <c r="E765" s="195"/>
      <c r="F765" s="32"/>
      <c r="G765" s="32"/>
      <c r="H765" s="32"/>
      <c r="I765" s="32"/>
      <c r="J765" s="32"/>
      <c r="K765" s="32"/>
      <c r="L765" s="32"/>
      <c r="M765" s="32"/>
      <c r="N765" s="32"/>
      <c r="O765" s="32"/>
      <c r="P765" s="32"/>
      <c r="Q765" s="32"/>
    </row>
    <row r="766" spans="1:17" x14ac:dyDescent="0.25">
      <c r="A766" s="33" t="s">
        <v>8</v>
      </c>
      <c r="B766" s="33" t="s">
        <v>9</v>
      </c>
      <c r="C766" s="34" t="s">
        <v>10</v>
      </c>
      <c r="D766" s="34" t="s">
        <v>340</v>
      </c>
      <c r="E766" s="16" t="s">
        <v>65</v>
      </c>
      <c r="F766" s="32"/>
      <c r="G766" s="32"/>
      <c r="H766" s="32"/>
      <c r="I766" s="32"/>
      <c r="J766" s="32"/>
      <c r="K766" s="32"/>
      <c r="L766" s="32"/>
      <c r="M766" s="32"/>
      <c r="N766" s="32"/>
      <c r="O766" s="32"/>
      <c r="P766" s="32"/>
      <c r="Q766" s="32"/>
    </row>
    <row r="767" spans="1:17" ht="46.8" x14ac:dyDescent="0.25">
      <c r="A767" s="15" t="s">
        <v>150</v>
      </c>
      <c r="B767" s="17" t="s">
        <v>95</v>
      </c>
      <c r="C767" s="35" t="s">
        <v>151</v>
      </c>
      <c r="D767" s="35" t="s">
        <v>68</v>
      </c>
      <c r="E767" s="16">
        <v>0</v>
      </c>
      <c r="F767" s="32"/>
      <c r="G767" s="32"/>
      <c r="H767" s="32"/>
      <c r="I767" s="32"/>
      <c r="J767" s="32"/>
      <c r="K767" s="32"/>
      <c r="L767" s="32"/>
      <c r="M767" s="32"/>
      <c r="N767" s="32"/>
      <c r="O767" s="32"/>
      <c r="P767" s="32"/>
      <c r="Q767" s="32"/>
    </row>
    <row r="768" spans="1:17" x14ac:dyDescent="0.25">
      <c r="F768" s="32"/>
      <c r="G768" s="32"/>
      <c r="H768" s="32"/>
      <c r="I768" s="32"/>
      <c r="J768" s="32"/>
      <c r="K768" s="32"/>
      <c r="L768" s="32"/>
      <c r="M768" s="32"/>
      <c r="N768" s="32"/>
      <c r="O768" s="32"/>
      <c r="P768" s="32"/>
      <c r="Q768" s="32"/>
    </row>
    <row r="769" spans="1:19" x14ac:dyDescent="0.25">
      <c r="A769" s="174" t="s">
        <v>152</v>
      </c>
      <c r="B769" s="174"/>
      <c r="C769" s="175"/>
      <c r="D769" s="175"/>
      <c r="E769" s="195"/>
      <c r="F769" s="32"/>
      <c r="G769" s="32"/>
      <c r="H769" s="32"/>
      <c r="I769" s="32"/>
      <c r="J769" s="32"/>
      <c r="K769" s="32"/>
      <c r="L769" s="32"/>
      <c r="M769" s="32"/>
      <c r="N769" s="32"/>
      <c r="O769" s="32"/>
      <c r="P769" s="32"/>
      <c r="Q769" s="32"/>
    </row>
    <row r="770" spans="1:19" s="10" customFormat="1" x14ac:dyDescent="0.25">
      <c r="A770" s="15" t="s">
        <v>8</v>
      </c>
      <c r="B770" s="15" t="s">
        <v>9</v>
      </c>
      <c r="C770" s="38" t="s">
        <v>10</v>
      </c>
      <c r="D770" s="38" t="s">
        <v>340</v>
      </c>
      <c r="E770" s="16" t="s">
        <v>65</v>
      </c>
      <c r="F770" s="32"/>
      <c r="G770" s="32"/>
      <c r="H770" s="39"/>
      <c r="I770" s="39"/>
      <c r="J770" s="39"/>
      <c r="K770" s="39"/>
      <c r="L770" s="39"/>
      <c r="M770" s="39"/>
      <c r="N770" s="39"/>
      <c r="O770" s="39"/>
      <c r="P770" s="39"/>
      <c r="Q770" s="39"/>
    </row>
    <row r="771" spans="1:19" s="10" customFormat="1" ht="18" x14ac:dyDescent="0.4">
      <c r="A771" s="40" t="s">
        <v>153</v>
      </c>
      <c r="B771" s="17" t="s">
        <v>103</v>
      </c>
      <c r="C771" s="35" t="s">
        <v>154</v>
      </c>
      <c r="D771" s="35" t="s">
        <v>155</v>
      </c>
      <c r="E771" s="41">
        <f>E772*E774*(1+E773)</f>
        <v>527.91198507119998</v>
      </c>
      <c r="F771" s="32"/>
      <c r="G771" s="32"/>
      <c r="H771" s="39"/>
      <c r="I771" s="39"/>
      <c r="J771" s="39"/>
      <c r="K771" s="39"/>
      <c r="L771" s="39"/>
      <c r="M771" s="39"/>
      <c r="N771" s="39"/>
      <c r="O771" s="39"/>
      <c r="P771" s="39"/>
      <c r="Q771" s="39"/>
    </row>
    <row r="772" spans="1:19" ht="31.2" x14ac:dyDescent="0.25">
      <c r="A772" s="17" t="s">
        <v>156</v>
      </c>
      <c r="B772" s="17" t="s">
        <v>157</v>
      </c>
      <c r="C772" s="35" t="s">
        <v>158</v>
      </c>
      <c r="D772" s="35" t="s">
        <v>343</v>
      </c>
      <c r="E772" s="20">
        <f>864550.76/1000</f>
        <v>864.55075999999997</v>
      </c>
      <c r="G772" s="42"/>
      <c r="H772" s="43"/>
      <c r="I772" s="43"/>
      <c r="J772" s="43"/>
      <c r="K772" s="43"/>
      <c r="L772" s="43"/>
      <c r="M772" s="43"/>
      <c r="N772" s="43"/>
      <c r="O772" s="43"/>
      <c r="P772" s="43"/>
      <c r="Q772" s="43"/>
      <c r="R772" s="9"/>
      <c r="S772" s="9"/>
    </row>
    <row r="773" spans="1:19" ht="31.2" x14ac:dyDescent="0.25">
      <c r="A773" s="17" t="s">
        <v>159</v>
      </c>
      <c r="B773" s="17" t="s">
        <v>160</v>
      </c>
      <c r="C773" s="35" t="s">
        <v>161</v>
      </c>
      <c r="D773" s="35" t="s">
        <v>162</v>
      </c>
      <c r="E773" s="44">
        <v>0.2</v>
      </c>
      <c r="H773" s="43"/>
      <c r="I773" s="43"/>
      <c r="J773" s="43"/>
      <c r="K773" s="43"/>
      <c r="L773" s="43"/>
      <c r="M773" s="43"/>
      <c r="N773" s="43"/>
      <c r="O773" s="43"/>
      <c r="P773" s="43"/>
      <c r="Q773" s="43"/>
      <c r="R773" s="9"/>
      <c r="S773" s="9"/>
    </row>
    <row r="774" spans="1:19" ht="46.8" x14ac:dyDescent="0.25">
      <c r="A774" s="17" t="s">
        <v>163</v>
      </c>
      <c r="B774" s="17" t="s">
        <v>164</v>
      </c>
      <c r="C774" s="35" t="s">
        <v>165</v>
      </c>
      <c r="D774" s="35" t="s">
        <v>166</v>
      </c>
      <c r="E774" s="45">
        <f>0.5*0.8042+0.5*0.2135</f>
        <v>0.50885000000000002</v>
      </c>
      <c r="F774" s="46"/>
      <c r="G774" s="46"/>
      <c r="H774" s="46"/>
      <c r="I774" s="46"/>
      <c r="J774" s="46"/>
      <c r="K774" s="46"/>
      <c r="L774" s="46"/>
      <c r="M774" s="46"/>
      <c r="N774" s="46"/>
      <c r="O774" s="46"/>
      <c r="P774" s="46"/>
      <c r="Q774" s="46"/>
    </row>
    <row r="775" spans="1:19" ht="31.2" x14ac:dyDescent="0.4">
      <c r="A775" s="40" t="s">
        <v>167</v>
      </c>
      <c r="B775" s="17" t="s">
        <v>103</v>
      </c>
      <c r="C775" s="35" t="s">
        <v>168</v>
      </c>
      <c r="D775" s="35" t="s">
        <v>169</v>
      </c>
      <c r="E775" s="47">
        <v>0</v>
      </c>
      <c r="H775" s="43"/>
      <c r="I775" s="43"/>
      <c r="J775" s="43"/>
      <c r="K775" s="43"/>
      <c r="L775" s="43"/>
      <c r="M775" s="43"/>
      <c r="N775" s="43"/>
      <c r="O775" s="43"/>
      <c r="P775" s="43"/>
      <c r="Q775" s="43"/>
      <c r="R775" s="9"/>
      <c r="S775" s="9"/>
    </row>
    <row r="776" spans="1:19" x14ac:dyDescent="0.3">
      <c r="A776" s="48"/>
      <c r="E776" s="49"/>
      <c r="H776" s="43"/>
      <c r="I776" s="43"/>
      <c r="J776" s="43"/>
      <c r="K776" s="43"/>
      <c r="L776" s="43"/>
      <c r="M776" s="43"/>
      <c r="N776" s="43"/>
      <c r="O776" s="43"/>
      <c r="P776" s="43"/>
      <c r="Q776" s="43"/>
      <c r="R776" s="9"/>
      <c r="S776" s="9"/>
    </row>
    <row r="777" spans="1:19" x14ac:dyDescent="0.25">
      <c r="A777" s="174" t="s">
        <v>170</v>
      </c>
      <c r="B777" s="174"/>
      <c r="C777" s="175"/>
      <c r="D777" s="175"/>
      <c r="E777" s="195"/>
      <c r="F777" s="32"/>
      <c r="G777" s="32"/>
      <c r="H777" s="32"/>
      <c r="I777" s="32"/>
      <c r="J777" s="32"/>
      <c r="K777" s="32"/>
      <c r="L777" s="32"/>
      <c r="M777" s="32"/>
      <c r="N777" s="32"/>
      <c r="O777" s="32"/>
      <c r="P777" s="32"/>
      <c r="Q777" s="32"/>
    </row>
    <row r="778" spans="1:19" x14ac:dyDescent="0.25">
      <c r="A778" s="15" t="s">
        <v>8</v>
      </c>
      <c r="B778" s="15" t="s">
        <v>9</v>
      </c>
      <c r="C778" s="38" t="s">
        <v>10</v>
      </c>
      <c r="D778" s="38" t="s">
        <v>340</v>
      </c>
      <c r="E778" s="16" t="s">
        <v>65</v>
      </c>
      <c r="H778" s="43"/>
      <c r="I778" s="43"/>
      <c r="J778" s="43"/>
      <c r="K778" s="43"/>
      <c r="L778" s="43"/>
      <c r="M778" s="43"/>
      <c r="N778" s="43"/>
      <c r="O778" s="43"/>
      <c r="P778" s="43"/>
      <c r="Q778" s="43"/>
      <c r="R778" s="9"/>
      <c r="S778" s="9"/>
    </row>
    <row r="779" spans="1:19" ht="33.6" x14ac:dyDescent="0.4">
      <c r="A779" s="40" t="s">
        <v>171</v>
      </c>
      <c r="B779" s="17" t="s">
        <v>74</v>
      </c>
      <c r="C779" s="35" t="s">
        <v>172</v>
      </c>
      <c r="D779" s="35" t="s">
        <v>391</v>
      </c>
      <c r="E779" s="50">
        <f>E780*E783*E784*E785*E786*E787</f>
        <v>13.439049277379544</v>
      </c>
      <c r="H779" s="43"/>
      <c r="I779" s="43"/>
      <c r="J779" s="43"/>
      <c r="K779" s="43"/>
      <c r="L779" s="43"/>
      <c r="M779" s="43"/>
      <c r="N779" s="43"/>
      <c r="O779" s="43"/>
      <c r="P779" s="43"/>
      <c r="Q779" s="43"/>
      <c r="R779" s="9"/>
      <c r="S779" s="9"/>
    </row>
    <row r="780" spans="1:19" ht="46.8" x14ac:dyDescent="0.4">
      <c r="A780" s="51" t="s">
        <v>173</v>
      </c>
      <c r="B780" s="17" t="s">
        <v>76</v>
      </c>
      <c r="C780" s="35" t="s">
        <v>174</v>
      </c>
      <c r="D780" s="35" t="s">
        <v>392</v>
      </c>
      <c r="E780" s="69">
        <f>ROUNDUP(E781/E782,0)</f>
        <v>269</v>
      </c>
      <c r="H780" s="43"/>
      <c r="I780" s="43"/>
      <c r="J780" s="43"/>
      <c r="K780" s="43"/>
      <c r="L780" s="43"/>
      <c r="M780" s="43"/>
      <c r="N780" s="43"/>
      <c r="O780" s="43"/>
      <c r="P780" s="43"/>
      <c r="Q780" s="43"/>
      <c r="R780" s="9"/>
      <c r="S780" s="9"/>
    </row>
    <row r="781" spans="1:19" ht="62.4" x14ac:dyDescent="0.25">
      <c r="A781" s="17" t="s">
        <v>175</v>
      </c>
      <c r="B781" s="17" t="s">
        <v>78</v>
      </c>
      <c r="C781" s="35" t="s">
        <v>176</v>
      </c>
      <c r="D781" s="35" t="s">
        <v>346</v>
      </c>
      <c r="E781" s="153">
        <v>1341.627</v>
      </c>
      <c r="H781" s="43"/>
      <c r="I781" s="43"/>
      <c r="J781" s="43"/>
      <c r="K781" s="43"/>
      <c r="L781" s="43"/>
      <c r="M781" s="43"/>
      <c r="N781" s="43"/>
      <c r="O781" s="43"/>
      <c r="P781" s="43"/>
      <c r="Q781" s="43"/>
      <c r="R781" s="9"/>
      <c r="S781" s="9"/>
    </row>
    <row r="782" spans="1:19" ht="62.4" x14ac:dyDescent="0.25">
      <c r="A782" s="17" t="s">
        <v>177</v>
      </c>
      <c r="B782" s="17" t="s">
        <v>80</v>
      </c>
      <c r="C782" s="35" t="s">
        <v>81</v>
      </c>
      <c r="D782" s="35" t="s">
        <v>345</v>
      </c>
      <c r="E782" s="25">
        <f>5</f>
        <v>5</v>
      </c>
      <c r="H782" s="43"/>
      <c r="I782" s="43"/>
      <c r="J782" s="43"/>
      <c r="K782" s="43"/>
      <c r="L782" s="43"/>
      <c r="M782" s="43"/>
      <c r="N782" s="43"/>
      <c r="O782" s="43"/>
      <c r="P782" s="43"/>
      <c r="Q782" s="43"/>
      <c r="R782" s="9"/>
      <c r="S782" s="9"/>
    </row>
    <row r="783" spans="1:19" ht="202.8" x14ac:dyDescent="0.25">
      <c r="A783" s="17" t="s">
        <v>178</v>
      </c>
      <c r="B783" s="17" t="s">
        <v>82</v>
      </c>
      <c r="C783" s="35" t="s">
        <v>179</v>
      </c>
      <c r="D783" s="35" t="s">
        <v>367</v>
      </c>
      <c r="E783" s="25">
        <v>73.8</v>
      </c>
      <c r="H783" s="43"/>
      <c r="I783" s="43"/>
      <c r="J783" s="43"/>
      <c r="K783" s="43"/>
      <c r="L783" s="43"/>
      <c r="M783" s="43"/>
      <c r="N783" s="43"/>
      <c r="O783" s="43"/>
      <c r="P783" s="43"/>
      <c r="Q783" s="43"/>
      <c r="R783" s="9"/>
      <c r="S783" s="9"/>
    </row>
    <row r="784" spans="1:19" ht="156" x14ac:dyDescent="0.25">
      <c r="A784" s="17" t="s">
        <v>180</v>
      </c>
      <c r="B784" s="17" t="s">
        <v>84</v>
      </c>
      <c r="C784" s="35" t="s">
        <v>85</v>
      </c>
      <c r="D784" s="35" t="s">
        <v>365</v>
      </c>
      <c r="E784" s="25">
        <f>25.1/100</f>
        <v>0.251</v>
      </c>
      <c r="H784" s="43"/>
      <c r="I784" s="43"/>
      <c r="J784" s="43"/>
      <c r="K784" s="43"/>
      <c r="L784" s="43"/>
      <c r="M784" s="43"/>
      <c r="N784" s="43"/>
      <c r="O784" s="43"/>
      <c r="P784" s="43"/>
      <c r="Q784" s="43"/>
      <c r="R784" s="9"/>
      <c r="S784" s="9"/>
    </row>
    <row r="785" spans="1:133" ht="62.4" x14ac:dyDescent="0.25">
      <c r="A785" s="17" t="s">
        <v>86</v>
      </c>
      <c r="B785" s="17" t="s">
        <v>87</v>
      </c>
      <c r="C785" s="35" t="s">
        <v>86</v>
      </c>
      <c r="D785" s="35" t="s">
        <v>215</v>
      </c>
      <c r="E785" s="25">
        <f>0.84/1000</f>
        <v>8.3999999999999993E-4</v>
      </c>
      <c r="H785" s="43"/>
      <c r="I785" s="43"/>
      <c r="J785" s="43"/>
      <c r="K785" s="43"/>
      <c r="L785" s="43"/>
      <c r="M785" s="43"/>
      <c r="N785" s="43"/>
      <c r="O785" s="43"/>
      <c r="P785" s="43"/>
      <c r="Q785" s="43"/>
      <c r="R785" s="9"/>
      <c r="S785" s="9"/>
    </row>
    <row r="786" spans="1:133" ht="124.8" x14ac:dyDescent="0.25">
      <c r="A786" s="17" t="s">
        <v>181</v>
      </c>
      <c r="B786" s="17" t="s">
        <v>88</v>
      </c>
      <c r="C786" s="35" t="s">
        <v>89</v>
      </c>
      <c r="D786" s="35" t="s">
        <v>360</v>
      </c>
      <c r="E786" s="25">
        <f>43.33/1000</f>
        <v>4.333E-2</v>
      </c>
      <c r="H786" s="43"/>
      <c r="I786" s="43"/>
      <c r="J786" s="43"/>
      <c r="K786" s="43"/>
      <c r="L786" s="43"/>
      <c r="M786" s="43"/>
      <c r="N786" s="43"/>
      <c r="O786" s="43"/>
      <c r="P786" s="43"/>
      <c r="Q786" s="43"/>
      <c r="R786" s="9"/>
      <c r="S786" s="9"/>
    </row>
    <row r="787" spans="1:133" ht="33.6" x14ac:dyDescent="0.25">
      <c r="A787" s="17" t="s">
        <v>182</v>
      </c>
      <c r="B787" s="17" t="s">
        <v>90</v>
      </c>
      <c r="C787" s="35" t="s">
        <v>91</v>
      </c>
      <c r="D787" s="35" t="s">
        <v>92</v>
      </c>
      <c r="E787" s="25">
        <v>74.099999999999994</v>
      </c>
      <c r="H787" s="43"/>
      <c r="I787" s="43"/>
      <c r="J787" s="43"/>
      <c r="K787" s="43"/>
      <c r="L787" s="43"/>
      <c r="M787" s="43"/>
      <c r="N787" s="43"/>
      <c r="O787" s="43"/>
      <c r="P787" s="43"/>
      <c r="Q787" s="43"/>
      <c r="R787" s="9"/>
      <c r="S787" s="9"/>
    </row>
    <row r="789" spans="1:133" x14ac:dyDescent="0.25">
      <c r="A789" s="33" t="s">
        <v>8</v>
      </c>
      <c r="B789" s="33" t="s">
        <v>9</v>
      </c>
      <c r="C789" s="34" t="s">
        <v>10</v>
      </c>
      <c r="D789" s="34" t="s">
        <v>340</v>
      </c>
      <c r="E789" s="16" t="s">
        <v>65</v>
      </c>
    </row>
    <row r="790" spans="1:133" ht="18" x14ac:dyDescent="0.25">
      <c r="A790" s="15" t="s">
        <v>183</v>
      </c>
      <c r="B790" s="17" t="s">
        <v>103</v>
      </c>
      <c r="C790" s="35" t="s">
        <v>184</v>
      </c>
      <c r="D790" s="53" t="s">
        <v>393</v>
      </c>
      <c r="E790" s="18">
        <f>ROUNDUP(E739+E763+E767+E771+E779,0)</f>
        <v>542</v>
      </c>
    </row>
    <row r="791" spans="1:133" s="200" customFormat="1" ht="43.2" customHeight="1" x14ac:dyDescent="0.25">
      <c r="A791" s="197" t="s">
        <v>256</v>
      </c>
      <c r="B791" s="198"/>
      <c r="C791" s="198"/>
      <c r="D791" s="198"/>
      <c r="E791" s="198"/>
      <c r="F791" s="198"/>
      <c r="G791" s="198"/>
      <c r="H791" s="198"/>
      <c r="I791" s="198"/>
      <c r="J791" s="198"/>
      <c r="K791" s="198"/>
      <c r="L791" s="198"/>
      <c r="M791" s="198"/>
      <c r="N791" s="198"/>
      <c r="O791" s="198"/>
      <c r="P791" s="198"/>
      <c r="Q791" s="198"/>
      <c r="R791" s="198"/>
      <c r="S791" s="198"/>
      <c r="T791" s="198"/>
      <c r="U791" s="198"/>
      <c r="V791" s="198"/>
      <c r="W791" s="198"/>
      <c r="X791" s="198"/>
      <c r="Y791" s="198"/>
      <c r="Z791" s="198"/>
      <c r="AA791" s="198"/>
      <c r="AB791" s="198"/>
      <c r="AC791" s="198"/>
      <c r="AD791" s="198"/>
      <c r="AE791" s="198"/>
      <c r="AF791" s="198"/>
      <c r="AG791" s="198"/>
      <c r="AH791" s="198"/>
      <c r="AI791" s="198"/>
      <c r="AJ791" s="198"/>
      <c r="AK791" s="198"/>
      <c r="AL791" s="198"/>
      <c r="AM791" s="198"/>
      <c r="AN791" s="198"/>
      <c r="AO791" s="198"/>
      <c r="AP791" s="198"/>
      <c r="AQ791" s="198"/>
      <c r="AR791" s="198"/>
      <c r="AS791" s="198"/>
      <c r="AT791" s="198"/>
      <c r="AU791" s="198"/>
      <c r="AV791" s="198"/>
      <c r="AW791" s="198"/>
      <c r="AX791" s="198"/>
      <c r="AY791" s="198"/>
      <c r="AZ791" s="198"/>
      <c r="BA791" s="198"/>
      <c r="BB791" s="198"/>
      <c r="BC791" s="198"/>
      <c r="BD791" s="198"/>
      <c r="BE791" s="198"/>
      <c r="BF791" s="198"/>
      <c r="BG791" s="198"/>
      <c r="BH791" s="198"/>
      <c r="BI791" s="198"/>
      <c r="BJ791" s="198"/>
      <c r="BK791" s="198"/>
      <c r="BL791" s="198"/>
      <c r="BM791" s="198"/>
      <c r="BN791" s="198"/>
      <c r="BO791" s="198"/>
      <c r="BP791" s="198"/>
      <c r="BQ791" s="198"/>
      <c r="BR791" s="198"/>
      <c r="BS791" s="198"/>
      <c r="BT791" s="198"/>
      <c r="BU791" s="198"/>
      <c r="BV791" s="198"/>
      <c r="BW791" s="198"/>
      <c r="BX791" s="198"/>
      <c r="BY791" s="198"/>
      <c r="BZ791" s="198"/>
      <c r="CA791" s="198"/>
      <c r="CB791" s="198"/>
      <c r="CC791" s="198"/>
      <c r="CD791" s="198"/>
      <c r="CE791" s="198"/>
      <c r="CF791" s="198"/>
      <c r="CG791" s="198"/>
      <c r="CH791" s="198"/>
      <c r="CI791" s="198"/>
      <c r="CJ791" s="198"/>
      <c r="CK791" s="198"/>
      <c r="CL791" s="198"/>
      <c r="CM791" s="198"/>
      <c r="CN791" s="198"/>
      <c r="CO791" s="198"/>
      <c r="CP791" s="198"/>
      <c r="CQ791" s="198"/>
      <c r="CR791" s="198"/>
      <c r="CS791" s="198"/>
      <c r="CT791" s="198"/>
      <c r="CU791" s="198"/>
      <c r="CV791" s="198"/>
      <c r="CW791" s="198"/>
      <c r="CX791" s="198"/>
      <c r="CY791" s="198"/>
      <c r="CZ791" s="198"/>
      <c r="DA791" s="198"/>
      <c r="DB791" s="198"/>
      <c r="DC791" s="198"/>
      <c r="DD791" s="198"/>
      <c r="DE791" s="198"/>
      <c r="DF791" s="198"/>
      <c r="DG791" s="198"/>
      <c r="DH791" s="198"/>
      <c r="DI791" s="198"/>
      <c r="DJ791" s="198"/>
      <c r="DK791" s="198"/>
      <c r="DL791" s="198"/>
      <c r="DM791" s="198"/>
      <c r="DN791" s="198"/>
      <c r="DO791" s="198"/>
      <c r="DP791" s="198"/>
      <c r="DQ791" s="198"/>
      <c r="DR791" s="198"/>
      <c r="DS791" s="198"/>
      <c r="DT791" s="198"/>
      <c r="DU791" s="198"/>
      <c r="DV791" s="198"/>
      <c r="DW791" s="198"/>
      <c r="DX791" s="198"/>
      <c r="DY791" s="198"/>
      <c r="DZ791" s="198"/>
      <c r="EA791" s="198"/>
      <c r="EB791" s="198"/>
      <c r="EC791" s="199"/>
    </row>
    <row r="792" spans="1:133" ht="23.4" customHeight="1" x14ac:dyDescent="0.25">
      <c r="A792" s="201" t="s">
        <v>105</v>
      </c>
      <c r="B792" s="201"/>
      <c r="C792" s="201"/>
      <c r="D792" s="201"/>
      <c r="E792" s="201"/>
      <c r="F792" s="201"/>
      <c r="G792" s="201"/>
      <c r="H792" s="201"/>
      <c r="I792" s="201"/>
      <c r="J792" s="201"/>
      <c r="K792" s="201"/>
      <c r="L792" s="201"/>
      <c r="M792" s="201"/>
      <c r="N792" s="201"/>
      <c r="O792" s="201"/>
      <c r="P792" s="201"/>
      <c r="Q792" s="202"/>
    </row>
    <row r="793" spans="1:133" s="10" customFormat="1" ht="31.2" x14ac:dyDescent="0.25">
      <c r="A793" s="15" t="s">
        <v>8</v>
      </c>
      <c r="B793" s="15" t="s">
        <v>9</v>
      </c>
      <c r="C793" s="15" t="s">
        <v>10</v>
      </c>
      <c r="D793" s="15" t="s">
        <v>340</v>
      </c>
      <c r="E793" s="16" t="s">
        <v>11</v>
      </c>
      <c r="F793" s="16" t="s">
        <v>292</v>
      </c>
      <c r="G793" s="16" t="s">
        <v>292</v>
      </c>
      <c r="H793" s="16" t="s">
        <v>292</v>
      </c>
      <c r="I793" s="16" t="s">
        <v>292</v>
      </c>
      <c r="J793" s="16" t="s">
        <v>292</v>
      </c>
      <c r="K793" s="16" t="s">
        <v>292</v>
      </c>
      <c r="L793" s="16" t="s">
        <v>292</v>
      </c>
      <c r="M793" s="16" t="s">
        <v>292</v>
      </c>
      <c r="N793" s="16" t="s">
        <v>310</v>
      </c>
      <c r="O793" s="16" t="s">
        <v>293</v>
      </c>
      <c r="P793" s="16" t="s">
        <v>294</v>
      </c>
      <c r="Q793" s="16" t="s">
        <v>295</v>
      </c>
      <c r="R793" s="54"/>
      <c r="S793" s="54"/>
    </row>
    <row r="794" spans="1:133" s="10" customFormat="1" x14ac:dyDescent="0.25">
      <c r="A794" s="203" t="s">
        <v>106</v>
      </c>
      <c r="B794" s="203"/>
      <c r="C794" s="203"/>
      <c r="D794" s="203"/>
      <c r="E794" s="204"/>
      <c r="F794" s="16" t="s">
        <v>297</v>
      </c>
      <c r="G794" s="16" t="s">
        <v>297</v>
      </c>
      <c r="H794" s="16" t="s">
        <v>297</v>
      </c>
      <c r="I794" s="16" t="s">
        <v>297</v>
      </c>
      <c r="J794" s="16" t="s">
        <v>297</v>
      </c>
      <c r="K794" s="16" t="s">
        <v>297</v>
      </c>
      <c r="L794" s="16" t="s">
        <v>297</v>
      </c>
      <c r="M794" s="16" t="s">
        <v>297</v>
      </c>
      <c r="N794" s="16">
        <v>11</v>
      </c>
      <c r="O794" s="16">
        <v>31</v>
      </c>
      <c r="P794" s="16">
        <v>30</v>
      </c>
      <c r="Q794" s="16">
        <v>31</v>
      </c>
      <c r="R794" s="54"/>
      <c r="S794" s="54"/>
    </row>
    <row r="795" spans="1:133" s="10" customFormat="1" ht="31.2" x14ac:dyDescent="0.25">
      <c r="A795" s="15" t="s">
        <v>107</v>
      </c>
      <c r="B795" s="17" t="s">
        <v>103</v>
      </c>
      <c r="C795" s="17" t="s">
        <v>108</v>
      </c>
      <c r="D795" s="17" t="s">
        <v>381</v>
      </c>
      <c r="E795" s="18">
        <f>E796+E806</f>
        <v>0</v>
      </c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54"/>
      <c r="S795" s="54"/>
    </row>
    <row r="796" spans="1:133" ht="46.8" x14ac:dyDescent="0.25">
      <c r="A796" s="17" t="s">
        <v>109</v>
      </c>
      <c r="B796" s="17" t="s">
        <v>103</v>
      </c>
      <c r="C796" s="17" t="s">
        <v>110</v>
      </c>
      <c r="D796" s="17" t="s">
        <v>382</v>
      </c>
      <c r="E796" s="19">
        <f>SUM(F796:Q796)</f>
        <v>0</v>
      </c>
      <c r="F796" s="19" t="s">
        <v>297</v>
      </c>
      <c r="G796" s="19" t="s">
        <v>297</v>
      </c>
      <c r="H796" s="19" t="s">
        <v>297</v>
      </c>
      <c r="I796" s="19" t="s">
        <v>297</v>
      </c>
      <c r="J796" s="19" t="s">
        <v>297</v>
      </c>
      <c r="K796" s="19" t="s">
        <v>297</v>
      </c>
      <c r="L796" s="19" t="s">
        <v>297</v>
      </c>
      <c r="M796" s="19" t="s">
        <v>297</v>
      </c>
      <c r="N796" s="19">
        <f t="shared" ref="N796:Q796" si="96">IF(N797&gt;=0.8,0,$E$15*$E$16*0.4*(N798-N801)*N794)</f>
        <v>0</v>
      </c>
      <c r="O796" s="19">
        <f t="shared" si="96"/>
        <v>0</v>
      </c>
      <c r="P796" s="19">
        <f t="shared" si="96"/>
        <v>0</v>
      </c>
      <c r="Q796" s="19">
        <f t="shared" si="96"/>
        <v>0</v>
      </c>
    </row>
    <row r="797" spans="1:133" ht="62.4" x14ac:dyDescent="0.25">
      <c r="A797" s="17" t="s">
        <v>111</v>
      </c>
      <c r="B797" s="17" t="s">
        <v>37</v>
      </c>
      <c r="C797" s="17" t="s">
        <v>112</v>
      </c>
      <c r="D797" s="17" t="s">
        <v>383</v>
      </c>
      <c r="E797" s="20">
        <f>AVERAGE(N797:Q797)</f>
        <v>0.96161481906490787</v>
      </c>
      <c r="F797" s="20" t="s">
        <v>297</v>
      </c>
      <c r="G797" s="20" t="s">
        <v>297</v>
      </c>
      <c r="H797" s="20" t="s">
        <v>297</v>
      </c>
      <c r="I797" s="20" t="s">
        <v>297</v>
      </c>
      <c r="J797" s="20" t="s">
        <v>297</v>
      </c>
      <c r="K797" s="20" t="s">
        <v>297</v>
      </c>
      <c r="L797" s="20" t="s">
        <v>297</v>
      </c>
      <c r="M797" s="20" t="s">
        <v>297</v>
      </c>
      <c r="N797" s="20">
        <f t="shared" ref="N797:Q797" si="97">(N798-N801)/N798</f>
        <v>0.9622396706138745</v>
      </c>
      <c r="O797" s="20">
        <f t="shared" si="97"/>
        <v>0.96220022086588264</v>
      </c>
      <c r="P797" s="20">
        <f t="shared" si="97"/>
        <v>0.96149394186841353</v>
      </c>
      <c r="Q797" s="20">
        <f t="shared" si="97"/>
        <v>0.96052544291146091</v>
      </c>
    </row>
    <row r="798" spans="1:133" ht="46.8" x14ac:dyDescent="0.25">
      <c r="A798" s="17" t="s">
        <v>113</v>
      </c>
      <c r="B798" s="17" t="s">
        <v>24</v>
      </c>
      <c r="C798" s="17" t="s">
        <v>114</v>
      </c>
      <c r="D798" s="17" t="s">
        <v>384</v>
      </c>
      <c r="E798" s="20">
        <f>SUM(N798:Q798)</f>
        <v>42.519963581306996</v>
      </c>
      <c r="F798" s="20" t="s">
        <v>297</v>
      </c>
      <c r="G798" s="20" t="s">
        <v>297</v>
      </c>
      <c r="H798" s="20" t="s">
        <v>297</v>
      </c>
      <c r="I798" s="20" t="s">
        <v>297</v>
      </c>
      <c r="J798" s="20" t="s">
        <v>297</v>
      </c>
      <c r="K798" s="20" t="s">
        <v>297</v>
      </c>
      <c r="L798" s="20" t="s">
        <v>297</v>
      </c>
      <c r="M798" s="20" t="s">
        <v>297</v>
      </c>
      <c r="N798" s="20">
        <f t="shared" ref="N798:Q798" si="98">N799*N800</f>
        <v>10.810982694901309</v>
      </c>
      <c r="O798" s="20">
        <f t="shared" si="98"/>
        <v>10.816594023058869</v>
      </c>
      <c r="P798" s="20">
        <f t="shared" si="98"/>
        <v>10.445875573354</v>
      </c>
      <c r="Q798" s="20">
        <f t="shared" si="98"/>
        <v>10.446511289992822</v>
      </c>
    </row>
    <row r="799" spans="1:133" ht="63" customHeight="1" x14ac:dyDescent="0.25">
      <c r="A799" s="17" t="s">
        <v>115</v>
      </c>
      <c r="B799" s="17" t="s">
        <v>116</v>
      </c>
      <c r="C799" s="17" t="s">
        <v>117</v>
      </c>
      <c r="D799" s="17" t="s">
        <v>336</v>
      </c>
      <c r="E799" s="129">
        <f>SUM(N799:Q799)</f>
        <v>82475.502451221895</v>
      </c>
      <c r="F799" s="21" t="s">
        <v>297</v>
      </c>
      <c r="G799" s="21" t="s">
        <v>297</v>
      </c>
      <c r="H799" s="21" t="s">
        <v>297</v>
      </c>
      <c r="I799" s="21" t="s">
        <v>297</v>
      </c>
      <c r="J799" s="21" t="s">
        <v>297</v>
      </c>
      <c r="K799" s="21" t="s">
        <v>297</v>
      </c>
      <c r="L799" s="21" t="s">
        <v>297</v>
      </c>
      <c r="M799" s="21" t="s">
        <v>297</v>
      </c>
      <c r="N799" s="129">
        <f>'Baseline Emissions 2020'!N773</f>
        <v>20975.938272727275</v>
      </c>
      <c r="O799" s="129">
        <f>'Baseline Emissions 2020'!O773</f>
        <v>20975.252999999997</v>
      </c>
      <c r="P799" s="129">
        <f>'Baseline Emissions 2020'!P773</f>
        <v>20259.846533333333</v>
      </c>
      <c r="Q799" s="129">
        <f>'Baseline Emissions 2020'!Q773</f>
        <v>20264.464645161293</v>
      </c>
    </row>
    <row r="800" spans="1:133" ht="46.8" x14ac:dyDescent="0.25">
      <c r="A800" s="17" t="s">
        <v>118</v>
      </c>
      <c r="B800" s="17" t="s">
        <v>119</v>
      </c>
      <c r="C800" s="17" t="s">
        <v>120</v>
      </c>
      <c r="D800" s="35" t="s">
        <v>338</v>
      </c>
      <c r="E800" s="120">
        <f>AVERAGE(N800:Q800)</f>
        <v>5.1554667888563041E-4</v>
      </c>
      <c r="F800" s="23" t="str">
        <f>'Baseline Emissions 2020'!F777</f>
        <v>—</v>
      </c>
      <c r="G800" s="23" t="str">
        <f>'Baseline Emissions 2020'!G777</f>
        <v>—</v>
      </c>
      <c r="H800" s="23" t="str">
        <f>'Baseline Emissions 2020'!H777</f>
        <v>—</v>
      </c>
      <c r="I800" s="23" t="str">
        <f>'Baseline Emissions 2020'!I777</f>
        <v>—</v>
      </c>
      <c r="J800" s="23" t="str">
        <f>'Baseline Emissions 2020'!J777</f>
        <v>—</v>
      </c>
      <c r="K800" s="23" t="str">
        <f>'Baseline Emissions 2020'!K777</f>
        <v>—</v>
      </c>
      <c r="L800" s="23" t="str">
        <f>'Baseline Emissions 2020'!L777</f>
        <v>—</v>
      </c>
      <c r="M800" s="23" t="str">
        <f>'Baseline Emissions 2020'!M777</f>
        <v>—</v>
      </c>
      <c r="N800" s="130">
        <f>'Baseline Emissions 2020'!N777</f>
        <v>5.153992424242424E-4</v>
      </c>
      <c r="O800" s="130">
        <f>'Baseline Emissions 2020'!O777</f>
        <v>5.1568360215053762E-4</v>
      </c>
      <c r="P800" s="130">
        <f>'Baseline Emissions 2020'!P777</f>
        <v>5.1559499999999999E-4</v>
      </c>
      <c r="Q800" s="130">
        <f>'Baseline Emissions 2020'!Q777</f>
        <v>5.1550887096774196E-4</v>
      </c>
    </row>
    <row r="801" spans="1:17" ht="46.8" x14ac:dyDescent="0.25">
      <c r="A801" s="17" t="s">
        <v>121</v>
      </c>
      <c r="B801" s="17" t="s">
        <v>24</v>
      </c>
      <c r="C801" s="17" t="s">
        <v>122</v>
      </c>
      <c r="D801" s="17" t="s">
        <v>384</v>
      </c>
      <c r="E801" s="20">
        <f>SUM(N801:Q801)</f>
        <v>1.631692030957993</v>
      </c>
      <c r="F801" s="20" t="s">
        <v>297</v>
      </c>
      <c r="G801" s="20" t="s">
        <v>297</v>
      </c>
      <c r="H801" s="20" t="s">
        <v>297</v>
      </c>
      <c r="I801" s="20" t="s">
        <v>297</v>
      </c>
      <c r="J801" s="20" t="s">
        <v>297</v>
      </c>
      <c r="K801" s="20" t="s">
        <v>297</v>
      </c>
      <c r="L801" s="20" t="s">
        <v>297</v>
      </c>
      <c r="M801" s="20" t="s">
        <v>297</v>
      </c>
      <c r="N801" s="20">
        <f t="shared" ref="N801:Q801" si="99">SUM(N802*N803)</f>
        <v>0.40822626754717639</v>
      </c>
      <c r="O801" s="20">
        <f t="shared" si="99"/>
        <v>0.40886486505503827</v>
      </c>
      <c r="P801" s="20">
        <f t="shared" si="99"/>
        <v>0.40222949206288894</v>
      </c>
      <c r="Q801" s="20">
        <f t="shared" si="99"/>
        <v>0.41237140629288932</v>
      </c>
    </row>
    <row r="802" spans="1:17" ht="62.4" x14ac:dyDescent="0.25">
      <c r="A802" s="17" t="s">
        <v>123</v>
      </c>
      <c r="B802" s="17" t="s">
        <v>116</v>
      </c>
      <c r="C802" s="17" t="s">
        <v>124</v>
      </c>
      <c r="D802" s="17" t="s">
        <v>337</v>
      </c>
      <c r="E802" s="129">
        <f>SUM(N802:Q802)</f>
        <v>81181.080819941359</v>
      </c>
      <c r="F802" s="21" t="s">
        <v>297</v>
      </c>
      <c r="G802" s="21" t="s">
        <v>297</v>
      </c>
      <c r="H802" s="21" t="s">
        <v>297</v>
      </c>
      <c r="I802" s="21" t="s">
        <v>297</v>
      </c>
      <c r="J802" s="21" t="s">
        <v>297</v>
      </c>
      <c r="K802" s="21" t="s">
        <v>297</v>
      </c>
      <c r="L802" s="21" t="s">
        <v>297</v>
      </c>
      <c r="M802" s="21" t="s">
        <v>297</v>
      </c>
      <c r="N802" s="129">
        <v>20649.882090909094</v>
      </c>
      <c r="O802" s="129">
        <v>20651.703322580648</v>
      </c>
      <c r="P802" s="129">
        <v>19940.045600000001</v>
      </c>
      <c r="Q802" s="129">
        <v>19939.449806451616</v>
      </c>
    </row>
    <row r="803" spans="1:17" ht="46.8" x14ac:dyDescent="0.25">
      <c r="A803" s="17" t="s">
        <v>125</v>
      </c>
      <c r="B803" s="17" t="s">
        <v>119</v>
      </c>
      <c r="C803" s="17" t="s">
        <v>126</v>
      </c>
      <c r="D803" s="35" t="s">
        <v>339</v>
      </c>
      <c r="E803" s="131">
        <f>AVERAGE(N803:Q803)</f>
        <v>2.0105046228413165E-5</v>
      </c>
      <c r="F803" s="24" t="str">
        <f>'Baseline Emissions 2020'!F778</f>
        <v>—</v>
      </c>
      <c r="G803" s="24" t="str">
        <f>'Baseline Emissions 2020'!G778</f>
        <v>—</v>
      </c>
      <c r="H803" s="24" t="str">
        <f>'Baseline Emissions 2020'!H778</f>
        <v>—</v>
      </c>
      <c r="I803" s="24" t="str">
        <f>'Baseline Emissions 2020'!I778</f>
        <v>—</v>
      </c>
      <c r="J803" s="24" t="str">
        <f>'Baseline Emissions 2020'!J778</f>
        <v>—</v>
      </c>
      <c r="K803" s="24" t="str">
        <f>'Baseline Emissions 2020'!K778</f>
        <v>—</v>
      </c>
      <c r="L803" s="24" t="str">
        <f>'Baseline Emissions 2020'!L778</f>
        <v>—</v>
      </c>
      <c r="M803" s="24" t="str">
        <f>'Baseline Emissions 2020'!M778</f>
        <v>—</v>
      </c>
      <c r="N803" s="131">
        <f>'Baseline Emissions 2020'!N778</f>
        <v>1.9768939393939394E-5</v>
      </c>
      <c r="O803" s="131">
        <f>'Baseline Emissions 2020'!O778</f>
        <v>1.9798118279569894E-5</v>
      </c>
      <c r="P803" s="131">
        <f>'Baseline Emissions 2020'!P778</f>
        <v>2.0171944444444445E-5</v>
      </c>
      <c r="Q803" s="131">
        <f>'Baseline Emissions 2020'!Q778</f>
        <v>2.0681182795698921E-5</v>
      </c>
    </row>
    <row r="804" spans="1:17" ht="31.2" x14ac:dyDescent="0.25">
      <c r="A804" s="17" t="s">
        <v>127</v>
      </c>
      <c r="B804" s="17" t="s">
        <v>128</v>
      </c>
      <c r="C804" s="17" t="s">
        <v>17</v>
      </c>
      <c r="D804" s="17" t="s">
        <v>129</v>
      </c>
      <c r="E804" s="176">
        <v>28</v>
      </c>
      <c r="F804" s="176"/>
      <c r="G804" s="176"/>
      <c r="H804" s="176"/>
      <c r="I804" s="176"/>
      <c r="J804" s="176"/>
      <c r="K804" s="176"/>
      <c r="L804" s="176"/>
      <c r="M804" s="176"/>
      <c r="N804" s="176"/>
      <c r="O804" s="176"/>
      <c r="P804" s="176"/>
      <c r="Q804" s="176"/>
    </row>
    <row r="805" spans="1:17" ht="64.8" x14ac:dyDescent="0.25">
      <c r="A805" s="17" t="s">
        <v>130</v>
      </c>
      <c r="B805" s="17" t="s">
        <v>19</v>
      </c>
      <c r="C805" s="17" t="s">
        <v>131</v>
      </c>
      <c r="D805" s="17" t="s">
        <v>394</v>
      </c>
      <c r="E805" s="176">
        <v>0.21</v>
      </c>
      <c r="F805" s="176"/>
      <c r="G805" s="176"/>
      <c r="H805" s="176"/>
      <c r="I805" s="176"/>
      <c r="J805" s="176"/>
      <c r="K805" s="176"/>
      <c r="L805" s="176"/>
      <c r="M805" s="176"/>
      <c r="N805" s="176"/>
      <c r="O805" s="176"/>
      <c r="P805" s="176"/>
      <c r="Q805" s="176"/>
    </row>
    <row r="806" spans="1:17" ht="46.8" x14ac:dyDescent="0.25">
      <c r="A806" s="17" t="s">
        <v>132</v>
      </c>
      <c r="B806" s="17" t="s">
        <v>103</v>
      </c>
      <c r="C806" s="17" t="s">
        <v>133</v>
      </c>
      <c r="D806" s="17" t="s">
        <v>385</v>
      </c>
      <c r="E806" s="19">
        <f>SUM(F806:Q806)</f>
        <v>0</v>
      </c>
      <c r="F806" s="19" t="s">
        <v>297</v>
      </c>
      <c r="G806" s="19" t="s">
        <v>297</v>
      </c>
      <c r="H806" s="19" t="s">
        <v>297</v>
      </c>
      <c r="I806" s="19" t="s">
        <v>297</v>
      </c>
      <c r="J806" s="19" t="s">
        <v>297</v>
      </c>
      <c r="K806" s="19" t="s">
        <v>297</v>
      </c>
      <c r="L806" s="19" t="s">
        <v>297</v>
      </c>
      <c r="M806" s="19" t="s">
        <v>297</v>
      </c>
      <c r="N806" s="19">
        <f t="shared" ref="N806:Q806" si="100">$E$15*$E$16*N807*N801*N794</f>
        <v>0</v>
      </c>
      <c r="O806" s="19">
        <f t="shared" si="100"/>
        <v>0</v>
      </c>
      <c r="P806" s="19">
        <f t="shared" si="100"/>
        <v>0</v>
      </c>
      <c r="Q806" s="19">
        <f t="shared" si="100"/>
        <v>0</v>
      </c>
    </row>
    <row r="807" spans="1:17" ht="18" x14ac:dyDescent="0.25">
      <c r="A807" s="17" t="s">
        <v>134</v>
      </c>
      <c r="B807" s="17" t="s">
        <v>37</v>
      </c>
      <c r="C807" s="17" t="s">
        <v>135</v>
      </c>
      <c r="D807" s="17" t="s">
        <v>386</v>
      </c>
      <c r="E807" s="26">
        <f>AVERAGE(F807:Q807)</f>
        <v>0</v>
      </c>
      <c r="F807" s="26" t="s">
        <v>297</v>
      </c>
      <c r="G807" s="26" t="s">
        <v>297</v>
      </c>
      <c r="H807" s="26" t="s">
        <v>297</v>
      </c>
      <c r="I807" s="26" t="s">
        <v>297</v>
      </c>
      <c r="J807" s="26" t="s">
        <v>297</v>
      </c>
      <c r="K807" s="26" t="s">
        <v>297</v>
      </c>
      <c r="L807" s="26" t="s">
        <v>297</v>
      </c>
      <c r="M807" s="26" t="s">
        <v>297</v>
      </c>
      <c r="N807" s="26">
        <f>N808*$E$809*0.89</f>
        <v>0</v>
      </c>
      <c r="O807" s="26">
        <f t="shared" ref="O807:Q807" si="101">O808*$E$809*0.89</f>
        <v>0</v>
      </c>
      <c r="P807" s="26">
        <f t="shared" si="101"/>
        <v>0</v>
      </c>
      <c r="Q807" s="26">
        <f t="shared" si="101"/>
        <v>0</v>
      </c>
    </row>
    <row r="808" spans="1:17" ht="31.2" x14ac:dyDescent="0.25">
      <c r="A808" s="17" t="s">
        <v>136</v>
      </c>
      <c r="B808" s="17" t="s">
        <v>37</v>
      </c>
      <c r="C808" s="17" t="s">
        <v>46</v>
      </c>
      <c r="D808" s="17" t="s">
        <v>387</v>
      </c>
      <c r="E808" s="25">
        <v>0</v>
      </c>
      <c r="F808" s="25" t="s">
        <v>297</v>
      </c>
      <c r="G808" s="25" t="s">
        <v>297</v>
      </c>
      <c r="H808" s="25" t="s">
        <v>297</v>
      </c>
      <c r="I808" s="25" t="s">
        <v>297</v>
      </c>
      <c r="J808" s="25" t="s">
        <v>297</v>
      </c>
      <c r="K808" s="25" t="s">
        <v>297</v>
      </c>
      <c r="L808" s="25" t="s">
        <v>297</v>
      </c>
      <c r="M808" s="25" t="s">
        <v>297</v>
      </c>
      <c r="N808" s="25">
        <v>0</v>
      </c>
      <c r="O808" s="25">
        <v>0</v>
      </c>
      <c r="P808" s="25">
        <v>0</v>
      </c>
      <c r="Q808" s="25">
        <v>0</v>
      </c>
    </row>
    <row r="809" spans="1:17" ht="31.2" x14ac:dyDescent="0.25">
      <c r="A809" s="17" t="s">
        <v>137</v>
      </c>
      <c r="B809" s="17" t="s">
        <v>201</v>
      </c>
      <c r="C809" s="17" t="s">
        <v>138</v>
      </c>
      <c r="D809" s="17" t="s">
        <v>388</v>
      </c>
      <c r="E809" s="196">
        <f>(N810*N815+O810*O815+P810*P815+Q810*Q815)/(N803*N802*N794+O802*O803*O794+P803*P802*P794+Q803*Q802*Q794)</f>
        <v>0.55285264176331061</v>
      </c>
      <c r="F809" s="196"/>
      <c r="G809" s="196"/>
      <c r="H809" s="196"/>
      <c r="I809" s="196"/>
      <c r="J809" s="196"/>
      <c r="K809" s="196"/>
      <c r="L809" s="196"/>
      <c r="M809" s="196"/>
      <c r="N809" s="196"/>
      <c r="O809" s="196"/>
      <c r="P809" s="196"/>
      <c r="Q809" s="196"/>
    </row>
    <row r="810" spans="1:17" ht="31.2" x14ac:dyDescent="0.25">
      <c r="A810" s="17" t="s">
        <v>139</v>
      </c>
      <c r="B810" s="17" t="s">
        <v>37</v>
      </c>
      <c r="C810" s="17" t="s">
        <v>140</v>
      </c>
      <c r="D810" s="17" t="s">
        <v>375</v>
      </c>
      <c r="E810" s="27">
        <f>AVERAGE(F810:Q810)</f>
        <v>0.60634569355483003</v>
      </c>
      <c r="F810" s="27" t="s">
        <v>297</v>
      </c>
      <c r="G810" s="27" t="s">
        <v>297</v>
      </c>
      <c r="H810" s="27" t="s">
        <v>297</v>
      </c>
      <c r="I810" s="27" t="s">
        <v>297</v>
      </c>
      <c r="J810" s="27" t="s">
        <v>297</v>
      </c>
      <c r="K810" s="27" t="s">
        <v>297</v>
      </c>
      <c r="L810" s="27" t="s">
        <v>297</v>
      </c>
      <c r="M810" s="27" t="s">
        <v>297</v>
      </c>
      <c r="N810" s="27">
        <f>IF(N814&lt;283,0,IF(N814&gt;303,1,EXP(($E$811*(N814-$E$812))/($E$813*$E$812*N814))))</f>
        <v>0.88152221926734242</v>
      </c>
      <c r="O810" s="27">
        <f t="shared" ref="O810:Q810" si="102">IF(O814&lt;283,0,IF(O814&gt;303,1,EXP(($E$811*(O814-$E$812))/($E$813*$E$812*O814))))</f>
        <v>0.65487347206548807</v>
      </c>
      <c r="P810" s="27">
        <f t="shared" si="102"/>
        <v>0.55084569341606926</v>
      </c>
      <c r="Q810" s="27">
        <f t="shared" si="102"/>
        <v>0.33814138947042022</v>
      </c>
    </row>
    <row r="811" spans="1:17" x14ac:dyDescent="0.25">
      <c r="A811" s="17" t="s">
        <v>51</v>
      </c>
      <c r="B811" s="17" t="s">
        <v>52</v>
      </c>
      <c r="C811" s="17" t="s">
        <v>53</v>
      </c>
      <c r="D811" s="17" t="s">
        <v>389</v>
      </c>
      <c r="E811" s="176">
        <v>15175</v>
      </c>
      <c r="F811" s="176"/>
      <c r="G811" s="176"/>
      <c r="H811" s="176"/>
      <c r="I811" s="176"/>
      <c r="J811" s="176"/>
      <c r="K811" s="176"/>
      <c r="L811" s="176"/>
      <c r="M811" s="176"/>
      <c r="N811" s="176"/>
      <c r="O811" s="176"/>
      <c r="P811" s="176"/>
      <c r="Q811" s="176"/>
    </row>
    <row r="812" spans="1:17" ht="18" x14ac:dyDescent="0.25">
      <c r="A812" s="17" t="s">
        <v>141</v>
      </c>
      <c r="B812" s="17" t="s">
        <v>55</v>
      </c>
      <c r="C812" s="17" t="s">
        <v>56</v>
      </c>
      <c r="D812" s="17" t="s">
        <v>389</v>
      </c>
      <c r="E812" s="176">
        <v>303.16000000000003</v>
      </c>
      <c r="F812" s="176"/>
      <c r="G812" s="176"/>
      <c r="H812" s="176"/>
      <c r="I812" s="176"/>
      <c r="J812" s="176"/>
      <c r="K812" s="176"/>
      <c r="L812" s="176"/>
      <c r="M812" s="176"/>
      <c r="N812" s="176"/>
      <c r="O812" s="176"/>
      <c r="P812" s="176"/>
      <c r="Q812" s="176"/>
    </row>
    <row r="813" spans="1:17" x14ac:dyDescent="0.25">
      <c r="A813" s="17" t="s">
        <v>57</v>
      </c>
      <c r="B813" s="17" t="s">
        <v>58</v>
      </c>
      <c r="C813" s="17" t="s">
        <v>59</v>
      </c>
      <c r="D813" s="17" t="s">
        <v>389</v>
      </c>
      <c r="E813" s="176">
        <v>1.9870000000000001</v>
      </c>
      <c r="F813" s="176"/>
      <c r="G813" s="176"/>
      <c r="H813" s="176"/>
      <c r="I813" s="176"/>
      <c r="J813" s="176"/>
      <c r="K813" s="176"/>
      <c r="L813" s="176"/>
      <c r="M813" s="176"/>
      <c r="N813" s="176"/>
      <c r="O813" s="176"/>
      <c r="P813" s="176"/>
      <c r="Q813" s="176"/>
    </row>
    <row r="814" spans="1:17" ht="18" x14ac:dyDescent="0.25">
      <c r="A814" s="17" t="s">
        <v>142</v>
      </c>
      <c r="B814" s="17" t="s">
        <v>55</v>
      </c>
      <c r="C814" s="17" t="s">
        <v>143</v>
      </c>
      <c r="D814" s="144" t="s">
        <v>363</v>
      </c>
      <c r="E814" s="28">
        <f>AVERAGE(F814:Q814)</f>
        <v>296.64999999999998</v>
      </c>
      <c r="F814" s="25" t="s">
        <v>297</v>
      </c>
      <c r="G814" s="25" t="s">
        <v>297</v>
      </c>
      <c r="H814" s="25" t="s">
        <v>297</v>
      </c>
      <c r="I814" s="25" t="s">
        <v>297</v>
      </c>
      <c r="J814" s="25" t="s">
        <v>297</v>
      </c>
      <c r="K814" s="25" t="s">
        <v>297</v>
      </c>
      <c r="L814" s="25" t="s">
        <v>297</v>
      </c>
      <c r="M814" s="25" t="s">
        <v>297</v>
      </c>
      <c r="N814" s="25">
        <v>301.64999999999998</v>
      </c>
      <c r="O814" s="25">
        <v>298.14999999999998</v>
      </c>
      <c r="P814" s="25">
        <v>296.14999999999998</v>
      </c>
      <c r="Q814" s="25">
        <v>290.64999999999998</v>
      </c>
    </row>
    <row r="815" spans="1:17" ht="46.8" x14ac:dyDescent="0.25">
      <c r="A815" s="17" t="s">
        <v>144</v>
      </c>
      <c r="B815" s="17" t="s">
        <v>24</v>
      </c>
      <c r="C815" s="17" t="s">
        <v>145</v>
      </c>
      <c r="D815" s="17" t="s">
        <v>390</v>
      </c>
      <c r="E815" s="29">
        <f>SUM(F815:Q815)</f>
        <v>42.015698116691361</v>
      </c>
      <c r="F815" s="29" t="s">
        <v>297</v>
      </c>
      <c r="G815" s="29" t="s">
        <v>297</v>
      </c>
      <c r="H815" s="29" t="s">
        <v>297</v>
      </c>
      <c r="I815" s="29" t="s">
        <v>297</v>
      </c>
      <c r="J815" s="29" t="s">
        <v>297</v>
      </c>
      <c r="K815" s="29" t="s">
        <v>297</v>
      </c>
      <c r="L815" s="29" t="s">
        <v>297</v>
      </c>
      <c r="M815" s="29" t="s">
        <v>297</v>
      </c>
      <c r="N815" s="29">
        <f>N802*N803*'Project Emissions 2020'!N794+(1-N810)*0</f>
        <v>4.4904889430189403</v>
      </c>
      <c r="O815" s="29">
        <f>O802*O803*'Project Emissions 2020'!O794+(1-O810)*0</f>
        <v>12.674810816706186</v>
      </c>
      <c r="P815" s="29">
        <f>P802*P803*'Project Emissions 2020'!P794+(1-P810)*0</f>
        <v>12.066884761886667</v>
      </c>
      <c r="Q815" s="29">
        <f>Q802*Q803*'Project Emissions 2020'!Q794+(1-Q810)*0</f>
        <v>12.783513595079569</v>
      </c>
    </row>
    <row r="816" spans="1:17" x14ac:dyDescent="0.3">
      <c r="A816" s="30"/>
      <c r="E816" s="31"/>
      <c r="F816" s="31"/>
      <c r="G816" s="31"/>
      <c r="H816" s="31"/>
      <c r="I816" s="31"/>
      <c r="J816" s="31"/>
      <c r="K816" s="31"/>
      <c r="L816" s="31"/>
      <c r="M816" s="31"/>
      <c r="N816" s="31"/>
      <c r="O816" s="31"/>
      <c r="P816" s="31"/>
      <c r="Q816" s="31"/>
    </row>
    <row r="817" spans="1:19" x14ac:dyDescent="0.25">
      <c r="A817" s="174" t="s">
        <v>146</v>
      </c>
      <c r="B817" s="174"/>
      <c r="C817" s="175"/>
      <c r="D817" s="175"/>
      <c r="E817" s="195"/>
      <c r="F817" s="32"/>
      <c r="G817" s="32"/>
      <c r="H817" s="32"/>
      <c r="I817" s="32"/>
      <c r="J817" s="32"/>
      <c r="K817" s="32"/>
      <c r="L817" s="32"/>
      <c r="M817" s="32"/>
      <c r="N817" s="32"/>
      <c r="O817" s="32"/>
      <c r="P817" s="32"/>
      <c r="Q817" s="32"/>
    </row>
    <row r="818" spans="1:19" x14ac:dyDescent="0.25">
      <c r="A818" s="33" t="s">
        <v>8</v>
      </c>
      <c r="B818" s="33" t="s">
        <v>9</v>
      </c>
      <c r="C818" s="34" t="s">
        <v>10</v>
      </c>
      <c r="D818" s="34" t="s">
        <v>340</v>
      </c>
      <c r="E818" s="16" t="s">
        <v>65</v>
      </c>
      <c r="F818" s="32"/>
      <c r="G818" s="32"/>
      <c r="H818" s="32"/>
      <c r="I818" s="32"/>
      <c r="J818" s="32"/>
      <c r="K818" s="32"/>
      <c r="L818" s="32"/>
      <c r="M818" s="32"/>
      <c r="N818" s="32"/>
      <c r="O818" s="32"/>
      <c r="P818" s="32"/>
      <c r="Q818" s="32"/>
    </row>
    <row r="819" spans="1:19" ht="46.8" x14ac:dyDescent="0.25">
      <c r="A819" s="15" t="s">
        <v>147</v>
      </c>
      <c r="B819" s="17" t="s">
        <v>95</v>
      </c>
      <c r="C819" s="35" t="s">
        <v>148</v>
      </c>
      <c r="D819" s="35" t="s">
        <v>68</v>
      </c>
      <c r="E819" s="16">
        <v>0</v>
      </c>
      <c r="F819" s="32"/>
      <c r="G819" s="32"/>
      <c r="H819" s="32"/>
      <c r="I819" s="32"/>
      <c r="J819" s="32"/>
      <c r="K819" s="32"/>
      <c r="L819" s="32"/>
      <c r="M819" s="32"/>
      <c r="N819" s="32"/>
      <c r="O819" s="32"/>
      <c r="P819" s="32"/>
      <c r="Q819" s="32"/>
    </row>
    <row r="820" spans="1:19" x14ac:dyDescent="0.25">
      <c r="A820" s="36"/>
      <c r="B820" s="36"/>
      <c r="C820" s="37"/>
      <c r="D820" s="37"/>
      <c r="E820" s="32"/>
      <c r="F820" s="32"/>
      <c r="G820" s="32"/>
      <c r="H820" s="32"/>
      <c r="I820" s="32"/>
      <c r="J820" s="32"/>
      <c r="K820" s="32"/>
      <c r="L820" s="32"/>
      <c r="M820" s="32"/>
      <c r="N820" s="32"/>
      <c r="O820" s="32"/>
      <c r="P820" s="32"/>
      <c r="Q820" s="32"/>
    </row>
    <row r="821" spans="1:19" x14ac:dyDescent="0.25">
      <c r="A821" s="174" t="s">
        <v>149</v>
      </c>
      <c r="B821" s="174"/>
      <c r="C821" s="175"/>
      <c r="D821" s="175"/>
      <c r="E821" s="195"/>
      <c r="F821" s="32"/>
      <c r="G821" s="32"/>
      <c r="H821" s="32"/>
      <c r="I821" s="32"/>
      <c r="J821" s="32"/>
      <c r="K821" s="32"/>
      <c r="L821" s="32"/>
      <c r="M821" s="32"/>
      <c r="N821" s="32"/>
      <c r="O821" s="32"/>
      <c r="P821" s="32"/>
      <c r="Q821" s="32"/>
    </row>
    <row r="822" spans="1:19" x14ac:dyDescent="0.25">
      <c r="A822" s="33" t="s">
        <v>8</v>
      </c>
      <c r="B822" s="33" t="s">
        <v>9</v>
      </c>
      <c r="C822" s="34" t="s">
        <v>10</v>
      </c>
      <c r="D822" s="34" t="s">
        <v>340</v>
      </c>
      <c r="E822" s="16" t="s">
        <v>65</v>
      </c>
      <c r="F822" s="32"/>
      <c r="G822" s="32"/>
      <c r="H822" s="32"/>
      <c r="I822" s="32"/>
      <c r="J822" s="32"/>
      <c r="K822" s="32"/>
      <c r="L822" s="32"/>
      <c r="M822" s="32"/>
      <c r="N822" s="32"/>
      <c r="O822" s="32"/>
      <c r="P822" s="32"/>
      <c r="Q822" s="32"/>
    </row>
    <row r="823" spans="1:19" ht="46.8" x14ac:dyDescent="0.25">
      <c r="A823" s="15" t="s">
        <v>150</v>
      </c>
      <c r="B823" s="17" t="s">
        <v>95</v>
      </c>
      <c r="C823" s="35" t="s">
        <v>151</v>
      </c>
      <c r="D823" s="35" t="s">
        <v>68</v>
      </c>
      <c r="E823" s="16">
        <v>0</v>
      </c>
      <c r="F823" s="32"/>
      <c r="G823" s="32"/>
      <c r="H823" s="32"/>
      <c r="I823" s="32"/>
      <c r="J823" s="32"/>
      <c r="K823" s="32"/>
      <c r="L823" s="32"/>
      <c r="M823" s="32"/>
      <c r="N823" s="32"/>
      <c r="O823" s="32"/>
      <c r="P823" s="32"/>
      <c r="Q823" s="32"/>
    </row>
    <row r="824" spans="1:19" x14ac:dyDescent="0.25">
      <c r="F824" s="32"/>
      <c r="G824" s="32"/>
      <c r="H824" s="32"/>
      <c r="I824" s="32"/>
      <c r="J824" s="32"/>
      <c r="K824" s="32"/>
      <c r="L824" s="32"/>
      <c r="M824" s="32"/>
      <c r="N824" s="32"/>
      <c r="O824" s="32"/>
      <c r="P824" s="32"/>
      <c r="Q824" s="32"/>
    </row>
    <row r="825" spans="1:19" x14ac:dyDescent="0.25">
      <c r="A825" s="174" t="s">
        <v>152</v>
      </c>
      <c r="B825" s="174"/>
      <c r="C825" s="175"/>
      <c r="D825" s="175"/>
      <c r="E825" s="195"/>
      <c r="F825" s="32"/>
      <c r="G825" s="32"/>
      <c r="H825" s="32"/>
      <c r="I825" s="32"/>
      <c r="J825" s="32"/>
      <c r="K825" s="32"/>
      <c r="L825" s="32"/>
      <c r="M825" s="32"/>
      <c r="N825" s="32"/>
      <c r="O825" s="32"/>
      <c r="P825" s="32"/>
      <c r="Q825" s="32"/>
    </row>
    <row r="826" spans="1:19" s="10" customFormat="1" x14ac:dyDescent="0.25">
      <c r="A826" s="15" t="s">
        <v>8</v>
      </c>
      <c r="B826" s="15" t="s">
        <v>9</v>
      </c>
      <c r="C826" s="38" t="s">
        <v>10</v>
      </c>
      <c r="D826" s="38" t="s">
        <v>340</v>
      </c>
      <c r="E826" s="16" t="s">
        <v>65</v>
      </c>
      <c r="F826" s="32"/>
      <c r="G826" s="32"/>
      <c r="H826" s="39"/>
      <c r="I826" s="39"/>
      <c r="J826" s="39"/>
      <c r="K826" s="39"/>
      <c r="L826" s="39"/>
      <c r="M826" s="39"/>
      <c r="N826" s="39"/>
      <c r="O826" s="39"/>
      <c r="P826" s="39"/>
      <c r="Q826" s="39"/>
    </row>
    <row r="827" spans="1:19" s="10" customFormat="1" ht="18" x14ac:dyDescent="0.4">
      <c r="A827" s="40" t="s">
        <v>153</v>
      </c>
      <c r="B827" s="17" t="s">
        <v>103</v>
      </c>
      <c r="C827" s="35" t="s">
        <v>154</v>
      </c>
      <c r="D827" s="35" t="s">
        <v>155</v>
      </c>
      <c r="E827" s="41">
        <f>E828*E830*(1+E829)</f>
        <v>525.40504802399994</v>
      </c>
      <c r="F827" s="32"/>
      <c r="G827" s="32"/>
      <c r="H827" s="39"/>
      <c r="I827" s="39"/>
      <c r="J827" s="39"/>
      <c r="K827" s="39"/>
      <c r="L827" s="39"/>
      <c r="M827" s="39"/>
      <c r="N827" s="39"/>
      <c r="O827" s="39"/>
      <c r="P827" s="39"/>
      <c r="Q827" s="39"/>
    </row>
    <row r="828" spans="1:19" ht="31.2" x14ac:dyDescent="0.25">
      <c r="A828" s="17" t="s">
        <v>156</v>
      </c>
      <c r="B828" s="17" t="s">
        <v>157</v>
      </c>
      <c r="C828" s="35" t="s">
        <v>158</v>
      </c>
      <c r="D828" s="35" t="s">
        <v>343</v>
      </c>
      <c r="E828" s="20">
        <f>860445.2/1000</f>
        <v>860.4452</v>
      </c>
      <c r="G828" s="42"/>
      <c r="H828" s="43"/>
      <c r="I828" s="43"/>
      <c r="J828" s="43"/>
      <c r="K828" s="43"/>
      <c r="L828" s="43"/>
      <c r="M828" s="43"/>
      <c r="N828" s="43"/>
      <c r="O828" s="43"/>
      <c r="P828" s="43"/>
      <c r="Q828" s="43"/>
      <c r="R828" s="9"/>
      <c r="S828" s="9"/>
    </row>
    <row r="829" spans="1:19" ht="31.2" x14ac:dyDescent="0.25">
      <c r="A829" s="17" t="s">
        <v>159</v>
      </c>
      <c r="B829" s="17" t="s">
        <v>160</v>
      </c>
      <c r="C829" s="35" t="s">
        <v>161</v>
      </c>
      <c r="D829" s="35" t="s">
        <v>162</v>
      </c>
      <c r="E829" s="44">
        <v>0.2</v>
      </c>
      <c r="H829" s="43"/>
      <c r="I829" s="43"/>
      <c r="J829" s="43"/>
      <c r="K829" s="43"/>
      <c r="L829" s="43"/>
      <c r="M829" s="43"/>
      <c r="N829" s="43"/>
      <c r="O829" s="43"/>
      <c r="P829" s="43"/>
      <c r="Q829" s="43"/>
      <c r="R829" s="9"/>
      <c r="S829" s="9"/>
    </row>
    <row r="830" spans="1:19" ht="46.8" x14ac:dyDescent="0.25">
      <c r="A830" s="17" t="s">
        <v>163</v>
      </c>
      <c r="B830" s="17" t="s">
        <v>164</v>
      </c>
      <c r="C830" s="35" t="s">
        <v>165</v>
      </c>
      <c r="D830" s="35" t="s">
        <v>166</v>
      </c>
      <c r="E830" s="45">
        <f>0.5*0.8042+0.5*0.2135</f>
        <v>0.50885000000000002</v>
      </c>
      <c r="F830" s="46"/>
      <c r="G830" s="46"/>
      <c r="H830" s="46"/>
      <c r="I830" s="46"/>
      <c r="J830" s="46"/>
      <c r="K830" s="46"/>
      <c r="L830" s="46"/>
      <c r="M830" s="46"/>
      <c r="N830" s="46"/>
      <c r="O830" s="46"/>
      <c r="P830" s="46"/>
      <c r="Q830" s="46"/>
    </row>
    <row r="831" spans="1:19" ht="31.2" x14ac:dyDescent="0.4">
      <c r="A831" s="40" t="s">
        <v>167</v>
      </c>
      <c r="B831" s="17" t="s">
        <v>103</v>
      </c>
      <c r="C831" s="35" t="s">
        <v>168</v>
      </c>
      <c r="D831" s="35" t="s">
        <v>169</v>
      </c>
      <c r="E831" s="47">
        <v>0</v>
      </c>
      <c r="H831" s="43"/>
      <c r="I831" s="43"/>
      <c r="J831" s="43"/>
      <c r="K831" s="43"/>
      <c r="L831" s="43"/>
      <c r="M831" s="43"/>
      <c r="N831" s="43"/>
      <c r="O831" s="43"/>
      <c r="P831" s="43"/>
      <c r="Q831" s="43"/>
      <c r="R831" s="9"/>
      <c r="S831" s="9"/>
    </row>
    <row r="832" spans="1:19" x14ac:dyDescent="0.3">
      <c r="A832" s="48"/>
      <c r="E832" s="49"/>
      <c r="H832" s="43"/>
      <c r="I832" s="43"/>
      <c r="J832" s="43"/>
      <c r="K832" s="43"/>
      <c r="L832" s="43"/>
      <c r="M832" s="43"/>
      <c r="N832" s="43"/>
      <c r="O832" s="43"/>
      <c r="P832" s="43"/>
      <c r="Q832" s="43"/>
      <c r="R832" s="9"/>
      <c r="S832" s="9"/>
    </row>
    <row r="833" spans="1:133" x14ac:dyDescent="0.25">
      <c r="A833" s="174" t="s">
        <v>170</v>
      </c>
      <c r="B833" s="174"/>
      <c r="C833" s="175"/>
      <c r="D833" s="175"/>
      <c r="E833" s="195"/>
      <c r="F833" s="32"/>
      <c r="G833" s="32"/>
      <c r="H833" s="32"/>
      <c r="I833" s="32"/>
      <c r="J833" s="32"/>
      <c r="K833" s="32"/>
      <c r="L833" s="32"/>
      <c r="M833" s="32"/>
      <c r="N833" s="32"/>
      <c r="O833" s="32"/>
      <c r="P833" s="32"/>
      <c r="Q833" s="32"/>
    </row>
    <row r="834" spans="1:133" x14ac:dyDescent="0.25">
      <c r="A834" s="15" t="s">
        <v>8</v>
      </c>
      <c r="B834" s="15" t="s">
        <v>9</v>
      </c>
      <c r="C834" s="38" t="s">
        <v>10</v>
      </c>
      <c r="D834" s="38" t="s">
        <v>340</v>
      </c>
      <c r="E834" s="16" t="s">
        <v>65</v>
      </c>
      <c r="H834" s="43"/>
      <c r="I834" s="43"/>
      <c r="J834" s="43"/>
      <c r="K834" s="43"/>
      <c r="L834" s="43"/>
      <c r="M834" s="43"/>
      <c r="N834" s="43"/>
      <c r="O834" s="43"/>
      <c r="P834" s="43"/>
      <c r="Q834" s="43"/>
      <c r="R834" s="9"/>
      <c r="S834" s="9"/>
    </row>
    <row r="835" spans="1:133" ht="33.6" x14ac:dyDescent="0.4">
      <c r="A835" s="40" t="s">
        <v>171</v>
      </c>
      <c r="B835" s="17" t="s">
        <v>74</v>
      </c>
      <c r="C835" s="35" t="s">
        <v>172</v>
      </c>
      <c r="D835" s="35" t="s">
        <v>391</v>
      </c>
      <c r="E835" s="50">
        <f>E836*E839*E840*E841*E842*E843</f>
        <v>7.8407654743716471</v>
      </c>
      <c r="H835" s="43"/>
      <c r="I835" s="43"/>
      <c r="J835" s="43"/>
      <c r="K835" s="43"/>
      <c r="L835" s="43"/>
      <c r="M835" s="43"/>
      <c r="N835" s="43"/>
      <c r="O835" s="43"/>
      <c r="P835" s="43"/>
      <c r="Q835" s="43"/>
      <c r="R835" s="9"/>
      <c r="S835" s="9"/>
    </row>
    <row r="836" spans="1:133" ht="46.8" x14ac:dyDescent="0.4">
      <c r="A836" s="51" t="s">
        <v>173</v>
      </c>
      <c r="B836" s="17" t="s">
        <v>76</v>
      </c>
      <c r="C836" s="35" t="s">
        <v>174</v>
      </c>
      <c r="D836" s="35" t="s">
        <v>392</v>
      </c>
      <c r="E836" s="69">
        <f>ROUNDUP(E837/E838,0)</f>
        <v>254</v>
      </c>
      <c r="H836" s="43"/>
      <c r="I836" s="43"/>
      <c r="J836" s="43"/>
      <c r="K836" s="43"/>
      <c r="L836" s="43"/>
      <c r="M836" s="43"/>
      <c r="N836" s="43"/>
      <c r="O836" s="43"/>
      <c r="P836" s="43"/>
      <c r="Q836" s="43"/>
      <c r="R836" s="9"/>
      <c r="S836" s="9"/>
    </row>
    <row r="837" spans="1:133" ht="62.4" x14ac:dyDescent="0.25">
      <c r="A837" s="17" t="s">
        <v>175</v>
      </c>
      <c r="B837" s="17" t="s">
        <v>78</v>
      </c>
      <c r="C837" s="35" t="s">
        <v>176</v>
      </c>
      <c r="D837" s="35" t="s">
        <v>346</v>
      </c>
      <c r="E837" s="153">
        <v>1269.9299999999998</v>
      </c>
      <c r="H837" s="43"/>
      <c r="I837" s="43"/>
      <c r="J837" s="43"/>
      <c r="K837" s="43"/>
      <c r="L837" s="43"/>
      <c r="M837" s="43"/>
      <c r="N837" s="43"/>
      <c r="O837" s="43"/>
      <c r="P837" s="43"/>
      <c r="Q837" s="43"/>
      <c r="R837" s="9"/>
      <c r="S837" s="9"/>
    </row>
    <row r="838" spans="1:133" ht="62.4" x14ac:dyDescent="0.25">
      <c r="A838" s="17" t="s">
        <v>177</v>
      </c>
      <c r="B838" s="17" t="s">
        <v>80</v>
      </c>
      <c r="C838" s="35" t="s">
        <v>81</v>
      </c>
      <c r="D838" s="35" t="s">
        <v>345</v>
      </c>
      <c r="E838" s="25">
        <f>5</f>
        <v>5</v>
      </c>
      <c r="H838" s="43"/>
      <c r="I838" s="43"/>
      <c r="J838" s="43"/>
      <c r="K838" s="43"/>
      <c r="L838" s="43"/>
      <c r="M838" s="43"/>
      <c r="N838" s="43"/>
      <c r="O838" s="43"/>
      <c r="P838" s="43"/>
      <c r="Q838" s="43"/>
      <c r="R838" s="9"/>
      <c r="S838" s="9"/>
    </row>
    <row r="839" spans="1:133" ht="202.8" x14ac:dyDescent="0.25">
      <c r="A839" s="17" t="s">
        <v>178</v>
      </c>
      <c r="B839" s="17" t="s">
        <v>82</v>
      </c>
      <c r="C839" s="35" t="s">
        <v>179</v>
      </c>
      <c r="D839" s="35" t="s">
        <v>367</v>
      </c>
      <c r="E839" s="25">
        <v>45.6</v>
      </c>
      <c r="H839" s="43"/>
      <c r="I839" s="43"/>
      <c r="J839" s="43"/>
      <c r="K839" s="43"/>
      <c r="L839" s="43"/>
      <c r="M839" s="43"/>
      <c r="N839" s="43"/>
      <c r="O839" s="43"/>
      <c r="P839" s="43"/>
      <c r="Q839" s="43"/>
      <c r="R839" s="9"/>
      <c r="S839" s="9"/>
    </row>
    <row r="840" spans="1:133" ht="156" x14ac:dyDescent="0.25">
      <c r="A840" s="17" t="s">
        <v>180</v>
      </c>
      <c r="B840" s="17" t="s">
        <v>84</v>
      </c>
      <c r="C840" s="35" t="s">
        <v>85</v>
      </c>
      <c r="D840" s="35" t="s">
        <v>365</v>
      </c>
      <c r="E840" s="25">
        <f>25.1/100</f>
        <v>0.251</v>
      </c>
      <c r="H840" s="43"/>
      <c r="I840" s="43"/>
      <c r="J840" s="43"/>
      <c r="K840" s="43"/>
      <c r="L840" s="43"/>
      <c r="M840" s="43"/>
      <c r="N840" s="43"/>
      <c r="O840" s="43"/>
      <c r="P840" s="43"/>
      <c r="Q840" s="43"/>
      <c r="R840" s="9"/>
      <c r="S840" s="9"/>
    </row>
    <row r="841" spans="1:133" ht="62.4" x14ac:dyDescent="0.25">
      <c r="A841" s="17" t="s">
        <v>86</v>
      </c>
      <c r="B841" s="17" t="s">
        <v>87</v>
      </c>
      <c r="C841" s="35" t="s">
        <v>86</v>
      </c>
      <c r="D841" s="35" t="s">
        <v>215</v>
      </c>
      <c r="E841" s="25">
        <f>0.84/1000</f>
        <v>8.3999999999999993E-4</v>
      </c>
      <c r="H841" s="43"/>
      <c r="I841" s="43"/>
      <c r="J841" s="43"/>
      <c r="K841" s="43"/>
      <c r="L841" s="43"/>
      <c r="M841" s="43"/>
      <c r="N841" s="43"/>
      <c r="O841" s="43"/>
      <c r="P841" s="43"/>
      <c r="Q841" s="43"/>
      <c r="R841" s="9"/>
      <c r="S841" s="9"/>
    </row>
    <row r="842" spans="1:133" ht="124.8" x14ac:dyDescent="0.25">
      <c r="A842" s="17" t="s">
        <v>181</v>
      </c>
      <c r="B842" s="17" t="s">
        <v>88</v>
      </c>
      <c r="C842" s="35" t="s">
        <v>89</v>
      </c>
      <c r="D842" s="35" t="s">
        <v>360</v>
      </c>
      <c r="E842" s="25">
        <f>43.33/1000</f>
        <v>4.333E-2</v>
      </c>
      <c r="H842" s="43"/>
      <c r="I842" s="43"/>
      <c r="J842" s="43"/>
      <c r="K842" s="43"/>
      <c r="L842" s="43"/>
      <c r="M842" s="43"/>
      <c r="N842" s="43"/>
      <c r="O842" s="43"/>
      <c r="P842" s="43"/>
      <c r="Q842" s="43"/>
      <c r="R842" s="9"/>
      <c r="S842" s="9"/>
    </row>
    <row r="843" spans="1:133" ht="33.6" x14ac:dyDescent="0.25">
      <c r="A843" s="17" t="s">
        <v>182</v>
      </c>
      <c r="B843" s="17" t="s">
        <v>90</v>
      </c>
      <c r="C843" s="35" t="s">
        <v>91</v>
      </c>
      <c r="D843" s="35" t="s">
        <v>92</v>
      </c>
      <c r="E843" s="25">
        <v>74.099999999999994</v>
      </c>
      <c r="H843" s="43"/>
      <c r="I843" s="43"/>
      <c r="J843" s="43"/>
      <c r="K843" s="43"/>
      <c r="L843" s="43"/>
      <c r="M843" s="43"/>
      <c r="N843" s="43"/>
      <c r="O843" s="43"/>
      <c r="P843" s="43"/>
      <c r="Q843" s="43"/>
      <c r="R843" s="9"/>
      <c r="S843" s="9"/>
    </row>
    <row r="845" spans="1:133" x14ac:dyDescent="0.25">
      <c r="A845" s="33" t="s">
        <v>8</v>
      </c>
      <c r="B845" s="33" t="s">
        <v>9</v>
      </c>
      <c r="C845" s="34" t="s">
        <v>10</v>
      </c>
      <c r="D845" s="34" t="s">
        <v>340</v>
      </c>
      <c r="E845" s="16" t="s">
        <v>65</v>
      </c>
    </row>
    <row r="846" spans="1:133" ht="18" x14ac:dyDescent="0.25">
      <c r="A846" s="15" t="s">
        <v>183</v>
      </c>
      <c r="B846" s="17" t="s">
        <v>103</v>
      </c>
      <c r="C846" s="35" t="s">
        <v>184</v>
      </c>
      <c r="D846" s="53" t="s">
        <v>393</v>
      </c>
      <c r="E846" s="18">
        <f>ROUNDUP(E795+E819+E823+E827+E835,0)</f>
        <v>534</v>
      </c>
    </row>
    <row r="847" spans="1:133" s="200" customFormat="1" ht="43.2" customHeight="1" x14ac:dyDescent="0.25">
      <c r="A847" s="197" t="s">
        <v>238</v>
      </c>
      <c r="B847" s="198"/>
      <c r="C847" s="198"/>
      <c r="D847" s="198"/>
      <c r="E847" s="198"/>
      <c r="F847" s="198"/>
      <c r="G847" s="198"/>
      <c r="H847" s="198"/>
      <c r="I847" s="198"/>
      <c r="J847" s="198"/>
      <c r="K847" s="198"/>
      <c r="L847" s="198"/>
      <c r="M847" s="198"/>
      <c r="N847" s="198"/>
      <c r="O847" s="198"/>
      <c r="P847" s="198"/>
      <c r="Q847" s="198"/>
      <c r="R847" s="198"/>
      <c r="S847" s="198"/>
      <c r="T847" s="198"/>
      <c r="U847" s="198"/>
      <c r="V847" s="198"/>
      <c r="W847" s="198"/>
      <c r="X847" s="198"/>
      <c r="Y847" s="198"/>
      <c r="Z847" s="198"/>
      <c r="AA847" s="198"/>
      <c r="AB847" s="198"/>
      <c r="AC847" s="198"/>
      <c r="AD847" s="198"/>
      <c r="AE847" s="198"/>
      <c r="AF847" s="198"/>
      <c r="AG847" s="198"/>
      <c r="AH847" s="198"/>
      <c r="AI847" s="198"/>
      <c r="AJ847" s="198"/>
      <c r="AK847" s="198"/>
      <c r="AL847" s="198"/>
      <c r="AM847" s="198"/>
      <c r="AN847" s="198"/>
      <c r="AO847" s="198"/>
      <c r="AP847" s="198"/>
      <c r="AQ847" s="198"/>
      <c r="AR847" s="198"/>
      <c r="AS847" s="198"/>
      <c r="AT847" s="198"/>
      <c r="AU847" s="198"/>
      <c r="AV847" s="198"/>
      <c r="AW847" s="198"/>
      <c r="AX847" s="198"/>
      <c r="AY847" s="198"/>
      <c r="AZ847" s="198"/>
      <c r="BA847" s="198"/>
      <c r="BB847" s="198"/>
      <c r="BC847" s="198"/>
      <c r="BD847" s="198"/>
      <c r="BE847" s="198"/>
      <c r="BF847" s="198"/>
      <c r="BG847" s="198"/>
      <c r="BH847" s="198"/>
      <c r="BI847" s="198"/>
      <c r="BJ847" s="198"/>
      <c r="BK847" s="198"/>
      <c r="BL847" s="198"/>
      <c r="BM847" s="198"/>
      <c r="BN847" s="198"/>
      <c r="BO847" s="198"/>
      <c r="BP847" s="198"/>
      <c r="BQ847" s="198"/>
      <c r="BR847" s="198"/>
      <c r="BS847" s="198"/>
      <c r="BT847" s="198"/>
      <c r="BU847" s="198"/>
      <c r="BV847" s="198"/>
      <c r="BW847" s="198"/>
      <c r="BX847" s="198"/>
      <c r="BY847" s="198"/>
      <c r="BZ847" s="198"/>
      <c r="CA847" s="198"/>
      <c r="CB847" s="198"/>
      <c r="CC847" s="198"/>
      <c r="CD847" s="198"/>
      <c r="CE847" s="198"/>
      <c r="CF847" s="198"/>
      <c r="CG847" s="198"/>
      <c r="CH847" s="198"/>
      <c r="CI847" s="198"/>
      <c r="CJ847" s="198"/>
      <c r="CK847" s="198"/>
      <c r="CL847" s="198"/>
      <c r="CM847" s="198"/>
      <c r="CN847" s="198"/>
      <c r="CO847" s="198"/>
      <c r="CP847" s="198"/>
      <c r="CQ847" s="198"/>
      <c r="CR847" s="198"/>
      <c r="CS847" s="198"/>
      <c r="CT847" s="198"/>
      <c r="CU847" s="198"/>
      <c r="CV847" s="198"/>
      <c r="CW847" s="198"/>
      <c r="CX847" s="198"/>
      <c r="CY847" s="198"/>
      <c r="CZ847" s="198"/>
      <c r="DA847" s="198"/>
      <c r="DB847" s="198"/>
      <c r="DC847" s="198"/>
      <c r="DD847" s="198"/>
      <c r="DE847" s="198"/>
      <c r="DF847" s="198"/>
      <c r="DG847" s="198"/>
      <c r="DH847" s="198"/>
      <c r="DI847" s="198"/>
      <c r="DJ847" s="198"/>
      <c r="DK847" s="198"/>
      <c r="DL847" s="198"/>
      <c r="DM847" s="198"/>
      <c r="DN847" s="198"/>
      <c r="DO847" s="198"/>
      <c r="DP847" s="198"/>
      <c r="DQ847" s="198"/>
      <c r="DR847" s="198"/>
      <c r="DS847" s="198"/>
      <c r="DT847" s="198"/>
      <c r="DU847" s="198"/>
      <c r="DV847" s="198"/>
      <c r="DW847" s="198"/>
      <c r="DX847" s="198"/>
      <c r="DY847" s="198"/>
      <c r="DZ847" s="198"/>
      <c r="EA847" s="198"/>
      <c r="EB847" s="198"/>
      <c r="EC847" s="199"/>
    </row>
    <row r="848" spans="1:133" ht="23.4" customHeight="1" x14ac:dyDescent="0.25">
      <c r="A848" s="201" t="s">
        <v>105</v>
      </c>
      <c r="B848" s="201"/>
      <c r="C848" s="201"/>
      <c r="D848" s="201"/>
      <c r="E848" s="201"/>
      <c r="F848" s="201"/>
      <c r="G848" s="201"/>
      <c r="H848" s="201"/>
      <c r="I848" s="201"/>
      <c r="J848" s="201"/>
      <c r="K848" s="201"/>
      <c r="L848" s="201"/>
      <c r="M848" s="201"/>
      <c r="N848" s="201"/>
      <c r="O848" s="201"/>
      <c r="P848" s="201"/>
      <c r="Q848" s="202"/>
    </row>
    <row r="849" spans="1:19" s="10" customFormat="1" ht="31.2" x14ac:dyDescent="0.25">
      <c r="A849" s="15" t="s">
        <v>8</v>
      </c>
      <c r="B849" s="15" t="s">
        <v>9</v>
      </c>
      <c r="C849" s="15" t="s">
        <v>10</v>
      </c>
      <c r="D849" s="15" t="s">
        <v>340</v>
      </c>
      <c r="E849" s="16" t="s">
        <v>11</v>
      </c>
      <c r="F849" s="16" t="s">
        <v>292</v>
      </c>
      <c r="G849" s="16" t="s">
        <v>292</v>
      </c>
      <c r="H849" s="16" t="s">
        <v>292</v>
      </c>
      <c r="I849" s="16" t="s">
        <v>292</v>
      </c>
      <c r="J849" s="16" t="s">
        <v>292</v>
      </c>
      <c r="K849" s="16" t="s">
        <v>292</v>
      </c>
      <c r="L849" s="16" t="s">
        <v>292</v>
      </c>
      <c r="M849" s="16" t="s">
        <v>292</v>
      </c>
      <c r="N849" s="16" t="s">
        <v>306</v>
      </c>
      <c r="O849" s="16" t="s">
        <v>293</v>
      </c>
      <c r="P849" s="16" t="s">
        <v>294</v>
      </c>
      <c r="Q849" s="16" t="s">
        <v>295</v>
      </c>
      <c r="R849" s="54"/>
      <c r="S849" s="54"/>
    </row>
    <row r="850" spans="1:19" s="10" customFormat="1" x14ac:dyDescent="0.25">
      <c r="A850" s="203" t="s">
        <v>106</v>
      </c>
      <c r="B850" s="203"/>
      <c r="C850" s="203"/>
      <c r="D850" s="203"/>
      <c r="E850" s="204"/>
      <c r="F850" s="16" t="s">
        <v>297</v>
      </c>
      <c r="G850" s="16" t="s">
        <v>297</v>
      </c>
      <c r="H850" s="16" t="s">
        <v>297</v>
      </c>
      <c r="I850" s="16" t="s">
        <v>297</v>
      </c>
      <c r="J850" s="16" t="s">
        <v>297</v>
      </c>
      <c r="K850" s="16" t="s">
        <v>297</v>
      </c>
      <c r="L850" s="16" t="s">
        <v>297</v>
      </c>
      <c r="M850" s="16" t="s">
        <v>297</v>
      </c>
      <c r="N850" s="16">
        <v>22</v>
      </c>
      <c r="O850" s="16">
        <v>31</v>
      </c>
      <c r="P850" s="16">
        <v>30</v>
      </c>
      <c r="Q850" s="16">
        <v>31</v>
      </c>
      <c r="R850" s="54"/>
      <c r="S850" s="54"/>
    </row>
    <row r="851" spans="1:19" s="10" customFormat="1" ht="31.2" x14ac:dyDescent="0.25">
      <c r="A851" s="15" t="s">
        <v>107</v>
      </c>
      <c r="B851" s="17" t="s">
        <v>103</v>
      </c>
      <c r="C851" s="17" t="s">
        <v>108</v>
      </c>
      <c r="D851" s="17" t="s">
        <v>381</v>
      </c>
      <c r="E851" s="18">
        <f>E852+E862</f>
        <v>0</v>
      </c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54"/>
      <c r="S851" s="54"/>
    </row>
    <row r="852" spans="1:19" ht="46.8" x14ac:dyDescent="0.25">
      <c r="A852" s="17" t="s">
        <v>109</v>
      </c>
      <c r="B852" s="17" t="s">
        <v>103</v>
      </c>
      <c r="C852" s="17" t="s">
        <v>110</v>
      </c>
      <c r="D852" s="17" t="s">
        <v>382</v>
      </c>
      <c r="E852" s="19">
        <f>SUM(F852:Q852)</f>
        <v>0</v>
      </c>
      <c r="F852" s="19" t="s">
        <v>297</v>
      </c>
      <c r="G852" s="19" t="s">
        <v>297</v>
      </c>
      <c r="H852" s="19" t="s">
        <v>297</v>
      </c>
      <c r="I852" s="19" t="s">
        <v>297</v>
      </c>
      <c r="J852" s="19" t="s">
        <v>297</v>
      </c>
      <c r="K852" s="19" t="s">
        <v>297</v>
      </c>
      <c r="L852" s="19" t="s">
        <v>297</v>
      </c>
      <c r="M852" s="19" t="s">
        <v>297</v>
      </c>
      <c r="N852" s="19">
        <f t="shared" ref="N852:Q852" si="103">IF(N853&gt;=0.8,0,$E$15*$E$16*0.4*(N854-N857)*N850)</f>
        <v>0</v>
      </c>
      <c r="O852" s="19">
        <f t="shared" si="103"/>
        <v>0</v>
      </c>
      <c r="P852" s="19">
        <f t="shared" si="103"/>
        <v>0</v>
      </c>
      <c r="Q852" s="19">
        <f t="shared" si="103"/>
        <v>0</v>
      </c>
    </row>
    <row r="853" spans="1:19" ht="62.4" x14ac:dyDescent="0.25">
      <c r="A853" s="17" t="s">
        <v>111</v>
      </c>
      <c r="B853" s="17" t="s">
        <v>37</v>
      </c>
      <c r="C853" s="17" t="s">
        <v>112</v>
      </c>
      <c r="D853" s="17" t="s">
        <v>383</v>
      </c>
      <c r="E853" s="20">
        <f>AVERAGE(F853:Q853)</f>
        <v>0.95516773672092381</v>
      </c>
      <c r="F853" s="20" t="s">
        <v>297</v>
      </c>
      <c r="G853" s="20" t="s">
        <v>297</v>
      </c>
      <c r="H853" s="20" t="s">
        <v>297</v>
      </c>
      <c r="I853" s="20" t="s">
        <v>297</v>
      </c>
      <c r="J853" s="20" t="s">
        <v>297</v>
      </c>
      <c r="K853" s="20" t="s">
        <v>297</v>
      </c>
      <c r="L853" s="20" t="s">
        <v>297</v>
      </c>
      <c r="M853" s="20" t="s">
        <v>297</v>
      </c>
      <c r="N853" s="20">
        <f t="shared" ref="N853:Q853" si="104">(N854-N857)/N854</f>
        <v>0.95566779338110452</v>
      </c>
      <c r="O853" s="20">
        <f t="shared" si="104"/>
        <v>0.95530703683791052</v>
      </c>
      <c r="P853" s="20">
        <f t="shared" si="104"/>
        <v>0.95518075634536115</v>
      </c>
      <c r="Q853" s="20">
        <f t="shared" si="104"/>
        <v>0.95451536031931916</v>
      </c>
    </row>
    <row r="854" spans="1:19" ht="46.8" x14ac:dyDescent="0.25">
      <c r="A854" s="17" t="s">
        <v>113</v>
      </c>
      <c r="B854" s="17" t="s">
        <v>24</v>
      </c>
      <c r="C854" s="17" t="s">
        <v>114</v>
      </c>
      <c r="D854" s="17" t="s">
        <v>384</v>
      </c>
      <c r="E854" s="20">
        <f>SUM(F854:Q854)</f>
        <v>8.6639513340482299</v>
      </c>
      <c r="F854" s="20" t="s">
        <v>297</v>
      </c>
      <c r="G854" s="20" t="s">
        <v>297</v>
      </c>
      <c r="H854" s="20" t="s">
        <v>297</v>
      </c>
      <c r="I854" s="20" t="s">
        <v>297</v>
      </c>
      <c r="J854" s="20" t="s">
        <v>297</v>
      </c>
      <c r="K854" s="20" t="s">
        <v>297</v>
      </c>
      <c r="L854" s="20" t="s">
        <v>297</v>
      </c>
      <c r="M854" s="20" t="s">
        <v>297</v>
      </c>
      <c r="N854" s="20">
        <f t="shared" ref="N854:Q854" si="105">N855*N856</f>
        <v>2.2664934879790821</v>
      </c>
      <c r="O854" s="20">
        <f t="shared" si="105"/>
        <v>2.2663144674308788</v>
      </c>
      <c r="P854" s="20">
        <f t="shared" si="105"/>
        <v>2.0662596777427775</v>
      </c>
      <c r="Q854" s="20">
        <f t="shared" si="105"/>
        <v>2.0648837008954906</v>
      </c>
    </row>
    <row r="855" spans="1:19" ht="72.599999999999994" customHeight="1" x14ac:dyDescent="0.25">
      <c r="A855" s="17" t="s">
        <v>115</v>
      </c>
      <c r="B855" s="17" t="s">
        <v>116</v>
      </c>
      <c r="C855" s="17" t="s">
        <v>117</v>
      </c>
      <c r="D855" s="17" t="s">
        <v>336</v>
      </c>
      <c r="E855" s="129">
        <f>SUM(F855:Q855)</f>
        <v>20345.042097262951</v>
      </c>
      <c r="F855" s="21" t="s">
        <v>297</v>
      </c>
      <c r="G855" s="21" t="s">
        <v>297</v>
      </c>
      <c r="H855" s="21" t="s">
        <v>297</v>
      </c>
      <c r="I855" s="21" t="s">
        <v>297</v>
      </c>
      <c r="J855" s="21" t="s">
        <v>297</v>
      </c>
      <c r="K855" s="21" t="s">
        <v>297</v>
      </c>
      <c r="L855" s="21" t="s">
        <v>297</v>
      </c>
      <c r="M855" s="21" t="s">
        <v>297</v>
      </c>
      <c r="N855" s="129">
        <f>'Baseline Emissions 2020'!N827</f>
        <v>5323.5719090909079</v>
      </c>
      <c r="O855" s="129">
        <f>'Baseline Emissions 2020'!O827</f>
        <v>5322.838677419355</v>
      </c>
      <c r="P855" s="129">
        <f>'Baseline Emissions 2020'!P827</f>
        <v>4849.6538333333338</v>
      </c>
      <c r="Q855" s="129">
        <f>'Baseline Emissions 2020'!Q827</f>
        <v>4848.9776774193542</v>
      </c>
    </row>
    <row r="856" spans="1:19" ht="46.8" x14ac:dyDescent="0.25">
      <c r="A856" s="17" t="s">
        <v>118</v>
      </c>
      <c r="B856" s="17" t="s">
        <v>119</v>
      </c>
      <c r="C856" s="17" t="s">
        <v>120</v>
      </c>
      <c r="D856" s="35" t="s">
        <v>338</v>
      </c>
      <c r="E856" s="120">
        <f>AVERAGE(F856:Q856)</f>
        <v>4.2585521132019116E-4</v>
      </c>
      <c r="F856" s="23" t="str">
        <f>'Baseline Emissions 2020'!F831</f>
        <v>—</v>
      </c>
      <c r="G856" s="23" t="str">
        <f>'Baseline Emissions 2020'!G831</f>
        <v>—</v>
      </c>
      <c r="H856" s="23" t="str">
        <f>'Baseline Emissions 2020'!H831</f>
        <v>—</v>
      </c>
      <c r="I856" s="23" t="str">
        <f>'Baseline Emissions 2020'!I831</f>
        <v>—</v>
      </c>
      <c r="J856" s="23" t="str">
        <f>'Baseline Emissions 2020'!J831</f>
        <v>—</v>
      </c>
      <c r="K856" s="23" t="str">
        <f>'Baseline Emissions 2020'!K831</f>
        <v>—</v>
      </c>
      <c r="L856" s="23" t="str">
        <f>'Baseline Emissions 2020'!L831</f>
        <v>—</v>
      </c>
      <c r="M856" s="23" t="str">
        <f>'Baseline Emissions 2020'!M831</f>
        <v>—</v>
      </c>
      <c r="N856" s="130">
        <f>'Baseline Emissions 2020'!N831</f>
        <v>4.2574675925925932E-4</v>
      </c>
      <c r="O856" s="130">
        <f>'Baseline Emissions 2020'!O831</f>
        <v>4.2577177419354827E-4</v>
      </c>
      <c r="P856" s="130">
        <f>'Baseline Emissions 2020'!P831</f>
        <v>4.2606333333333323E-4</v>
      </c>
      <c r="Q856" s="130">
        <f>'Baseline Emissions 2020'!Q831</f>
        <v>4.258389784946237E-4</v>
      </c>
    </row>
    <row r="857" spans="1:19" ht="46.8" x14ac:dyDescent="0.25">
      <c r="A857" s="17" t="s">
        <v>121</v>
      </c>
      <c r="B857" s="17" t="s">
        <v>24</v>
      </c>
      <c r="C857" s="17" t="s">
        <v>122</v>
      </c>
      <c r="D857" s="17" t="s">
        <v>384</v>
      </c>
      <c r="E857" s="20">
        <f>SUM(F857:Q857)</f>
        <v>0.3882956536843199</v>
      </c>
      <c r="F857" s="20" t="s">
        <v>297</v>
      </c>
      <c r="G857" s="20" t="s">
        <v>297</v>
      </c>
      <c r="H857" s="20" t="s">
        <v>297</v>
      </c>
      <c r="I857" s="20" t="s">
        <v>297</v>
      </c>
      <c r="J857" s="20" t="s">
        <v>297</v>
      </c>
      <c r="K857" s="20" t="s">
        <v>297</v>
      </c>
      <c r="L857" s="20" t="s">
        <v>297</v>
      </c>
      <c r="M857" s="20" t="s">
        <v>297</v>
      </c>
      <c r="N857" s="20">
        <f t="shared" ref="N857:Q857" si="106">SUM(N858*N859)</f>
        <v>0.10047865760946968</v>
      </c>
      <c r="O857" s="20">
        <f t="shared" si="106"/>
        <v>0.10128830900659901</v>
      </c>
      <c r="P857" s="20">
        <f t="shared" si="106"/>
        <v>9.2608195950509259E-2</v>
      </c>
      <c r="Q857" s="20">
        <f t="shared" si="106"/>
        <v>9.3920491117741964E-2</v>
      </c>
    </row>
    <row r="858" spans="1:19" ht="62.4" x14ac:dyDescent="0.25">
      <c r="A858" s="17" t="s">
        <v>123</v>
      </c>
      <c r="B858" s="17" t="s">
        <v>116</v>
      </c>
      <c r="C858" s="17" t="s">
        <v>124</v>
      </c>
      <c r="D858" s="17" t="s">
        <v>337</v>
      </c>
      <c r="E858" s="129">
        <f>SUM(F858:Q858)</f>
        <v>19871.711526490712</v>
      </c>
      <c r="F858" s="21" t="s">
        <v>297</v>
      </c>
      <c r="G858" s="21" t="s">
        <v>297</v>
      </c>
      <c r="H858" s="21" t="s">
        <v>297</v>
      </c>
      <c r="I858" s="21" t="s">
        <v>297</v>
      </c>
      <c r="J858" s="21" t="s">
        <v>297</v>
      </c>
      <c r="K858" s="21" t="s">
        <v>297</v>
      </c>
      <c r="L858" s="21" t="s">
        <v>297</v>
      </c>
      <c r="M858" s="21" t="s">
        <v>297</v>
      </c>
      <c r="N858" s="129">
        <v>5197.918772727272</v>
      </c>
      <c r="O858" s="129">
        <v>5197.6399032258059</v>
      </c>
      <c r="P858" s="129">
        <v>4738.6753666666664</v>
      </c>
      <c r="Q858" s="129">
        <v>4737.4774838709682</v>
      </c>
    </row>
    <row r="859" spans="1:19" ht="46.8" x14ac:dyDescent="0.25">
      <c r="A859" s="17" t="s">
        <v>125</v>
      </c>
      <c r="B859" s="17" t="s">
        <v>119</v>
      </c>
      <c r="C859" s="17" t="s">
        <v>126</v>
      </c>
      <c r="D859" s="35" t="s">
        <v>339</v>
      </c>
      <c r="E859" s="131">
        <f>AVERAGE(F859:Q859)</f>
        <v>1.954649417562724E-5</v>
      </c>
      <c r="F859" s="24" t="str">
        <f>'Baseline Emissions 2020'!F832</f>
        <v>—</v>
      </c>
      <c r="G859" s="24" t="str">
        <f>'Baseline Emissions 2020'!G832</f>
        <v>—</v>
      </c>
      <c r="H859" s="24" t="str">
        <f>'Baseline Emissions 2020'!H832</f>
        <v>—</v>
      </c>
      <c r="I859" s="24" t="str">
        <f>'Baseline Emissions 2020'!I832</f>
        <v>—</v>
      </c>
      <c r="J859" s="24" t="str">
        <f>'Baseline Emissions 2020'!J832</f>
        <v>—</v>
      </c>
      <c r="K859" s="24" t="str">
        <f>'Baseline Emissions 2020'!K832</f>
        <v>—</v>
      </c>
      <c r="L859" s="24" t="str">
        <f>'Baseline Emissions 2020'!L832</f>
        <v>—</v>
      </c>
      <c r="M859" s="24" t="str">
        <f>'Baseline Emissions 2020'!M832</f>
        <v>—</v>
      </c>
      <c r="N859" s="131">
        <f>'Baseline Emissions 2020'!N832</f>
        <v>1.9330555555555555E-5</v>
      </c>
      <c r="O859" s="131">
        <f>'Baseline Emissions 2020'!O832</f>
        <v>1.9487365591397848E-5</v>
      </c>
      <c r="P859" s="131">
        <f>'Baseline Emissions 2020'!P832</f>
        <v>1.9543055555555557E-5</v>
      </c>
      <c r="Q859" s="131">
        <f>'Baseline Emissions 2020'!Q832</f>
        <v>1.9825000000000004E-5</v>
      </c>
    </row>
    <row r="860" spans="1:19" ht="31.2" x14ac:dyDescent="0.25">
      <c r="A860" s="17" t="s">
        <v>127</v>
      </c>
      <c r="B860" s="17" t="s">
        <v>128</v>
      </c>
      <c r="C860" s="17" t="s">
        <v>17</v>
      </c>
      <c r="D860" s="17" t="s">
        <v>129</v>
      </c>
      <c r="E860" s="176">
        <v>28</v>
      </c>
      <c r="F860" s="176"/>
      <c r="G860" s="176"/>
      <c r="H860" s="176"/>
      <c r="I860" s="176"/>
      <c r="J860" s="176"/>
      <c r="K860" s="176"/>
      <c r="L860" s="176"/>
      <c r="M860" s="176"/>
      <c r="N860" s="176"/>
      <c r="O860" s="176"/>
      <c r="P860" s="176"/>
      <c r="Q860" s="176"/>
    </row>
    <row r="861" spans="1:19" ht="64.8" x14ac:dyDescent="0.25">
      <c r="A861" s="17" t="s">
        <v>130</v>
      </c>
      <c r="B861" s="17" t="s">
        <v>19</v>
      </c>
      <c r="C861" s="17" t="s">
        <v>131</v>
      </c>
      <c r="D861" s="17" t="s">
        <v>394</v>
      </c>
      <c r="E861" s="176">
        <v>0.21</v>
      </c>
      <c r="F861" s="176"/>
      <c r="G861" s="176"/>
      <c r="H861" s="176"/>
      <c r="I861" s="176"/>
      <c r="J861" s="176"/>
      <c r="K861" s="176"/>
      <c r="L861" s="176"/>
      <c r="M861" s="176"/>
      <c r="N861" s="176"/>
      <c r="O861" s="176"/>
      <c r="P861" s="176"/>
      <c r="Q861" s="176"/>
    </row>
    <row r="862" spans="1:19" ht="46.8" x14ac:dyDescent="0.25">
      <c r="A862" s="17" t="s">
        <v>132</v>
      </c>
      <c r="B862" s="17" t="s">
        <v>103</v>
      </c>
      <c r="C862" s="17" t="s">
        <v>133</v>
      </c>
      <c r="D862" s="17" t="s">
        <v>385</v>
      </c>
      <c r="E862" s="19">
        <f>SUM(F862:Q862)</f>
        <v>0</v>
      </c>
      <c r="F862" s="19" t="s">
        <v>297</v>
      </c>
      <c r="G862" s="19" t="s">
        <v>297</v>
      </c>
      <c r="H862" s="19" t="s">
        <v>297</v>
      </c>
      <c r="I862" s="19" t="s">
        <v>297</v>
      </c>
      <c r="J862" s="19" t="s">
        <v>297</v>
      </c>
      <c r="K862" s="19" t="s">
        <v>297</v>
      </c>
      <c r="L862" s="19" t="s">
        <v>297</v>
      </c>
      <c r="M862" s="19" t="s">
        <v>297</v>
      </c>
      <c r="N862" s="19">
        <f t="shared" ref="N862:Q862" si="107">$E$15*$E$16*N863*N857*N850</f>
        <v>0</v>
      </c>
      <c r="O862" s="19">
        <f t="shared" si="107"/>
        <v>0</v>
      </c>
      <c r="P862" s="19">
        <f t="shared" si="107"/>
        <v>0</v>
      </c>
      <c r="Q862" s="19">
        <f t="shared" si="107"/>
        <v>0</v>
      </c>
    </row>
    <row r="863" spans="1:19" ht="18" x14ac:dyDescent="0.25">
      <c r="A863" s="17" t="s">
        <v>134</v>
      </c>
      <c r="B863" s="17" t="s">
        <v>37</v>
      </c>
      <c r="C863" s="17" t="s">
        <v>135</v>
      </c>
      <c r="D863" s="17" t="s">
        <v>386</v>
      </c>
      <c r="E863" s="26">
        <f>AVERAGE(F863:Q863)</f>
        <v>0</v>
      </c>
      <c r="F863" s="26" t="s">
        <v>297</v>
      </c>
      <c r="G863" s="26" t="s">
        <v>297</v>
      </c>
      <c r="H863" s="26" t="s">
        <v>297</v>
      </c>
      <c r="I863" s="26" t="s">
        <v>297</v>
      </c>
      <c r="J863" s="26" t="s">
        <v>297</v>
      </c>
      <c r="K863" s="26" t="s">
        <v>297</v>
      </c>
      <c r="L863" s="26" t="s">
        <v>297</v>
      </c>
      <c r="M863" s="26" t="s">
        <v>297</v>
      </c>
      <c r="N863" s="26">
        <f>N864*$E$865*0.89</f>
        <v>0</v>
      </c>
      <c r="O863" s="26">
        <f t="shared" ref="O863:Q863" si="108">O864*$E$865*0.89</f>
        <v>0</v>
      </c>
      <c r="P863" s="26">
        <f t="shared" si="108"/>
        <v>0</v>
      </c>
      <c r="Q863" s="26">
        <f t="shared" si="108"/>
        <v>0</v>
      </c>
    </row>
    <row r="864" spans="1:19" ht="31.2" x14ac:dyDescent="0.25">
      <c r="A864" s="17" t="s">
        <v>136</v>
      </c>
      <c r="B864" s="17" t="s">
        <v>37</v>
      </c>
      <c r="C864" s="17" t="s">
        <v>46</v>
      </c>
      <c r="D864" s="17" t="s">
        <v>387</v>
      </c>
      <c r="E864" s="25">
        <v>0</v>
      </c>
      <c r="F864" s="25">
        <v>0</v>
      </c>
      <c r="G864" s="25">
        <v>0</v>
      </c>
      <c r="H864" s="25">
        <v>0</v>
      </c>
      <c r="I864" s="25">
        <v>0</v>
      </c>
      <c r="J864" s="25">
        <v>0</v>
      </c>
      <c r="K864" s="25">
        <v>0</v>
      </c>
      <c r="L864" s="25">
        <v>0</v>
      </c>
      <c r="M864" s="25">
        <v>0</v>
      </c>
      <c r="N864" s="25">
        <v>0</v>
      </c>
      <c r="O864" s="25">
        <v>0</v>
      </c>
      <c r="P864" s="25">
        <v>0</v>
      </c>
      <c r="Q864" s="25">
        <v>0</v>
      </c>
    </row>
    <row r="865" spans="1:17" ht="31.2" x14ac:dyDescent="0.25">
      <c r="A865" s="17" t="s">
        <v>137</v>
      </c>
      <c r="B865" s="17" t="s">
        <v>201</v>
      </c>
      <c r="C865" s="17" t="s">
        <v>138</v>
      </c>
      <c r="D865" s="17" t="s">
        <v>388</v>
      </c>
      <c r="E865" s="196">
        <f>(N866*N871+O866*O871+P866*P871+Q866*Q871)/(N859*N858*N850+O858*O859*O850+P859*P858*P850+Q859*Q858*Q850)</f>
        <v>0.59054726059943785</v>
      </c>
      <c r="F865" s="196"/>
      <c r="G865" s="196"/>
      <c r="H865" s="196"/>
      <c r="I865" s="196"/>
      <c r="J865" s="196"/>
      <c r="K865" s="196"/>
      <c r="L865" s="196"/>
      <c r="M865" s="196"/>
      <c r="N865" s="196"/>
      <c r="O865" s="196"/>
      <c r="P865" s="196"/>
      <c r="Q865" s="196"/>
    </row>
    <row r="866" spans="1:17" ht="31.2" x14ac:dyDescent="0.25">
      <c r="A866" s="17" t="s">
        <v>139</v>
      </c>
      <c r="B866" s="17" t="s">
        <v>37</v>
      </c>
      <c r="C866" s="17" t="s">
        <v>140</v>
      </c>
      <c r="D866" s="17" t="s">
        <v>375</v>
      </c>
      <c r="E866" s="27">
        <f>AVERAGE(F866:Q866)</f>
        <v>0.60634569355483003</v>
      </c>
      <c r="F866" s="27" t="s">
        <v>297</v>
      </c>
      <c r="G866" s="27" t="s">
        <v>297</v>
      </c>
      <c r="H866" s="27" t="s">
        <v>297</v>
      </c>
      <c r="I866" s="27" t="s">
        <v>297</v>
      </c>
      <c r="J866" s="27" t="s">
        <v>297</v>
      </c>
      <c r="K866" s="27" t="s">
        <v>297</v>
      </c>
      <c r="L866" s="27" t="s">
        <v>297</v>
      </c>
      <c r="M866" s="27" t="s">
        <v>297</v>
      </c>
      <c r="N866" s="27">
        <f>IF(N870&lt;283,0,IF(N870&gt;303,1,EXP(($E$867*(N870-$E$868))/($E$869*$E$868*N870))))</f>
        <v>0.88152221926734242</v>
      </c>
      <c r="O866" s="27">
        <f t="shared" ref="O866:Q866" si="109">IF(O870&lt;283,0,IF(O870&gt;303,1,EXP(($E$867*(O870-$E$868))/($E$869*$E$868*O870))))</f>
        <v>0.65487347206548807</v>
      </c>
      <c r="P866" s="27">
        <f t="shared" si="109"/>
        <v>0.55084569341606926</v>
      </c>
      <c r="Q866" s="27">
        <f t="shared" si="109"/>
        <v>0.33814138947042022</v>
      </c>
    </row>
    <row r="867" spans="1:17" x14ac:dyDescent="0.25">
      <c r="A867" s="17" t="s">
        <v>51</v>
      </c>
      <c r="B867" s="17" t="s">
        <v>52</v>
      </c>
      <c r="C867" s="17" t="s">
        <v>53</v>
      </c>
      <c r="D867" s="17" t="s">
        <v>389</v>
      </c>
      <c r="E867" s="176">
        <v>15175</v>
      </c>
      <c r="F867" s="176"/>
      <c r="G867" s="176"/>
      <c r="H867" s="176"/>
      <c r="I867" s="176"/>
      <c r="J867" s="176"/>
      <c r="K867" s="176"/>
      <c r="L867" s="176"/>
      <c r="M867" s="176"/>
      <c r="N867" s="176"/>
      <c r="O867" s="176"/>
      <c r="P867" s="176"/>
      <c r="Q867" s="176"/>
    </row>
    <row r="868" spans="1:17" ht="18" x14ac:dyDescent="0.25">
      <c r="A868" s="17" t="s">
        <v>141</v>
      </c>
      <c r="B868" s="17" t="s">
        <v>55</v>
      </c>
      <c r="C868" s="17" t="s">
        <v>56</v>
      </c>
      <c r="D868" s="17" t="s">
        <v>389</v>
      </c>
      <c r="E868" s="176">
        <v>303.16000000000003</v>
      </c>
      <c r="F868" s="176"/>
      <c r="G868" s="176"/>
      <c r="H868" s="176"/>
      <c r="I868" s="176"/>
      <c r="J868" s="176"/>
      <c r="K868" s="176"/>
      <c r="L868" s="176"/>
      <c r="M868" s="176"/>
      <c r="N868" s="176"/>
      <c r="O868" s="176"/>
      <c r="P868" s="176"/>
      <c r="Q868" s="176"/>
    </row>
    <row r="869" spans="1:17" x14ac:dyDescent="0.25">
      <c r="A869" s="17" t="s">
        <v>57</v>
      </c>
      <c r="B869" s="17" t="s">
        <v>58</v>
      </c>
      <c r="C869" s="17" t="s">
        <v>59</v>
      </c>
      <c r="D869" s="17" t="s">
        <v>389</v>
      </c>
      <c r="E869" s="176">
        <v>1.9870000000000001</v>
      </c>
      <c r="F869" s="176"/>
      <c r="G869" s="176"/>
      <c r="H869" s="176"/>
      <c r="I869" s="176"/>
      <c r="J869" s="176"/>
      <c r="K869" s="176"/>
      <c r="L869" s="176"/>
      <c r="M869" s="176"/>
      <c r="N869" s="176"/>
      <c r="O869" s="176"/>
      <c r="P869" s="176"/>
      <c r="Q869" s="176"/>
    </row>
    <row r="870" spans="1:17" ht="18" x14ac:dyDescent="0.25">
      <c r="A870" s="17" t="s">
        <v>142</v>
      </c>
      <c r="B870" s="17" t="s">
        <v>55</v>
      </c>
      <c r="C870" s="17" t="s">
        <v>143</v>
      </c>
      <c r="D870" s="144" t="s">
        <v>363</v>
      </c>
      <c r="E870" s="28">
        <f>AVERAGE(N870:Q870)</f>
        <v>296.64999999999998</v>
      </c>
      <c r="F870" s="25" t="s">
        <v>297</v>
      </c>
      <c r="G870" s="25" t="s">
        <v>297</v>
      </c>
      <c r="H870" s="25" t="s">
        <v>297</v>
      </c>
      <c r="I870" s="25" t="s">
        <v>297</v>
      </c>
      <c r="J870" s="25" t="s">
        <v>297</v>
      </c>
      <c r="K870" s="25" t="s">
        <v>297</v>
      </c>
      <c r="L870" s="25" t="s">
        <v>297</v>
      </c>
      <c r="M870" s="25" t="s">
        <v>297</v>
      </c>
      <c r="N870" s="25">
        <v>301.64999999999998</v>
      </c>
      <c r="O870" s="25">
        <v>298.14999999999998</v>
      </c>
      <c r="P870" s="25">
        <v>296.14999999999998</v>
      </c>
      <c r="Q870" s="25">
        <v>290.64999999999998</v>
      </c>
    </row>
    <row r="871" spans="1:17" ht="46.8" x14ac:dyDescent="0.25">
      <c r="A871" s="17" t="s">
        <v>144</v>
      </c>
      <c r="B871" s="17" t="s">
        <v>24</v>
      </c>
      <c r="C871" s="17" t="s">
        <v>145</v>
      </c>
      <c r="D871" s="17" t="s">
        <v>390</v>
      </c>
      <c r="E871" s="29">
        <f>SUM(N871:Q871)</f>
        <v>11.04024914977818</v>
      </c>
      <c r="F871" s="29" t="s">
        <v>297</v>
      </c>
      <c r="G871" s="29" t="s">
        <v>297</v>
      </c>
      <c r="H871" s="29" t="s">
        <v>297</v>
      </c>
      <c r="I871" s="29" t="s">
        <v>297</v>
      </c>
      <c r="J871" s="29" t="s">
        <v>297</v>
      </c>
      <c r="K871" s="29" t="s">
        <v>297</v>
      </c>
      <c r="L871" s="29" t="s">
        <v>297</v>
      </c>
      <c r="M871" s="29" t="s">
        <v>297</v>
      </c>
      <c r="N871" s="29">
        <f>N858*N859*'Project Emissions 2020'!N850+(1-N866)*0</f>
        <v>2.2105304674083328</v>
      </c>
      <c r="O871" s="29">
        <f>O858*O859*'Project Emissions 2020'!O850+(1-O866)*0</f>
        <v>3.1399375792045694</v>
      </c>
      <c r="P871" s="29">
        <f>P858*P859*'Project Emissions 2020'!P850+(1-P866)*0</f>
        <v>2.7782458785152779</v>
      </c>
      <c r="Q871" s="29">
        <f>Q858*Q859*'Project Emissions 2020'!Q850+(1-Q866)*0</f>
        <v>2.911535224650001</v>
      </c>
    </row>
    <row r="872" spans="1:17" x14ac:dyDescent="0.3">
      <c r="A872" s="30"/>
      <c r="E872" s="31"/>
      <c r="F872" s="31"/>
      <c r="G872" s="31"/>
      <c r="H872" s="31"/>
      <c r="I872" s="31"/>
      <c r="J872" s="31"/>
      <c r="K872" s="31"/>
      <c r="L872" s="31"/>
      <c r="M872" s="31"/>
      <c r="N872" s="31"/>
      <c r="O872" s="31"/>
      <c r="P872" s="31"/>
      <c r="Q872" s="31"/>
    </row>
    <row r="873" spans="1:17" x14ac:dyDescent="0.25">
      <c r="A873" s="174" t="s">
        <v>146</v>
      </c>
      <c r="B873" s="174"/>
      <c r="C873" s="175"/>
      <c r="D873" s="175"/>
      <c r="E873" s="195"/>
      <c r="F873" s="32"/>
      <c r="G873" s="32"/>
      <c r="H873" s="32"/>
      <c r="I873" s="32"/>
      <c r="J873" s="32"/>
      <c r="K873" s="32"/>
      <c r="L873" s="32"/>
      <c r="M873" s="32"/>
      <c r="N873" s="32"/>
      <c r="O873" s="32"/>
      <c r="P873" s="32"/>
      <c r="Q873" s="32"/>
    </row>
    <row r="874" spans="1:17" x14ac:dyDescent="0.25">
      <c r="A874" s="33" t="s">
        <v>8</v>
      </c>
      <c r="B874" s="33" t="s">
        <v>9</v>
      </c>
      <c r="C874" s="34" t="s">
        <v>10</v>
      </c>
      <c r="D874" s="34" t="s">
        <v>340</v>
      </c>
      <c r="E874" s="16" t="s">
        <v>65</v>
      </c>
      <c r="F874" s="32"/>
      <c r="G874" s="32"/>
      <c r="H874" s="32"/>
      <c r="I874" s="32"/>
      <c r="J874" s="32"/>
      <c r="K874" s="32"/>
      <c r="L874" s="32"/>
      <c r="M874" s="32"/>
      <c r="N874" s="32"/>
      <c r="O874" s="32"/>
      <c r="P874" s="32"/>
      <c r="Q874" s="32"/>
    </row>
    <row r="875" spans="1:17" ht="46.8" x14ac:dyDescent="0.25">
      <c r="A875" s="15" t="s">
        <v>147</v>
      </c>
      <c r="B875" s="17" t="s">
        <v>95</v>
      </c>
      <c r="C875" s="35" t="s">
        <v>148</v>
      </c>
      <c r="D875" s="35" t="s">
        <v>68</v>
      </c>
      <c r="E875" s="16">
        <v>0</v>
      </c>
      <c r="F875" s="32"/>
      <c r="G875" s="32"/>
      <c r="H875" s="32"/>
      <c r="I875" s="32"/>
      <c r="J875" s="32"/>
      <c r="K875" s="32"/>
      <c r="L875" s="32"/>
      <c r="M875" s="32"/>
      <c r="N875" s="32"/>
      <c r="O875" s="32"/>
      <c r="P875" s="32"/>
      <c r="Q875" s="32"/>
    </row>
    <row r="876" spans="1:17" x14ac:dyDescent="0.25">
      <c r="A876" s="36"/>
      <c r="B876" s="36"/>
      <c r="C876" s="37"/>
      <c r="D876" s="37"/>
      <c r="E876" s="32"/>
      <c r="F876" s="32"/>
      <c r="G876" s="32"/>
      <c r="H876" s="32"/>
      <c r="I876" s="32"/>
      <c r="J876" s="32"/>
      <c r="K876" s="32"/>
      <c r="L876" s="32"/>
      <c r="M876" s="32"/>
      <c r="N876" s="32"/>
      <c r="O876" s="32"/>
      <c r="P876" s="32"/>
      <c r="Q876" s="32"/>
    </row>
    <row r="877" spans="1:17" x14ac:dyDescent="0.25">
      <c r="A877" s="174" t="s">
        <v>149</v>
      </c>
      <c r="B877" s="174"/>
      <c r="C877" s="175"/>
      <c r="D877" s="175"/>
      <c r="E877" s="195"/>
      <c r="F877" s="32"/>
      <c r="G877" s="32"/>
      <c r="H877" s="32"/>
      <c r="I877" s="32"/>
      <c r="J877" s="32"/>
      <c r="K877" s="32"/>
      <c r="L877" s="32"/>
      <c r="M877" s="32"/>
      <c r="N877" s="32"/>
      <c r="O877" s="32"/>
      <c r="P877" s="32"/>
      <c r="Q877" s="32"/>
    </row>
    <row r="878" spans="1:17" x14ac:dyDescent="0.25">
      <c r="A878" s="33" t="s">
        <v>8</v>
      </c>
      <c r="B878" s="33" t="s">
        <v>9</v>
      </c>
      <c r="C878" s="34" t="s">
        <v>10</v>
      </c>
      <c r="D878" s="34" t="s">
        <v>340</v>
      </c>
      <c r="E878" s="16" t="s">
        <v>65</v>
      </c>
      <c r="F878" s="32"/>
      <c r="G878" s="32"/>
      <c r="H878" s="32"/>
      <c r="I878" s="32"/>
      <c r="J878" s="32"/>
      <c r="K878" s="32"/>
      <c r="L878" s="32"/>
      <c r="M878" s="32"/>
      <c r="N878" s="32"/>
      <c r="O878" s="32"/>
      <c r="P878" s="32"/>
      <c r="Q878" s="32"/>
    </row>
    <row r="879" spans="1:17" ht="46.8" x14ac:dyDescent="0.25">
      <c r="A879" s="15" t="s">
        <v>150</v>
      </c>
      <c r="B879" s="17" t="s">
        <v>95</v>
      </c>
      <c r="C879" s="35" t="s">
        <v>151</v>
      </c>
      <c r="D879" s="35" t="s">
        <v>68</v>
      </c>
      <c r="E879" s="16">
        <v>0</v>
      </c>
      <c r="F879" s="32"/>
      <c r="G879" s="32"/>
      <c r="H879" s="32"/>
      <c r="I879" s="32"/>
      <c r="J879" s="32"/>
      <c r="K879" s="32"/>
      <c r="L879" s="32"/>
      <c r="M879" s="32"/>
      <c r="N879" s="32"/>
      <c r="O879" s="32"/>
      <c r="P879" s="32"/>
      <c r="Q879" s="32"/>
    </row>
    <row r="880" spans="1:17" x14ac:dyDescent="0.25">
      <c r="F880" s="32"/>
      <c r="G880" s="32"/>
      <c r="H880" s="32"/>
      <c r="I880" s="32"/>
      <c r="J880" s="32"/>
      <c r="K880" s="32"/>
      <c r="L880" s="32"/>
      <c r="M880" s="32"/>
      <c r="N880" s="32"/>
      <c r="O880" s="32"/>
      <c r="P880" s="32"/>
      <c r="Q880" s="32"/>
    </row>
    <row r="881" spans="1:19" x14ac:dyDescent="0.25">
      <c r="A881" s="174" t="s">
        <v>152</v>
      </c>
      <c r="B881" s="174"/>
      <c r="C881" s="175"/>
      <c r="D881" s="175"/>
      <c r="E881" s="195"/>
      <c r="F881" s="32"/>
      <c r="G881" s="32"/>
      <c r="H881" s="32"/>
      <c r="I881" s="32"/>
      <c r="J881" s="32"/>
      <c r="K881" s="32"/>
      <c r="L881" s="32"/>
      <c r="M881" s="32"/>
      <c r="N881" s="32"/>
      <c r="O881" s="32"/>
      <c r="P881" s="32"/>
      <c r="Q881" s="32"/>
    </row>
    <row r="882" spans="1:19" s="10" customFormat="1" x14ac:dyDescent="0.25">
      <c r="A882" s="15" t="s">
        <v>8</v>
      </c>
      <c r="B882" s="15" t="s">
        <v>9</v>
      </c>
      <c r="C882" s="38" t="s">
        <v>10</v>
      </c>
      <c r="D882" s="38" t="s">
        <v>340</v>
      </c>
      <c r="E882" s="16" t="s">
        <v>65</v>
      </c>
      <c r="F882" s="32"/>
      <c r="G882" s="32"/>
      <c r="H882" s="39"/>
      <c r="I882" s="39"/>
      <c r="J882" s="39"/>
      <c r="K882" s="39"/>
      <c r="L882" s="39"/>
      <c r="M882" s="39"/>
      <c r="N882" s="39"/>
      <c r="O882" s="39"/>
      <c r="P882" s="39"/>
      <c r="Q882" s="39"/>
    </row>
    <row r="883" spans="1:19" s="10" customFormat="1" ht="18" x14ac:dyDescent="0.4">
      <c r="A883" s="40" t="s">
        <v>153</v>
      </c>
      <c r="B883" s="17" t="s">
        <v>103</v>
      </c>
      <c r="C883" s="35" t="s">
        <v>154</v>
      </c>
      <c r="D883" s="35" t="s">
        <v>155</v>
      </c>
      <c r="E883" s="41">
        <f>E884*E886*(1+E885)</f>
        <v>120.32427693059999</v>
      </c>
      <c r="F883" s="32"/>
      <c r="G883" s="32"/>
      <c r="H883" s="39"/>
      <c r="I883" s="39"/>
      <c r="J883" s="39"/>
      <c r="K883" s="39"/>
      <c r="L883" s="39"/>
      <c r="M883" s="39"/>
      <c r="N883" s="39"/>
      <c r="O883" s="39"/>
      <c r="P883" s="39"/>
      <c r="Q883" s="39"/>
    </row>
    <row r="884" spans="1:19" ht="31.2" x14ac:dyDescent="0.25">
      <c r="A884" s="17" t="s">
        <v>156</v>
      </c>
      <c r="B884" s="17" t="s">
        <v>157</v>
      </c>
      <c r="C884" s="35" t="s">
        <v>158</v>
      </c>
      <c r="D884" s="35" t="s">
        <v>344</v>
      </c>
      <c r="E884" s="20">
        <f>197052.63/1000</f>
        <v>197.05262999999999</v>
      </c>
      <c r="G884" s="42"/>
      <c r="H884" s="43"/>
      <c r="I884" s="43"/>
      <c r="J884" s="43"/>
      <c r="K884" s="43"/>
      <c r="L884" s="43"/>
      <c r="M884" s="43"/>
      <c r="N884" s="43"/>
      <c r="O884" s="43"/>
      <c r="P884" s="43"/>
      <c r="Q884" s="43"/>
      <c r="R884" s="9"/>
      <c r="S884" s="9"/>
    </row>
    <row r="885" spans="1:19" ht="31.2" x14ac:dyDescent="0.25">
      <c r="A885" s="17" t="s">
        <v>159</v>
      </c>
      <c r="B885" s="17" t="s">
        <v>160</v>
      </c>
      <c r="C885" s="35" t="s">
        <v>161</v>
      </c>
      <c r="D885" s="35" t="s">
        <v>162</v>
      </c>
      <c r="E885" s="44">
        <v>0.2</v>
      </c>
      <c r="H885" s="43"/>
      <c r="I885" s="43"/>
      <c r="J885" s="43"/>
      <c r="K885" s="43"/>
      <c r="L885" s="43"/>
      <c r="M885" s="43"/>
      <c r="N885" s="43"/>
      <c r="O885" s="43"/>
      <c r="P885" s="43"/>
      <c r="Q885" s="43"/>
      <c r="R885" s="9"/>
      <c r="S885" s="9"/>
    </row>
    <row r="886" spans="1:19" ht="46.8" x14ac:dyDescent="0.25">
      <c r="A886" s="17" t="s">
        <v>163</v>
      </c>
      <c r="B886" s="17" t="s">
        <v>164</v>
      </c>
      <c r="C886" s="35" t="s">
        <v>165</v>
      </c>
      <c r="D886" s="35" t="s">
        <v>166</v>
      </c>
      <c r="E886" s="45">
        <f>0.5*0.8042+0.5*0.2135</f>
        <v>0.50885000000000002</v>
      </c>
      <c r="F886" s="46"/>
      <c r="G886" s="46"/>
      <c r="H886" s="46"/>
      <c r="I886" s="46"/>
      <c r="J886" s="46"/>
      <c r="K886" s="46"/>
      <c r="L886" s="46"/>
      <c r="M886" s="46"/>
      <c r="N886" s="46"/>
      <c r="O886" s="46"/>
      <c r="P886" s="46"/>
      <c r="Q886" s="46"/>
    </row>
    <row r="887" spans="1:19" ht="31.2" x14ac:dyDescent="0.4">
      <c r="A887" s="40" t="s">
        <v>167</v>
      </c>
      <c r="B887" s="17" t="s">
        <v>103</v>
      </c>
      <c r="C887" s="35" t="s">
        <v>168</v>
      </c>
      <c r="D887" s="35" t="s">
        <v>169</v>
      </c>
      <c r="E887" s="47">
        <v>0</v>
      </c>
      <c r="H887" s="43"/>
      <c r="I887" s="43"/>
      <c r="J887" s="43"/>
      <c r="K887" s="43"/>
      <c r="L887" s="43"/>
      <c r="M887" s="43"/>
      <c r="N887" s="43"/>
      <c r="O887" s="43"/>
      <c r="P887" s="43"/>
      <c r="Q887" s="43"/>
      <c r="R887" s="9"/>
      <c r="S887" s="9"/>
    </row>
    <row r="888" spans="1:19" x14ac:dyDescent="0.3">
      <c r="A888" s="48"/>
      <c r="E888" s="49"/>
      <c r="H888" s="43"/>
      <c r="I888" s="43"/>
      <c r="J888" s="43"/>
      <c r="K888" s="43"/>
      <c r="L888" s="43"/>
      <c r="M888" s="43"/>
      <c r="N888" s="43"/>
      <c r="O888" s="43"/>
      <c r="P888" s="43"/>
      <c r="Q888" s="43"/>
      <c r="R888" s="9"/>
      <c r="S888" s="9"/>
    </row>
    <row r="889" spans="1:19" x14ac:dyDescent="0.25">
      <c r="A889" s="174" t="s">
        <v>170</v>
      </c>
      <c r="B889" s="174"/>
      <c r="C889" s="175"/>
      <c r="D889" s="175"/>
      <c r="E889" s="195"/>
      <c r="F889" s="32"/>
      <c r="G889" s="32"/>
      <c r="H889" s="32"/>
      <c r="I889" s="32"/>
      <c r="J889" s="32"/>
      <c r="K889" s="32"/>
      <c r="L889" s="32"/>
      <c r="M889" s="32"/>
      <c r="N889" s="32"/>
      <c r="O889" s="32"/>
      <c r="P889" s="32"/>
      <c r="Q889" s="32"/>
    </row>
    <row r="890" spans="1:19" x14ac:dyDescent="0.25">
      <c r="A890" s="15" t="s">
        <v>8</v>
      </c>
      <c r="B890" s="15" t="s">
        <v>9</v>
      </c>
      <c r="C890" s="38" t="s">
        <v>10</v>
      </c>
      <c r="D890" s="38" t="s">
        <v>340</v>
      </c>
      <c r="E890" s="16" t="s">
        <v>65</v>
      </c>
      <c r="H890" s="43"/>
      <c r="I890" s="43"/>
      <c r="J890" s="43"/>
      <c r="K890" s="43"/>
      <c r="L890" s="43"/>
      <c r="M890" s="43"/>
      <c r="N890" s="43"/>
      <c r="O890" s="43"/>
      <c r="P890" s="43"/>
      <c r="Q890" s="43"/>
      <c r="R890" s="9"/>
      <c r="S890" s="9"/>
    </row>
    <row r="891" spans="1:19" ht="33.6" x14ac:dyDescent="0.4">
      <c r="A891" s="40" t="s">
        <v>171</v>
      </c>
      <c r="B891" s="17" t="s">
        <v>74</v>
      </c>
      <c r="C891" s="35" t="s">
        <v>172</v>
      </c>
      <c r="D891" s="35" t="s">
        <v>391</v>
      </c>
      <c r="E891" s="50">
        <f>E892*E895*E896*E897*E898*E899</f>
        <v>1.7562924736418879</v>
      </c>
      <c r="H891" s="43"/>
      <c r="I891" s="43"/>
      <c r="J891" s="43"/>
      <c r="K891" s="43"/>
      <c r="L891" s="43"/>
      <c r="M891" s="43"/>
      <c r="N891" s="43"/>
      <c r="O891" s="43"/>
      <c r="P891" s="43"/>
      <c r="Q891" s="43"/>
      <c r="R891" s="9"/>
      <c r="S891" s="9"/>
    </row>
    <row r="892" spans="1:19" ht="46.8" x14ac:dyDescent="0.4">
      <c r="A892" s="51" t="s">
        <v>173</v>
      </c>
      <c r="B892" s="17" t="s">
        <v>76</v>
      </c>
      <c r="C892" s="35" t="s">
        <v>174</v>
      </c>
      <c r="D892" s="35" t="s">
        <v>392</v>
      </c>
      <c r="E892" s="69">
        <f>ROUNDUP(E893/E894,0)</f>
        <v>69</v>
      </c>
      <c r="H892" s="43"/>
      <c r="I892" s="43"/>
      <c r="J892" s="43"/>
      <c r="K892" s="43"/>
      <c r="L892" s="43"/>
      <c r="M892" s="43"/>
      <c r="N892" s="43"/>
      <c r="O892" s="43"/>
      <c r="P892" s="43"/>
      <c r="Q892" s="43"/>
      <c r="R892" s="9"/>
      <c r="S892" s="9"/>
    </row>
    <row r="893" spans="1:19" ht="62.4" x14ac:dyDescent="0.25">
      <c r="A893" s="17" t="s">
        <v>175</v>
      </c>
      <c r="B893" s="17" t="s">
        <v>78</v>
      </c>
      <c r="C893" s="35" t="s">
        <v>176</v>
      </c>
      <c r="D893" s="35" t="s">
        <v>346</v>
      </c>
      <c r="E893" s="153">
        <v>342.19200000000001</v>
      </c>
      <c r="H893" s="43"/>
      <c r="I893" s="43"/>
      <c r="J893" s="43"/>
      <c r="K893" s="43"/>
      <c r="L893" s="43"/>
      <c r="M893" s="43"/>
      <c r="N893" s="43"/>
      <c r="O893" s="43"/>
      <c r="P893" s="43"/>
      <c r="Q893" s="43"/>
      <c r="R893" s="9"/>
      <c r="S893" s="9"/>
    </row>
    <row r="894" spans="1:19" ht="62.4" x14ac:dyDescent="0.25">
      <c r="A894" s="17" t="s">
        <v>177</v>
      </c>
      <c r="B894" s="17" t="s">
        <v>80</v>
      </c>
      <c r="C894" s="35" t="s">
        <v>81</v>
      </c>
      <c r="D894" s="35" t="s">
        <v>345</v>
      </c>
      <c r="E894" s="25">
        <f>5</f>
        <v>5</v>
      </c>
      <c r="H894" s="43"/>
      <c r="I894" s="43"/>
      <c r="J894" s="43"/>
      <c r="K894" s="43"/>
      <c r="L894" s="43"/>
      <c r="M894" s="43"/>
      <c r="N894" s="43"/>
      <c r="O894" s="43"/>
      <c r="P894" s="43"/>
      <c r="Q894" s="43"/>
      <c r="R894" s="9"/>
      <c r="S894" s="9"/>
    </row>
    <row r="895" spans="1:19" ht="202.8" x14ac:dyDescent="0.25">
      <c r="A895" s="17" t="s">
        <v>178</v>
      </c>
      <c r="B895" s="17" t="s">
        <v>82</v>
      </c>
      <c r="C895" s="35" t="s">
        <v>179</v>
      </c>
      <c r="D895" s="35" t="s">
        <v>367</v>
      </c>
      <c r="E895" s="25">
        <v>37.6</v>
      </c>
      <c r="H895" s="43"/>
      <c r="I895" s="43"/>
      <c r="J895" s="43"/>
      <c r="K895" s="43"/>
      <c r="L895" s="43"/>
      <c r="M895" s="43"/>
      <c r="N895" s="43"/>
      <c r="O895" s="43"/>
      <c r="P895" s="43"/>
      <c r="Q895" s="43"/>
      <c r="R895" s="9"/>
      <c r="S895" s="9"/>
    </row>
    <row r="896" spans="1:19" ht="156" x14ac:dyDescent="0.25">
      <c r="A896" s="17" t="s">
        <v>180</v>
      </c>
      <c r="B896" s="17" t="s">
        <v>84</v>
      </c>
      <c r="C896" s="35" t="s">
        <v>85</v>
      </c>
      <c r="D896" s="35" t="s">
        <v>365</v>
      </c>
      <c r="E896" s="25">
        <f>25.1/100</f>
        <v>0.251</v>
      </c>
      <c r="H896" s="43"/>
      <c r="I896" s="43"/>
      <c r="J896" s="43"/>
      <c r="K896" s="43"/>
      <c r="L896" s="43"/>
      <c r="M896" s="43"/>
      <c r="N896" s="43"/>
      <c r="O896" s="43"/>
      <c r="P896" s="43"/>
      <c r="Q896" s="43"/>
      <c r="R896" s="9"/>
      <c r="S896" s="9"/>
    </row>
    <row r="897" spans="1:19" ht="62.4" x14ac:dyDescent="0.25">
      <c r="A897" s="17" t="s">
        <v>86</v>
      </c>
      <c r="B897" s="17" t="s">
        <v>87</v>
      </c>
      <c r="C897" s="35" t="s">
        <v>86</v>
      </c>
      <c r="D897" s="35" t="s">
        <v>215</v>
      </c>
      <c r="E897" s="25">
        <f>0.84/1000</f>
        <v>8.3999999999999993E-4</v>
      </c>
      <c r="H897" s="43"/>
      <c r="I897" s="43"/>
      <c r="J897" s="43"/>
      <c r="K897" s="43"/>
      <c r="L897" s="43"/>
      <c r="M897" s="43"/>
      <c r="N897" s="43"/>
      <c r="O897" s="43"/>
      <c r="P897" s="43"/>
      <c r="Q897" s="43"/>
      <c r="R897" s="9"/>
      <c r="S897" s="9"/>
    </row>
    <row r="898" spans="1:19" ht="124.8" x14ac:dyDescent="0.25">
      <c r="A898" s="17" t="s">
        <v>181</v>
      </c>
      <c r="B898" s="17" t="s">
        <v>88</v>
      </c>
      <c r="C898" s="35" t="s">
        <v>89</v>
      </c>
      <c r="D898" s="35" t="s">
        <v>360</v>
      </c>
      <c r="E898" s="25">
        <f>43.33/1000</f>
        <v>4.333E-2</v>
      </c>
      <c r="H898" s="43"/>
      <c r="I898" s="43"/>
      <c r="J898" s="43"/>
      <c r="K898" s="43"/>
      <c r="L898" s="43"/>
      <c r="M898" s="43"/>
      <c r="N898" s="43"/>
      <c r="O898" s="43"/>
      <c r="P898" s="43"/>
      <c r="Q898" s="43"/>
      <c r="R898" s="9"/>
      <c r="S898" s="9"/>
    </row>
    <row r="899" spans="1:19" ht="33.6" x14ac:dyDescent="0.25">
      <c r="A899" s="17" t="s">
        <v>182</v>
      </c>
      <c r="B899" s="17" t="s">
        <v>90</v>
      </c>
      <c r="C899" s="35" t="s">
        <v>91</v>
      </c>
      <c r="D899" s="35" t="s">
        <v>92</v>
      </c>
      <c r="E899" s="25">
        <v>74.099999999999994</v>
      </c>
      <c r="H899" s="43"/>
      <c r="I899" s="43"/>
      <c r="J899" s="43"/>
      <c r="K899" s="43"/>
      <c r="L899" s="43"/>
      <c r="M899" s="43"/>
      <c r="N899" s="43"/>
      <c r="O899" s="43"/>
      <c r="P899" s="43"/>
      <c r="Q899" s="43"/>
      <c r="R899" s="9"/>
      <c r="S899" s="9"/>
    </row>
    <row r="901" spans="1:19" x14ac:dyDescent="0.25">
      <c r="A901" s="33" t="s">
        <v>8</v>
      </c>
      <c r="B901" s="33" t="s">
        <v>9</v>
      </c>
      <c r="C901" s="34" t="s">
        <v>10</v>
      </c>
      <c r="D901" s="34" t="s">
        <v>340</v>
      </c>
      <c r="E901" s="16" t="s">
        <v>65</v>
      </c>
    </row>
    <row r="902" spans="1:19" ht="18" x14ac:dyDescent="0.25">
      <c r="A902" s="15" t="s">
        <v>183</v>
      </c>
      <c r="B902" s="17" t="s">
        <v>103</v>
      </c>
      <c r="C902" s="35" t="s">
        <v>184</v>
      </c>
      <c r="D902" s="53" t="s">
        <v>393</v>
      </c>
      <c r="E902" s="18">
        <f>ROUNDUP(E851+E875+E879+E883+E891,0)</f>
        <v>123</v>
      </c>
    </row>
    <row r="905" spans="1:19" x14ac:dyDescent="0.25">
      <c r="D905" s="13"/>
    </row>
    <row r="906" spans="1:19" x14ac:dyDescent="0.25">
      <c r="D906" s="32"/>
      <c r="E906" s="100"/>
    </row>
  </sheetData>
  <mergeCells count="214">
    <mergeCell ref="A61:E61"/>
    <mergeCell ref="E71:Q71"/>
    <mergeCell ref="E72:Q72"/>
    <mergeCell ref="E76:Q76"/>
    <mergeCell ref="E78:Q78"/>
    <mergeCell ref="A1:XFD1"/>
    <mergeCell ref="A2:Q2"/>
    <mergeCell ref="A58:XFD58"/>
    <mergeCell ref="A59:Q59"/>
    <mergeCell ref="A3:Q3"/>
    <mergeCell ref="A5:E5"/>
    <mergeCell ref="E15:Q15"/>
    <mergeCell ref="E16:Q16"/>
    <mergeCell ref="E20:Q20"/>
    <mergeCell ref="A36:E36"/>
    <mergeCell ref="A44:E44"/>
    <mergeCell ref="E22:Q22"/>
    <mergeCell ref="E23:Q23"/>
    <mergeCell ref="E24:Q24"/>
    <mergeCell ref="A28:E28"/>
    <mergeCell ref="A32:E32"/>
    <mergeCell ref="A100:E100"/>
    <mergeCell ref="A114:XFD114"/>
    <mergeCell ref="A115:XFD115"/>
    <mergeCell ref="A116:Q116"/>
    <mergeCell ref="A118:E118"/>
    <mergeCell ref="E79:Q79"/>
    <mergeCell ref="E80:Q80"/>
    <mergeCell ref="A84:E84"/>
    <mergeCell ref="A88:E88"/>
    <mergeCell ref="A92:E92"/>
    <mergeCell ref="E137:Q137"/>
    <mergeCell ref="A141:E141"/>
    <mergeCell ref="A145:E145"/>
    <mergeCell ref="A149:E149"/>
    <mergeCell ref="A157:E157"/>
    <mergeCell ref="E128:Q128"/>
    <mergeCell ref="E129:Q129"/>
    <mergeCell ref="E133:Q133"/>
    <mergeCell ref="E135:Q135"/>
    <mergeCell ref="E136:Q136"/>
    <mergeCell ref="E189:Q189"/>
    <mergeCell ref="E191:Q191"/>
    <mergeCell ref="E192:Q192"/>
    <mergeCell ref="E193:Q193"/>
    <mergeCell ref="A197:E197"/>
    <mergeCell ref="A171:XFD171"/>
    <mergeCell ref="A172:Q172"/>
    <mergeCell ref="A174:E174"/>
    <mergeCell ref="E184:Q184"/>
    <mergeCell ref="E185:Q185"/>
    <mergeCell ref="A229:Q229"/>
    <mergeCell ref="A231:E231"/>
    <mergeCell ref="E241:Q241"/>
    <mergeCell ref="E242:Q242"/>
    <mergeCell ref="E246:Q246"/>
    <mergeCell ref="A201:E201"/>
    <mergeCell ref="A205:E205"/>
    <mergeCell ref="A213:E213"/>
    <mergeCell ref="A227:XFD227"/>
    <mergeCell ref="A228:XFD228"/>
    <mergeCell ref="A262:E262"/>
    <mergeCell ref="A270:E270"/>
    <mergeCell ref="A284:XFD284"/>
    <mergeCell ref="A285:Q285"/>
    <mergeCell ref="A287:E287"/>
    <mergeCell ref="E248:Q248"/>
    <mergeCell ref="E249:Q249"/>
    <mergeCell ref="E250:Q250"/>
    <mergeCell ref="A254:E254"/>
    <mergeCell ref="A258:E258"/>
    <mergeCell ref="E306:Q306"/>
    <mergeCell ref="A310:E310"/>
    <mergeCell ref="A314:E314"/>
    <mergeCell ref="A318:E318"/>
    <mergeCell ref="A326:E326"/>
    <mergeCell ref="E297:Q297"/>
    <mergeCell ref="E298:Q298"/>
    <mergeCell ref="E302:Q302"/>
    <mergeCell ref="E304:Q304"/>
    <mergeCell ref="E305:Q305"/>
    <mergeCell ref="E358:Q358"/>
    <mergeCell ref="E360:Q360"/>
    <mergeCell ref="E361:Q361"/>
    <mergeCell ref="E362:Q362"/>
    <mergeCell ref="A366:E366"/>
    <mergeCell ref="A340:XFD340"/>
    <mergeCell ref="A341:Q341"/>
    <mergeCell ref="A343:E343"/>
    <mergeCell ref="E353:Q353"/>
    <mergeCell ref="E354:Q354"/>
    <mergeCell ref="A399:E399"/>
    <mergeCell ref="E409:Q409"/>
    <mergeCell ref="E410:Q410"/>
    <mergeCell ref="E414:Q414"/>
    <mergeCell ref="E416:Q416"/>
    <mergeCell ref="A370:E370"/>
    <mergeCell ref="A374:E374"/>
    <mergeCell ref="A382:E382"/>
    <mergeCell ref="A396:XFD396"/>
    <mergeCell ref="A397:Q397"/>
    <mergeCell ref="A438:E438"/>
    <mergeCell ref="A452:XFD452"/>
    <mergeCell ref="A453:Q453"/>
    <mergeCell ref="A455:E455"/>
    <mergeCell ref="E465:Q465"/>
    <mergeCell ref="E417:Q417"/>
    <mergeCell ref="E418:Q418"/>
    <mergeCell ref="A422:E422"/>
    <mergeCell ref="A426:E426"/>
    <mergeCell ref="A430:E430"/>
    <mergeCell ref="A478:E478"/>
    <mergeCell ref="A482:E482"/>
    <mergeCell ref="A486:E486"/>
    <mergeCell ref="A494:E494"/>
    <mergeCell ref="A508:XFD508"/>
    <mergeCell ref="E466:Q466"/>
    <mergeCell ref="E470:Q470"/>
    <mergeCell ref="E472:Q472"/>
    <mergeCell ref="E473:Q473"/>
    <mergeCell ref="E474:Q474"/>
    <mergeCell ref="E527:Q527"/>
    <mergeCell ref="E529:Q529"/>
    <mergeCell ref="E530:Q530"/>
    <mergeCell ref="E531:Q531"/>
    <mergeCell ref="A535:E535"/>
    <mergeCell ref="A509:XFD509"/>
    <mergeCell ref="A510:Q510"/>
    <mergeCell ref="A512:E512"/>
    <mergeCell ref="E522:Q522"/>
    <mergeCell ref="E523:Q523"/>
    <mergeCell ref="A568:E568"/>
    <mergeCell ref="E578:Q578"/>
    <mergeCell ref="E579:Q579"/>
    <mergeCell ref="E583:Q583"/>
    <mergeCell ref="E585:Q585"/>
    <mergeCell ref="A539:E539"/>
    <mergeCell ref="A543:E543"/>
    <mergeCell ref="A551:E551"/>
    <mergeCell ref="A565:XFD565"/>
    <mergeCell ref="A566:Q566"/>
    <mergeCell ref="A607:E607"/>
    <mergeCell ref="A621:XFD621"/>
    <mergeCell ref="A622:XFD622"/>
    <mergeCell ref="A623:Q623"/>
    <mergeCell ref="A625:E625"/>
    <mergeCell ref="E586:Q586"/>
    <mergeCell ref="E587:Q587"/>
    <mergeCell ref="A591:E591"/>
    <mergeCell ref="A595:E595"/>
    <mergeCell ref="A599:E599"/>
    <mergeCell ref="E644:Q644"/>
    <mergeCell ref="A648:E648"/>
    <mergeCell ref="A652:E652"/>
    <mergeCell ref="A656:E656"/>
    <mergeCell ref="A664:E664"/>
    <mergeCell ref="E635:Q635"/>
    <mergeCell ref="E636:Q636"/>
    <mergeCell ref="E640:Q640"/>
    <mergeCell ref="E642:Q642"/>
    <mergeCell ref="E643:Q643"/>
    <mergeCell ref="E696:Q696"/>
    <mergeCell ref="E698:Q698"/>
    <mergeCell ref="E699:Q699"/>
    <mergeCell ref="E700:Q700"/>
    <mergeCell ref="A704:E704"/>
    <mergeCell ref="A678:XFD678"/>
    <mergeCell ref="A679:Q679"/>
    <mergeCell ref="A681:E681"/>
    <mergeCell ref="E691:Q691"/>
    <mergeCell ref="E692:Q692"/>
    <mergeCell ref="A736:Q736"/>
    <mergeCell ref="A738:E738"/>
    <mergeCell ref="E748:Q748"/>
    <mergeCell ref="E749:Q749"/>
    <mergeCell ref="E753:Q753"/>
    <mergeCell ref="A708:E708"/>
    <mergeCell ref="A712:E712"/>
    <mergeCell ref="A720:E720"/>
    <mergeCell ref="A734:XFD734"/>
    <mergeCell ref="A735:XFD735"/>
    <mergeCell ref="A769:E769"/>
    <mergeCell ref="A777:E777"/>
    <mergeCell ref="A791:XFD791"/>
    <mergeCell ref="A792:Q792"/>
    <mergeCell ref="A794:E794"/>
    <mergeCell ref="E755:Q755"/>
    <mergeCell ref="E756:Q756"/>
    <mergeCell ref="E757:Q757"/>
    <mergeCell ref="A761:E761"/>
    <mergeCell ref="A765:E765"/>
    <mergeCell ref="E813:Q813"/>
    <mergeCell ref="A817:E817"/>
    <mergeCell ref="A821:E821"/>
    <mergeCell ref="A825:E825"/>
    <mergeCell ref="A833:E833"/>
    <mergeCell ref="E804:Q804"/>
    <mergeCell ref="E805:Q805"/>
    <mergeCell ref="E809:Q809"/>
    <mergeCell ref="E811:Q811"/>
    <mergeCell ref="E812:Q812"/>
    <mergeCell ref="A877:E877"/>
    <mergeCell ref="A881:E881"/>
    <mergeCell ref="A889:E889"/>
    <mergeCell ref="E865:Q865"/>
    <mergeCell ref="E867:Q867"/>
    <mergeCell ref="E868:Q868"/>
    <mergeCell ref="E869:Q869"/>
    <mergeCell ref="A873:E873"/>
    <mergeCell ref="A847:XFD847"/>
    <mergeCell ref="A848:Q848"/>
    <mergeCell ref="A850:E850"/>
    <mergeCell ref="E860:Q860"/>
    <mergeCell ref="E861:Q861"/>
  </mergeCells>
  <phoneticPr fontId="24" type="noConversion"/>
  <hyperlinks>
    <hyperlink ref="D52" r:id="rId1" display="https://baike.baidu.com/item/%E6%9F%B4%E6%B2%B9%E5%AF%86%E5%BA%A6/298487" xr:uid="{00000000-0004-0000-0200-000000000000}"/>
    <hyperlink ref="D25" r:id="rId2" xr:uid="{00000000-0004-0000-0200-000001000000}"/>
    <hyperlink ref="D41" r:id="rId3" xr:uid="{00000000-0004-0000-0200-000002000000}"/>
    <hyperlink ref="D81" r:id="rId4" xr:uid="{150CC446-7F6F-4C4D-953F-A9D420E8DFDB}"/>
    <hyperlink ref="D97" r:id="rId5" xr:uid="{9896F895-A52D-442C-9B30-4BA5A40E9A7C}"/>
    <hyperlink ref="D138" r:id="rId6" xr:uid="{2CEBCD11-7AD2-415A-8D6D-BA6E5242CDDA}"/>
    <hyperlink ref="D154" r:id="rId7" xr:uid="{D2A87AD4-127E-4C06-B173-565689540387}"/>
    <hyperlink ref="D194" r:id="rId8" xr:uid="{057ACD26-D3E0-4711-BA7D-8B69518DF09B}"/>
    <hyperlink ref="D210" r:id="rId9" xr:uid="{23EE1AE7-3E94-453C-8CEB-CFACF052245D}"/>
    <hyperlink ref="D251" r:id="rId10" xr:uid="{99A06198-E167-421A-A456-FE54ECE24020}"/>
    <hyperlink ref="D267" r:id="rId11" xr:uid="{D47AA996-0E9B-4F6A-A19D-2BAE72A90188}"/>
    <hyperlink ref="D307" r:id="rId12" xr:uid="{52E3C5FC-EE34-4D36-9675-7750E87880B3}"/>
    <hyperlink ref="D323" r:id="rId13" xr:uid="{5375C133-137D-4812-A029-6B38A58CBF84}"/>
    <hyperlink ref="D363" r:id="rId14" xr:uid="{A69F3D3A-E2F1-4F58-819C-C0C2F63AC29D}"/>
    <hyperlink ref="D379" r:id="rId15" xr:uid="{E2FF56E9-8EDB-48F0-9C7F-95782B275B1E}"/>
    <hyperlink ref="D419" r:id="rId16" xr:uid="{EAAEAEB3-32BA-4AFA-B0A4-7B6CAF2097E8}"/>
    <hyperlink ref="D435" r:id="rId17" xr:uid="{B21C2252-71A2-4113-B952-162E21C4C659}"/>
    <hyperlink ref="D475" r:id="rId18" xr:uid="{18B2FF7A-4D0F-4BB2-BCC0-26155BA81CD2}"/>
    <hyperlink ref="D491" r:id="rId19" xr:uid="{FDB09650-724C-490D-9F9C-92B8D7207EF7}"/>
    <hyperlink ref="D532" r:id="rId20" xr:uid="{3A328893-E9FC-42A7-8873-9BA2E73E42D1}"/>
    <hyperlink ref="D548" r:id="rId21" xr:uid="{D68172CA-E934-42B7-B6D5-62E2F1741CA7}"/>
    <hyperlink ref="D588" r:id="rId22" xr:uid="{8EED80F6-0340-41DB-BE0C-DD52D4150A3B}"/>
    <hyperlink ref="D604" r:id="rId23" xr:uid="{05385614-099D-4750-8B07-CEC19B83649B}"/>
    <hyperlink ref="D645" r:id="rId24" xr:uid="{7F01498F-F37F-42CA-8F18-6594AD0E8375}"/>
    <hyperlink ref="D661" r:id="rId25" xr:uid="{A6A5AE5D-767A-44E5-8B3A-7D4516C35ECD}"/>
    <hyperlink ref="D701" r:id="rId26" xr:uid="{D7156FB0-BE55-4893-B6A1-7072799F9076}"/>
    <hyperlink ref="D717" r:id="rId27" xr:uid="{FABDE527-5644-4CCB-94BC-465A8915DA17}"/>
    <hyperlink ref="D758" r:id="rId28" xr:uid="{72D3781E-7760-4F79-94D3-6695CE0E7497}"/>
    <hyperlink ref="D774" r:id="rId29" xr:uid="{FBFBFFB5-0106-4951-8CFF-3B28C92DE8D2}"/>
    <hyperlink ref="D814" r:id="rId30" xr:uid="{8763A5FC-36FE-46C3-B41A-41D7048402B3}"/>
    <hyperlink ref="D830" r:id="rId31" xr:uid="{5388CE60-81B1-4B6D-B1F1-DE116D18A9EF}"/>
    <hyperlink ref="D870" r:id="rId32" xr:uid="{5FD54818-8A53-4168-AEE1-E0105E0F6952}"/>
    <hyperlink ref="D886" r:id="rId33" xr:uid="{1B3936A5-1CCB-44F4-889E-25D963683608}"/>
    <hyperlink ref="D108" r:id="rId34" display="https://baike.baidu.com/item/%E6%9F%B4%E6%B2%B9%E5%AF%86%E5%BA%A6/298487" xr:uid="{9BD0828E-4337-4352-8A46-E7AD76E10C23}"/>
    <hyperlink ref="D165" r:id="rId35" display="https://baike.baidu.com/item/%E6%9F%B4%E6%B2%B9%E5%AF%86%E5%BA%A6/298487" xr:uid="{AD93BD59-9D11-4381-B826-B3B486EA822D}"/>
    <hyperlink ref="D221" r:id="rId36" display="https://baike.baidu.com/item/%E6%9F%B4%E6%B2%B9%E5%AF%86%E5%BA%A6/298487" xr:uid="{B1182BFD-8B09-4581-AE51-F9DD88584D9F}"/>
    <hyperlink ref="D278" r:id="rId37" display="https://baike.baidu.com/item/%E6%9F%B4%E6%B2%B9%E5%AF%86%E5%BA%A6/298487" xr:uid="{5EF84CD7-0C64-4E64-9E96-51408AC64394}"/>
    <hyperlink ref="D334" r:id="rId38" display="https://baike.baidu.com/item/%E6%9F%B4%E6%B2%B9%E5%AF%86%E5%BA%A6/298487" xr:uid="{5A3D79C1-71CB-4F1B-A550-1A8F91620E6A}"/>
    <hyperlink ref="D390" r:id="rId39" display="https://baike.baidu.com/item/%E6%9F%B4%E6%B2%B9%E5%AF%86%E5%BA%A6/298487" xr:uid="{0509500E-DAF5-4D80-A550-43091EC357BE}"/>
    <hyperlink ref="D446" r:id="rId40" display="https://baike.baidu.com/item/%E6%9F%B4%E6%B2%B9%E5%AF%86%E5%BA%A6/298487" xr:uid="{5436B57C-F51D-4E02-A4F1-B4645248EECA}"/>
    <hyperlink ref="D502" r:id="rId41" display="https://baike.baidu.com/item/%E6%9F%B4%E6%B2%B9%E5%AF%86%E5%BA%A6/298487" xr:uid="{C19F60E1-79EF-46C9-B78E-CE1C5DAB30A7}"/>
    <hyperlink ref="D559" r:id="rId42" display="https://baike.baidu.com/item/%E6%9F%B4%E6%B2%B9%E5%AF%86%E5%BA%A6/298487" xr:uid="{028111FF-FC7F-48FD-BA81-C59A5500785F}"/>
    <hyperlink ref="D615" r:id="rId43" display="https://baike.baidu.com/item/%E6%9F%B4%E6%B2%B9%E5%AF%86%E5%BA%A6/298487" xr:uid="{6BF44FF4-DEC4-49A1-8E69-37D1357DFD33}"/>
    <hyperlink ref="D672" r:id="rId44" display="https://baike.baidu.com/item/%E6%9F%B4%E6%B2%B9%E5%AF%86%E5%BA%A6/298487" xr:uid="{6C3A78B7-5464-4A6B-85F5-65364BC95BD4}"/>
    <hyperlink ref="D728" r:id="rId45" display="https://baike.baidu.com/item/%E6%9F%B4%E6%B2%B9%E5%AF%86%E5%BA%A6/298487" xr:uid="{BB714A44-013F-4A3E-BF8F-696E1E97F623}"/>
    <hyperlink ref="D785" r:id="rId46" display="https://baike.baidu.com/item/%E6%9F%B4%E6%B2%B9%E5%AF%86%E5%BA%A6/298487" xr:uid="{C8D6BAF3-11EA-41C8-BA96-9B54F41670FB}"/>
    <hyperlink ref="D841" r:id="rId47" display="https://baike.baidu.com/item/%E6%9F%B4%E6%B2%B9%E5%AF%86%E5%BA%A6/298487" xr:uid="{68CCE512-8D13-4291-B57F-EA424A54092A}"/>
    <hyperlink ref="D897" r:id="rId48" display="https://baike.baidu.com/item/%E6%9F%B4%E6%B2%B9%E5%AF%86%E5%BA%A6/298487" xr:uid="{2482E009-A35C-4F64-A5D3-E37C3D4D4B6B}"/>
  </hyperlinks>
  <pageMargins left="0.7" right="0.7" top="0.75" bottom="0.75" header="0.3" footer="0.3"/>
  <pageSetup paperSize="9" orientation="portrait" horizontalDpi="300" verticalDpi="300" r:id="rId49"/>
  <ignoredErrors>
    <ignoredError sqref="E8 E180 E237 E293 E405 E458 E518 E687 E744 E856 E11 E64 E124 E121 E177 E349 E574:Q574 E631:Q631 E800:Q800 E853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5563B-E784-4EED-B4F0-1A53246AEAAC}">
  <dimension ref="A1:EC906"/>
  <sheetViews>
    <sheetView topLeftCell="A16" zoomScale="90" zoomScaleNormal="90" workbookViewId="0">
      <selection activeCell="G28" sqref="G28"/>
    </sheetView>
  </sheetViews>
  <sheetFormatPr defaultColWidth="11.44140625" defaultRowHeight="15.6" x14ac:dyDescent="0.25"/>
  <cols>
    <col min="1" max="1" width="16.33203125" style="11" customWidth="1"/>
    <col min="2" max="2" width="11.77734375" style="11" customWidth="1"/>
    <col min="3" max="3" width="53.5546875" style="12" customWidth="1"/>
    <col min="4" max="4" width="33.6640625" style="12" customWidth="1"/>
    <col min="5" max="5" width="18" style="13" customWidth="1"/>
    <col min="6" max="7" width="13.77734375" style="13" customWidth="1"/>
    <col min="8" max="8" width="14.33203125" style="13" customWidth="1"/>
    <col min="9" max="9" width="14" style="13" customWidth="1"/>
    <col min="10" max="10" width="13.6640625" style="13" customWidth="1"/>
    <col min="11" max="11" width="15" style="13" customWidth="1"/>
    <col min="12" max="12" width="14.21875" style="13" customWidth="1"/>
    <col min="13" max="13" width="16.44140625" style="13" customWidth="1"/>
    <col min="14" max="14" width="16.21875" style="13" customWidth="1"/>
    <col min="15" max="15" width="15.33203125" style="13" customWidth="1"/>
    <col min="16" max="16" width="14" style="13" customWidth="1"/>
    <col min="17" max="17" width="15.109375" style="13" customWidth="1"/>
    <col min="18" max="18" width="8.77734375" style="14" customWidth="1"/>
    <col min="19" max="19" width="11.44140625" style="14"/>
    <col min="20" max="16384" width="11.44140625" style="9"/>
  </cols>
  <sheetData>
    <row r="1" spans="1:133" s="212" customFormat="1" ht="36.6" customHeight="1" x14ac:dyDescent="0.25">
      <c r="A1" s="211" t="s">
        <v>220</v>
      </c>
    </row>
    <row r="2" spans="1:133" s="107" customFormat="1" ht="39.6" customHeight="1" x14ac:dyDescent="0.25">
      <c r="A2" s="213" t="s">
        <v>236</v>
      </c>
      <c r="B2" s="213"/>
      <c r="C2" s="214"/>
      <c r="D2" s="214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213"/>
      <c r="R2" s="106"/>
      <c r="S2" s="106"/>
      <c r="T2" s="106"/>
      <c r="U2" s="106"/>
      <c r="V2" s="106"/>
      <c r="W2" s="106"/>
      <c r="X2" s="106"/>
      <c r="Y2" s="106"/>
      <c r="Z2" s="106"/>
      <c r="AA2" s="106"/>
      <c r="AB2" s="106"/>
      <c r="AC2" s="106"/>
      <c r="AD2" s="106"/>
      <c r="AE2" s="106"/>
      <c r="AF2" s="106"/>
      <c r="AG2" s="106"/>
      <c r="AH2" s="106"/>
      <c r="AI2" s="106"/>
      <c r="AJ2" s="106"/>
      <c r="AK2" s="106"/>
      <c r="AL2" s="106"/>
      <c r="AM2" s="106"/>
      <c r="AN2" s="106"/>
      <c r="AO2" s="106"/>
      <c r="AP2" s="106"/>
      <c r="AQ2" s="106"/>
      <c r="AR2" s="106"/>
      <c r="AS2" s="106"/>
      <c r="AT2" s="106"/>
      <c r="AU2" s="106"/>
      <c r="AV2" s="106"/>
      <c r="AW2" s="106"/>
      <c r="AX2" s="106"/>
      <c r="AY2" s="106"/>
      <c r="AZ2" s="106"/>
      <c r="BA2" s="106"/>
      <c r="BB2" s="106"/>
      <c r="BC2" s="106"/>
      <c r="BD2" s="106"/>
      <c r="BE2" s="106"/>
      <c r="BF2" s="106"/>
      <c r="BG2" s="106"/>
      <c r="BH2" s="106"/>
      <c r="BI2" s="106"/>
      <c r="BJ2" s="106"/>
      <c r="BK2" s="106"/>
      <c r="BL2" s="106"/>
      <c r="BM2" s="106"/>
      <c r="BN2" s="106"/>
      <c r="BO2" s="106"/>
      <c r="BP2" s="106"/>
      <c r="BQ2" s="106"/>
      <c r="BR2" s="106"/>
      <c r="BS2" s="106"/>
      <c r="BT2" s="106"/>
      <c r="BU2" s="106"/>
      <c r="BV2" s="106"/>
      <c r="BW2" s="106"/>
      <c r="BX2" s="106"/>
      <c r="BY2" s="106"/>
      <c r="BZ2" s="106"/>
      <c r="CA2" s="106"/>
      <c r="CB2" s="106"/>
      <c r="CC2" s="106"/>
      <c r="CD2" s="106"/>
      <c r="CE2" s="106"/>
      <c r="CF2" s="106"/>
      <c r="CG2" s="106"/>
      <c r="CH2" s="106"/>
      <c r="CI2" s="106"/>
      <c r="CJ2" s="106"/>
      <c r="CK2" s="106"/>
      <c r="CL2" s="106"/>
      <c r="CM2" s="106"/>
      <c r="CN2" s="106"/>
      <c r="CO2" s="106"/>
      <c r="CP2" s="106"/>
      <c r="CQ2" s="106"/>
      <c r="CR2" s="106"/>
      <c r="CS2" s="106"/>
      <c r="CT2" s="106"/>
      <c r="CU2" s="106"/>
      <c r="CV2" s="106"/>
      <c r="CW2" s="106"/>
      <c r="CX2" s="106"/>
      <c r="CY2" s="106"/>
      <c r="CZ2" s="106"/>
      <c r="DA2" s="106"/>
      <c r="DB2" s="106"/>
      <c r="DC2" s="106"/>
      <c r="DD2" s="106"/>
      <c r="DE2" s="106"/>
      <c r="DF2" s="106"/>
      <c r="DG2" s="106"/>
      <c r="DH2" s="106"/>
      <c r="DI2" s="106"/>
      <c r="DJ2" s="106"/>
      <c r="DK2" s="106"/>
      <c r="DL2" s="106"/>
      <c r="DM2" s="106"/>
      <c r="DN2" s="106"/>
      <c r="DO2" s="106"/>
      <c r="DP2" s="106"/>
      <c r="DQ2" s="106"/>
      <c r="DR2" s="106"/>
      <c r="DS2" s="106"/>
      <c r="DT2" s="106"/>
      <c r="DU2" s="106"/>
      <c r="DV2" s="106"/>
      <c r="DW2" s="106"/>
      <c r="DX2" s="106"/>
      <c r="DY2" s="106"/>
      <c r="DZ2" s="106"/>
      <c r="EA2" s="106"/>
      <c r="EB2" s="106"/>
      <c r="EC2" s="106"/>
    </row>
    <row r="3" spans="1:133" ht="23.4" customHeight="1" x14ac:dyDescent="0.25">
      <c r="A3" s="201" t="s">
        <v>105</v>
      </c>
      <c r="B3" s="201"/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2"/>
    </row>
    <row r="4" spans="1:133" s="10" customFormat="1" ht="31.2" x14ac:dyDescent="0.25">
      <c r="A4" s="15" t="s">
        <v>8</v>
      </c>
      <c r="B4" s="15" t="s">
        <v>9</v>
      </c>
      <c r="C4" s="15" t="s">
        <v>10</v>
      </c>
      <c r="D4" s="15" t="s">
        <v>340</v>
      </c>
      <c r="E4" s="16" t="s">
        <v>11</v>
      </c>
      <c r="F4" s="16" t="s">
        <v>312</v>
      </c>
      <c r="G4" s="16" t="s">
        <v>313</v>
      </c>
      <c r="H4" s="16" t="s">
        <v>314</v>
      </c>
      <c r="I4" s="16" t="s">
        <v>315</v>
      </c>
      <c r="J4" s="16" t="s">
        <v>316</v>
      </c>
      <c r="K4" s="16" t="s">
        <v>317</v>
      </c>
      <c r="L4" s="16" t="s">
        <v>318</v>
      </c>
      <c r="M4" s="16" t="s">
        <v>319</v>
      </c>
      <c r="N4" s="16" t="s">
        <v>320</v>
      </c>
      <c r="O4" s="16" t="s">
        <v>293</v>
      </c>
      <c r="P4" s="16" t="s">
        <v>294</v>
      </c>
      <c r="Q4" s="16" t="s">
        <v>295</v>
      </c>
      <c r="R4" s="54"/>
      <c r="S4" s="54"/>
    </row>
    <row r="5" spans="1:133" s="10" customFormat="1" x14ac:dyDescent="0.25">
      <c r="A5" s="203" t="s">
        <v>106</v>
      </c>
      <c r="B5" s="203"/>
      <c r="C5" s="203"/>
      <c r="D5" s="203"/>
      <c r="E5" s="204"/>
      <c r="F5" s="16">
        <v>31</v>
      </c>
      <c r="G5" s="16">
        <v>28</v>
      </c>
      <c r="H5" s="16">
        <v>31</v>
      </c>
      <c r="I5" s="16">
        <v>30</v>
      </c>
      <c r="J5" s="16">
        <v>31</v>
      </c>
      <c r="K5" s="16">
        <v>30</v>
      </c>
      <c r="L5" s="16">
        <v>31</v>
      </c>
      <c r="M5" s="16">
        <v>31</v>
      </c>
      <c r="N5" s="16">
        <v>30</v>
      </c>
      <c r="O5" s="16">
        <v>31</v>
      </c>
      <c r="P5" s="16">
        <v>30</v>
      </c>
      <c r="Q5" s="16">
        <v>31</v>
      </c>
      <c r="R5" s="54"/>
      <c r="S5" s="54"/>
    </row>
    <row r="6" spans="1:133" s="10" customFormat="1" ht="31.2" x14ac:dyDescent="0.25">
      <c r="A6" s="15" t="s">
        <v>107</v>
      </c>
      <c r="B6" s="17" t="s">
        <v>103</v>
      </c>
      <c r="C6" s="17" t="s">
        <v>108</v>
      </c>
      <c r="D6" s="17" t="s">
        <v>381</v>
      </c>
      <c r="E6" s="18">
        <f>E7+E17</f>
        <v>0</v>
      </c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54"/>
      <c r="S6" s="54"/>
    </row>
    <row r="7" spans="1:133" ht="46.8" x14ac:dyDescent="0.25">
      <c r="A7" s="17" t="s">
        <v>109</v>
      </c>
      <c r="B7" s="17" t="s">
        <v>103</v>
      </c>
      <c r="C7" s="17" t="s">
        <v>110</v>
      </c>
      <c r="D7" s="17" t="s">
        <v>382</v>
      </c>
      <c r="E7" s="19">
        <f>SUM(F7:Q7)</f>
        <v>0</v>
      </c>
      <c r="F7" s="19">
        <f>IF(F8&gt;=0.8,0,$E$15*$E$16*0.4*(F9-F12)*F5)</f>
        <v>0</v>
      </c>
      <c r="G7" s="19">
        <f t="shared" ref="G7:Q7" si="0">IF(G8&gt;=0.8,0,$E$15*$E$16*0.4*(G9-G12)*G5)</f>
        <v>0</v>
      </c>
      <c r="H7" s="19">
        <f t="shared" si="0"/>
        <v>0</v>
      </c>
      <c r="I7" s="19">
        <f t="shared" si="0"/>
        <v>0</v>
      </c>
      <c r="J7" s="19">
        <f t="shared" si="0"/>
        <v>0</v>
      </c>
      <c r="K7" s="19">
        <f t="shared" si="0"/>
        <v>0</v>
      </c>
      <c r="L7" s="19">
        <f t="shared" si="0"/>
        <v>0</v>
      </c>
      <c r="M7" s="19">
        <f t="shared" si="0"/>
        <v>0</v>
      </c>
      <c r="N7" s="19">
        <f t="shared" si="0"/>
        <v>0</v>
      </c>
      <c r="O7" s="19">
        <f t="shared" si="0"/>
        <v>0</v>
      </c>
      <c r="P7" s="19">
        <f t="shared" si="0"/>
        <v>0</v>
      </c>
      <c r="Q7" s="19">
        <f t="shared" si="0"/>
        <v>0</v>
      </c>
    </row>
    <row r="8" spans="1:133" ht="62.4" x14ac:dyDescent="0.25">
      <c r="A8" s="17" t="s">
        <v>111</v>
      </c>
      <c r="B8" s="17" t="s">
        <v>37</v>
      </c>
      <c r="C8" s="17" t="s">
        <v>112</v>
      </c>
      <c r="D8" s="17" t="s">
        <v>383</v>
      </c>
      <c r="E8" s="20">
        <f>AVERAGE(F8:Q8)</f>
        <v>0.95449468900103651</v>
      </c>
      <c r="F8" s="20">
        <f>(F9-F12)/F9</f>
        <v>0.95477940216754209</v>
      </c>
      <c r="G8" s="20">
        <f t="shared" ref="G8:Q8" si="1">(G9-G12)/G9</f>
        <v>0.95556135674210729</v>
      </c>
      <c r="H8" s="20">
        <f t="shared" si="1"/>
        <v>0.95451136528947444</v>
      </c>
      <c r="I8" s="20">
        <f t="shared" si="1"/>
        <v>0.95538586644444112</v>
      </c>
      <c r="J8" s="20">
        <f t="shared" si="1"/>
        <v>0.95517401683467851</v>
      </c>
      <c r="K8" s="20">
        <f t="shared" si="1"/>
        <v>0.95227432971847603</v>
      </c>
      <c r="L8" s="20">
        <f t="shared" si="1"/>
        <v>0.95240634315771522</v>
      </c>
      <c r="M8" s="20">
        <f t="shared" si="1"/>
        <v>0.95354217358512405</v>
      </c>
      <c r="N8" s="20">
        <f t="shared" si="1"/>
        <v>0.95443934496653904</v>
      </c>
      <c r="O8" s="20">
        <f t="shared" si="1"/>
        <v>0.95490481086945689</v>
      </c>
      <c r="P8" s="20">
        <f t="shared" si="1"/>
        <v>0.95500320023981533</v>
      </c>
      <c r="Q8" s="20">
        <f t="shared" si="1"/>
        <v>0.95595405799706878</v>
      </c>
    </row>
    <row r="9" spans="1:133" ht="46.8" x14ac:dyDescent="0.25">
      <c r="A9" s="17" t="s">
        <v>240</v>
      </c>
      <c r="B9" s="17" t="s">
        <v>24</v>
      </c>
      <c r="C9" s="17" t="s">
        <v>114</v>
      </c>
      <c r="D9" s="17" t="s">
        <v>384</v>
      </c>
      <c r="E9" s="121">
        <f>SUM(F9:Q9)</f>
        <v>20.815499886269414</v>
      </c>
      <c r="F9" s="121">
        <f>F10*F11</f>
        <v>1.653198110022511</v>
      </c>
      <c r="G9" s="121">
        <f t="shared" ref="G9:Q9" si="2">G10*G11</f>
        <v>1.6532581412585028</v>
      </c>
      <c r="H9" s="121">
        <f t="shared" si="2"/>
        <v>1.6534193136578561</v>
      </c>
      <c r="I9" s="121">
        <f t="shared" si="2"/>
        <v>1.6533479452608915</v>
      </c>
      <c r="J9" s="121">
        <f t="shared" si="2"/>
        <v>1.8552433031367941</v>
      </c>
      <c r="K9" s="121">
        <f t="shared" si="2"/>
        <v>1.7779539343750559</v>
      </c>
      <c r="L9" s="121">
        <f t="shared" si="2"/>
        <v>1.7769971760691463</v>
      </c>
      <c r="M9" s="121">
        <f t="shared" si="2"/>
        <v>1.7763164507051503</v>
      </c>
      <c r="N9" s="121">
        <f t="shared" si="2"/>
        <v>1.85641178874</v>
      </c>
      <c r="O9" s="121">
        <f t="shared" si="2"/>
        <v>1.8553735975188603</v>
      </c>
      <c r="P9" s="121">
        <f t="shared" si="2"/>
        <v>1.6521154106762963</v>
      </c>
      <c r="Q9" s="121">
        <f t="shared" si="2"/>
        <v>1.6518647148483523</v>
      </c>
    </row>
    <row r="10" spans="1:133" ht="62.4" customHeight="1" x14ac:dyDescent="0.25">
      <c r="A10" s="17" t="s">
        <v>115</v>
      </c>
      <c r="B10" s="17" t="s">
        <v>116</v>
      </c>
      <c r="C10" s="17" t="s">
        <v>239</v>
      </c>
      <c r="D10" s="17" t="s">
        <v>336</v>
      </c>
      <c r="E10" s="129">
        <f>SUM(F10:Q10)</f>
        <v>49422.422497235028</v>
      </c>
      <c r="F10" s="129">
        <f>'Baseline Emissions 2021'!F10</f>
        <v>3878.2896451612901</v>
      </c>
      <c r="G10" s="129">
        <f>'Baseline Emissions 2021'!G10</f>
        <v>3880.3725714285711</v>
      </c>
      <c r="H10" s="129">
        <f>'Baseline Emissions 2021'!H10</f>
        <v>3878.9504516129027</v>
      </c>
      <c r="I10" s="129">
        <f>'Baseline Emissions 2021'!I10</f>
        <v>3878.4064333333336</v>
      </c>
      <c r="J10" s="129">
        <f>'Baseline Emissions 2021'!J10</f>
        <v>4355.1988709677426</v>
      </c>
      <c r="K10" s="129">
        <f>'Baseline Emissions 2021'!K10</f>
        <v>4359.4606000000003</v>
      </c>
      <c r="L10" s="129">
        <f>'Baseline Emissions 2021'!L10</f>
        <v>4358.8487419354824</v>
      </c>
      <c r="M10" s="129">
        <f>'Baseline Emissions 2021'!M10</f>
        <v>4359.8727096774182</v>
      </c>
      <c r="N10" s="129">
        <f>'Baseline Emissions 2021'!N10</f>
        <v>4357.5439999999999</v>
      </c>
      <c r="O10" s="129">
        <f>'Baseline Emissions 2021'!O10</f>
        <v>4358.9266129032258</v>
      </c>
      <c r="P10" s="129">
        <f>'Baseline Emissions 2021'!P10</f>
        <v>3878.6806666666662</v>
      </c>
      <c r="Q10" s="129">
        <f>'Baseline Emissions 2021'!Q10</f>
        <v>3877.8711935483871</v>
      </c>
    </row>
    <row r="11" spans="1:133" ht="46.8" x14ac:dyDescent="0.25">
      <c r="A11" s="17" t="s">
        <v>118</v>
      </c>
      <c r="B11" s="17" t="s">
        <v>119</v>
      </c>
      <c r="C11" s="17" t="s">
        <v>120</v>
      </c>
      <c r="D11" s="35" t="s">
        <v>338</v>
      </c>
      <c r="E11" s="120">
        <f>AVERAGE(F11:Q11)</f>
        <v>4.2144911117070124E-4</v>
      </c>
      <c r="F11" s="130">
        <f>'Baseline Emissions 2021'!F14</f>
        <v>4.2626989247311826E-4</v>
      </c>
      <c r="G11" s="130">
        <f>'Baseline Emissions 2021'!G14</f>
        <v>4.2605654761904751E-4</v>
      </c>
      <c r="H11" s="130">
        <f>'Baseline Emissions 2021'!H14</f>
        <v>4.2625430107526882E-4</v>
      </c>
      <c r="I11" s="130">
        <f>'Baseline Emissions 2021'!I14</f>
        <v>4.2629568965517258E-4</v>
      </c>
      <c r="J11" s="130">
        <f>'Baseline Emissions 2021'!J14</f>
        <v>4.2598360215053777E-4</v>
      </c>
      <c r="K11" s="130">
        <f>'Baseline Emissions 2021'!K14</f>
        <v>4.0783805555555559E-4</v>
      </c>
      <c r="L11" s="130">
        <f>'Baseline Emissions 2021'!L14</f>
        <v>4.0767580645161293E-4</v>
      </c>
      <c r="M11" s="130">
        <f>'Baseline Emissions 2021'!M14</f>
        <v>4.0742392473118276E-4</v>
      </c>
      <c r="N11" s="130">
        <f>'Baseline Emissions 2021'!N14</f>
        <v>4.2602250000000003E-4</v>
      </c>
      <c r="O11" s="130">
        <f>'Baseline Emissions 2021'!O14</f>
        <v>4.2564919354838706E-4</v>
      </c>
      <c r="P11" s="130">
        <f>'Baseline Emissions 2021'!P14</f>
        <v>4.2594777777777782E-4</v>
      </c>
      <c r="Q11" s="130">
        <f>'Baseline Emissions 2021'!Q14</f>
        <v>4.2597204301075267E-4</v>
      </c>
    </row>
    <row r="12" spans="1:133" ht="46.8" x14ac:dyDescent="0.25">
      <c r="A12" s="17" t="s">
        <v>121</v>
      </c>
      <c r="B12" s="17" t="s">
        <v>24</v>
      </c>
      <c r="C12" s="17" t="s">
        <v>122</v>
      </c>
      <c r="D12" s="17" t="s">
        <v>384</v>
      </c>
      <c r="E12" s="20">
        <f>SUM(F12:Q12)</f>
        <v>0.94766197643986805</v>
      </c>
      <c r="F12" s="20">
        <f>SUM(F13*F14)</f>
        <v>7.4758606870707595E-2</v>
      </c>
      <c r="G12" s="20">
        <f t="shared" ref="G12:Q12" si="3">SUM(G13*G14)</f>
        <v>7.3468548752593524E-2</v>
      </c>
      <c r="H12" s="20">
        <f t="shared" si="3"/>
        <v>7.52117871823101E-2</v>
      </c>
      <c r="I12" s="20">
        <f t="shared" si="3"/>
        <v>7.3762686043678138E-2</v>
      </c>
      <c r="J12" s="20">
        <f t="shared" si="3"/>
        <v>8.3163105073985472E-2</v>
      </c>
      <c r="K12" s="20">
        <f t="shared" si="3"/>
        <v>8.4854043247722222E-2</v>
      </c>
      <c r="L12" s="20">
        <f t="shared" si="3"/>
        <v>8.457379380754422E-2</v>
      </c>
      <c r="M12" s="20">
        <f t="shared" si="3"/>
        <v>8.2523801324748472E-2</v>
      </c>
      <c r="N12" s="20">
        <f t="shared" si="3"/>
        <v>8.4579337106833338E-2</v>
      </c>
      <c r="O12" s="20">
        <f t="shared" si="3"/>
        <v>8.3668423287929256E-2</v>
      </c>
      <c r="P12" s="20">
        <f t="shared" si="3"/>
        <v>7.4339906314916673E-2</v>
      </c>
      <c r="Q12" s="20">
        <f t="shared" si="3"/>
        <v>7.2757937426899039E-2</v>
      </c>
    </row>
    <row r="13" spans="1:133" ht="62.4" x14ac:dyDescent="0.25">
      <c r="A13" s="17" t="s">
        <v>241</v>
      </c>
      <c r="B13" s="17" t="s">
        <v>116</v>
      </c>
      <c r="C13" s="17" t="s">
        <v>276</v>
      </c>
      <c r="D13" s="17" t="s">
        <v>337</v>
      </c>
      <c r="E13" s="129">
        <f>SUM(F13:Q13)</f>
        <v>48055.239579262678</v>
      </c>
      <c r="F13" s="129">
        <v>3767.554258064516</v>
      </c>
      <c r="G13" s="129">
        <v>3765.6637857142855</v>
      </c>
      <c r="H13" s="129">
        <v>3766.9689032258057</v>
      </c>
      <c r="I13" s="129">
        <v>3769.0386666666659</v>
      </c>
      <c r="J13" s="129">
        <v>4240.5728387096779</v>
      </c>
      <c r="K13" s="129">
        <v>4242.3486333333331</v>
      </c>
      <c r="L13" s="129">
        <v>4242.7180322580653</v>
      </c>
      <c r="M13" s="129">
        <v>4242.1067741935476</v>
      </c>
      <c r="N13" s="129">
        <v>4241.9874</v>
      </c>
      <c r="O13" s="129">
        <v>4241.6295483870972</v>
      </c>
      <c r="P13" s="129">
        <v>3767.0659000000005</v>
      </c>
      <c r="Q13" s="129">
        <v>3767.5848387096767</v>
      </c>
    </row>
    <row r="14" spans="1:133" ht="46.8" x14ac:dyDescent="0.25">
      <c r="A14" s="17" t="s">
        <v>125</v>
      </c>
      <c r="B14" s="17" t="s">
        <v>119</v>
      </c>
      <c r="C14" s="17" t="s">
        <v>126</v>
      </c>
      <c r="D14" s="35" t="s">
        <v>339</v>
      </c>
      <c r="E14" s="131">
        <f>AVERAGE(F14:Q14)</f>
        <v>1.9716656400262489E-5</v>
      </c>
      <c r="F14" s="131">
        <f>'Baseline Emissions 2021'!F15</f>
        <v>1.9842741935483869E-5</v>
      </c>
      <c r="G14" s="131">
        <f>'Baseline Emissions 2021'!G15</f>
        <v>1.9510119047619044E-5</v>
      </c>
      <c r="H14" s="131">
        <f>'Baseline Emissions 2021'!H15</f>
        <v>1.9966129032258068E-5</v>
      </c>
      <c r="I14" s="131">
        <f>'Baseline Emissions 2021'!I15</f>
        <v>1.9570689655172411E-5</v>
      </c>
      <c r="J14" s="131">
        <f>'Baseline Emissions 2021'!J15</f>
        <v>1.9611290322580652E-5</v>
      </c>
      <c r="K14" s="131">
        <f>'Baseline Emissions 2021'!K15</f>
        <v>2.0001666666666669E-5</v>
      </c>
      <c r="L14" s="131">
        <f>'Baseline Emissions 2021'!L15</f>
        <v>1.9933870967741932E-5</v>
      </c>
      <c r="M14" s="131">
        <f>'Baseline Emissions 2021'!M15</f>
        <v>1.9453494623655905E-5</v>
      </c>
      <c r="N14" s="131">
        <f>'Baseline Emissions 2021'!N15</f>
        <v>1.9938611111111111E-5</v>
      </c>
      <c r="O14" s="131">
        <f>'Baseline Emissions 2021'!O15</f>
        <v>1.9725537634408603E-5</v>
      </c>
      <c r="P14" s="131">
        <f>'Baseline Emissions 2021'!P15</f>
        <v>1.9734166666666665E-5</v>
      </c>
      <c r="Q14" s="131">
        <f>'Baseline Emissions 2021'!Q15</f>
        <v>1.9311559139784944E-5</v>
      </c>
    </row>
    <row r="15" spans="1:133" ht="31.2" x14ac:dyDescent="0.25">
      <c r="A15" s="17" t="s">
        <v>127</v>
      </c>
      <c r="B15" s="17" t="s">
        <v>128</v>
      </c>
      <c r="C15" s="17" t="s">
        <v>17</v>
      </c>
      <c r="D15" s="17" t="s">
        <v>129</v>
      </c>
      <c r="E15" s="176">
        <v>28</v>
      </c>
      <c r="F15" s="176"/>
      <c r="G15" s="176"/>
      <c r="H15" s="176"/>
      <c r="I15" s="176"/>
      <c r="J15" s="176"/>
      <c r="K15" s="176"/>
      <c r="L15" s="176"/>
      <c r="M15" s="176"/>
      <c r="N15" s="176"/>
      <c r="O15" s="176"/>
      <c r="P15" s="176"/>
      <c r="Q15" s="176"/>
    </row>
    <row r="16" spans="1:133" ht="64.8" x14ac:dyDescent="0.25">
      <c r="A16" s="17" t="s">
        <v>130</v>
      </c>
      <c r="B16" s="17" t="s">
        <v>19</v>
      </c>
      <c r="C16" s="17" t="s">
        <v>131</v>
      </c>
      <c r="D16" s="17" t="s">
        <v>394</v>
      </c>
      <c r="E16" s="176">
        <v>0.21</v>
      </c>
      <c r="F16" s="176"/>
      <c r="G16" s="176"/>
      <c r="H16" s="176"/>
      <c r="I16" s="176"/>
      <c r="J16" s="176"/>
      <c r="K16" s="176"/>
      <c r="L16" s="176"/>
      <c r="M16" s="176"/>
      <c r="N16" s="176"/>
      <c r="O16" s="176"/>
      <c r="P16" s="176"/>
      <c r="Q16" s="176"/>
    </row>
    <row r="17" spans="1:17" ht="46.8" x14ac:dyDescent="0.25">
      <c r="A17" s="17" t="s">
        <v>132</v>
      </c>
      <c r="B17" s="17" t="s">
        <v>103</v>
      </c>
      <c r="C17" s="17" t="s">
        <v>133</v>
      </c>
      <c r="D17" s="17" t="s">
        <v>385</v>
      </c>
      <c r="E17" s="19">
        <f>SUM(F17:Q17)</f>
        <v>0</v>
      </c>
      <c r="F17" s="19">
        <f>$E$15*$E$16*F18*F12*F5</f>
        <v>0</v>
      </c>
      <c r="G17" s="19">
        <f t="shared" ref="G17:Q17" si="4">$E$15*$E$16*G18*G12*G5</f>
        <v>0</v>
      </c>
      <c r="H17" s="19">
        <f t="shared" si="4"/>
        <v>0</v>
      </c>
      <c r="I17" s="19">
        <f t="shared" si="4"/>
        <v>0</v>
      </c>
      <c r="J17" s="19">
        <f t="shared" si="4"/>
        <v>0</v>
      </c>
      <c r="K17" s="19">
        <f t="shared" si="4"/>
        <v>0</v>
      </c>
      <c r="L17" s="19">
        <f t="shared" si="4"/>
        <v>0</v>
      </c>
      <c r="M17" s="19">
        <f t="shared" si="4"/>
        <v>0</v>
      </c>
      <c r="N17" s="19">
        <f t="shared" si="4"/>
        <v>0</v>
      </c>
      <c r="O17" s="19">
        <f t="shared" si="4"/>
        <v>0</v>
      </c>
      <c r="P17" s="19">
        <f t="shared" si="4"/>
        <v>0</v>
      </c>
      <c r="Q17" s="19">
        <f t="shared" si="4"/>
        <v>0</v>
      </c>
    </row>
    <row r="18" spans="1:17" ht="18" x14ac:dyDescent="0.25">
      <c r="A18" s="17" t="s">
        <v>349</v>
      </c>
      <c r="B18" s="17" t="s">
        <v>37</v>
      </c>
      <c r="C18" s="17" t="s">
        <v>135</v>
      </c>
      <c r="D18" s="17" t="s">
        <v>386</v>
      </c>
      <c r="E18" s="26">
        <f>AVERAGE(F18:Q18)</f>
        <v>0</v>
      </c>
      <c r="F18" s="26">
        <f t="shared" ref="F18:Q18" si="5">F19*$E$20*0.89</f>
        <v>0</v>
      </c>
      <c r="G18" s="26">
        <f t="shared" si="5"/>
        <v>0</v>
      </c>
      <c r="H18" s="26">
        <f t="shared" si="5"/>
        <v>0</v>
      </c>
      <c r="I18" s="26">
        <f t="shared" si="5"/>
        <v>0</v>
      </c>
      <c r="J18" s="26">
        <f t="shared" si="5"/>
        <v>0</v>
      </c>
      <c r="K18" s="26">
        <f t="shared" si="5"/>
        <v>0</v>
      </c>
      <c r="L18" s="26">
        <f t="shared" si="5"/>
        <v>0</v>
      </c>
      <c r="M18" s="26">
        <f t="shared" si="5"/>
        <v>0</v>
      </c>
      <c r="N18" s="26">
        <f t="shared" si="5"/>
        <v>0</v>
      </c>
      <c r="O18" s="26">
        <f t="shared" si="5"/>
        <v>0</v>
      </c>
      <c r="P18" s="26">
        <f t="shared" si="5"/>
        <v>0</v>
      </c>
      <c r="Q18" s="26">
        <f t="shared" si="5"/>
        <v>0</v>
      </c>
    </row>
    <row r="19" spans="1:17" ht="31.2" x14ac:dyDescent="0.25">
      <c r="A19" s="17" t="s">
        <v>136</v>
      </c>
      <c r="B19" s="17" t="s">
        <v>37</v>
      </c>
      <c r="C19" s="17" t="s">
        <v>46</v>
      </c>
      <c r="D19" s="17" t="s">
        <v>387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  <c r="Q19" s="25">
        <v>0</v>
      </c>
    </row>
    <row r="20" spans="1:17" ht="31.2" x14ac:dyDescent="0.25">
      <c r="A20" s="17" t="s">
        <v>137</v>
      </c>
      <c r="B20" s="17" t="s">
        <v>201</v>
      </c>
      <c r="C20" s="17" t="s">
        <v>138</v>
      </c>
      <c r="D20" s="17" t="s">
        <v>388</v>
      </c>
      <c r="E20" s="196">
        <f>(F21*F26+G21*G26+H21*H26+I21*I26+J21*J26+K21*K26+L21*L26+M21*M26+N21*N26+O21*O26+P21*P26+Q21*Q26)/(F13*F14*F5+G14*G13*G5+H13*H14*H5+I14*I13*I5+J14*J13*J5+K14*K13*K5+L14*L13*L5+M14*M13*M5+N14*N13*N5+O13*O14*O5+P14*P13*P5+Q14*Q13*Q5)</f>
        <v>0.67916883082783364</v>
      </c>
      <c r="F20" s="196"/>
      <c r="G20" s="196"/>
      <c r="H20" s="196"/>
      <c r="I20" s="196"/>
      <c r="J20" s="196"/>
      <c r="K20" s="196"/>
      <c r="L20" s="196"/>
      <c r="M20" s="196"/>
      <c r="N20" s="196"/>
      <c r="O20" s="196"/>
      <c r="P20" s="196"/>
      <c r="Q20" s="196"/>
    </row>
    <row r="21" spans="1:17" ht="31.2" x14ac:dyDescent="0.25">
      <c r="A21" s="17" t="s">
        <v>139</v>
      </c>
      <c r="B21" s="17" t="s">
        <v>37</v>
      </c>
      <c r="C21" s="17" t="s">
        <v>140</v>
      </c>
      <c r="D21" s="17" t="s">
        <v>375</v>
      </c>
      <c r="E21" s="27">
        <f>AVERAGE(F21:Q21)</f>
        <v>0.66390260094773224</v>
      </c>
      <c r="F21" s="27">
        <f>IF(F25&lt;283,0,IF(F25&gt;303,1,EXP(($E$22*(F25-$E$23))/($E$24*$E$23*F25))))</f>
        <v>0.26921004737855481</v>
      </c>
      <c r="G21" s="27">
        <f t="shared" ref="G21:Q21" si="6">IF(G25&lt;283,0,IF(G25&gt;303,1,EXP(($E$22*(G25-$E$23))/($E$24*$E$23*G25))))</f>
        <v>0.38698063689870399</v>
      </c>
      <c r="H21" s="27">
        <f t="shared" si="6"/>
        <v>0.52733825786216582</v>
      </c>
      <c r="I21" s="27">
        <f t="shared" si="6"/>
        <v>0.65487347206548807</v>
      </c>
      <c r="J21" s="27">
        <f t="shared" si="6"/>
        <v>0.95843738031531212</v>
      </c>
      <c r="K21" s="27">
        <f t="shared" si="6"/>
        <v>1</v>
      </c>
      <c r="L21" s="27">
        <f t="shared" si="6"/>
        <v>0.95843738031531212</v>
      </c>
      <c r="M21" s="27">
        <f t="shared" si="6"/>
        <v>0.88152221926734242</v>
      </c>
      <c r="N21" s="27">
        <f t="shared" si="6"/>
        <v>0.88152221926734242</v>
      </c>
      <c r="O21" s="27">
        <f t="shared" si="6"/>
        <v>0.62729263560178183</v>
      </c>
      <c r="P21" s="27">
        <f t="shared" si="6"/>
        <v>0.48307557293036196</v>
      </c>
      <c r="Q21" s="27">
        <f t="shared" si="6"/>
        <v>0.33814138947042022</v>
      </c>
    </row>
    <row r="22" spans="1:17" x14ac:dyDescent="0.25">
      <c r="A22" s="17" t="s">
        <v>51</v>
      </c>
      <c r="B22" s="17" t="s">
        <v>52</v>
      </c>
      <c r="C22" s="17" t="s">
        <v>53</v>
      </c>
      <c r="D22" s="17" t="s">
        <v>389</v>
      </c>
      <c r="E22" s="176">
        <v>15175</v>
      </c>
      <c r="F22" s="176"/>
      <c r="G22" s="176"/>
      <c r="H22" s="176"/>
      <c r="I22" s="176"/>
      <c r="J22" s="176"/>
      <c r="K22" s="176"/>
      <c r="L22" s="176"/>
      <c r="M22" s="176"/>
      <c r="N22" s="176"/>
      <c r="O22" s="176"/>
      <c r="P22" s="176"/>
      <c r="Q22" s="176"/>
    </row>
    <row r="23" spans="1:17" ht="18" x14ac:dyDescent="0.25">
      <c r="A23" s="17" t="s">
        <v>141</v>
      </c>
      <c r="B23" s="17" t="s">
        <v>55</v>
      </c>
      <c r="C23" s="17" t="s">
        <v>56</v>
      </c>
      <c r="D23" s="17" t="s">
        <v>389</v>
      </c>
      <c r="E23" s="176">
        <v>303.16000000000003</v>
      </c>
      <c r="F23" s="176"/>
      <c r="G23" s="176"/>
      <c r="H23" s="176"/>
      <c r="I23" s="176"/>
      <c r="J23" s="176"/>
      <c r="K23" s="176"/>
      <c r="L23" s="176"/>
      <c r="M23" s="176"/>
      <c r="N23" s="176"/>
      <c r="O23" s="176"/>
      <c r="P23" s="176"/>
      <c r="Q23" s="176"/>
    </row>
    <row r="24" spans="1:17" x14ac:dyDescent="0.25">
      <c r="A24" s="17" t="s">
        <v>57</v>
      </c>
      <c r="B24" s="17" t="s">
        <v>58</v>
      </c>
      <c r="C24" s="17" t="s">
        <v>59</v>
      </c>
      <c r="D24" s="17" t="s">
        <v>389</v>
      </c>
      <c r="E24" s="176">
        <v>1.9870000000000001</v>
      </c>
      <c r="F24" s="176"/>
      <c r="G24" s="176"/>
      <c r="H24" s="176"/>
      <c r="I24" s="176"/>
      <c r="J24" s="176"/>
      <c r="K24" s="176"/>
      <c r="L24" s="176"/>
      <c r="M24" s="176"/>
      <c r="N24" s="176"/>
      <c r="O24" s="176"/>
      <c r="P24" s="176"/>
      <c r="Q24" s="176"/>
    </row>
    <row r="25" spans="1:17" ht="31.2" x14ac:dyDescent="0.25">
      <c r="A25" s="17" t="s">
        <v>142</v>
      </c>
      <c r="B25" s="17" t="s">
        <v>55</v>
      </c>
      <c r="C25" s="17" t="s">
        <v>143</v>
      </c>
      <c r="D25" s="17" t="s">
        <v>363</v>
      </c>
      <c r="E25" s="28">
        <f>AVERAGE(F25:Q25)</f>
        <v>297.40000000000003</v>
      </c>
      <c r="F25" s="25">
        <v>288.14999999999998</v>
      </c>
      <c r="G25" s="25">
        <v>292.14999999999998</v>
      </c>
      <c r="H25" s="25">
        <v>295.64999999999998</v>
      </c>
      <c r="I25" s="25">
        <v>298.14999999999998</v>
      </c>
      <c r="J25" s="25">
        <v>302.64999999999998</v>
      </c>
      <c r="K25" s="25">
        <v>303.14999999999998</v>
      </c>
      <c r="L25" s="25">
        <v>302.64999999999998</v>
      </c>
      <c r="M25" s="25">
        <v>301.64999999999998</v>
      </c>
      <c r="N25" s="25">
        <v>301.64999999999998</v>
      </c>
      <c r="O25" s="25">
        <v>297.64999999999998</v>
      </c>
      <c r="P25" s="25">
        <v>294.64999999999998</v>
      </c>
      <c r="Q25" s="25">
        <v>290.64999999999998</v>
      </c>
    </row>
    <row r="26" spans="1:17" ht="46.8" x14ac:dyDescent="0.25">
      <c r="A26" s="17" t="s">
        <v>321</v>
      </c>
      <c r="B26" s="17" t="s">
        <v>24</v>
      </c>
      <c r="C26" s="17" t="s">
        <v>145</v>
      </c>
      <c r="D26" s="17" t="s">
        <v>390</v>
      </c>
      <c r="E26" s="29">
        <f>SUM(F26:Q26)</f>
        <v>28.83957965066498</v>
      </c>
      <c r="F26" s="29">
        <f>F13*F14*'Project Emissions 2021'!F5+(1-F21)*0</f>
        <v>2.3175168129919355</v>
      </c>
      <c r="G26" s="29">
        <f>G13*G14*'Project Emissions 2021'!G5+(1-G21)*0</f>
        <v>2.0571193650726185</v>
      </c>
      <c r="H26" s="29">
        <f>H13*H14*'Project Emissions 2021'!H5+(1-H21)*0</f>
        <v>2.3315654026516133</v>
      </c>
      <c r="I26" s="29">
        <f>I13*I14*'Project Emissions 2021'!I5+(1-I21)*0</f>
        <v>2.212880581310344</v>
      </c>
      <c r="J26" s="29">
        <f>J13*J14*'Project Emissions 2021'!J5+(1-J21)*0</f>
        <v>2.5780562572935497</v>
      </c>
      <c r="K26" s="29">
        <f>K13*K14*'Project Emissions 2021'!K5+(1-K21)*0</f>
        <v>2.5456212974316665</v>
      </c>
      <c r="L26" s="29">
        <f>L13*L14*'Project Emissions 2021'!L5+(1-L21)*0</f>
        <v>2.6217876080338707</v>
      </c>
      <c r="M26" s="29">
        <f>M13*M14*'Project Emissions 2021'!M5+(1-M21)*0</f>
        <v>2.5582378410672026</v>
      </c>
      <c r="N26" s="29">
        <f>N13*N14*'Project Emissions 2021'!N5+(1-N21)*0</f>
        <v>2.5373801132050002</v>
      </c>
      <c r="O26" s="29">
        <f>O13*O14*'Project Emissions 2021'!O5+(1-O21)*0</f>
        <v>2.5937211219258067</v>
      </c>
      <c r="P26" s="29">
        <f>P13*P14*'Project Emissions 2021'!P5+(1-P21)*0</f>
        <v>2.2301971894475003</v>
      </c>
      <c r="Q26" s="29">
        <f>Q13*Q14*'Project Emissions 2021'!Q5+(1-Q21)*0</f>
        <v>2.2554960602338703</v>
      </c>
    </row>
    <row r="27" spans="1:17" x14ac:dyDescent="0.3">
      <c r="A27" s="30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</row>
    <row r="28" spans="1:17" x14ac:dyDescent="0.25">
      <c r="A28" s="174" t="s">
        <v>146</v>
      </c>
      <c r="B28" s="174"/>
      <c r="C28" s="175"/>
      <c r="D28" s="175"/>
      <c r="E28" s="195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</row>
    <row r="29" spans="1:17" x14ac:dyDescent="0.25">
      <c r="A29" s="33" t="s">
        <v>8</v>
      </c>
      <c r="B29" s="33" t="s">
        <v>9</v>
      </c>
      <c r="C29" s="34" t="s">
        <v>10</v>
      </c>
      <c r="D29" s="34" t="s">
        <v>340</v>
      </c>
      <c r="E29" s="16" t="s">
        <v>65</v>
      </c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</row>
    <row r="30" spans="1:17" ht="46.8" x14ac:dyDescent="0.25">
      <c r="A30" s="15" t="s">
        <v>147</v>
      </c>
      <c r="B30" s="17" t="s">
        <v>95</v>
      </c>
      <c r="C30" s="35" t="s">
        <v>148</v>
      </c>
      <c r="D30" s="35" t="s">
        <v>68</v>
      </c>
      <c r="E30" s="16">
        <v>0</v>
      </c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</row>
    <row r="31" spans="1:17" x14ac:dyDescent="0.25">
      <c r="A31" s="36"/>
      <c r="B31" s="36"/>
      <c r="C31" s="37"/>
      <c r="D31" s="37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</row>
    <row r="32" spans="1:17" x14ac:dyDescent="0.25">
      <c r="A32" s="174" t="s">
        <v>149</v>
      </c>
      <c r="B32" s="174"/>
      <c r="C32" s="175"/>
      <c r="D32" s="175"/>
      <c r="E32" s="195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</row>
    <row r="33" spans="1:19" x14ac:dyDescent="0.25">
      <c r="A33" s="33" t="s">
        <v>8</v>
      </c>
      <c r="B33" s="33" t="s">
        <v>9</v>
      </c>
      <c r="C33" s="34" t="s">
        <v>10</v>
      </c>
      <c r="D33" s="34" t="s">
        <v>340</v>
      </c>
      <c r="E33" s="16" t="s">
        <v>65</v>
      </c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</row>
    <row r="34" spans="1:19" ht="46.8" x14ac:dyDescent="0.25">
      <c r="A34" s="15" t="s">
        <v>150</v>
      </c>
      <c r="B34" s="17" t="s">
        <v>95</v>
      </c>
      <c r="C34" s="35" t="s">
        <v>151</v>
      </c>
      <c r="D34" s="35" t="s">
        <v>68</v>
      </c>
      <c r="E34" s="16">
        <v>0</v>
      </c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</row>
    <row r="35" spans="1:19" x14ac:dyDescent="0.25"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</row>
    <row r="36" spans="1:19" x14ac:dyDescent="0.25">
      <c r="A36" s="174" t="s">
        <v>152</v>
      </c>
      <c r="B36" s="174"/>
      <c r="C36" s="175"/>
      <c r="D36" s="175"/>
      <c r="E36" s="195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</row>
    <row r="37" spans="1:19" s="10" customFormat="1" x14ac:dyDescent="0.25">
      <c r="A37" s="15" t="s">
        <v>8</v>
      </c>
      <c r="B37" s="15" t="s">
        <v>9</v>
      </c>
      <c r="C37" s="38" t="s">
        <v>10</v>
      </c>
      <c r="D37" s="38" t="s">
        <v>340</v>
      </c>
      <c r="E37" s="16" t="s">
        <v>65</v>
      </c>
      <c r="F37" s="32"/>
      <c r="G37" s="32"/>
      <c r="H37" s="39"/>
      <c r="I37" s="39"/>
      <c r="J37" s="39"/>
      <c r="K37" s="39"/>
      <c r="L37" s="39"/>
      <c r="M37" s="39"/>
      <c r="N37" s="39"/>
      <c r="O37" s="39"/>
      <c r="P37" s="39"/>
      <c r="Q37" s="39"/>
    </row>
    <row r="38" spans="1:19" s="10" customFormat="1" ht="18" x14ac:dyDescent="0.4">
      <c r="A38" s="40" t="s">
        <v>153</v>
      </c>
      <c r="B38" s="17" t="s">
        <v>103</v>
      </c>
      <c r="C38" s="35" t="s">
        <v>154</v>
      </c>
      <c r="D38" s="35" t="s">
        <v>155</v>
      </c>
      <c r="E38" s="41">
        <f>E39*E41*(1+E40)</f>
        <v>381.73620672300001</v>
      </c>
      <c r="F38" s="32"/>
      <c r="G38" s="32"/>
      <c r="H38" s="39"/>
      <c r="I38" s="39"/>
      <c r="J38" s="39"/>
      <c r="K38" s="39"/>
      <c r="L38" s="39"/>
      <c r="M38" s="39"/>
      <c r="N38" s="39"/>
      <c r="O38" s="39"/>
      <c r="P38" s="39"/>
      <c r="Q38" s="39"/>
    </row>
    <row r="39" spans="1:19" ht="31.2" x14ac:dyDescent="0.25">
      <c r="A39" s="17" t="s">
        <v>290</v>
      </c>
      <c r="B39" s="17" t="s">
        <v>291</v>
      </c>
      <c r="C39" s="35" t="s">
        <v>158</v>
      </c>
      <c r="D39" s="35" t="s">
        <v>343</v>
      </c>
      <c r="E39" s="20">
        <f>625161.65/1000</f>
        <v>625.16165000000001</v>
      </c>
      <c r="G39" s="42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9"/>
      <c r="S39" s="9"/>
    </row>
    <row r="40" spans="1:19" ht="31.2" x14ac:dyDescent="0.25">
      <c r="A40" s="17" t="s">
        <v>159</v>
      </c>
      <c r="B40" s="17" t="s">
        <v>160</v>
      </c>
      <c r="C40" s="35" t="s">
        <v>161</v>
      </c>
      <c r="D40" s="35" t="s">
        <v>162</v>
      </c>
      <c r="E40" s="44">
        <v>0.2</v>
      </c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9"/>
      <c r="S40" s="9"/>
    </row>
    <row r="41" spans="1:19" ht="46.8" x14ac:dyDescent="0.25">
      <c r="A41" s="17" t="s">
        <v>163</v>
      </c>
      <c r="B41" s="17" t="s">
        <v>164</v>
      </c>
      <c r="C41" s="35" t="s">
        <v>165</v>
      </c>
      <c r="D41" s="35" t="s">
        <v>166</v>
      </c>
      <c r="E41" s="45">
        <f>0.5*0.8042+0.5*0.2135</f>
        <v>0.50885000000000002</v>
      </c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</row>
    <row r="42" spans="1:19" ht="31.2" x14ac:dyDescent="0.4">
      <c r="A42" s="40" t="s">
        <v>167</v>
      </c>
      <c r="B42" s="17" t="s">
        <v>103</v>
      </c>
      <c r="C42" s="35" t="s">
        <v>168</v>
      </c>
      <c r="D42" s="35" t="s">
        <v>169</v>
      </c>
      <c r="E42" s="47">
        <v>0</v>
      </c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9"/>
      <c r="S42" s="9"/>
    </row>
    <row r="43" spans="1:19" x14ac:dyDescent="0.3">
      <c r="A43" s="48"/>
      <c r="E43" s="49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9"/>
      <c r="S43" s="9"/>
    </row>
    <row r="44" spans="1:19" x14ac:dyDescent="0.25">
      <c r="A44" s="174" t="s">
        <v>170</v>
      </c>
      <c r="B44" s="174"/>
      <c r="C44" s="175"/>
      <c r="D44" s="175"/>
      <c r="E44" s="195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</row>
    <row r="45" spans="1:19" x14ac:dyDescent="0.25">
      <c r="A45" s="15" t="s">
        <v>8</v>
      </c>
      <c r="B45" s="15" t="s">
        <v>9</v>
      </c>
      <c r="C45" s="38" t="s">
        <v>10</v>
      </c>
      <c r="D45" s="38" t="s">
        <v>340</v>
      </c>
      <c r="E45" s="16" t="s">
        <v>65</v>
      </c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9"/>
      <c r="S45" s="9"/>
    </row>
    <row r="46" spans="1:19" ht="33.6" x14ac:dyDescent="0.4">
      <c r="A46" s="40" t="s">
        <v>171</v>
      </c>
      <c r="B46" s="17" t="s">
        <v>74</v>
      </c>
      <c r="C46" s="35" t="s">
        <v>172</v>
      </c>
      <c r="D46" s="35" t="s">
        <v>391</v>
      </c>
      <c r="E46" s="50">
        <f>E47*E50*E51*E52*E53*E54</f>
        <v>0.94678949030047188</v>
      </c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9"/>
      <c r="S46" s="9"/>
    </row>
    <row r="47" spans="1:19" ht="46.8" x14ac:dyDescent="0.4">
      <c r="A47" s="51" t="s">
        <v>173</v>
      </c>
      <c r="B47" s="17" t="s">
        <v>76</v>
      </c>
      <c r="C47" s="35" t="s">
        <v>174</v>
      </c>
      <c r="D47" s="35" t="s">
        <v>392</v>
      </c>
      <c r="E47" s="69">
        <f>ROUNDUP(E48/E49,0)</f>
        <v>189</v>
      </c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9"/>
      <c r="S47" s="9"/>
    </row>
    <row r="48" spans="1:19" ht="62.4" x14ac:dyDescent="0.25">
      <c r="A48" s="17" t="s">
        <v>175</v>
      </c>
      <c r="B48" s="17" t="s">
        <v>78</v>
      </c>
      <c r="C48" s="35" t="s">
        <v>176</v>
      </c>
      <c r="D48" s="35" t="s">
        <v>346</v>
      </c>
      <c r="E48" s="52">
        <v>942.92899999999997</v>
      </c>
      <c r="G48" s="99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9"/>
      <c r="S48" s="9"/>
    </row>
    <row r="49" spans="1:19" ht="62.4" x14ac:dyDescent="0.25">
      <c r="A49" s="17" t="s">
        <v>177</v>
      </c>
      <c r="B49" s="17" t="s">
        <v>80</v>
      </c>
      <c r="C49" s="35" t="s">
        <v>81</v>
      </c>
      <c r="D49" s="35" t="s">
        <v>345</v>
      </c>
      <c r="E49" s="25">
        <f>5</f>
        <v>5</v>
      </c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9"/>
      <c r="S49" s="9"/>
    </row>
    <row r="50" spans="1:19" ht="202.8" x14ac:dyDescent="0.25">
      <c r="A50" s="17" t="s">
        <v>178</v>
      </c>
      <c r="B50" s="17" t="s">
        <v>82</v>
      </c>
      <c r="C50" s="35" t="s">
        <v>179</v>
      </c>
      <c r="D50" s="35" t="s">
        <v>367</v>
      </c>
      <c r="E50" s="25">
        <v>7.4</v>
      </c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9"/>
      <c r="S50" s="9"/>
    </row>
    <row r="51" spans="1:19" ht="156" x14ac:dyDescent="0.25">
      <c r="A51" s="17" t="s">
        <v>180</v>
      </c>
      <c r="B51" s="17" t="s">
        <v>84</v>
      </c>
      <c r="C51" s="35" t="s">
        <v>85</v>
      </c>
      <c r="D51" s="35" t="s">
        <v>365</v>
      </c>
      <c r="E51" s="25">
        <f>25.1/100</f>
        <v>0.251</v>
      </c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9"/>
      <c r="S51" s="9"/>
    </row>
    <row r="52" spans="1:19" ht="62.4" x14ac:dyDescent="0.25">
      <c r="A52" s="17" t="s">
        <v>86</v>
      </c>
      <c r="B52" s="17" t="s">
        <v>87</v>
      </c>
      <c r="C52" s="35" t="s">
        <v>86</v>
      </c>
      <c r="D52" s="35" t="s">
        <v>215</v>
      </c>
      <c r="E52" s="25">
        <f>0.84/1000</f>
        <v>8.3999999999999993E-4</v>
      </c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9"/>
      <c r="S52" s="9"/>
    </row>
    <row r="53" spans="1:19" ht="124.8" x14ac:dyDescent="0.25">
      <c r="A53" s="17" t="s">
        <v>181</v>
      </c>
      <c r="B53" s="17" t="s">
        <v>88</v>
      </c>
      <c r="C53" s="35" t="s">
        <v>89</v>
      </c>
      <c r="D53" s="35" t="s">
        <v>360</v>
      </c>
      <c r="E53" s="25">
        <f>43.33/1000</f>
        <v>4.333E-2</v>
      </c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9"/>
      <c r="S53" s="9"/>
    </row>
    <row r="54" spans="1:19" ht="33.6" x14ac:dyDescent="0.25">
      <c r="A54" s="17" t="s">
        <v>182</v>
      </c>
      <c r="B54" s="17" t="s">
        <v>90</v>
      </c>
      <c r="C54" s="35" t="s">
        <v>91</v>
      </c>
      <c r="D54" s="35" t="s">
        <v>92</v>
      </c>
      <c r="E54" s="25">
        <v>74.099999999999994</v>
      </c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9"/>
      <c r="S54" s="9"/>
    </row>
    <row r="56" spans="1:19" x14ac:dyDescent="0.25">
      <c r="A56" s="33" t="s">
        <v>8</v>
      </c>
      <c r="B56" s="33" t="s">
        <v>9</v>
      </c>
      <c r="C56" s="34" t="s">
        <v>10</v>
      </c>
      <c r="D56" s="34" t="s">
        <v>340</v>
      </c>
      <c r="E56" s="16" t="s">
        <v>65</v>
      </c>
    </row>
    <row r="57" spans="1:19" ht="18" x14ac:dyDescent="0.25">
      <c r="A57" s="15" t="s">
        <v>183</v>
      </c>
      <c r="B57" s="17" t="s">
        <v>103</v>
      </c>
      <c r="C57" s="35" t="s">
        <v>184</v>
      </c>
      <c r="D57" s="53" t="s">
        <v>393</v>
      </c>
      <c r="E57" s="18">
        <f>ROUNDUP(E6+E30+E34+E38+E46,0)</f>
        <v>383</v>
      </c>
    </row>
    <row r="58" spans="1:19" s="213" customFormat="1" ht="36" customHeight="1" x14ac:dyDescent="0.25">
      <c r="A58" s="213" t="s">
        <v>237</v>
      </c>
    </row>
    <row r="59" spans="1:19" ht="23.4" customHeight="1" x14ac:dyDescent="0.25">
      <c r="A59" s="201" t="s">
        <v>105</v>
      </c>
      <c r="B59" s="201"/>
      <c r="C59" s="201"/>
      <c r="D59" s="201"/>
      <c r="E59" s="201"/>
      <c r="F59" s="201"/>
      <c r="G59" s="201"/>
      <c r="H59" s="201"/>
      <c r="I59" s="201"/>
      <c r="J59" s="201"/>
      <c r="K59" s="201"/>
      <c r="L59" s="201"/>
      <c r="M59" s="201"/>
      <c r="N59" s="201"/>
      <c r="O59" s="201"/>
      <c r="P59" s="201"/>
      <c r="Q59" s="202"/>
    </row>
    <row r="60" spans="1:19" s="10" customFormat="1" ht="31.2" x14ac:dyDescent="0.25">
      <c r="A60" s="15" t="s">
        <v>8</v>
      </c>
      <c r="B60" s="15" t="s">
        <v>9</v>
      </c>
      <c r="C60" s="15" t="s">
        <v>10</v>
      </c>
      <c r="D60" s="15" t="s">
        <v>340</v>
      </c>
      <c r="E60" s="16" t="s">
        <v>11</v>
      </c>
      <c r="F60" s="16" t="s">
        <v>312</v>
      </c>
      <c r="G60" s="16" t="s">
        <v>313</v>
      </c>
      <c r="H60" s="16" t="s">
        <v>314</v>
      </c>
      <c r="I60" s="16" t="s">
        <v>315</v>
      </c>
      <c r="J60" s="16" t="s">
        <v>316</v>
      </c>
      <c r="K60" s="16" t="s">
        <v>317</v>
      </c>
      <c r="L60" s="16" t="s">
        <v>318</v>
      </c>
      <c r="M60" s="16" t="s">
        <v>319</v>
      </c>
      <c r="N60" s="16" t="s">
        <v>320</v>
      </c>
      <c r="O60" s="16" t="s">
        <v>293</v>
      </c>
      <c r="P60" s="16" t="s">
        <v>294</v>
      </c>
      <c r="Q60" s="16" t="s">
        <v>295</v>
      </c>
      <c r="R60" s="54"/>
      <c r="S60" s="54"/>
    </row>
    <row r="61" spans="1:19" s="10" customFormat="1" x14ac:dyDescent="0.25">
      <c r="A61" s="203" t="s">
        <v>106</v>
      </c>
      <c r="B61" s="203"/>
      <c r="C61" s="203"/>
      <c r="D61" s="203"/>
      <c r="E61" s="204"/>
      <c r="F61" s="16">
        <v>31</v>
      </c>
      <c r="G61" s="16">
        <v>28</v>
      </c>
      <c r="H61" s="16">
        <v>31</v>
      </c>
      <c r="I61" s="16">
        <v>30</v>
      </c>
      <c r="J61" s="16">
        <v>31</v>
      </c>
      <c r="K61" s="16">
        <v>30</v>
      </c>
      <c r="L61" s="16">
        <v>31</v>
      </c>
      <c r="M61" s="16">
        <v>31</v>
      </c>
      <c r="N61" s="16">
        <v>30</v>
      </c>
      <c r="O61" s="16">
        <v>31</v>
      </c>
      <c r="P61" s="16">
        <v>30</v>
      </c>
      <c r="Q61" s="16">
        <v>31</v>
      </c>
      <c r="R61" s="54"/>
      <c r="S61" s="54"/>
    </row>
    <row r="62" spans="1:19" s="10" customFormat="1" ht="31.2" x14ac:dyDescent="0.25">
      <c r="A62" s="15" t="s">
        <v>107</v>
      </c>
      <c r="B62" s="17" t="s">
        <v>103</v>
      </c>
      <c r="C62" s="17" t="s">
        <v>108</v>
      </c>
      <c r="D62" s="17" t="s">
        <v>381</v>
      </c>
      <c r="E62" s="18">
        <f>E63+E73</f>
        <v>0</v>
      </c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54"/>
      <c r="S62" s="54"/>
    </row>
    <row r="63" spans="1:19" ht="46.8" x14ac:dyDescent="0.25">
      <c r="A63" s="17" t="s">
        <v>109</v>
      </c>
      <c r="B63" s="17" t="s">
        <v>103</v>
      </c>
      <c r="C63" s="17" t="s">
        <v>110</v>
      </c>
      <c r="D63" s="17" t="s">
        <v>382</v>
      </c>
      <c r="E63" s="19">
        <f>SUM(F63:Q63)</f>
        <v>0</v>
      </c>
      <c r="F63" s="19">
        <f>IF(F64&gt;=0.8,0,$E$71*$E$72*0.4*(F65-F68)*F61)</f>
        <v>0</v>
      </c>
      <c r="G63" s="19">
        <f t="shared" ref="G63:Q63" si="7">IF(G64&gt;=0.8,0,$E$71*$E$72*0.4*(G65-G68)*G61)</f>
        <v>0</v>
      </c>
      <c r="H63" s="19">
        <f t="shared" si="7"/>
        <v>0</v>
      </c>
      <c r="I63" s="19">
        <f t="shared" si="7"/>
        <v>0</v>
      </c>
      <c r="J63" s="19">
        <f t="shared" si="7"/>
        <v>0</v>
      </c>
      <c r="K63" s="19">
        <f t="shared" si="7"/>
        <v>0</v>
      </c>
      <c r="L63" s="19">
        <f t="shared" si="7"/>
        <v>0</v>
      </c>
      <c r="M63" s="19">
        <f t="shared" si="7"/>
        <v>0</v>
      </c>
      <c r="N63" s="19">
        <f t="shared" si="7"/>
        <v>0</v>
      </c>
      <c r="O63" s="19">
        <f t="shared" si="7"/>
        <v>0</v>
      </c>
      <c r="P63" s="19">
        <f t="shared" si="7"/>
        <v>0</v>
      </c>
      <c r="Q63" s="19">
        <f t="shared" si="7"/>
        <v>0</v>
      </c>
    </row>
    <row r="64" spans="1:19" ht="62.4" x14ac:dyDescent="0.25">
      <c r="A64" s="17" t="s">
        <v>111</v>
      </c>
      <c r="B64" s="17" t="s">
        <v>37</v>
      </c>
      <c r="C64" s="17" t="s">
        <v>112</v>
      </c>
      <c r="D64" s="17" t="s">
        <v>383</v>
      </c>
      <c r="E64" s="20">
        <f>AVERAGE(F64:Q64)</f>
        <v>0.95396395211651741</v>
      </c>
      <c r="F64" s="20">
        <f>(F65-F68)/F65</f>
        <v>0.95383266468813077</v>
      </c>
      <c r="G64" s="20">
        <f t="shared" ref="G64:Q64" si="8">(G65-G68)/G65</f>
        <v>0.95554125950896351</v>
      </c>
      <c r="H64" s="20">
        <f t="shared" si="8"/>
        <v>0.95361863873794095</v>
      </c>
      <c r="I64" s="20">
        <f t="shared" si="8"/>
        <v>0.95415602524145704</v>
      </c>
      <c r="J64" s="20">
        <f t="shared" si="8"/>
        <v>0.95361233306067017</v>
      </c>
      <c r="K64" s="20">
        <f t="shared" si="8"/>
        <v>0.95432341832556811</v>
      </c>
      <c r="L64" s="20">
        <f t="shared" si="8"/>
        <v>0.95304936787166916</v>
      </c>
      <c r="M64" s="20">
        <f t="shared" si="8"/>
        <v>0.95469200404165633</v>
      </c>
      <c r="N64" s="20">
        <f t="shared" si="8"/>
        <v>0.9530208568031785</v>
      </c>
      <c r="O64" s="20">
        <f t="shared" si="8"/>
        <v>0.95295847217367902</v>
      </c>
      <c r="P64" s="20">
        <f t="shared" si="8"/>
        <v>0.95438896339776724</v>
      </c>
      <c r="Q64" s="20">
        <f t="shared" si="8"/>
        <v>0.95437342154752869</v>
      </c>
    </row>
    <row r="65" spans="1:17" ht="46.8" x14ac:dyDescent="0.25">
      <c r="A65" s="17" t="s">
        <v>113</v>
      </c>
      <c r="B65" s="17" t="s">
        <v>24</v>
      </c>
      <c r="C65" s="17" t="s">
        <v>114</v>
      </c>
      <c r="D65" s="17" t="s">
        <v>384</v>
      </c>
      <c r="E65" s="20">
        <f>SUM(F65:Q65)</f>
        <v>29.447497714026611</v>
      </c>
      <c r="F65" s="20">
        <f>F66*F67</f>
        <v>2.3940765049346324</v>
      </c>
      <c r="G65" s="20">
        <f t="shared" ref="G65:Q65" si="9">G66*G67</f>
        <v>2.3985825078265091</v>
      </c>
      <c r="H65" s="20">
        <f t="shared" si="9"/>
        <v>2.3973292219642031</v>
      </c>
      <c r="I65" s="20">
        <f t="shared" si="9"/>
        <v>2.3985064351986209</v>
      </c>
      <c r="J65" s="20">
        <f t="shared" si="9"/>
        <v>2.7352592352006413</v>
      </c>
      <c r="K65" s="20">
        <f t="shared" si="9"/>
        <v>2.3987498283994357</v>
      </c>
      <c r="L65" s="20">
        <f t="shared" si="9"/>
        <v>2.3978608395771248</v>
      </c>
      <c r="M65" s="20">
        <f t="shared" si="9"/>
        <v>2.3985634633869934</v>
      </c>
      <c r="N65" s="20">
        <f t="shared" si="9"/>
        <v>2.3977286488836724</v>
      </c>
      <c r="O65" s="20">
        <f t="shared" si="9"/>
        <v>2.3956416419561917</v>
      </c>
      <c r="P65" s="20">
        <f t="shared" si="9"/>
        <v>2.3999826361279997</v>
      </c>
      <c r="Q65" s="20">
        <f t="shared" si="9"/>
        <v>2.7352167505705856</v>
      </c>
    </row>
    <row r="66" spans="1:17" ht="63.6" customHeight="1" x14ac:dyDescent="0.25">
      <c r="A66" s="17" t="s">
        <v>115</v>
      </c>
      <c r="B66" s="17" t="s">
        <v>116</v>
      </c>
      <c r="C66" s="17" t="s">
        <v>347</v>
      </c>
      <c r="D66" s="17" t="s">
        <v>337</v>
      </c>
      <c r="E66" s="129">
        <f>SUM(F66:Q66)</f>
        <v>62896.813309293393</v>
      </c>
      <c r="F66" s="129">
        <f>'Baseline Emissions 2021'!F65</f>
        <v>5121.3244516129034</v>
      </c>
      <c r="G66" s="129">
        <f>'Baseline Emissions 2021'!G65</f>
        <v>5122.4464642857138</v>
      </c>
      <c r="H66" s="129">
        <f>'Baseline Emissions 2021'!H65</f>
        <v>5120.4748064516116</v>
      </c>
      <c r="I66" s="129">
        <f>'Baseline Emissions 2021'!I65</f>
        <v>5124.0573000000004</v>
      </c>
      <c r="J66" s="129">
        <f>'Baseline Emissions 2021'!J65</f>
        <v>5840.3910645161295</v>
      </c>
      <c r="K66" s="129">
        <f>'Baseline Emissions 2021'!K65</f>
        <v>5120.2245666666668</v>
      </c>
      <c r="L66" s="129">
        <f>'Baseline Emissions 2021'!L65</f>
        <v>5120.2785161290331</v>
      </c>
      <c r="M66" s="129">
        <f>'Baseline Emissions 2021'!M65</f>
        <v>5121.2173870967754</v>
      </c>
      <c r="N66" s="129">
        <f>'Baseline Emissions 2021'!N65</f>
        <v>5122.4136428571419</v>
      </c>
      <c r="O66" s="129">
        <f>'Baseline Emissions 2021'!O65</f>
        <v>5118.4014193548383</v>
      </c>
      <c r="P66" s="129">
        <f>'Baseline Emissions 2021'!P65</f>
        <v>5124.5424000000012</v>
      </c>
      <c r="Q66" s="129">
        <f>'Baseline Emissions 2021'!Q65</f>
        <v>5841.0412903225797</v>
      </c>
    </row>
    <row r="67" spans="1:17" ht="46.8" x14ac:dyDescent="0.25">
      <c r="A67" s="17" t="s">
        <v>118</v>
      </c>
      <c r="B67" s="17" t="s">
        <v>119</v>
      </c>
      <c r="C67" s="17" t="s">
        <v>120</v>
      </c>
      <c r="D67" s="35" t="s">
        <v>338</v>
      </c>
      <c r="E67" s="120">
        <f>AVERAGE(F67:Q67)</f>
        <v>4.6818467604564092E-4</v>
      </c>
      <c r="F67" s="130">
        <f>'Baseline Emissions 2021'!F69</f>
        <v>4.6747214076246329E-4</v>
      </c>
      <c r="G67" s="130">
        <f>'Baseline Emissions 2021'!G69</f>
        <v>4.6824940476190472E-4</v>
      </c>
      <c r="H67" s="130">
        <f>'Baseline Emissions 2021'!H69</f>
        <v>4.6818494623655907E-4</v>
      </c>
      <c r="I67" s="130">
        <f>'Baseline Emissions 2021'!I69</f>
        <v>4.6808735632183907E-4</v>
      </c>
      <c r="J67" s="130">
        <f>'Baseline Emissions 2021'!J69</f>
        <v>4.6833494623655904E-4</v>
      </c>
      <c r="K67" s="130">
        <f>'Baseline Emissions 2021'!K69</f>
        <v>4.6848527777777787E-4</v>
      </c>
      <c r="L67" s="130">
        <f>'Baseline Emissions 2021'!L69</f>
        <v>4.6830672043010748E-4</v>
      </c>
      <c r="M67" s="130">
        <f>'Baseline Emissions 2021'!M69</f>
        <v>4.6835806451612903E-4</v>
      </c>
      <c r="N67" s="130">
        <f>'Baseline Emissions 2021'!N69</f>
        <v>4.6808571428571421E-4</v>
      </c>
      <c r="O67" s="130">
        <f>'Baseline Emissions 2021'!O69</f>
        <v>4.6804489247311834E-4</v>
      </c>
      <c r="P67" s="130">
        <f>'Baseline Emissions 2021'!P69</f>
        <v>4.6833111111111098E-4</v>
      </c>
      <c r="Q67" s="130">
        <f>'Baseline Emissions 2021'!Q69</f>
        <v>4.682755376344086E-4</v>
      </c>
    </row>
    <row r="68" spans="1:17" ht="46.8" x14ac:dyDescent="0.25">
      <c r="A68" s="17" t="s">
        <v>121</v>
      </c>
      <c r="B68" s="17" t="s">
        <v>24</v>
      </c>
      <c r="C68" s="17" t="s">
        <v>122</v>
      </c>
      <c r="D68" s="17" t="s">
        <v>384</v>
      </c>
      <c r="E68" s="20">
        <f>SUM(F68:Q68)</f>
        <v>1.3556208819569417</v>
      </c>
      <c r="F68" s="20">
        <f>SUM(F69*F70)</f>
        <v>0.1105281327655851</v>
      </c>
      <c r="G68" s="20">
        <f t="shared" ref="G68:Q68" si="10">SUM(G69*G70)</f>
        <v>0.1066379572617985</v>
      </c>
      <c r="H68" s="20">
        <f t="shared" si="10"/>
        <v>0.11119139270801252</v>
      </c>
      <c r="I68" s="20">
        <f t="shared" si="10"/>
        <v>0.10995706847344829</v>
      </c>
      <c r="J68" s="20">
        <f t="shared" si="10"/>
        <v>0.12688229439521334</v>
      </c>
      <c r="K68" s="20">
        <f t="shared" si="10"/>
        <v>0.10956669245341666</v>
      </c>
      <c r="L68" s="20">
        <f t="shared" si="10"/>
        <v>0.11258108217391606</v>
      </c>
      <c r="M68" s="20">
        <f t="shared" si="10"/>
        <v>0.10867410370496883</v>
      </c>
      <c r="N68" s="20">
        <f t="shared" si="10"/>
        <v>0.1126432375430272</v>
      </c>
      <c r="O68" s="20">
        <f t="shared" si="10"/>
        <v>0.11269464296197536</v>
      </c>
      <c r="P68" s="20">
        <f t="shared" si="10"/>
        <v>0.10946569586115742</v>
      </c>
      <c r="Q68" s="20">
        <f t="shared" si="10"/>
        <v>0.12479858165442245</v>
      </c>
    </row>
    <row r="69" spans="1:17" ht="62.4" x14ac:dyDescent="0.25">
      <c r="A69" s="17" t="s">
        <v>123</v>
      </c>
      <c r="B69" s="17" t="s">
        <v>116</v>
      </c>
      <c r="C69" s="17" t="s">
        <v>124</v>
      </c>
      <c r="D69" s="17" t="s">
        <v>337</v>
      </c>
      <c r="E69" s="129">
        <f>SUM(F69:Q69)</f>
        <v>61468.687935330279</v>
      </c>
      <c r="F69" s="129">
        <v>5011.0475806451623</v>
      </c>
      <c r="G69" s="129">
        <v>5009.1365357142859</v>
      </c>
      <c r="H69" s="129">
        <v>5011.5341290322585</v>
      </c>
      <c r="I69" s="129">
        <v>5010.2207333333336</v>
      </c>
      <c r="J69" s="129">
        <v>5682.1174838709694</v>
      </c>
      <c r="K69" s="129">
        <v>5012.3910999999998</v>
      </c>
      <c r="L69" s="129">
        <v>5010.9074838709676</v>
      </c>
      <c r="M69" s="129">
        <v>5008.9539677419361</v>
      </c>
      <c r="N69" s="129">
        <v>5008.4861071428568</v>
      </c>
      <c r="O69" s="129">
        <v>5010.1472580645168</v>
      </c>
      <c r="P69" s="129">
        <v>5009.553233333334</v>
      </c>
      <c r="Q69" s="129">
        <v>5684.192322580644</v>
      </c>
    </row>
    <row r="70" spans="1:17" ht="46.8" x14ac:dyDescent="0.25">
      <c r="A70" s="17" t="s">
        <v>125</v>
      </c>
      <c r="B70" s="17" t="s">
        <v>119</v>
      </c>
      <c r="C70" s="17" t="s">
        <v>126</v>
      </c>
      <c r="D70" s="35" t="s">
        <v>339</v>
      </c>
      <c r="E70" s="131">
        <f>AVERAGE(F70:Q70)</f>
        <v>2.2051849808335487E-5</v>
      </c>
      <c r="F70" s="131">
        <f>'Baseline Emissions 2021'!F70</f>
        <v>2.205689149560117E-5</v>
      </c>
      <c r="G70" s="131">
        <f>'Baseline Emissions 2021'!G70</f>
        <v>2.1288690476190482E-5</v>
      </c>
      <c r="H70" s="131">
        <f>'Baseline Emissions 2021'!H70</f>
        <v>2.2187096774193554E-5</v>
      </c>
      <c r="I70" s="131">
        <f>'Baseline Emissions 2021'!I70</f>
        <v>2.1946551724137933E-5</v>
      </c>
      <c r="J70" s="131">
        <f>'Baseline Emissions 2021'!J70</f>
        <v>2.2330107526881718E-5</v>
      </c>
      <c r="K70" s="131">
        <f>'Baseline Emissions 2021'!K70</f>
        <v>2.1859166666666666E-5</v>
      </c>
      <c r="L70" s="131">
        <f>'Baseline Emissions 2021'!L70</f>
        <v>2.2467204301075271E-5</v>
      </c>
      <c r="M70" s="131">
        <f>'Baseline Emissions 2021'!M70</f>
        <v>2.1695967741935491E-5</v>
      </c>
      <c r="N70" s="131">
        <f>'Baseline Emissions 2021'!N70</f>
        <v>2.249047619047619E-5</v>
      </c>
      <c r="O70" s="131">
        <f>'Baseline Emissions 2021'!O70</f>
        <v>2.2493279569892467E-5</v>
      </c>
      <c r="P70" s="131">
        <f>'Baseline Emissions 2021'!P70</f>
        <v>2.185138888888889E-5</v>
      </c>
      <c r="Q70" s="131">
        <f>'Baseline Emissions 2021'!Q70</f>
        <v>2.1955376344086021E-5</v>
      </c>
    </row>
    <row r="71" spans="1:17" ht="31.2" x14ac:dyDescent="0.25">
      <c r="A71" s="17" t="s">
        <v>127</v>
      </c>
      <c r="B71" s="17" t="s">
        <v>128</v>
      </c>
      <c r="C71" s="17" t="s">
        <v>17</v>
      </c>
      <c r="D71" s="17" t="s">
        <v>129</v>
      </c>
      <c r="E71" s="176">
        <v>28</v>
      </c>
      <c r="F71" s="176"/>
      <c r="G71" s="176"/>
      <c r="H71" s="176"/>
      <c r="I71" s="176"/>
      <c r="J71" s="176"/>
      <c r="K71" s="176"/>
      <c r="L71" s="176"/>
      <c r="M71" s="176"/>
      <c r="N71" s="176"/>
      <c r="O71" s="176"/>
      <c r="P71" s="176"/>
      <c r="Q71" s="176"/>
    </row>
    <row r="72" spans="1:17" ht="64.8" x14ac:dyDescent="0.25">
      <c r="A72" s="17" t="s">
        <v>130</v>
      </c>
      <c r="B72" s="17" t="s">
        <v>19</v>
      </c>
      <c r="C72" s="17" t="s">
        <v>131</v>
      </c>
      <c r="D72" s="17" t="s">
        <v>394</v>
      </c>
      <c r="E72" s="176">
        <v>0.21</v>
      </c>
      <c r="F72" s="176"/>
      <c r="G72" s="176"/>
      <c r="H72" s="176"/>
      <c r="I72" s="176"/>
      <c r="J72" s="176"/>
      <c r="K72" s="176"/>
      <c r="L72" s="176"/>
      <c r="M72" s="176"/>
      <c r="N72" s="176"/>
      <c r="O72" s="176"/>
      <c r="P72" s="176"/>
      <c r="Q72" s="176"/>
    </row>
    <row r="73" spans="1:17" ht="46.8" x14ac:dyDescent="0.25">
      <c r="A73" s="17" t="s">
        <v>132</v>
      </c>
      <c r="B73" s="17" t="s">
        <v>103</v>
      </c>
      <c r="C73" s="17" t="s">
        <v>133</v>
      </c>
      <c r="D73" s="17" t="s">
        <v>385</v>
      </c>
      <c r="E73" s="19">
        <f>SUM(F73:Q73)</f>
        <v>0</v>
      </c>
      <c r="F73" s="19">
        <f>$E$71*$E$72*F74*F68*F61</f>
        <v>0</v>
      </c>
      <c r="G73" s="19">
        <f t="shared" ref="G73:Q73" si="11">$E$71*$E$72*G74*G68*G61</f>
        <v>0</v>
      </c>
      <c r="H73" s="19">
        <f t="shared" si="11"/>
        <v>0</v>
      </c>
      <c r="I73" s="19">
        <f t="shared" si="11"/>
        <v>0</v>
      </c>
      <c r="J73" s="19">
        <f t="shared" si="11"/>
        <v>0</v>
      </c>
      <c r="K73" s="19">
        <f t="shared" si="11"/>
        <v>0</v>
      </c>
      <c r="L73" s="19">
        <f t="shared" si="11"/>
        <v>0</v>
      </c>
      <c r="M73" s="19">
        <f t="shared" si="11"/>
        <v>0</v>
      </c>
      <c r="N73" s="19">
        <f t="shared" si="11"/>
        <v>0</v>
      </c>
      <c r="O73" s="19">
        <f t="shared" si="11"/>
        <v>0</v>
      </c>
      <c r="P73" s="19">
        <f t="shared" si="11"/>
        <v>0</v>
      </c>
      <c r="Q73" s="19">
        <f t="shared" si="11"/>
        <v>0</v>
      </c>
    </row>
    <row r="74" spans="1:17" ht="18" x14ac:dyDescent="0.25">
      <c r="A74" s="17" t="s">
        <v>134</v>
      </c>
      <c r="B74" s="17" t="s">
        <v>37</v>
      </c>
      <c r="C74" s="17" t="s">
        <v>135</v>
      </c>
      <c r="D74" s="17" t="s">
        <v>386</v>
      </c>
      <c r="E74" s="26">
        <f>AVERAGE(F74:Q74)</f>
        <v>0</v>
      </c>
      <c r="F74" s="26">
        <f>F75*$E$76*0.89</f>
        <v>0</v>
      </c>
      <c r="G74" s="26">
        <f t="shared" ref="G74:Q74" si="12">G75*$E$76*0.89</f>
        <v>0</v>
      </c>
      <c r="H74" s="26">
        <f t="shared" si="12"/>
        <v>0</v>
      </c>
      <c r="I74" s="26">
        <f t="shared" si="12"/>
        <v>0</v>
      </c>
      <c r="J74" s="26">
        <f t="shared" si="12"/>
        <v>0</v>
      </c>
      <c r="K74" s="26">
        <f t="shared" si="12"/>
        <v>0</v>
      </c>
      <c r="L74" s="26">
        <f t="shared" si="12"/>
        <v>0</v>
      </c>
      <c r="M74" s="26">
        <f t="shared" si="12"/>
        <v>0</v>
      </c>
      <c r="N74" s="26">
        <f t="shared" si="12"/>
        <v>0</v>
      </c>
      <c r="O74" s="26">
        <f t="shared" si="12"/>
        <v>0</v>
      </c>
      <c r="P74" s="26">
        <f t="shared" si="12"/>
        <v>0</v>
      </c>
      <c r="Q74" s="26">
        <f t="shared" si="12"/>
        <v>0</v>
      </c>
    </row>
    <row r="75" spans="1:17" ht="31.2" x14ac:dyDescent="0.25">
      <c r="A75" s="17" t="s">
        <v>136</v>
      </c>
      <c r="B75" s="17" t="s">
        <v>37</v>
      </c>
      <c r="C75" s="17" t="s">
        <v>46</v>
      </c>
      <c r="D75" s="17" t="s">
        <v>387</v>
      </c>
      <c r="E75" s="25">
        <v>0</v>
      </c>
      <c r="F75" s="25">
        <v>0</v>
      </c>
      <c r="G75" s="25">
        <v>0</v>
      </c>
      <c r="H75" s="25">
        <v>0</v>
      </c>
      <c r="I75" s="25">
        <v>0</v>
      </c>
      <c r="J75" s="25">
        <v>0</v>
      </c>
      <c r="K75" s="25">
        <v>0</v>
      </c>
      <c r="L75" s="25">
        <v>0</v>
      </c>
      <c r="M75" s="25">
        <v>0</v>
      </c>
      <c r="N75" s="25">
        <v>0</v>
      </c>
      <c r="O75" s="25">
        <v>0</v>
      </c>
      <c r="P75" s="25">
        <v>0</v>
      </c>
      <c r="Q75" s="25">
        <v>0</v>
      </c>
    </row>
    <row r="76" spans="1:17" ht="31.2" x14ac:dyDescent="0.25">
      <c r="A76" s="17" t="s">
        <v>137</v>
      </c>
      <c r="B76" s="17" t="s">
        <v>201</v>
      </c>
      <c r="C76" s="17" t="s">
        <v>138</v>
      </c>
      <c r="D76" s="17" t="s">
        <v>388</v>
      </c>
      <c r="E76" s="196">
        <f>(F77*F82+G77*G82+H77*H82+I77*I82+J77*J82+K77*K82+L77*L82+M77*M82+N77*N82+O77*O82+P77*P82+Q77*Q82)/(F69*F70*F61+G70*G69*G61+H69*H70*H61+I70*I69*I61+J70*J69*J61+K70*K69*K61+L70*L69*L61+M70*M69*M61+N70*N69*N61+O69*O70*O61+P70*P69*P61+Q70*Q69*Q61)</f>
        <v>0.66627724555560774</v>
      </c>
      <c r="F76" s="196"/>
      <c r="G76" s="196"/>
      <c r="H76" s="196"/>
      <c r="I76" s="196"/>
      <c r="J76" s="196"/>
      <c r="K76" s="196"/>
      <c r="L76" s="196"/>
      <c r="M76" s="196"/>
      <c r="N76" s="196"/>
      <c r="O76" s="196"/>
      <c r="P76" s="196"/>
      <c r="Q76" s="196"/>
    </row>
    <row r="77" spans="1:17" ht="31.2" x14ac:dyDescent="0.25">
      <c r="A77" s="17" t="s">
        <v>139</v>
      </c>
      <c r="B77" s="17" t="s">
        <v>37</v>
      </c>
      <c r="C77" s="17" t="s">
        <v>140</v>
      </c>
      <c r="D77" s="17" t="s">
        <v>375</v>
      </c>
      <c r="E77" s="27">
        <f>AVERAGE(F77:Q77)</f>
        <v>0.66390260094773224</v>
      </c>
      <c r="F77" s="27">
        <f>IF(F81&lt;283,0,IF(F81&gt;303,1,EXP(($E$78*(F81-$E$79))/($E$80*$E$79*F81))))</f>
        <v>0.26921004737855481</v>
      </c>
      <c r="G77" s="27">
        <f t="shared" ref="G77:Q77" si="13">IF(G81&lt;283,0,IF(G81&gt;303,1,EXP(($E$78*(G81-$E$79))/($E$80*$E$79*G81))))</f>
        <v>0.38698063689870399</v>
      </c>
      <c r="H77" s="27">
        <f t="shared" si="13"/>
        <v>0.52733825786216582</v>
      </c>
      <c r="I77" s="27">
        <f t="shared" si="13"/>
        <v>0.65487347206548807</v>
      </c>
      <c r="J77" s="27">
        <f t="shared" si="13"/>
        <v>0.95843738031531212</v>
      </c>
      <c r="K77" s="27">
        <f t="shared" si="13"/>
        <v>1</v>
      </c>
      <c r="L77" s="27">
        <f t="shared" si="13"/>
        <v>0.95843738031531212</v>
      </c>
      <c r="M77" s="27">
        <f t="shared" si="13"/>
        <v>0.88152221926734242</v>
      </c>
      <c r="N77" s="27">
        <f t="shared" si="13"/>
        <v>0.88152221926734242</v>
      </c>
      <c r="O77" s="27">
        <f t="shared" si="13"/>
        <v>0.62729263560178183</v>
      </c>
      <c r="P77" s="27">
        <f t="shared" si="13"/>
        <v>0.48307557293036196</v>
      </c>
      <c r="Q77" s="27">
        <f t="shared" si="13"/>
        <v>0.33814138947042022</v>
      </c>
    </row>
    <row r="78" spans="1:17" x14ac:dyDescent="0.25">
      <c r="A78" s="17" t="s">
        <v>51</v>
      </c>
      <c r="B78" s="17" t="s">
        <v>52</v>
      </c>
      <c r="C78" s="17" t="s">
        <v>53</v>
      </c>
      <c r="D78" s="17" t="s">
        <v>389</v>
      </c>
      <c r="E78" s="176">
        <v>15175</v>
      </c>
      <c r="F78" s="176"/>
      <c r="G78" s="176"/>
      <c r="H78" s="176"/>
      <c r="I78" s="176"/>
      <c r="J78" s="176"/>
      <c r="K78" s="176"/>
      <c r="L78" s="176"/>
      <c r="M78" s="176"/>
      <c r="N78" s="176"/>
      <c r="O78" s="176"/>
      <c r="P78" s="176"/>
      <c r="Q78" s="176"/>
    </row>
    <row r="79" spans="1:17" ht="18" x14ac:dyDescent="0.25">
      <c r="A79" s="17" t="s">
        <v>141</v>
      </c>
      <c r="B79" s="17" t="s">
        <v>55</v>
      </c>
      <c r="C79" s="17" t="s">
        <v>56</v>
      </c>
      <c r="D79" s="17" t="s">
        <v>389</v>
      </c>
      <c r="E79" s="176">
        <v>303.16000000000003</v>
      </c>
      <c r="F79" s="176"/>
      <c r="G79" s="176"/>
      <c r="H79" s="176"/>
      <c r="I79" s="176"/>
      <c r="J79" s="176"/>
      <c r="K79" s="176"/>
      <c r="L79" s="176"/>
      <c r="M79" s="176"/>
      <c r="N79" s="176"/>
      <c r="O79" s="176"/>
      <c r="P79" s="176"/>
      <c r="Q79" s="176"/>
    </row>
    <row r="80" spans="1:17" x14ac:dyDescent="0.25">
      <c r="A80" s="17" t="s">
        <v>57</v>
      </c>
      <c r="B80" s="17" t="s">
        <v>58</v>
      </c>
      <c r="C80" s="17" t="s">
        <v>59</v>
      </c>
      <c r="D80" s="17" t="s">
        <v>389</v>
      </c>
      <c r="E80" s="176">
        <v>1.9870000000000001</v>
      </c>
      <c r="F80" s="176"/>
      <c r="G80" s="176"/>
      <c r="H80" s="176"/>
      <c r="I80" s="176"/>
      <c r="J80" s="176"/>
      <c r="K80" s="176"/>
      <c r="L80" s="176"/>
      <c r="M80" s="176"/>
      <c r="N80" s="176"/>
      <c r="O80" s="176"/>
      <c r="P80" s="176"/>
      <c r="Q80" s="176"/>
    </row>
    <row r="81" spans="1:19" ht="18" x14ac:dyDescent="0.25">
      <c r="A81" s="17" t="s">
        <v>142</v>
      </c>
      <c r="B81" s="17" t="s">
        <v>55</v>
      </c>
      <c r="C81" s="17" t="s">
        <v>143</v>
      </c>
      <c r="D81" s="144" t="s">
        <v>363</v>
      </c>
      <c r="E81" s="28">
        <f>AVERAGE(F81:Q81)</f>
        <v>297.40000000000003</v>
      </c>
      <c r="F81" s="25">
        <v>288.14999999999998</v>
      </c>
      <c r="G81" s="25">
        <v>292.14999999999998</v>
      </c>
      <c r="H81" s="25">
        <v>295.64999999999998</v>
      </c>
      <c r="I81" s="25">
        <v>298.14999999999998</v>
      </c>
      <c r="J81" s="25">
        <v>302.64999999999998</v>
      </c>
      <c r="K81" s="25">
        <v>303.14999999999998</v>
      </c>
      <c r="L81" s="25">
        <v>302.64999999999998</v>
      </c>
      <c r="M81" s="25">
        <v>301.64999999999998</v>
      </c>
      <c r="N81" s="25">
        <v>301.64999999999998</v>
      </c>
      <c r="O81" s="25">
        <v>297.64999999999998</v>
      </c>
      <c r="P81" s="25">
        <v>294.64999999999998</v>
      </c>
      <c r="Q81" s="25">
        <v>290.64999999999998</v>
      </c>
    </row>
    <row r="82" spans="1:19" ht="46.8" x14ac:dyDescent="0.25">
      <c r="A82" s="17" t="s">
        <v>144</v>
      </c>
      <c r="B82" s="17" t="s">
        <v>24</v>
      </c>
      <c r="C82" s="17" t="s">
        <v>145</v>
      </c>
      <c r="D82" s="17" t="s">
        <v>390</v>
      </c>
      <c r="E82" s="29">
        <f>SUM(F82:Q82)</f>
        <v>41.262700774548755</v>
      </c>
      <c r="F82" s="29">
        <f>F69*F70*'Project Emissions 2021'!F61+(1-F77)*0</f>
        <v>3.4263721157331379</v>
      </c>
      <c r="G82" s="29">
        <f>G69*G70*'Project Emissions 2021'!G61+(1-G77)*0</f>
        <v>2.9858628033303583</v>
      </c>
      <c r="H82" s="29">
        <f>H69*H70*'Project Emissions 2021'!H61+(1-H77)*0</f>
        <v>3.4469331739483882</v>
      </c>
      <c r="I82" s="29">
        <f>I69*I70*'Project Emissions 2021'!I61+(1-I77)*0</f>
        <v>3.2987120542034485</v>
      </c>
      <c r="J82" s="29">
        <f>J69*J70*'Project Emissions 2021'!J61+(1-J77)*0</f>
        <v>3.9333511262516136</v>
      </c>
      <c r="K82" s="29">
        <f>K69*K70*'Project Emissions 2021'!K61+(1-K77)*0</f>
        <v>3.2870007736024998</v>
      </c>
      <c r="L82" s="29">
        <f>L69*L70*'Project Emissions 2021'!L61+(1-L77)*0</f>
        <v>3.4900135473913978</v>
      </c>
      <c r="M82" s="29">
        <f>M69*M70*'Project Emissions 2021'!M61+(1-M77)*0</f>
        <v>3.3688972148540337</v>
      </c>
      <c r="N82" s="29">
        <f>N69*N70*'Project Emissions 2021'!N61+(1-N77)*0</f>
        <v>3.3792971262908158</v>
      </c>
      <c r="O82" s="29">
        <f>O69*O70*'Project Emissions 2021'!O61+(1-O77)*0</f>
        <v>3.4935339318212359</v>
      </c>
      <c r="P82" s="29">
        <f>P69*P70*'Project Emissions 2021'!P61+(1-P77)*0</f>
        <v>3.2839708758347226</v>
      </c>
      <c r="Q82" s="29">
        <f>Q69*Q70*'Project Emissions 2021'!Q61+(1-Q77)*0</f>
        <v>3.8687560312870959</v>
      </c>
    </row>
    <row r="83" spans="1:19" x14ac:dyDescent="0.3">
      <c r="A83" s="30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</row>
    <row r="84" spans="1:19" x14ac:dyDescent="0.25">
      <c r="A84" s="174" t="s">
        <v>146</v>
      </c>
      <c r="B84" s="174"/>
      <c r="C84" s="175"/>
      <c r="D84" s="175"/>
      <c r="E84" s="195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</row>
    <row r="85" spans="1:19" x14ac:dyDescent="0.25">
      <c r="A85" s="33" t="s">
        <v>8</v>
      </c>
      <c r="B85" s="33" t="s">
        <v>9</v>
      </c>
      <c r="C85" s="34" t="s">
        <v>10</v>
      </c>
      <c r="D85" s="34" t="s">
        <v>340</v>
      </c>
      <c r="E85" s="16" t="s">
        <v>65</v>
      </c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</row>
    <row r="86" spans="1:19" ht="46.8" x14ac:dyDescent="0.25">
      <c r="A86" s="15" t="s">
        <v>147</v>
      </c>
      <c r="B86" s="17" t="s">
        <v>95</v>
      </c>
      <c r="C86" s="35" t="s">
        <v>148</v>
      </c>
      <c r="D86" s="35" t="s">
        <v>68</v>
      </c>
      <c r="E86" s="16">
        <v>0</v>
      </c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</row>
    <row r="87" spans="1:19" x14ac:dyDescent="0.25">
      <c r="A87" s="36"/>
      <c r="B87" s="36"/>
      <c r="C87" s="37"/>
      <c r="D87" s="37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</row>
    <row r="88" spans="1:19" x14ac:dyDescent="0.25">
      <c r="A88" s="174" t="s">
        <v>149</v>
      </c>
      <c r="B88" s="174"/>
      <c r="C88" s="175"/>
      <c r="D88" s="175"/>
      <c r="E88" s="195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</row>
    <row r="89" spans="1:19" x14ac:dyDescent="0.25">
      <c r="A89" s="33" t="s">
        <v>8</v>
      </c>
      <c r="B89" s="33" t="s">
        <v>9</v>
      </c>
      <c r="C89" s="34" t="s">
        <v>10</v>
      </c>
      <c r="D89" s="34" t="s">
        <v>340</v>
      </c>
      <c r="E89" s="16" t="s">
        <v>65</v>
      </c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</row>
    <row r="90" spans="1:19" ht="46.8" x14ac:dyDescent="0.25">
      <c r="A90" s="15" t="s">
        <v>150</v>
      </c>
      <c r="B90" s="17" t="s">
        <v>95</v>
      </c>
      <c r="C90" s="35" t="s">
        <v>151</v>
      </c>
      <c r="D90" s="35" t="s">
        <v>68</v>
      </c>
      <c r="E90" s="16">
        <v>0</v>
      </c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</row>
    <row r="91" spans="1:19" x14ac:dyDescent="0.25"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</row>
    <row r="92" spans="1:19" x14ac:dyDescent="0.25">
      <c r="A92" s="174" t="s">
        <v>152</v>
      </c>
      <c r="B92" s="174"/>
      <c r="C92" s="175"/>
      <c r="D92" s="175"/>
      <c r="E92" s="195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</row>
    <row r="93" spans="1:19" s="10" customFormat="1" x14ac:dyDescent="0.25">
      <c r="A93" s="15" t="s">
        <v>8</v>
      </c>
      <c r="B93" s="15" t="s">
        <v>9</v>
      </c>
      <c r="C93" s="38" t="s">
        <v>10</v>
      </c>
      <c r="D93" s="38" t="s">
        <v>340</v>
      </c>
      <c r="E93" s="16" t="s">
        <v>65</v>
      </c>
      <c r="F93" s="32"/>
      <c r="G93" s="32"/>
      <c r="H93" s="39"/>
      <c r="I93" s="39"/>
      <c r="J93" s="39"/>
      <c r="K93" s="39"/>
      <c r="L93" s="39"/>
      <c r="M93" s="39"/>
      <c r="N93" s="39"/>
      <c r="O93" s="39"/>
      <c r="P93" s="39"/>
      <c r="Q93" s="39"/>
    </row>
    <row r="94" spans="1:19" s="10" customFormat="1" ht="18" x14ac:dyDescent="0.4">
      <c r="A94" s="40" t="s">
        <v>153</v>
      </c>
      <c r="B94" s="17" t="s">
        <v>103</v>
      </c>
      <c r="C94" s="35" t="s">
        <v>154</v>
      </c>
      <c r="D94" s="35" t="s">
        <v>155</v>
      </c>
      <c r="E94" s="41">
        <f>E95*E97*(1+E96)</f>
        <v>485.74967548800004</v>
      </c>
      <c r="F94" s="32"/>
      <c r="G94" s="32"/>
      <c r="H94" s="39"/>
      <c r="I94" s="39"/>
      <c r="J94" s="39"/>
      <c r="K94" s="39"/>
      <c r="L94" s="39"/>
      <c r="M94" s="39"/>
      <c r="N94" s="39"/>
      <c r="O94" s="39"/>
      <c r="P94" s="39"/>
      <c r="Q94" s="39"/>
    </row>
    <row r="95" spans="1:19" ht="31.2" x14ac:dyDescent="0.25">
      <c r="A95" s="17" t="s">
        <v>156</v>
      </c>
      <c r="B95" s="17" t="s">
        <v>157</v>
      </c>
      <c r="C95" s="35" t="s">
        <v>158</v>
      </c>
      <c r="D95" s="35" t="s">
        <v>343</v>
      </c>
      <c r="E95" s="20">
        <f>795502.4/1000</f>
        <v>795.50240000000008</v>
      </c>
      <c r="G95" s="42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9"/>
      <c r="S95" s="9"/>
    </row>
    <row r="96" spans="1:19" ht="31.2" x14ac:dyDescent="0.25">
      <c r="A96" s="17" t="s">
        <v>159</v>
      </c>
      <c r="B96" s="17" t="s">
        <v>160</v>
      </c>
      <c r="C96" s="35" t="s">
        <v>161</v>
      </c>
      <c r="D96" s="35" t="s">
        <v>162</v>
      </c>
      <c r="E96" s="44">
        <v>0.2</v>
      </c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9"/>
      <c r="S96" s="9"/>
    </row>
    <row r="97" spans="1:19" ht="46.8" x14ac:dyDescent="0.25">
      <c r="A97" s="17" t="s">
        <v>163</v>
      </c>
      <c r="B97" s="17" t="s">
        <v>164</v>
      </c>
      <c r="C97" s="35" t="s">
        <v>165</v>
      </c>
      <c r="D97" s="35" t="s">
        <v>166</v>
      </c>
      <c r="E97" s="45">
        <f>0.5*0.8042+0.5*0.2135</f>
        <v>0.50885000000000002</v>
      </c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</row>
    <row r="98" spans="1:19" ht="31.2" x14ac:dyDescent="0.4">
      <c r="A98" s="40" t="s">
        <v>167</v>
      </c>
      <c r="B98" s="17" t="s">
        <v>103</v>
      </c>
      <c r="C98" s="35" t="s">
        <v>168</v>
      </c>
      <c r="D98" s="35" t="s">
        <v>169</v>
      </c>
      <c r="E98" s="47">
        <v>0</v>
      </c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9"/>
      <c r="S98" s="9"/>
    </row>
    <row r="99" spans="1:19" x14ac:dyDescent="0.3">
      <c r="A99" s="48"/>
      <c r="E99" s="49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9"/>
      <c r="S99" s="9"/>
    </row>
    <row r="100" spans="1:19" x14ac:dyDescent="0.25">
      <c r="A100" s="174" t="s">
        <v>170</v>
      </c>
      <c r="B100" s="174"/>
      <c r="C100" s="175"/>
      <c r="D100" s="175"/>
      <c r="E100" s="195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</row>
    <row r="101" spans="1:19" x14ac:dyDescent="0.25">
      <c r="A101" s="15" t="s">
        <v>8</v>
      </c>
      <c r="B101" s="15" t="s">
        <v>9</v>
      </c>
      <c r="C101" s="38" t="s">
        <v>10</v>
      </c>
      <c r="D101" s="38" t="s">
        <v>340</v>
      </c>
      <c r="E101" s="16" t="s">
        <v>65</v>
      </c>
      <c r="H101" s="43"/>
      <c r="I101" s="43"/>
      <c r="J101" s="43"/>
      <c r="K101" s="43"/>
      <c r="L101" s="43"/>
      <c r="M101" s="43"/>
      <c r="N101" s="43"/>
      <c r="O101" s="43"/>
      <c r="P101" s="43"/>
      <c r="Q101" s="43"/>
      <c r="R101" s="9"/>
      <c r="S101" s="9"/>
    </row>
    <row r="102" spans="1:19" ht="33.6" x14ac:dyDescent="0.4">
      <c r="A102" s="40" t="s">
        <v>171</v>
      </c>
      <c r="B102" s="17" t="s">
        <v>74</v>
      </c>
      <c r="C102" s="35" t="s">
        <v>172</v>
      </c>
      <c r="D102" s="35" t="s">
        <v>391</v>
      </c>
      <c r="E102" s="50">
        <f>E103*E106*E107*E108*E109*E110</f>
        <v>0.53506536045580799</v>
      </c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9"/>
      <c r="S102" s="9"/>
    </row>
    <row r="103" spans="1:19" ht="46.8" x14ac:dyDescent="0.4">
      <c r="A103" s="51" t="s">
        <v>173</v>
      </c>
      <c r="B103" s="17" t="s">
        <v>76</v>
      </c>
      <c r="C103" s="35" t="s">
        <v>174</v>
      </c>
      <c r="D103" s="35" t="s">
        <v>392</v>
      </c>
      <c r="E103" s="69">
        <f>ROUNDUP(E104/E105,0)</f>
        <v>152</v>
      </c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9"/>
      <c r="S103" s="9"/>
    </row>
    <row r="104" spans="1:19" ht="62.4" x14ac:dyDescent="0.25">
      <c r="A104" s="17" t="s">
        <v>175</v>
      </c>
      <c r="B104" s="17" t="s">
        <v>78</v>
      </c>
      <c r="C104" s="35" t="s">
        <v>176</v>
      </c>
      <c r="D104" s="35" t="s">
        <v>346</v>
      </c>
      <c r="E104" s="52">
        <v>756.11199999999997</v>
      </c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9"/>
      <c r="S104" s="9"/>
    </row>
    <row r="105" spans="1:19" ht="62.4" x14ac:dyDescent="0.25">
      <c r="A105" s="17" t="s">
        <v>177</v>
      </c>
      <c r="B105" s="17" t="s">
        <v>80</v>
      </c>
      <c r="C105" s="35" t="s">
        <v>81</v>
      </c>
      <c r="D105" s="35" t="s">
        <v>345</v>
      </c>
      <c r="E105" s="25">
        <f>5</f>
        <v>5</v>
      </c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9"/>
      <c r="S105" s="9"/>
    </row>
    <row r="106" spans="1:19" ht="202.8" x14ac:dyDescent="0.25">
      <c r="A106" s="17" t="s">
        <v>178</v>
      </c>
      <c r="B106" s="17" t="s">
        <v>82</v>
      </c>
      <c r="C106" s="35" t="s">
        <v>179</v>
      </c>
      <c r="D106" s="35" t="s">
        <v>367</v>
      </c>
      <c r="E106" s="25">
        <v>5.2</v>
      </c>
      <c r="H106" s="43"/>
      <c r="I106" s="43"/>
      <c r="J106" s="43"/>
      <c r="K106" s="43"/>
      <c r="L106" s="43"/>
      <c r="M106" s="43"/>
      <c r="N106" s="43"/>
      <c r="O106" s="43"/>
      <c r="P106" s="43"/>
      <c r="Q106" s="43"/>
      <c r="R106" s="9"/>
      <c r="S106" s="9"/>
    </row>
    <row r="107" spans="1:19" ht="156" x14ac:dyDescent="0.25">
      <c r="A107" s="17" t="s">
        <v>180</v>
      </c>
      <c r="B107" s="17" t="s">
        <v>84</v>
      </c>
      <c r="C107" s="35" t="s">
        <v>85</v>
      </c>
      <c r="D107" s="35" t="s">
        <v>365</v>
      </c>
      <c r="E107" s="25">
        <f>25.1/100</f>
        <v>0.251</v>
      </c>
      <c r="H107" s="43"/>
      <c r="I107" s="43"/>
      <c r="J107" s="43"/>
      <c r="K107" s="43"/>
      <c r="L107" s="43"/>
      <c r="M107" s="43"/>
      <c r="N107" s="43"/>
      <c r="O107" s="43"/>
      <c r="P107" s="43"/>
      <c r="Q107" s="43"/>
      <c r="R107" s="9"/>
      <c r="S107" s="9"/>
    </row>
    <row r="108" spans="1:19" ht="62.4" x14ac:dyDescent="0.25">
      <c r="A108" s="17" t="s">
        <v>86</v>
      </c>
      <c r="B108" s="17" t="s">
        <v>87</v>
      </c>
      <c r="C108" s="35" t="s">
        <v>86</v>
      </c>
      <c r="D108" s="35" t="s">
        <v>215</v>
      </c>
      <c r="E108" s="25">
        <f>0.84/1000</f>
        <v>8.3999999999999993E-4</v>
      </c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9"/>
      <c r="S108" s="9"/>
    </row>
    <row r="109" spans="1:19" ht="124.8" x14ac:dyDescent="0.25">
      <c r="A109" s="17" t="s">
        <v>181</v>
      </c>
      <c r="B109" s="17" t="s">
        <v>88</v>
      </c>
      <c r="C109" s="35" t="s">
        <v>89</v>
      </c>
      <c r="D109" s="35" t="s">
        <v>360</v>
      </c>
      <c r="E109" s="25">
        <f>43.33/1000</f>
        <v>4.333E-2</v>
      </c>
      <c r="H109" s="43"/>
      <c r="I109" s="43"/>
      <c r="J109" s="43"/>
      <c r="K109" s="43"/>
      <c r="L109" s="43"/>
      <c r="M109" s="43"/>
      <c r="N109" s="43"/>
      <c r="O109" s="43"/>
      <c r="P109" s="43"/>
      <c r="Q109" s="43"/>
      <c r="R109" s="9"/>
      <c r="S109" s="9"/>
    </row>
    <row r="110" spans="1:19" ht="33.6" x14ac:dyDescent="0.25">
      <c r="A110" s="17" t="s">
        <v>182</v>
      </c>
      <c r="B110" s="17" t="s">
        <v>90</v>
      </c>
      <c r="C110" s="35" t="s">
        <v>91</v>
      </c>
      <c r="D110" s="35" t="s">
        <v>92</v>
      </c>
      <c r="E110" s="25">
        <v>74.099999999999994</v>
      </c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9"/>
      <c r="S110" s="9"/>
    </row>
    <row r="112" spans="1:19" x14ac:dyDescent="0.25">
      <c r="A112" s="33" t="s">
        <v>8</v>
      </c>
      <c r="B112" s="33" t="s">
        <v>9</v>
      </c>
      <c r="C112" s="34" t="s">
        <v>10</v>
      </c>
      <c r="D112" s="34" t="s">
        <v>340</v>
      </c>
      <c r="E112" s="16" t="s">
        <v>65</v>
      </c>
    </row>
    <row r="113" spans="1:19" ht="18" x14ac:dyDescent="0.25">
      <c r="A113" s="15" t="s">
        <v>183</v>
      </c>
      <c r="B113" s="17" t="s">
        <v>103</v>
      </c>
      <c r="C113" s="35" t="s">
        <v>184</v>
      </c>
      <c r="D113" s="53" t="s">
        <v>393</v>
      </c>
      <c r="E113" s="18">
        <f>ROUNDUP(E62+E86+E90+E94+E102,0)</f>
        <v>487</v>
      </c>
    </row>
    <row r="114" spans="1:19" s="209" customFormat="1" ht="38.4" customHeight="1" x14ac:dyDescent="0.25">
      <c r="A114" s="208" t="s">
        <v>221</v>
      </c>
    </row>
    <row r="115" spans="1:19" s="200" customFormat="1" ht="43.2" customHeight="1" x14ac:dyDescent="0.25">
      <c r="A115" s="200" t="s">
        <v>222</v>
      </c>
    </row>
    <row r="116" spans="1:19" ht="23.4" customHeight="1" x14ac:dyDescent="0.25">
      <c r="A116" s="201" t="s">
        <v>105</v>
      </c>
      <c r="B116" s="201"/>
      <c r="C116" s="201"/>
      <c r="D116" s="201"/>
      <c r="E116" s="201"/>
      <c r="F116" s="201"/>
      <c r="G116" s="201"/>
      <c r="H116" s="201"/>
      <c r="I116" s="201"/>
      <c r="J116" s="201"/>
      <c r="K116" s="201"/>
      <c r="L116" s="201"/>
      <c r="M116" s="201"/>
      <c r="N116" s="201"/>
      <c r="O116" s="201"/>
      <c r="P116" s="201"/>
      <c r="Q116" s="202"/>
    </row>
    <row r="117" spans="1:19" s="10" customFormat="1" ht="31.2" x14ac:dyDescent="0.25">
      <c r="A117" s="15" t="s">
        <v>8</v>
      </c>
      <c r="B117" s="15" t="s">
        <v>9</v>
      </c>
      <c r="C117" s="15" t="s">
        <v>10</v>
      </c>
      <c r="D117" s="15" t="s">
        <v>340</v>
      </c>
      <c r="E117" s="16" t="s">
        <v>11</v>
      </c>
      <c r="F117" s="16" t="s">
        <v>312</v>
      </c>
      <c r="G117" s="16" t="s">
        <v>313</v>
      </c>
      <c r="H117" s="16" t="s">
        <v>314</v>
      </c>
      <c r="I117" s="16" t="s">
        <v>315</v>
      </c>
      <c r="J117" s="16" t="s">
        <v>316</v>
      </c>
      <c r="K117" s="16" t="s">
        <v>317</v>
      </c>
      <c r="L117" s="16" t="s">
        <v>318</v>
      </c>
      <c r="M117" s="16" t="s">
        <v>319</v>
      </c>
      <c r="N117" s="16" t="s">
        <v>320</v>
      </c>
      <c r="O117" s="16" t="s">
        <v>293</v>
      </c>
      <c r="P117" s="16" t="s">
        <v>294</v>
      </c>
      <c r="Q117" s="16" t="s">
        <v>295</v>
      </c>
      <c r="R117" s="54"/>
      <c r="S117" s="54"/>
    </row>
    <row r="118" spans="1:19" s="10" customFormat="1" x14ac:dyDescent="0.25">
      <c r="A118" s="203" t="s">
        <v>106</v>
      </c>
      <c r="B118" s="203"/>
      <c r="C118" s="203"/>
      <c r="D118" s="203"/>
      <c r="E118" s="204"/>
      <c r="F118" s="16">
        <v>31</v>
      </c>
      <c r="G118" s="16">
        <v>28</v>
      </c>
      <c r="H118" s="16">
        <v>31</v>
      </c>
      <c r="I118" s="16">
        <v>30</v>
      </c>
      <c r="J118" s="16">
        <v>31</v>
      </c>
      <c r="K118" s="16">
        <v>30</v>
      </c>
      <c r="L118" s="16">
        <v>31</v>
      </c>
      <c r="M118" s="16">
        <v>31</v>
      </c>
      <c r="N118" s="16">
        <v>30</v>
      </c>
      <c r="O118" s="16">
        <v>31</v>
      </c>
      <c r="P118" s="16">
        <v>30</v>
      </c>
      <c r="Q118" s="16">
        <v>31</v>
      </c>
      <c r="R118" s="54"/>
      <c r="S118" s="54"/>
    </row>
    <row r="119" spans="1:19" s="10" customFormat="1" ht="31.2" x14ac:dyDescent="0.25">
      <c r="A119" s="15" t="s">
        <v>107</v>
      </c>
      <c r="B119" s="17" t="s">
        <v>103</v>
      </c>
      <c r="C119" s="17" t="s">
        <v>108</v>
      </c>
      <c r="D119" s="17" t="s">
        <v>381</v>
      </c>
      <c r="E119" s="18">
        <f>E120+E130</f>
        <v>0</v>
      </c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54"/>
      <c r="S119" s="54"/>
    </row>
    <row r="120" spans="1:19" ht="46.8" x14ac:dyDescent="0.25">
      <c r="A120" s="17" t="s">
        <v>109</v>
      </c>
      <c r="B120" s="17" t="s">
        <v>103</v>
      </c>
      <c r="C120" s="17" t="s">
        <v>110</v>
      </c>
      <c r="D120" s="17" t="s">
        <v>382</v>
      </c>
      <c r="E120" s="19">
        <f>SUM(F120:Q120)</f>
        <v>0</v>
      </c>
      <c r="F120" s="19">
        <f>IF(F121&gt;=0.8,0,$E$128*$E$129*0.4*(F122-F125)*F118)</f>
        <v>0</v>
      </c>
      <c r="G120" s="19">
        <f t="shared" ref="G120:Q120" si="14">IF(G121&gt;=0.8,0,$E$128*$E$129*0.4*(G122-G125)*G118)</f>
        <v>0</v>
      </c>
      <c r="H120" s="19">
        <f t="shared" si="14"/>
        <v>0</v>
      </c>
      <c r="I120" s="19">
        <f t="shared" si="14"/>
        <v>0</v>
      </c>
      <c r="J120" s="19">
        <f t="shared" si="14"/>
        <v>0</v>
      </c>
      <c r="K120" s="19">
        <f t="shared" si="14"/>
        <v>0</v>
      </c>
      <c r="L120" s="19">
        <f t="shared" si="14"/>
        <v>0</v>
      </c>
      <c r="M120" s="19">
        <f t="shared" si="14"/>
        <v>0</v>
      </c>
      <c r="N120" s="19">
        <f t="shared" si="14"/>
        <v>0</v>
      </c>
      <c r="O120" s="19">
        <f t="shared" si="14"/>
        <v>0</v>
      </c>
      <c r="P120" s="19">
        <f t="shared" si="14"/>
        <v>0</v>
      </c>
      <c r="Q120" s="19">
        <f t="shared" si="14"/>
        <v>0</v>
      </c>
    </row>
    <row r="121" spans="1:19" ht="62.4" x14ac:dyDescent="0.25">
      <c r="A121" s="17" t="s">
        <v>111</v>
      </c>
      <c r="B121" s="17" t="s">
        <v>37</v>
      </c>
      <c r="C121" s="17" t="s">
        <v>112</v>
      </c>
      <c r="D121" s="17" t="s">
        <v>383</v>
      </c>
      <c r="E121" s="20">
        <f>AVERAGE(F121:Q121)</f>
        <v>0.94552786216908224</v>
      </c>
      <c r="F121" s="20">
        <f>(F122-F125)/F122</f>
        <v>0.9475459883932198</v>
      </c>
      <c r="G121" s="20">
        <f t="shared" ref="G121:Q121" si="15">(G122-G125)/G122</f>
        <v>0.94684321552486062</v>
      </c>
      <c r="H121" s="20">
        <f t="shared" si="15"/>
        <v>0.94525225880189168</v>
      </c>
      <c r="I121" s="20">
        <f t="shared" si="15"/>
        <v>0.94867497610348595</v>
      </c>
      <c r="J121" s="20">
        <f t="shared" si="15"/>
        <v>0.94720106845687979</v>
      </c>
      <c r="K121" s="20">
        <f t="shared" si="15"/>
        <v>0.94259454884661309</v>
      </c>
      <c r="L121" s="20">
        <f t="shared" si="15"/>
        <v>0.94238085770168523</v>
      </c>
      <c r="M121" s="20">
        <f t="shared" si="15"/>
        <v>0.94291648171026621</v>
      </c>
      <c r="N121" s="20">
        <f t="shared" si="15"/>
        <v>0.94535987720293002</v>
      </c>
      <c r="O121" s="20">
        <f t="shared" si="15"/>
        <v>0.94551027334841042</v>
      </c>
      <c r="P121" s="20">
        <f t="shared" si="15"/>
        <v>0.94620335792462085</v>
      </c>
      <c r="Q121" s="20">
        <f t="shared" si="15"/>
        <v>0.94585144201412275</v>
      </c>
    </row>
    <row r="122" spans="1:19" ht="46.8" x14ac:dyDescent="0.25">
      <c r="A122" s="17" t="s">
        <v>113</v>
      </c>
      <c r="B122" s="17" t="s">
        <v>24</v>
      </c>
      <c r="C122" s="17" t="s">
        <v>114</v>
      </c>
      <c r="D122" s="17" t="s">
        <v>384</v>
      </c>
      <c r="E122" s="20">
        <f>SUM(F122:Q122)</f>
        <v>7.594029664776758</v>
      </c>
      <c r="F122" s="20">
        <f>F123*F124</f>
        <v>0.57908602019406852</v>
      </c>
      <c r="G122" s="20">
        <f t="shared" ref="G122:Q122" si="16">G123*G124</f>
        <v>0.57886693022959168</v>
      </c>
      <c r="H122" s="20">
        <f t="shared" si="16"/>
        <v>0.5788868509708377</v>
      </c>
      <c r="I122" s="20">
        <f t="shared" si="16"/>
        <v>0.5789964263720212</v>
      </c>
      <c r="J122" s="20">
        <f t="shared" si="16"/>
        <v>0.71187165037258093</v>
      </c>
      <c r="K122" s="20">
        <f t="shared" si="16"/>
        <v>0.66103505362548143</v>
      </c>
      <c r="L122" s="20">
        <f t="shared" si="16"/>
        <v>0.66155305754816185</v>
      </c>
      <c r="M122" s="20">
        <f t="shared" si="16"/>
        <v>0.66132642114812712</v>
      </c>
      <c r="N122" s="20">
        <f t="shared" si="16"/>
        <v>0.71195206923824106</v>
      </c>
      <c r="O122" s="20">
        <f t="shared" si="16"/>
        <v>0.71210868510936509</v>
      </c>
      <c r="P122" s="20">
        <f t="shared" si="16"/>
        <v>0.57924787622954632</v>
      </c>
      <c r="Q122" s="20">
        <f t="shared" si="16"/>
        <v>0.57909862373873566</v>
      </c>
    </row>
    <row r="123" spans="1:19" ht="66" customHeight="1" x14ac:dyDescent="0.25">
      <c r="A123" s="17" t="s">
        <v>115</v>
      </c>
      <c r="B123" s="17" t="s">
        <v>116</v>
      </c>
      <c r="C123" s="17" t="s">
        <v>117</v>
      </c>
      <c r="D123" s="17" t="s">
        <v>337</v>
      </c>
      <c r="E123" s="129">
        <f>SUM(F123:Q123)</f>
        <v>28055.803790015369</v>
      </c>
      <c r="F123" s="129">
        <f>'Baseline Emissions 2021'!F120</f>
        <v>2096.838870967742</v>
      </c>
      <c r="G123" s="129">
        <f>'Baseline Emissions 2021'!G120</f>
        <v>2096.4622857142858</v>
      </c>
      <c r="H123" s="129">
        <f>'Baseline Emissions 2021'!H120</f>
        <v>2096.3686774193548</v>
      </c>
      <c r="I123" s="129">
        <f>'Baseline Emissions 2021'!I120</f>
        <v>2096.4620333333337</v>
      </c>
      <c r="J123" s="129">
        <f>'Baseline Emissions 2021'!J120</f>
        <v>2579.4008709677428</v>
      </c>
      <c r="K123" s="129">
        <f>'Baseline Emissions 2021'!K120</f>
        <v>2579.0730666666659</v>
      </c>
      <c r="L123" s="129">
        <f>'Baseline Emissions 2021'!L120</f>
        <v>2580.6092580645163</v>
      </c>
      <c r="M123" s="129">
        <f>'Baseline Emissions 2021'!M120</f>
        <v>2578.9139032258072</v>
      </c>
      <c r="N123" s="129">
        <f>'Baseline Emissions 2021'!N120</f>
        <v>2579.0121666666673</v>
      </c>
      <c r="O123" s="129">
        <f>'Baseline Emissions 2021'!O120</f>
        <v>2578.6798709677419</v>
      </c>
      <c r="P123" s="129">
        <f>'Baseline Emissions 2021'!P120</f>
        <v>2097.2023666666669</v>
      </c>
      <c r="Q123" s="129">
        <f>'Baseline Emissions 2021'!Q120</f>
        <v>2096.7804193548391</v>
      </c>
    </row>
    <row r="124" spans="1:19" ht="46.8" x14ac:dyDescent="0.25">
      <c r="A124" s="17" t="s">
        <v>118</v>
      </c>
      <c r="B124" s="17" t="s">
        <v>119</v>
      </c>
      <c r="C124" s="17" t="s">
        <v>120</v>
      </c>
      <c r="D124" s="35" t="s">
        <v>338</v>
      </c>
      <c r="E124" s="120">
        <f>AVERAGE(F124:Q124)</f>
        <v>2.7118985458563595E-4</v>
      </c>
      <c r="F124" s="130">
        <f>'Baseline Emissions 2021'!F124</f>
        <v>2.7617096774193542E-4</v>
      </c>
      <c r="G124" s="130">
        <f>'Baseline Emissions 2021'!G124</f>
        <v>2.7611607142857136E-4</v>
      </c>
      <c r="H124" s="130">
        <f>'Baseline Emissions 2021'!H124</f>
        <v>2.7613790322580646E-4</v>
      </c>
      <c r="I124" s="130">
        <f>'Baseline Emissions 2021'!I124</f>
        <v>2.7617787356321841E-4</v>
      </c>
      <c r="J124" s="130">
        <f>'Baseline Emissions 2021'!J124</f>
        <v>2.7598333333333336E-4</v>
      </c>
      <c r="K124" s="130">
        <f>'Baseline Emissions 2021'!K124</f>
        <v>2.5630722222222228E-4</v>
      </c>
      <c r="L124" s="130">
        <f>'Baseline Emissions 2021'!L124</f>
        <v>2.563553763440861E-4</v>
      </c>
      <c r="M124" s="130">
        <f>'Baseline Emissions 2021'!M124</f>
        <v>2.5643602150537633E-4</v>
      </c>
      <c r="N124" s="130">
        <f>'Baseline Emissions 2021'!N124</f>
        <v>2.7605611111111114E-4</v>
      </c>
      <c r="O124" s="130">
        <f>'Baseline Emissions 2021'!O124</f>
        <v>2.7615241935483866E-4</v>
      </c>
      <c r="P124" s="130">
        <f>'Baseline Emissions 2021'!P124</f>
        <v>2.7620027777777777E-4</v>
      </c>
      <c r="Q124" s="130">
        <f>'Baseline Emissions 2021'!Q124</f>
        <v>2.7618467741935478E-4</v>
      </c>
    </row>
    <row r="125" spans="1:19" ht="46.8" x14ac:dyDescent="0.25">
      <c r="A125" s="17" t="s">
        <v>121</v>
      </c>
      <c r="B125" s="17" t="s">
        <v>24</v>
      </c>
      <c r="C125" s="17" t="s">
        <v>122</v>
      </c>
      <c r="D125" s="17" t="s">
        <v>384</v>
      </c>
      <c r="E125" s="20">
        <f>SUM(F125:Q125)</f>
        <v>0.414180581193134</v>
      </c>
      <c r="F125" s="20">
        <f>SUM(F126*F127)</f>
        <v>3.0375384824583768E-2</v>
      </c>
      <c r="G125" s="20">
        <f t="shared" ref="G125:Q125" si="17">SUM(G126*G127)</f>
        <v>3.0770704649999994E-2</v>
      </c>
      <c r="H125" s="20">
        <f t="shared" si="17"/>
        <v>3.1692747499939292E-2</v>
      </c>
      <c r="I125" s="20">
        <f t="shared" si="17"/>
        <v>2.9717005419540234E-2</v>
      </c>
      <c r="J125" s="20">
        <f t="shared" si="17"/>
        <v>3.7586062535509897E-2</v>
      </c>
      <c r="K125" s="20">
        <f t="shared" si="17"/>
        <v>3.7947015481574087E-2</v>
      </c>
      <c r="L125" s="20">
        <f t="shared" si="17"/>
        <v>3.8118119760752696E-2</v>
      </c>
      <c r="M125" s="20">
        <f t="shared" si="17"/>
        <v>3.7750838857093301E-2</v>
      </c>
      <c r="N125" s="20">
        <f t="shared" si="17"/>
        <v>3.8901148488805576E-2</v>
      </c>
      <c r="O125" s="20">
        <f t="shared" si="17"/>
        <v>3.880260759783212E-2</v>
      </c>
      <c r="P125" s="20">
        <f t="shared" si="17"/>
        <v>3.1161590670444425E-2</v>
      </c>
      <c r="Q125" s="20">
        <f t="shared" si="17"/>
        <v>3.1357355407058619E-2</v>
      </c>
    </row>
    <row r="126" spans="1:19" ht="62.4" x14ac:dyDescent="0.25">
      <c r="A126" s="17" t="s">
        <v>123</v>
      </c>
      <c r="B126" s="17" t="s">
        <v>116</v>
      </c>
      <c r="C126" s="17" t="s">
        <v>124</v>
      </c>
      <c r="D126" s="17" t="s">
        <v>337</v>
      </c>
      <c r="E126" s="129">
        <f>SUM(F126:Q126)</f>
        <v>26966.01307204301</v>
      </c>
      <c r="F126" s="129">
        <v>2014.088935483871</v>
      </c>
      <c r="G126" s="129">
        <v>2014.4879999999996</v>
      </c>
      <c r="H126" s="129">
        <v>2014.54164516129</v>
      </c>
      <c r="I126" s="129">
        <v>2014.5160000000001</v>
      </c>
      <c r="J126" s="129">
        <v>2479.7402258064517</v>
      </c>
      <c r="K126" s="129">
        <v>2480.5123333333345</v>
      </c>
      <c r="L126" s="129">
        <v>2480.4850000000001</v>
      </c>
      <c r="M126" s="129">
        <v>2478.9606451612899</v>
      </c>
      <c r="N126" s="129">
        <v>2480.0179666666672</v>
      </c>
      <c r="O126" s="129">
        <v>2480.2519032258069</v>
      </c>
      <c r="P126" s="129">
        <v>2014.5409333333323</v>
      </c>
      <c r="Q126" s="129">
        <v>2013.869483870968</v>
      </c>
    </row>
    <row r="127" spans="1:19" ht="46.8" x14ac:dyDescent="0.25">
      <c r="A127" s="17" t="s">
        <v>125</v>
      </c>
      <c r="B127" s="17" t="s">
        <v>119</v>
      </c>
      <c r="C127" s="17" t="s">
        <v>126</v>
      </c>
      <c r="D127" s="35" t="s">
        <v>339</v>
      </c>
      <c r="E127" s="131">
        <f>AVERAGE(F127:Q127)</f>
        <v>1.5355006817907609E-5</v>
      </c>
      <c r="F127" s="131">
        <f>'Baseline Emissions 2021'!F125</f>
        <v>1.5081451612903226E-5</v>
      </c>
      <c r="G127" s="131">
        <f>'Baseline Emissions 2021'!G125</f>
        <v>1.527470238095238E-5</v>
      </c>
      <c r="H127" s="131">
        <f>'Baseline Emissions 2021'!H125</f>
        <v>1.5731989247311826E-5</v>
      </c>
      <c r="I127" s="131">
        <f>'Baseline Emissions 2021'!I125</f>
        <v>1.4751436781609197E-5</v>
      </c>
      <c r="J127" s="131">
        <f>'Baseline Emissions 2021'!J125</f>
        <v>1.5157258064516133E-5</v>
      </c>
      <c r="K127" s="131">
        <f>'Baseline Emissions 2021'!K125</f>
        <v>1.5298055555555553E-5</v>
      </c>
      <c r="L127" s="131">
        <f>'Baseline Emissions 2021'!L125</f>
        <v>1.5367204301075271E-5</v>
      </c>
      <c r="M127" s="131">
        <f>'Baseline Emissions 2021'!M125</f>
        <v>1.5228494623655914E-5</v>
      </c>
      <c r="N127" s="131">
        <f>'Baseline Emissions 2021'!N125</f>
        <v>1.5685833333333338E-5</v>
      </c>
      <c r="O127" s="131">
        <f>'Baseline Emissions 2021'!O125</f>
        <v>1.5644623655913975E-5</v>
      </c>
      <c r="P127" s="131">
        <f>'Baseline Emissions 2021'!P125</f>
        <v>1.5468333333333332E-5</v>
      </c>
      <c r="Q127" s="131">
        <f>'Baseline Emissions 2021'!Q125</f>
        <v>1.5570698924731182E-5</v>
      </c>
    </row>
    <row r="128" spans="1:19" ht="31.2" x14ac:dyDescent="0.25">
      <c r="A128" s="17" t="s">
        <v>127</v>
      </c>
      <c r="B128" s="17" t="s">
        <v>128</v>
      </c>
      <c r="C128" s="17" t="s">
        <v>17</v>
      </c>
      <c r="D128" s="17" t="s">
        <v>129</v>
      </c>
      <c r="E128" s="176">
        <v>28</v>
      </c>
      <c r="F128" s="176"/>
      <c r="G128" s="176"/>
      <c r="H128" s="176"/>
      <c r="I128" s="176"/>
      <c r="J128" s="176"/>
      <c r="K128" s="176"/>
      <c r="L128" s="176"/>
      <c r="M128" s="176"/>
      <c r="N128" s="176"/>
      <c r="O128" s="176"/>
      <c r="P128" s="176"/>
      <c r="Q128" s="176"/>
    </row>
    <row r="129" spans="1:17" ht="64.8" x14ac:dyDescent="0.25">
      <c r="A129" s="17" t="s">
        <v>130</v>
      </c>
      <c r="B129" s="17" t="s">
        <v>19</v>
      </c>
      <c r="C129" s="17" t="s">
        <v>131</v>
      </c>
      <c r="D129" s="17" t="s">
        <v>394</v>
      </c>
      <c r="E129" s="176">
        <v>0.21</v>
      </c>
      <c r="F129" s="176"/>
      <c r="G129" s="176"/>
      <c r="H129" s="176"/>
      <c r="I129" s="176"/>
      <c r="J129" s="176"/>
      <c r="K129" s="176"/>
      <c r="L129" s="176"/>
      <c r="M129" s="176"/>
      <c r="N129" s="176"/>
      <c r="O129" s="176"/>
      <c r="P129" s="176"/>
      <c r="Q129" s="176"/>
    </row>
    <row r="130" spans="1:17" ht="46.8" x14ac:dyDescent="0.25">
      <c r="A130" s="17" t="s">
        <v>132</v>
      </c>
      <c r="B130" s="17" t="s">
        <v>103</v>
      </c>
      <c r="C130" s="17" t="s">
        <v>133</v>
      </c>
      <c r="D130" s="17" t="s">
        <v>385</v>
      </c>
      <c r="E130" s="19">
        <f>SUM(F130:Q130)</f>
        <v>0</v>
      </c>
      <c r="F130" s="19">
        <f>$E$128*$E$129*F131*F125*F118</f>
        <v>0</v>
      </c>
      <c r="G130" s="19">
        <f t="shared" ref="G130:Q130" si="18">$E$128*$E$129*G131*G125*G118</f>
        <v>0</v>
      </c>
      <c r="H130" s="19">
        <f t="shared" si="18"/>
        <v>0</v>
      </c>
      <c r="I130" s="19">
        <f t="shared" si="18"/>
        <v>0</v>
      </c>
      <c r="J130" s="19">
        <f t="shared" si="18"/>
        <v>0</v>
      </c>
      <c r="K130" s="19">
        <f t="shared" si="18"/>
        <v>0</v>
      </c>
      <c r="L130" s="19">
        <f t="shared" si="18"/>
        <v>0</v>
      </c>
      <c r="M130" s="19">
        <f t="shared" si="18"/>
        <v>0</v>
      </c>
      <c r="N130" s="19">
        <f t="shared" si="18"/>
        <v>0</v>
      </c>
      <c r="O130" s="19">
        <f t="shared" si="18"/>
        <v>0</v>
      </c>
      <c r="P130" s="19">
        <f t="shared" si="18"/>
        <v>0</v>
      </c>
      <c r="Q130" s="19">
        <f t="shared" si="18"/>
        <v>0</v>
      </c>
    </row>
    <row r="131" spans="1:17" ht="18" x14ac:dyDescent="0.25">
      <c r="A131" s="17" t="s">
        <v>134</v>
      </c>
      <c r="B131" s="17" t="s">
        <v>37</v>
      </c>
      <c r="C131" s="17" t="s">
        <v>135</v>
      </c>
      <c r="D131" s="17" t="s">
        <v>386</v>
      </c>
      <c r="E131" s="26">
        <f>AVERAGE(F131:Q131)</f>
        <v>0</v>
      </c>
      <c r="F131" s="26">
        <f>F132*$E$133*0.89</f>
        <v>0</v>
      </c>
      <c r="G131" s="26">
        <f t="shared" ref="G131:Q131" si="19">G132*$E$133*0.89</f>
        <v>0</v>
      </c>
      <c r="H131" s="26">
        <f t="shared" si="19"/>
        <v>0</v>
      </c>
      <c r="I131" s="26">
        <f t="shared" si="19"/>
        <v>0</v>
      </c>
      <c r="J131" s="26">
        <f t="shared" si="19"/>
        <v>0</v>
      </c>
      <c r="K131" s="26">
        <f t="shared" si="19"/>
        <v>0</v>
      </c>
      <c r="L131" s="26">
        <f t="shared" si="19"/>
        <v>0</v>
      </c>
      <c r="M131" s="26">
        <f t="shared" si="19"/>
        <v>0</v>
      </c>
      <c r="N131" s="26">
        <f t="shared" si="19"/>
        <v>0</v>
      </c>
      <c r="O131" s="26">
        <f t="shared" si="19"/>
        <v>0</v>
      </c>
      <c r="P131" s="26">
        <f t="shared" si="19"/>
        <v>0</v>
      </c>
      <c r="Q131" s="26">
        <f t="shared" si="19"/>
        <v>0</v>
      </c>
    </row>
    <row r="132" spans="1:17" ht="31.2" x14ac:dyDescent="0.25">
      <c r="A132" s="17" t="s">
        <v>136</v>
      </c>
      <c r="B132" s="17" t="s">
        <v>37</v>
      </c>
      <c r="C132" s="17" t="s">
        <v>46</v>
      </c>
      <c r="D132" s="17" t="s">
        <v>387</v>
      </c>
      <c r="E132" s="25">
        <v>0</v>
      </c>
      <c r="F132" s="25">
        <v>0</v>
      </c>
      <c r="G132" s="25">
        <v>0</v>
      </c>
      <c r="H132" s="25">
        <v>0</v>
      </c>
      <c r="I132" s="25">
        <v>0</v>
      </c>
      <c r="J132" s="25">
        <v>0</v>
      </c>
      <c r="K132" s="25">
        <v>0</v>
      </c>
      <c r="L132" s="25">
        <v>0</v>
      </c>
      <c r="M132" s="25">
        <v>0</v>
      </c>
      <c r="N132" s="25">
        <v>0</v>
      </c>
      <c r="O132" s="25">
        <v>0</v>
      </c>
      <c r="P132" s="25">
        <v>0</v>
      </c>
      <c r="Q132" s="25">
        <v>0</v>
      </c>
    </row>
    <row r="133" spans="1:17" ht="31.2" x14ac:dyDescent="0.25">
      <c r="A133" s="17" t="s">
        <v>137</v>
      </c>
      <c r="B133" s="17" t="s">
        <v>201</v>
      </c>
      <c r="C133" s="17" t="s">
        <v>138</v>
      </c>
      <c r="D133" s="17" t="s">
        <v>388</v>
      </c>
      <c r="E133" s="196">
        <f>(F134*F139+G134*G139+H134*H139+I134*I139+J134*J139+K134*K139+L134*L139+M134*M139+N134*N139+O134*O139+P134*P139+Q134*Q139)/(F126*F127*F118+G127*G126*G118+H126*H127*H118+I127*I126*I118+J127*J126*J118+K127*K126*K118+L127*L126*L118+M127*M126*M118+N127*N126*N118+O126*O127*O118+P127*P126*P118+Q127*Q126*Q118)</f>
        <v>0.65872601047562673</v>
      </c>
      <c r="F133" s="196"/>
      <c r="G133" s="196"/>
      <c r="H133" s="196"/>
      <c r="I133" s="196"/>
      <c r="J133" s="196"/>
      <c r="K133" s="196"/>
      <c r="L133" s="196"/>
      <c r="M133" s="196"/>
      <c r="N133" s="196"/>
      <c r="O133" s="196"/>
      <c r="P133" s="196"/>
      <c r="Q133" s="196"/>
    </row>
    <row r="134" spans="1:17" ht="31.2" x14ac:dyDescent="0.25">
      <c r="A134" s="17" t="s">
        <v>139</v>
      </c>
      <c r="B134" s="17" t="s">
        <v>37</v>
      </c>
      <c r="C134" s="17" t="s">
        <v>140</v>
      </c>
      <c r="D134" s="17" t="s">
        <v>375</v>
      </c>
      <c r="E134" s="27">
        <f>AVERAGE(F134:Q134)</f>
        <v>0.63510511617720555</v>
      </c>
      <c r="F134" s="27">
        <f>IF(F138&lt;283,0,IF(F138&gt;303,1,EXP(($E$135*(F138-$E$136))/($E$137*$E$136*F138))))</f>
        <v>0.25708890533410012</v>
      </c>
      <c r="G134" s="27">
        <f t="shared" ref="G134:Q134" si="20">IF(G138&lt;283,0,IF(G138&gt;303,1,EXP(($E$135*(G138-$E$136))/($E$137*$E$136*G138))))</f>
        <v>0.38698063689870399</v>
      </c>
      <c r="H134" s="27">
        <f t="shared" si="20"/>
        <v>0.50475941545474445</v>
      </c>
      <c r="I134" s="27">
        <f t="shared" si="20"/>
        <v>0.62729263560178183</v>
      </c>
      <c r="J134" s="27">
        <f t="shared" si="20"/>
        <v>0.84523513966163832</v>
      </c>
      <c r="K134" s="27">
        <f t="shared" si="20"/>
        <v>0.88152221926734242</v>
      </c>
      <c r="L134" s="27">
        <f t="shared" si="20"/>
        <v>0.95843738031531212</v>
      </c>
      <c r="M134" s="27">
        <f t="shared" si="20"/>
        <v>0.88152221926734242</v>
      </c>
      <c r="N134" s="27">
        <f t="shared" si="20"/>
        <v>0.91923925774048054</v>
      </c>
      <c r="O134" s="27">
        <f t="shared" si="20"/>
        <v>0.62729263560178183</v>
      </c>
      <c r="P134" s="27">
        <f t="shared" si="20"/>
        <v>0.42307437878932203</v>
      </c>
      <c r="Q134" s="27">
        <f t="shared" si="20"/>
        <v>0.30881657019391506</v>
      </c>
    </row>
    <row r="135" spans="1:17" x14ac:dyDescent="0.25">
      <c r="A135" s="17" t="s">
        <v>51</v>
      </c>
      <c r="B135" s="17" t="s">
        <v>52</v>
      </c>
      <c r="C135" s="17" t="s">
        <v>53</v>
      </c>
      <c r="D135" s="17" t="s">
        <v>389</v>
      </c>
      <c r="E135" s="176">
        <v>15175</v>
      </c>
      <c r="F135" s="176"/>
      <c r="G135" s="176"/>
      <c r="H135" s="176"/>
      <c r="I135" s="176"/>
      <c r="J135" s="176"/>
      <c r="K135" s="176"/>
      <c r="L135" s="176"/>
      <c r="M135" s="176"/>
      <c r="N135" s="176"/>
      <c r="O135" s="176"/>
      <c r="P135" s="176"/>
      <c r="Q135" s="176"/>
    </row>
    <row r="136" spans="1:17" ht="18" x14ac:dyDescent="0.25">
      <c r="A136" s="17" t="s">
        <v>141</v>
      </c>
      <c r="B136" s="17" t="s">
        <v>55</v>
      </c>
      <c r="C136" s="17" t="s">
        <v>56</v>
      </c>
      <c r="D136" s="17" t="s">
        <v>389</v>
      </c>
      <c r="E136" s="176">
        <v>303.16000000000003</v>
      </c>
      <c r="F136" s="176"/>
      <c r="G136" s="176"/>
      <c r="H136" s="176"/>
      <c r="I136" s="176"/>
      <c r="J136" s="176"/>
      <c r="K136" s="176"/>
      <c r="L136" s="176"/>
      <c r="M136" s="176"/>
      <c r="N136" s="176"/>
      <c r="O136" s="176"/>
      <c r="P136" s="176"/>
      <c r="Q136" s="176"/>
    </row>
    <row r="137" spans="1:17" x14ac:dyDescent="0.25">
      <c r="A137" s="17" t="s">
        <v>57</v>
      </c>
      <c r="B137" s="17" t="s">
        <v>58</v>
      </c>
      <c r="C137" s="17" t="s">
        <v>59</v>
      </c>
      <c r="D137" s="17" t="s">
        <v>389</v>
      </c>
      <c r="E137" s="176">
        <v>1.9870000000000001</v>
      </c>
      <c r="F137" s="176"/>
      <c r="G137" s="176"/>
      <c r="H137" s="176"/>
      <c r="I137" s="176"/>
      <c r="J137" s="176"/>
      <c r="K137" s="176"/>
      <c r="L137" s="176"/>
      <c r="M137" s="176"/>
      <c r="N137" s="176"/>
      <c r="O137" s="176"/>
      <c r="P137" s="176"/>
      <c r="Q137" s="176"/>
    </row>
    <row r="138" spans="1:17" ht="18" x14ac:dyDescent="0.25">
      <c r="A138" s="17" t="s">
        <v>142</v>
      </c>
      <c r="B138" s="17" t="s">
        <v>55</v>
      </c>
      <c r="C138" s="17" t="s">
        <v>143</v>
      </c>
      <c r="D138" s="144" t="s">
        <v>364</v>
      </c>
      <c r="E138" s="28">
        <f>AVERAGE(F138:Q138)</f>
        <v>296.85833333333341</v>
      </c>
      <c r="F138" s="25">
        <v>287.64999999999998</v>
      </c>
      <c r="G138" s="25">
        <v>292.14999999999998</v>
      </c>
      <c r="H138" s="25">
        <v>295.14999999999998</v>
      </c>
      <c r="I138" s="25">
        <v>297.64999999999998</v>
      </c>
      <c r="J138" s="25">
        <v>301.14999999999998</v>
      </c>
      <c r="K138" s="25">
        <v>301.64999999999998</v>
      </c>
      <c r="L138" s="25">
        <v>302.64999999999998</v>
      </c>
      <c r="M138" s="25">
        <v>301.64999999999998</v>
      </c>
      <c r="N138" s="25">
        <v>302.14999999999998</v>
      </c>
      <c r="O138" s="25">
        <v>297.64999999999998</v>
      </c>
      <c r="P138" s="25">
        <v>293.14999999999998</v>
      </c>
      <c r="Q138" s="25">
        <v>289.64999999999998</v>
      </c>
    </row>
    <row r="139" spans="1:17" ht="46.8" x14ac:dyDescent="0.25">
      <c r="A139" s="17" t="s">
        <v>144</v>
      </c>
      <c r="B139" s="17" t="s">
        <v>24</v>
      </c>
      <c r="C139" s="17" t="s">
        <v>145</v>
      </c>
      <c r="D139" s="17" t="s">
        <v>390</v>
      </c>
      <c r="E139" s="29">
        <f>SUM(F139:Q139)</f>
        <v>12.609559142976787</v>
      </c>
      <c r="F139" s="29">
        <f>F126*F127*'Project Emissions 2021'!F118+(1-F134)*0</f>
        <v>0.94163692956209677</v>
      </c>
      <c r="G139" s="29">
        <f>G126*G127*'Project Emissions 2021'!G118+(1-G134)*0</f>
        <v>0.86157973019999989</v>
      </c>
      <c r="H139" s="29">
        <f>H126*H127*'Project Emissions 2021'!H118+(1-H134)*0</f>
        <v>0.982475172498118</v>
      </c>
      <c r="I139" s="29">
        <f>I126*I127*'Project Emissions 2021'!I118+(1-I134)*0</f>
        <v>0.89151016258620697</v>
      </c>
      <c r="J139" s="29">
        <f>J126*J127*'Project Emissions 2021'!J118+(1-J134)*0</f>
        <v>1.1651679386008067</v>
      </c>
      <c r="K139" s="29">
        <f>K126*K127*'Project Emissions 2021'!K118+(1-K134)*0</f>
        <v>1.1384104644472226</v>
      </c>
      <c r="L139" s="29">
        <f>L126*L127*'Project Emissions 2021'!L118+(1-L134)*0</f>
        <v>1.1816617125833335</v>
      </c>
      <c r="M139" s="29">
        <f>M126*M127*'Project Emissions 2021'!M118+(1-M134)*0</f>
        <v>1.1702760045698923</v>
      </c>
      <c r="N139" s="29">
        <f>N126*N127*'Project Emissions 2021'!N118+(1-N134)*0</f>
        <v>1.1670344546641673</v>
      </c>
      <c r="O139" s="29">
        <f>O126*O127*'Project Emissions 2021'!O118+(1-O134)*0</f>
        <v>1.2028808355327958</v>
      </c>
      <c r="P139" s="29">
        <f>P126*P127*'Project Emissions 2021'!P118+(1-P134)*0</f>
        <v>0.93484772011333273</v>
      </c>
      <c r="Q139" s="29">
        <f>Q126*Q127*'Project Emissions 2021'!Q118+(1-Q134)*0</f>
        <v>0.97207801761881718</v>
      </c>
    </row>
    <row r="140" spans="1:17" x14ac:dyDescent="0.3">
      <c r="A140" s="30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</row>
    <row r="141" spans="1:17" x14ac:dyDescent="0.25">
      <c r="A141" s="174" t="s">
        <v>146</v>
      </c>
      <c r="B141" s="174"/>
      <c r="C141" s="175"/>
      <c r="D141" s="175"/>
      <c r="E141" s="195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</row>
    <row r="142" spans="1:17" x14ac:dyDescent="0.25">
      <c r="A142" s="33" t="s">
        <v>8</v>
      </c>
      <c r="B142" s="33" t="s">
        <v>9</v>
      </c>
      <c r="C142" s="34" t="s">
        <v>10</v>
      </c>
      <c r="D142" s="34" t="s">
        <v>340</v>
      </c>
      <c r="E142" s="16" t="s">
        <v>65</v>
      </c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</row>
    <row r="143" spans="1:17" ht="46.8" x14ac:dyDescent="0.25">
      <c r="A143" s="15" t="s">
        <v>147</v>
      </c>
      <c r="B143" s="17" t="s">
        <v>95</v>
      </c>
      <c r="C143" s="35" t="s">
        <v>148</v>
      </c>
      <c r="D143" s="35" t="s">
        <v>68</v>
      </c>
      <c r="E143" s="16">
        <v>0</v>
      </c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</row>
    <row r="144" spans="1:17" x14ac:dyDescent="0.25">
      <c r="A144" s="36"/>
      <c r="B144" s="36"/>
      <c r="C144" s="37"/>
      <c r="D144" s="37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</row>
    <row r="145" spans="1:19" x14ac:dyDescent="0.25">
      <c r="A145" s="174" t="s">
        <v>149</v>
      </c>
      <c r="B145" s="174"/>
      <c r="C145" s="175"/>
      <c r="D145" s="175"/>
      <c r="E145" s="195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</row>
    <row r="146" spans="1:19" x14ac:dyDescent="0.25">
      <c r="A146" s="33" t="s">
        <v>8</v>
      </c>
      <c r="B146" s="33" t="s">
        <v>9</v>
      </c>
      <c r="C146" s="34" t="s">
        <v>10</v>
      </c>
      <c r="D146" s="34" t="s">
        <v>340</v>
      </c>
      <c r="E146" s="16" t="s">
        <v>65</v>
      </c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</row>
    <row r="147" spans="1:19" ht="46.8" x14ac:dyDescent="0.25">
      <c r="A147" s="15" t="s">
        <v>150</v>
      </c>
      <c r="B147" s="17" t="s">
        <v>95</v>
      </c>
      <c r="C147" s="35" t="s">
        <v>151</v>
      </c>
      <c r="D147" s="35" t="s">
        <v>68</v>
      </c>
      <c r="E147" s="16">
        <v>0</v>
      </c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</row>
    <row r="148" spans="1:19" x14ac:dyDescent="0.25"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</row>
    <row r="149" spans="1:19" x14ac:dyDescent="0.25">
      <c r="A149" s="174" t="s">
        <v>152</v>
      </c>
      <c r="B149" s="174"/>
      <c r="C149" s="175"/>
      <c r="D149" s="175"/>
      <c r="E149" s="195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</row>
    <row r="150" spans="1:19" s="10" customFormat="1" x14ac:dyDescent="0.25">
      <c r="A150" s="15" t="s">
        <v>8</v>
      </c>
      <c r="B150" s="15" t="s">
        <v>9</v>
      </c>
      <c r="C150" s="38" t="s">
        <v>10</v>
      </c>
      <c r="D150" s="38" t="s">
        <v>340</v>
      </c>
      <c r="E150" s="16" t="s">
        <v>65</v>
      </c>
      <c r="F150" s="32"/>
      <c r="G150" s="32"/>
      <c r="H150" s="39"/>
      <c r="I150" s="39"/>
      <c r="J150" s="39"/>
      <c r="K150" s="39"/>
      <c r="L150" s="39"/>
      <c r="M150" s="39"/>
      <c r="N150" s="39"/>
      <c r="O150" s="39"/>
      <c r="P150" s="39"/>
      <c r="Q150" s="39"/>
    </row>
    <row r="151" spans="1:19" s="10" customFormat="1" ht="18" x14ac:dyDescent="0.4">
      <c r="A151" s="40" t="s">
        <v>153</v>
      </c>
      <c r="B151" s="17" t="s">
        <v>103</v>
      </c>
      <c r="C151" s="35" t="s">
        <v>154</v>
      </c>
      <c r="D151" s="35" t="s">
        <v>155</v>
      </c>
      <c r="E151" s="41">
        <f>E152*E154*(1+E153)</f>
        <v>256.85557494540001</v>
      </c>
      <c r="F151" s="32"/>
      <c r="G151" s="32"/>
      <c r="H151" s="39"/>
      <c r="I151" s="39"/>
      <c r="J151" s="39"/>
      <c r="K151" s="39"/>
      <c r="L151" s="39"/>
      <c r="M151" s="39"/>
      <c r="N151" s="39"/>
      <c r="O151" s="39"/>
      <c r="P151" s="39"/>
      <c r="Q151" s="39"/>
    </row>
    <row r="152" spans="1:19" ht="31.2" x14ac:dyDescent="0.25">
      <c r="A152" s="17" t="s">
        <v>156</v>
      </c>
      <c r="B152" s="17" t="s">
        <v>157</v>
      </c>
      <c r="C152" s="35" t="s">
        <v>158</v>
      </c>
      <c r="D152" s="35" t="s">
        <v>343</v>
      </c>
      <c r="E152" s="20">
        <f>420647.17/1000</f>
        <v>420.64716999999996</v>
      </c>
      <c r="G152" s="42"/>
      <c r="H152" s="43"/>
      <c r="I152" s="43"/>
      <c r="J152" s="43"/>
      <c r="K152" s="43"/>
      <c r="L152" s="43"/>
      <c r="M152" s="43"/>
      <c r="N152" s="43"/>
      <c r="O152" s="43"/>
      <c r="P152" s="43"/>
      <c r="Q152" s="43"/>
      <c r="R152" s="9"/>
      <c r="S152" s="9"/>
    </row>
    <row r="153" spans="1:19" ht="31.2" x14ac:dyDescent="0.25">
      <c r="A153" s="17" t="s">
        <v>159</v>
      </c>
      <c r="B153" s="17" t="s">
        <v>160</v>
      </c>
      <c r="C153" s="35" t="s">
        <v>161</v>
      </c>
      <c r="D153" s="35" t="s">
        <v>162</v>
      </c>
      <c r="E153" s="44">
        <v>0.2</v>
      </c>
      <c r="H153" s="43"/>
      <c r="I153" s="43"/>
      <c r="J153" s="43"/>
      <c r="K153" s="43"/>
      <c r="L153" s="43"/>
      <c r="M153" s="43"/>
      <c r="N153" s="43"/>
      <c r="O153" s="43"/>
      <c r="P153" s="43"/>
      <c r="Q153" s="43"/>
      <c r="R153" s="9"/>
      <c r="S153" s="9"/>
    </row>
    <row r="154" spans="1:19" ht="46.8" x14ac:dyDescent="0.25">
      <c r="A154" s="17" t="s">
        <v>163</v>
      </c>
      <c r="B154" s="17" t="s">
        <v>164</v>
      </c>
      <c r="C154" s="35" t="s">
        <v>165</v>
      </c>
      <c r="D154" s="35" t="s">
        <v>166</v>
      </c>
      <c r="E154" s="45">
        <f>0.5*0.8042+0.5*0.2135</f>
        <v>0.50885000000000002</v>
      </c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</row>
    <row r="155" spans="1:19" ht="31.2" x14ac:dyDescent="0.4">
      <c r="A155" s="40" t="s">
        <v>167</v>
      </c>
      <c r="B155" s="17" t="s">
        <v>103</v>
      </c>
      <c r="C155" s="35" t="s">
        <v>168</v>
      </c>
      <c r="D155" s="35" t="s">
        <v>169</v>
      </c>
      <c r="E155" s="47">
        <v>0</v>
      </c>
      <c r="H155" s="43"/>
      <c r="I155" s="43"/>
      <c r="J155" s="43"/>
      <c r="K155" s="43"/>
      <c r="L155" s="43"/>
      <c r="M155" s="43"/>
      <c r="N155" s="43"/>
      <c r="O155" s="43"/>
      <c r="P155" s="43"/>
      <c r="Q155" s="43"/>
      <c r="R155" s="9"/>
      <c r="S155" s="9"/>
    </row>
    <row r="156" spans="1:19" x14ac:dyDescent="0.3">
      <c r="A156" s="48"/>
      <c r="E156" s="49"/>
      <c r="H156" s="43"/>
      <c r="I156" s="43"/>
      <c r="J156" s="43"/>
      <c r="K156" s="43"/>
      <c r="L156" s="43"/>
      <c r="M156" s="43"/>
      <c r="N156" s="43"/>
      <c r="O156" s="43"/>
      <c r="P156" s="43"/>
      <c r="Q156" s="43"/>
      <c r="R156" s="9"/>
      <c r="S156" s="9"/>
    </row>
    <row r="157" spans="1:19" x14ac:dyDescent="0.25">
      <c r="A157" s="174" t="s">
        <v>170</v>
      </c>
      <c r="B157" s="174"/>
      <c r="C157" s="175"/>
      <c r="D157" s="175"/>
      <c r="E157" s="195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</row>
    <row r="158" spans="1:19" x14ac:dyDescent="0.25">
      <c r="A158" s="15" t="s">
        <v>8</v>
      </c>
      <c r="B158" s="15" t="s">
        <v>9</v>
      </c>
      <c r="C158" s="38" t="s">
        <v>10</v>
      </c>
      <c r="D158" s="38" t="s">
        <v>340</v>
      </c>
      <c r="E158" s="16" t="s">
        <v>65</v>
      </c>
      <c r="H158" s="43"/>
      <c r="I158" s="43"/>
      <c r="J158" s="43"/>
      <c r="K158" s="43"/>
      <c r="L158" s="43"/>
      <c r="M158" s="43"/>
      <c r="N158" s="43"/>
      <c r="O158" s="43"/>
      <c r="P158" s="43"/>
      <c r="Q158" s="43"/>
      <c r="R158" s="9"/>
      <c r="S158" s="9"/>
    </row>
    <row r="159" spans="1:19" ht="33.6" x14ac:dyDescent="0.4">
      <c r="A159" s="40" t="s">
        <v>171</v>
      </c>
      <c r="B159" s="17" t="s">
        <v>74</v>
      </c>
      <c r="C159" s="35" t="s">
        <v>172</v>
      </c>
      <c r="D159" s="35" t="s">
        <v>391</v>
      </c>
      <c r="E159" s="50">
        <f>E160*E163*E164*E165*E166*E167</f>
        <v>1.7912233600279195</v>
      </c>
      <c r="H159" s="43"/>
      <c r="I159" s="43"/>
      <c r="J159" s="43"/>
      <c r="K159" s="43"/>
      <c r="L159" s="43"/>
      <c r="M159" s="43"/>
      <c r="N159" s="43"/>
      <c r="O159" s="43"/>
      <c r="P159" s="43"/>
      <c r="Q159" s="43"/>
      <c r="R159" s="9"/>
      <c r="S159" s="9"/>
    </row>
    <row r="160" spans="1:19" ht="46.8" x14ac:dyDescent="0.4">
      <c r="A160" s="51" t="s">
        <v>173</v>
      </c>
      <c r="B160" s="17" t="s">
        <v>76</v>
      </c>
      <c r="C160" s="35" t="s">
        <v>174</v>
      </c>
      <c r="D160" s="35" t="s">
        <v>392</v>
      </c>
      <c r="E160" s="69">
        <f>ROUNDUP(E161/E162,0)</f>
        <v>105</v>
      </c>
      <c r="H160" s="43"/>
      <c r="I160" s="43"/>
      <c r="J160" s="43"/>
      <c r="K160" s="43"/>
      <c r="L160" s="43"/>
      <c r="M160" s="43"/>
      <c r="N160" s="43"/>
      <c r="O160" s="43"/>
      <c r="P160" s="43"/>
      <c r="Q160" s="43"/>
      <c r="R160" s="9"/>
      <c r="S160" s="9"/>
    </row>
    <row r="161" spans="1:19" ht="62.4" x14ac:dyDescent="0.25">
      <c r="A161" s="17" t="s">
        <v>175</v>
      </c>
      <c r="B161" s="17" t="s">
        <v>78</v>
      </c>
      <c r="C161" s="35" t="s">
        <v>176</v>
      </c>
      <c r="D161" s="35" t="s">
        <v>346</v>
      </c>
      <c r="E161" s="52">
        <v>522.83500000000004</v>
      </c>
      <c r="H161" s="43"/>
      <c r="I161" s="43"/>
      <c r="J161" s="43"/>
      <c r="K161" s="43"/>
      <c r="L161" s="43"/>
      <c r="M161" s="43"/>
      <c r="N161" s="43"/>
      <c r="O161" s="43"/>
      <c r="P161" s="43"/>
      <c r="Q161" s="43"/>
      <c r="R161" s="9"/>
      <c r="S161" s="9"/>
    </row>
    <row r="162" spans="1:19" ht="62.4" x14ac:dyDescent="0.25">
      <c r="A162" s="17" t="s">
        <v>177</v>
      </c>
      <c r="B162" s="17" t="s">
        <v>80</v>
      </c>
      <c r="C162" s="35" t="s">
        <v>81</v>
      </c>
      <c r="D162" s="35" t="s">
        <v>345</v>
      </c>
      <c r="E162" s="25">
        <f>5</f>
        <v>5</v>
      </c>
      <c r="H162" s="43"/>
      <c r="I162" s="43"/>
      <c r="J162" s="43"/>
      <c r="K162" s="43"/>
      <c r="L162" s="43"/>
      <c r="M162" s="43"/>
      <c r="N162" s="43"/>
      <c r="O162" s="43"/>
      <c r="P162" s="43"/>
      <c r="Q162" s="43"/>
      <c r="R162" s="9"/>
      <c r="S162" s="9"/>
    </row>
    <row r="163" spans="1:19" ht="202.8" x14ac:dyDescent="0.25">
      <c r="A163" s="17" t="s">
        <v>178</v>
      </c>
      <c r="B163" s="17" t="s">
        <v>82</v>
      </c>
      <c r="C163" s="35" t="s">
        <v>179</v>
      </c>
      <c r="D163" s="35" t="s">
        <v>367</v>
      </c>
      <c r="E163" s="25">
        <v>25.2</v>
      </c>
      <c r="H163" s="43"/>
      <c r="I163" s="43"/>
      <c r="J163" s="43"/>
      <c r="K163" s="43"/>
      <c r="L163" s="43"/>
      <c r="M163" s="43"/>
      <c r="N163" s="43"/>
      <c r="O163" s="43"/>
      <c r="P163" s="43"/>
      <c r="Q163" s="43"/>
      <c r="R163" s="9"/>
      <c r="S163" s="9"/>
    </row>
    <row r="164" spans="1:19" ht="156" x14ac:dyDescent="0.25">
      <c r="A164" s="17" t="s">
        <v>180</v>
      </c>
      <c r="B164" s="17" t="s">
        <v>84</v>
      </c>
      <c r="C164" s="35" t="s">
        <v>85</v>
      </c>
      <c r="D164" s="35" t="s">
        <v>365</v>
      </c>
      <c r="E164" s="25">
        <f>25.1/100</f>
        <v>0.251</v>
      </c>
      <c r="H164" s="43"/>
      <c r="I164" s="43"/>
      <c r="J164" s="43"/>
      <c r="K164" s="43"/>
      <c r="L164" s="43"/>
      <c r="M164" s="43"/>
      <c r="N164" s="43"/>
      <c r="O164" s="43"/>
      <c r="P164" s="43"/>
      <c r="Q164" s="43"/>
      <c r="R164" s="9"/>
      <c r="S164" s="9"/>
    </row>
    <row r="165" spans="1:19" ht="62.4" x14ac:dyDescent="0.25">
      <c r="A165" s="17" t="s">
        <v>86</v>
      </c>
      <c r="B165" s="17" t="s">
        <v>87</v>
      </c>
      <c r="C165" s="35" t="s">
        <v>86</v>
      </c>
      <c r="D165" s="35" t="s">
        <v>215</v>
      </c>
      <c r="E165" s="25">
        <f>0.84/1000</f>
        <v>8.3999999999999993E-4</v>
      </c>
      <c r="H165" s="43"/>
      <c r="I165" s="43"/>
      <c r="J165" s="43"/>
      <c r="K165" s="43"/>
      <c r="L165" s="43"/>
      <c r="M165" s="43"/>
      <c r="N165" s="43"/>
      <c r="O165" s="43"/>
      <c r="P165" s="43"/>
      <c r="Q165" s="43"/>
      <c r="R165" s="9"/>
      <c r="S165" s="9"/>
    </row>
    <row r="166" spans="1:19" ht="124.8" x14ac:dyDescent="0.25">
      <c r="A166" s="17" t="s">
        <v>181</v>
      </c>
      <c r="B166" s="17" t="s">
        <v>88</v>
      </c>
      <c r="C166" s="35" t="s">
        <v>89</v>
      </c>
      <c r="D166" s="35" t="s">
        <v>360</v>
      </c>
      <c r="E166" s="25">
        <f>43.33/1000</f>
        <v>4.333E-2</v>
      </c>
      <c r="H166" s="43"/>
      <c r="I166" s="43"/>
      <c r="J166" s="43"/>
      <c r="K166" s="43"/>
      <c r="L166" s="43"/>
      <c r="M166" s="43"/>
      <c r="N166" s="43"/>
      <c r="O166" s="43"/>
      <c r="P166" s="43"/>
      <c r="Q166" s="43"/>
      <c r="R166" s="9"/>
      <c r="S166" s="9"/>
    </row>
    <row r="167" spans="1:19" ht="33.6" x14ac:dyDescent="0.25">
      <c r="A167" s="17" t="s">
        <v>182</v>
      </c>
      <c r="B167" s="17" t="s">
        <v>90</v>
      </c>
      <c r="C167" s="35" t="s">
        <v>91</v>
      </c>
      <c r="D167" s="35" t="s">
        <v>92</v>
      </c>
      <c r="E167" s="25">
        <v>74.099999999999994</v>
      </c>
      <c r="H167" s="43"/>
      <c r="I167" s="43"/>
      <c r="J167" s="43"/>
      <c r="K167" s="43"/>
      <c r="L167" s="43"/>
      <c r="M167" s="43"/>
      <c r="N167" s="43"/>
      <c r="O167" s="43"/>
      <c r="P167" s="43"/>
      <c r="Q167" s="43"/>
      <c r="R167" s="9"/>
      <c r="S167" s="9"/>
    </row>
    <row r="169" spans="1:19" x14ac:dyDescent="0.25">
      <c r="A169" s="33" t="s">
        <v>8</v>
      </c>
      <c r="B169" s="33" t="s">
        <v>9</v>
      </c>
      <c r="C169" s="34" t="s">
        <v>10</v>
      </c>
      <c r="D169" s="34" t="s">
        <v>340</v>
      </c>
      <c r="E169" s="16" t="s">
        <v>65</v>
      </c>
    </row>
    <row r="170" spans="1:19" ht="18" x14ac:dyDescent="0.25">
      <c r="A170" s="15" t="s">
        <v>183</v>
      </c>
      <c r="B170" s="17" t="s">
        <v>103</v>
      </c>
      <c r="C170" s="35" t="s">
        <v>184</v>
      </c>
      <c r="D170" s="53" t="s">
        <v>393</v>
      </c>
      <c r="E170" s="18">
        <f>ROUNDUP(E119+E143+E147+E151+E159,0)</f>
        <v>259</v>
      </c>
    </row>
    <row r="171" spans="1:19" s="200" customFormat="1" ht="43.2" customHeight="1" x14ac:dyDescent="0.25">
      <c r="A171" s="200" t="s">
        <v>223</v>
      </c>
    </row>
    <row r="172" spans="1:19" ht="23.4" customHeight="1" x14ac:dyDescent="0.25">
      <c r="A172" s="201" t="s">
        <v>105</v>
      </c>
      <c r="B172" s="201"/>
      <c r="C172" s="201"/>
      <c r="D172" s="201"/>
      <c r="E172" s="201"/>
      <c r="F172" s="201"/>
      <c r="G172" s="201"/>
      <c r="H172" s="201"/>
      <c r="I172" s="201"/>
      <c r="J172" s="201"/>
      <c r="K172" s="201"/>
      <c r="L172" s="201"/>
      <c r="M172" s="201"/>
      <c r="N172" s="201"/>
      <c r="O172" s="201"/>
      <c r="P172" s="201"/>
      <c r="Q172" s="202"/>
    </row>
    <row r="173" spans="1:19" s="10" customFormat="1" ht="31.2" x14ac:dyDescent="0.25">
      <c r="A173" s="15" t="s">
        <v>8</v>
      </c>
      <c r="B173" s="15" t="s">
        <v>9</v>
      </c>
      <c r="C173" s="15" t="s">
        <v>10</v>
      </c>
      <c r="D173" s="15" t="s">
        <v>340</v>
      </c>
      <c r="E173" s="16" t="s">
        <v>11</v>
      </c>
      <c r="F173" s="16" t="s">
        <v>312</v>
      </c>
      <c r="G173" s="16" t="s">
        <v>313</v>
      </c>
      <c r="H173" s="16" t="s">
        <v>314</v>
      </c>
      <c r="I173" s="16" t="s">
        <v>315</v>
      </c>
      <c r="J173" s="16" t="s">
        <v>316</v>
      </c>
      <c r="K173" s="16" t="s">
        <v>317</v>
      </c>
      <c r="L173" s="16" t="s">
        <v>318</v>
      </c>
      <c r="M173" s="16" t="s">
        <v>319</v>
      </c>
      <c r="N173" s="16" t="s">
        <v>320</v>
      </c>
      <c r="O173" s="16" t="s">
        <v>293</v>
      </c>
      <c r="P173" s="16" t="s">
        <v>294</v>
      </c>
      <c r="Q173" s="16" t="s">
        <v>295</v>
      </c>
      <c r="R173" s="54"/>
      <c r="S173" s="54"/>
    </row>
    <row r="174" spans="1:19" s="10" customFormat="1" x14ac:dyDescent="0.25">
      <c r="A174" s="203" t="s">
        <v>106</v>
      </c>
      <c r="B174" s="203"/>
      <c r="C174" s="203"/>
      <c r="D174" s="203"/>
      <c r="E174" s="204"/>
      <c r="F174" s="16">
        <v>31</v>
      </c>
      <c r="G174" s="16">
        <v>28</v>
      </c>
      <c r="H174" s="16">
        <v>31</v>
      </c>
      <c r="I174" s="16">
        <v>30</v>
      </c>
      <c r="J174" s="16">
        <v>31</v>
      </c>
      <c r="K174" s="16">
        <v>30</v>
      </c>
      <c r="L174" s="16">
        <v>31</v>
      </c>
      <c r="M174" s="16">
        <v>31</v>
      </c>
      <c r="N174" s="16">
        <v>30</v>
      </c>
      <c r="O174" s="16">
        <v>31</v>
      </c>
      <c r="P174" s="16">
        <v>30</v>
      </c>
      <c r="Q174" s="16">
        <v>31</v>
      </c>
      <c r="R174" s="54"/>
      <c r="S174" s="54"/>
    </row>
    <row r="175" spans="1:19" s="10" customFormat="1" ht="31.2" x14ac:dyDescent="0.25">
      <c r="A175" s="15" t="s">
        <v>107</v>
      </c>
      <c r="B175" s="17" t="s">
        <v>103</v>
      </c>
      <c r="C175" s="17" t="s">
        <v>108</v>
      </c>
      <c r="D175" s="17" t="s">
        <v>381</v>
      </c>
      <c r="E175" s="18">
        <f>E176+E186</f>
        <v>0</v>
      </c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54"/>
      <c r="S175" s="54"/>
    </row>
    <row r="176" spans="1:19" ht="46.8" x14ac:dyDescent="0.25">
      <c r="A176" s="17" t="s">
        <v>109</v>
      </c>
      <c r="B176" s="17" t="s">
        <v>103</v>
      </c>
      <c r="C176" s="17" t="s">
        <v>110</v>
      </c>
      <c r="D176" s="17" t="s">
        <v>382</v>
      </c>
      <c r="E176" s="19">
        <f>SUM(F176:Q176)</f>
        <v>0</v>
      </c>
      <c r="F176" s="19">
        <f>IF(F177&gt;=0.8,0,$E$184*$E$185*0.4*(F178-F181)*F174)</f>
        <v>0</v>
      </c>
      <c r="G176" s="19">
        <f t="shared" ref="G176:Q176" si="21">IF(G177&gt;=0.8,0,$E$184*$E$185*0.4*(G178-G181)*G174)</f>
        <v>0</v>
      </c>
      <c r="H176" s="19">
        <f t="shared" si="21"/>
        <v>0</v>
      </c>
      <c r="I176" s="19">
        <f t="shared" si="21"/>
        <v>0</v>
      </c>
      <c r="J176" s="19">
        <f t="shared" si="21"/>
        <v>0</v>
      </c>
      <c r="K176" s="19">
        <f t="shared" si="21"/>
        <v>0</v>
      </c>
      <c r="L176" s="19">
        <f t="shared" si="21"/>
        <v>0</v>
      </c>
      <c r="M176" s="19">
        <f t="shared" si="21"/>
        <v>0</v>
      </c>
      <c r="N176" s="19">
        <f t="shared" si="21"/>
        <v>0</v>
      </c>
      <c r="O176" s="19">
        <f t="shared" si="21"/>
        <v>0</v>
      </c>
      <c r="P176" s="19">
        <f t="shared" si="21"/>
        <v>0</v>
      </c>
      <c r="Q176" s="19">
        <f t="shared" si="21"/>
        <v>0</v>
      </c>
    </row>
    <row r="177" spans="1:17" ht="62.4" x14ac:dyDescent="0.25">
      <c r="A177" s="17" t="s">
        <v>111</v>
      </c>
      <c r="B177" s="17" t="s">
        <v>37</v>
      </c>
      <c r="C177" s="17" t="s">
        <v>112</v>
      </c>
      <c r="D177" s="17" t="s">
        <v>383</v>
      </c>
      <c r="E177" s="20">
        <f>AVERAGE(F177:Q177)</f>
        <v>0.95361665643213867</v>
      </c>
      <c r="F177" s="20">
        <f>(F178-F181)/F178</f>
        <v>0.95498864597895594</v>
      </c>
      <c r="G177" s="20">
        <f t="shared" ref="G177:Q177" si="22">(G178-G181)/G178</f>
        <v>0.95451502763235563</v>
      </c>
      <c r="H177" s="20">
        <f t="shared" si="22"/>
        <v>0.95420200338894601</v>
      </c>
      <c r="I177" s="20">
        <f t="shared" si="22"/>
        <v>0.95389714673292769</v>
      </c>
      <c r="J177" s="20">
        <f t="shared" si="22"/>
        <v>0.95413955611521706</v>
      </c>
      <c r="K177" s="20">
        <f t="shared" si="22"/>
        <v>0.95286983156113469</v>
      </c>
      <c r="L177" s="20">
        <f t="shared" si="22"/>
        <v>0.95108348288986988</v>
      </c>
      <c r="M177" s="20">
        <f t="shared" si="22"/>
        <v>0.95113315132183185</v>
      </c>
      <c r="N177" s="20">
        <f t="shared" si="22"/>
        <v>0.95396653189175051</v>
      </c>
      <c r="O177" s="20">
        <f t="shared" si="22"/>
        <v>0.95464795303620753</v>
      </c>
      <c r="P177" s="20">
        <f t="shared" si="22"/>
        <v>0.95404464752623375</v>
      </c>
      <c r="Q177" s="20">
        <f t="shared" si="22"/>
        <v>0.95391189911023477</v>
      </c>
    </row>
    <row r="178" spans="1:17" ht="46.8" x14ac:dyDescent="0.25">
      <c r="A178" s="17" t="s">
        <v>113</v>
      </c>
      <c r="B178" s="17" t="s">
        <v>24</v>
      </c>
      <c r="C178" s="17" t="s">
        <v>114</v>
      </c>
      <c r="D178" s="17" t="s">
        <v>384</v>
      </c>
      <c r="E178" s="20">
        <f>SUM(F178:Q178)</f>
        <v>25.727407175459174</v>
      </c>
      <c r="F178" s="20">
        <f>F179*F180</f>
        <v>2.0667905994106834</v>
      </c>
      <c r="G178" s="20">
        <f t="shared" ref="G178:Q178" si="23">G179*G180</f>
        <v>2.0656902344057393</v>
      </c>
      <c r="H178" s="20">
        <f t="shared" si="23"/>
        <v>2.0661981258399584</v>
      </c>
      <c r="I178" s="20">
        <f t="shared" si="23"/>
        <v>2.0655835982800292</v>
      </c>
      <c r="J178" s="20">
        <f t="shared" si="23"/>
        <v>2.2711259350993487</v>
      </c>
      <c r="K178" s="20">
        <f t="shared" si="23"/>
        <v>2.1722609417108338</v>
      </c>
      <c r="L178" s="20">
        <f t="shared" si="23"/>
        <v>2.1702666319751991</v>
      </c>
      <c r="M178" s="20">
        <f t="shared" si="23"/>
        <v>2.1732463773645501</v>
      </c>
      <c r="N178" s="20">
        <f t="shared" si="23"/>
        <v>2.27189163620575</v>
      </c>
      <c r="O178" s="20">
        <f t="shared" si="23"/>
        <v>2.2704240512615508</v>
      </c>
      <c r="P178" s="20">
        <f t="shared" si="23"/>
        <v>2.067438833343648</v>
      </c>
      <c r="Q178" s="20">
        <f t="shared" si="23"/>
        <v>2.0664902105618803</v>
      </c>
    </row>
    <row r="179" spans="1:17" ht="66" customHeight="1" x14ac:dyDescent="0.25">
      <c r="A179" s="17" t="s">
        <v>115</v>
      </c>
      <c r="B179" s="17" t="s">
        <v>116</v>
      </c>
      <c r="C179" s="17" t="s">
        <v>117</v>
      </c>
      <c r="D179" s="17" t="s">
        <v>337</v>
      </c>
      <c r="E179" s="129">
        <f>SUM(F179:Q179)</f>
        <v>61088.806011904759</v>
      </c>
      <c r="F179" s="129">
        <f>'Baseline Emissions 2021'!F174</f>
        <v>4850.8558709677409</v>
      </c>
      <c r="G179" s="129">
        <f>'Baseline Emissions 2021'!G174</f>
        <v>4850.7596785714286</v>
      </c>
      <c r="H179" s="129">
        <f>'Baseline Emissions 2021'!H174</f>
        <v>4849.2389032258061</v>
      </c>
      <c r="I179" s="129">
        <f>'Baseline Emissions 2021'!I174</f>
        <v>4848.3005000000012</v>
      </c>
      <c r="J179" s="129">
        <f>'Baseline Emissions 2021'!J174</f>
        <v>5330.3296451612887</v>
      </c>
      <c r="K179" s="129">
        <f>'Baseline Emissions 2021'!K174</f>
        <v>5330.723500000001</v>
      </c>
      <c r="L179" s="129">
        <f>'Baseline Emissions 2021'!L174</f>
        <v>5331.1532580645153</v>
      </c>
      <c r="M179" s="129">
        <f>'Baseline Emissions 2021'!M174</f>
        <v>5332.8525806451598</v>
      </c>
      <c r="N179" s="129">
        <f>'Baseline Emissions 2021'!N174</f>
        <v>5330.6492999999991</v>
      </c>
      <c r="O179" s="129">
        <f>'Baseline Emissions 2021'!O174</f>
        <v>5331.5650645161286</v>
      </c>
      <c r="P179" s="129">
        <f>'Baseline Emissions 2021'!P174</f>
        <v>4851.3270333333321</v>
      </c>
      <c r="Q179" s="129">
        <f>'Baseline Emissions 2021'!Q174</f>
        <v>4851.0506774193545</v>
      </c>
    </row>
    <row r="180" spans="1:17" ht="46.8" x14ac:dyDescent="0.25">
      <c r="A180" s="17" t="s">
        <v>118</v>
      </c>
      <c r="B180" s="17" t="s">
        <v>119</v>
      </c>
      <c r="C180" s="17" t="s">
        <v>120</v>
      </c>
      <c r="D180" s="35" t="s">
        <v>338</v>
      </c>
      <c r="E180" s="120">
        <f>AVERAGE(F180:Q180)</f>
        <v>4.2136830377741873E-4</v>
      </c>
      <c r="F180" s="130">
        <f>'Baseline Emissions 2021'!F178</f>
        <v>4.2606720430107538E-4</v>
      </c>
      <c r="G180" s="130">
        <f>'Baseline Emissions 2021'!G178</f>
        <v>4.2584880952380942E-4</v>
      </c>
      <c r="H180" s="130">
        <f>'Baseline Emissions 2021'!H178</f>
        <v>4.260870967741936E-4</v>
      </c>
      <c r="I180" s="130">
        <f>'Baseline Emissions 2021'!I178</f>
        <v>4.2604281609195406E-4</v>
      </c>
      <c r="J180" s="130">
        <f>'Baseline Emissions 2021'!J178</f>
        <v>4.2607607526881712E-4</v>
      </c>
      <c r="K180" s="130">
        <f>'Baseline Emissions 2021'!K178</f>
        <v>4.0749833333333333E-4</v>
      </c>
      <c r="L180" s="130">
        <f>'Baseline Emissions 2021'!L178</f>
        <v>4.0709139784946235E-4</v>
      </c>
      <c r="M180" s="130">
        <f>'Baseline Emissions 2021'!M178</f>
        <v>4.0752043010752683E-4</v>
      </c>
      <c r="N180" s="130">
        <f>'Baseline Emissions 2021'!N178</f>
        <v>4.2619416666666671E-4</v>
      </c>
      <c r="O180" s="130">
        <f>'Baseline Emissions 2021'!O178</f>
        <v>4.2584569892473124E-4</v>
      </c>
      <c r="P180" s="130">
        <f>'Baseline Emissions 2021'!P178</f>
        <v>4.2615944444444447E-4</v>
      </c>
      <c r="Q180" s="130">
        <f>'Baseline Emissions 2021'!Q178</f>
        <v>4.2598817204301083E-4</v>
      </c>
    </row>
    <row r="181" spans="1:17" ht="46.8" x14ac:dyDescent="0.25">
      <c r="A181" s="17" t="s">
        <v>121</v>
      </c>
      <c r="B181" s="17" t="s">
        <v>24</v>
      </c>
      <c r="C181" s="17" t="s">
        <v>122</v>
      </c>
      <c r="D181" s="17" t="s">
        <v>384</v>
      </c>
      <c r="E181" s="20">
        <f>SUM(F181:Q181)</f>
        <v>1.1935413121719276</v>
      </c>
      <c r="F181" s="20">
        <f>SUM(F182*F183)</f>
        <v>9.3029043357440167E-2</v>
      </c>
      <c r="G181" s="20">
        <f t="shared" ref="G181:Q181" si="24">SUM(G182*G183)</f>
        <v>9.3957863232057834E-2</v>
      </c>
      <c r="H181" s="20">
        <f t="shared" si="24"/>
        <v>9.4627734764984373E-2</v>
      </c>
      <c r="I181" s="20">
        <f t="shared" si="24"/>
        <v>9.5229297542375455E-2</v>
      </c>
      <c r="J181" s="20">
        <f t="shared" si="24"/>
        <v>0.10415484350189907</v>
      </c>
      <c r="K181" s="20">
        <f t="shared" si="24"/>
        <v>0.10237902407599996</v>
      </c>
      <c r="L181" s="20">
        <f t="shared" si="24"/>
        <v>0.10616188483655911</v>
      </c>
      <c r="M181" s="20">
        <f t="shared" si="24"/>
        <v>0.10619970186305067</v>
      </c>
      <c r="N181" s="20">
        <f t="shared" si="24"/>
        <v>0.1045830511806759</v>
      </c>
      <c r="O181" s="20">
        <f t="shared" si="24"/>
        <v>0.10296837820053768</v>
      </c>
      <c r="P181" s="20">
        <f t="shared" si="24"/>
        <v>9.5009880304259303E-2</v>
      </c>
      <c r="Q181" s="20">
        <f t="shared" si="24"/>
        <v>9.5240609312088095E-2</v>
      </c>
    </row>
    <row r="182" spans="1:17" ht="62.4" x14ac:dyDescent="0.25">
      <c r="A182" s="17" t="s">
        <v>123</v>
      </c>
      <c r="B182" s="17" t="s">
        <v>116</v>
      </c>
      <c r="C182" s="17" t="s">
        <v>124</v>
      </c>
      <c r="D182" s="17" t="s">
        <v>337</v>
      </c>
      <c r="E182" s="129">
        <f>SUM(F182:Q182)</f>
        <v>59694.755543932406</v>
      </c>
      <c r="F182" s="129">
        <v>4739.3596451612902</v>
      </c>
      <c r="G182" s="129">
        <v>4738.0111428571436</v>
      </c>
      <c r="H182" s="129">
        <v>4739.2217419354838</v>
      </c>
      <c r="I182" s="129">
        <v>4737.9114666666655</v>
      </c>
      <c r="J182" s="129">
        <v>5212.5764193548384</v>
      </c>
      <c r="K182" s="129">
        <v>5210.5703999999978</v>
      </c>
      <c r="L182" s="129">
        <v>5210.4679999999989</v>
      </c>
      <c r="M182" s="129">
        <v>5212.1177741935489</v>
      </c>
      <c r="N182" s="129">
        <v>5208.2472333333326</v>
      </c>
      <c r="O182" s="129">
        <v>5211.3898709677433</v>
      </c>
      <c r="P182" s="129">
        <v>4736.4163333333336</v>
      </c>
      <c r="Q182" s="129">
        <v>4738.465516129032</v>
      </c>
    </row>
    <row r="183" spans="1:17" ht="46.8" x14ac:dyDescent="0.25">
      <c r="A183" s="17" t="s">
        <v>125</v>
      </c>
      <c r="B183" s="17" t="s">
        <v>119</v>
      </c>
      <c r="C183" s="17" t="s">
        <v>126</v>
      </c>
      <c r="D183" s="35" t="s">
        <v>339</v>
      </c>
      <c r="E183" s="131">
        <f>AVERAGE(F183:Q183)</f>
        <v>1.99919682896487E-5</v>
      </c>
      <c r="F183" s="131">
        <f>'Baseline Emissions 2021'!F179</f>
        <v>1.9629032258064517E-5</v>
      </c>
      <c r="G183" s="131">
        <f>'Baseline Emissions 2021'!G179</f>
        <v>1.9830654761904761E-5</v>
      </c>
      <c r="H183" s="131">
        <f>'Baseline Emissions 2021'!H179</f>
        <v>1.9966935483870965E-5</v>
      </c>
      <c r="I183" s="131">
        <f>'Baseline Emissions 2021'!I179</f>
        <v>2.0099425287356321E-5</v>
      </c>
      <c r="J183" s="131">
        <f>'Baseline Emissions 2021'!J179</f>
        <v>1.998145161290323E-5</v>
      </c>
      <c r="K183" s="131">
        <f>'Baseline Emissions 2021'!K179</f>
        <v>1.9648333333333333E-5</v>
      </c>
      <c r="L183" s="131">
        <f>'Baseline Emissions 2021'!L179</f>
        <v>2.0374731182795698E-5</v>
      </c>
      <c r="M183" s="131">
        <f>'Baseline Emissions 2021'!M179</f>
        <v>2.0375537634408605E-5</v>
      </c>
      <c r="N183" s="131">
        <f>'Baseline Emissions 2021'!N179</f>
        <v>2.0080277777777777E-5</v>
      </c>
      <c r="O183" s="131">
        <f>'Baseline Emissions 2021'!O179</f>
        <v>1.9758333333333337E-5</v>
      </c>
      <c r="P183" s="131">
        <f>'Baseline Emissions 2021'!P179</f>
        <v>2.0059444444444452E-5</v>
      </c>
      <c r="Q183" s="131">
        <f>'Baseline Emissions 2021'!Q179</f>
        <v>2.0099462365591396E-5</v>
      </c>
    </row>
    <row r="184" spans="1:17" ht="31.2" x14ac:dyDescent="0.25">
      <c r="A184" s="17" t="s">
        <v>127</v>
      </c>
      <c r="B184" s="17" t="s">
        <v>128</v>
      </c>
      <c r="C184" s="17" t="s">
        <v>17</v>
      </c>
      <c r="D184" s="17" t="s">
        <v>129</v>
      </c>
      <c r="E184" s="176">
        <v>28</v>
      </c>
      <c r="F184" s="176"/>
      <c r="G184" s="176"/>
      <c r="H184" s="176"/>
      <c r="I184" s="176"/>
      <c r="J184" s="176"/>
      <c r="K184" s="176"/>
      <c r="L184" s="176"/>
      <c r="M184" s="176"/>
      <c r="N184" s="176"/>
      <c r="O184" s="176"/>
      <c r="P184" s="176"/>
      <c r="Q184" s="176"/>
    </row>
    <row r="185" spans="1:17" ht="64.8" x14ac:dyDescent="0.25">
      <c r="A185" s="17" t="s">
        <v>130</v>
      </c>
      <c r="B185" s="17" t="s">
        <v>19</v>
      </c>
      <c r="C185" s="17" t="s">
        <v>131</v>
      </c>
      <c r="D185" s="17" t="s">
        <v>394</v>
      </c>
      <c r="E185" s="176">
        <v>0.21</v>
      </c>
      <c r="F185" s="176"/>
      <c r="G185" s="176"/>
      <c r="H185" s="176"/>
      <c r="I185" s="176"/>
      <c r="J185" s="176"/>
      <c r="K185" s="176"/>
      <c r="L185" s="176"/>
      <c r="M185" s="176"/>
      <c r="N185" s="176"/>
      <c r="O185" s="176"/>
      <c r="P185" s="176"/>
      <c r="Q185" s="176"/>
    </row>
    <row r="186" spans="1:17" ht="46.8" x14ac:dyDescent="0.25">
      <c r="A186" s="17" t="s">
        <v>132</v>
      </c>
      <c r="B186" s="17" t="s">
        <v>103</v>
      </c>
      <c r="C186" s="17" t="s">
        <v>133</v>
      </c>
      <c r="D186" s="17" t="s">
        <v>385</v>
      </c>
      <c r="E186" s="19">
        <f>SUM(F186:Q186)</f>
        <v>0</v>
      </c>
      <c r="F186" s="19">
        <f>$E$184*$E$185*F187*F181*F174</f>
        <v>0</v>
      </c>
      <c r="G186" s="19">
        <f t="shared" ref="G186:Q186" si="25">$E$184*$E$185*G187*G181*G174</f>
        <v>0</v>
      </c>
      <c r="H186" s="19">
        <f t="shared" si="25"/>
        <v>0</v>
      </c>
      <c r="I186" s="19">
        <f t="shared" si="25"/>
        <v>0</v>
      </c>
      <c r="J186" s="19">
        <f t="shared" si="25"/>
        <v>0</v>
      </c>
      <c r="K186" s="19">
        <f t="shared" si="25"/>
        <v>0</v>
      </c>
      <c r="L186" s="19">
        <f t="shared" si="25"/>
        <v>0</v>
      </c>
      <c r="M186" s="19">
        <f t="shared" si="25"/>
        <v>0</v>
      </c>
      <c r="N186" s="19">
        <f t="shared" si="25"/>
        <v>0</v>
      </c>
      <c r="O186" s="19">
        <f t="shared" si="25"/>
        <v>0</v>
      </c>
      <c r="P186" s="19">
        <f t="shared" si="25"/>
        <v>0</v>
      </c>
      <c r="Q186" s="19">
        <f t="shared" si="25"/>
        <v>0</v>
      </c>
    </row>
    <row r="187" spans="1:17" ht="18" x14ac:dyDescent="0.25">
      <c r="A187" s="17" t="s">
        <v>134</v>
      </c>
      <c r="B187" s="17" t="s">
        <v>37</v>
      </c>
      <c r="C187" s="17" t="s">
        <v>135</v>
      </c>
      <c r="D187" s="17" t="s">
        <v>386</v>
      </c>
      <c r="E187" s="26">
        <f>AVERAGE(F187:Q187)</f>
        <v>0</v>
      </c>
      <c r="F187" s="26">
        <f>F188*$E$189*0.89</f>
        <v>0</v>
      </c>
      <c r="G187" s="26">
        <f t="shared" ref="G187:Q187" si="26">G188*$E$189*0.89</f>
        <v>0</v>
      </c>
      <c r="H187" s="26">
        <f t="shared" si="26"/>
        <v>0</v>
      </c>
      <c r="I187" s="26">
        <f t="shared" si="26"/>
        <v>0</v>
      </c>
      <c r="J187" s="26">
        <f t="shared" si="26"/>
        <v>0</v>
      </c>
      <c r="K187" s="26">
        <f t="shared" si="26"/>
        <v>0</v>
      </c>
      <c r="L187" s="26">
        <f t="shared" si="26"/>
        <v>0</v>
      </c>
      <c r="M187" s="26">
        <f t="shared" si="26"/>
        <v>0</v>
      </c>
      <c r="N187" s="26">
        <f t="shared" si="26"/>
        <v>0</v>
      </c>
      <c r="O187" s="26">
        <f t="shared" si="26"/>
        <v>0</v>
      </c>
      <c r="P187" s="26">
        <f t="shared" si="26"/>
        <v>0</v>
      </c>
      <c r="Q187" s="26">
        <f t="shared" si="26"/>
        <v>0</v>
      </c>
    </row>
    <row r="188" spans="1:17" ht="31.2" x14ac:dyDescent="0.25">
      <c r="A188" s="17" t="s">
        <v>136</v>
      </c>
      <c r="B188" s="17" t="s">
        <v>37</v>
      </c>
      <c r="C188" s="17" t="s">
        <v>46</v>
      </c>
      <c r="D188" s="17" t="s">
        <v>387</v>
      </c>
      <c r="E188" s="25">
        <v>0</v>
      </c>
      <c r="F188" s="25">
        <v>0</v>
      </c>
      <c r="G188" s="25">
        <v>0</v>
      </c>
      <c r="H188" s="25">
        <v>0</v>
      </c>
      <c r="I188" s="25">
        <v>0</v>
      </c>
      <c r="J188" s="25">
        <v>0</v>
      </c>
      <c r="K188" s="25">
        <v>0</v>
      </c>
      <c r="L188" s="25">
        <v>0</v>
      </c>
      <c r="M188" s="25">
        <v>0</v>
      </c>
      <c r="N188" s="25">
        <v>0</v>
      </c>
      <c r="O188" s="25">
        <v>0</v>
      </c>
      <c r="P188" s="25">
        <v>0</v>
      </c>
      <c r="Q188" s="25">
        <v>0</v>
      </c>
    </row>
    <row r="189" spans="1:17" ht="31.2" x14ac:dyDescent="0.25">
      <c r="A189" s="17" t="s">
        <v>137</v>
      </c>
      <c r="B189" s="17" t="s">
        <v>201</v>
      </c>
      <c r="C189" s="17" t="s">
        <v>138</v>
      </c>
      <c r="D189" s="17" t="s">
        <v>388</v>
      </c>
      <c r="E189" s="196">
        <f>(F190*F195+G190*G195+H190*H195+I190*I195+J190*J195+K190*K195+L190*L195+M190*M195+N190*N195+O190*O195+P190*P195+Q190*Q195)/(F182*F183*F174+G183*G182*G174+H182*H183*H174+I183*I182*I174+J183*J182*J174+K183*K182*K174+L183*L182*L174+M183*M182*M174+N183*N182*N174+O182*O183*O174+P183*P182*P174+Q183*Q182*Q174)</f>
        <v>0.64782134577375083</v>
      </c>
      <c r="F189" s="196"/>
      <c r="G189" s="196"/>
      <c r="H189" s="196"/>
      <c r="I189" s="196"/>
      <c r="J189" s="196"/>
      <c r="K189" s="196"/>
      <c r="L189" s="196"/>
      <c r="M189" s="196"/>
      <c r="N189" s="196"/>
      <c r="O189" s="196"/>
      <c r="P189" s="196"/>
      <c r="Q189" s="196"/>
    </row>
    <row r="190" spans="1:17" ht="31.2" x14ac:dyDescent="0.25">
      <c r="A190" s="17" t="s">
        <v>139</v>
      </c>
      <c r="B190" s="17" t="s">
        <v>37</v>
      </c>
      <c r="C190" s="17" t="s">
        <v>140</v>
      </c>
      <c r="D190" s="17" t="s">
        <v>375</v>
      </c>
      <c r="E190" s="27">
        <f>AVERAGE(F190:Q190)</f>
        <v>0.63510511617720555</v>
      </c>
      <c r="F190" s="27">
        <f>IF(F194&lt;283,0,IF(F194&gt;303,1,EXP(($E$191*(F194-$E$192))/($E$193*$E$192*F194))))</f>
        <v>0.25708890533410012</v>
      </c>
      <c r="G190" s="27">
        <f>IF(G194&lt;283,0,IF(G194&gt;303,1,EXP(($E$191*(G194-$E$192))/($E$193*$E$192*G194))))</f>
        <v>0.38698063689870399</v>
      </c>
      <c r="H190" s="27">
        <f t="shared" ref="H190:Q190" si="27">IF(H194&lt;283,0,IF(H194&gt;303,1,EXP(($E$191*(H194-$E$192))/($E$193*$E$192*H194))))</f>
        <v>0.50475941545474445</v>
      </c>
      <c r="I190" s="27">
        <f t="shared" si="27"/>
        <v>0.62729263560178183</v>
      </c>
      <c r="J190" s="27">
        <f t="shared" si="27"/>
        <v>0.84523513966163832</v>
      </c>
      <c r="K190" s="27">
        <f t="shared" si="27"/>
        <v>0.88152221926734242</v>
      </c>
      <c r="L190" s="27">
        <f t="shared" si="27"/>
        <v>0.95843738031531212</v>
      </c>
      <c r="M190" s="27">
        <f t="shared" si="27"/>
        <v>0.88152221926734242</v>
      </c>
      <c r="N190" s="27">
        <f t="shared" si="27"/>
        <v>0.91923925774048054</v>
      </c>
      <c r="O190" s="27">
        <f t="shared" si="27"/>
        <v>0.62729263560178183</v>
      </c>
      <c r="P190" s="27">
        <f t="shared" si="27"/>
        <v>0.42307437878932203</v>
      </c>
      <c r="Q190" s="27">
        <f t="shared" si="27"/>
        <v>0.30881657019391506</v>
      </c>
    </row>
    <row r="191" spans="1:17" x14ac:dyDescent="0.25">
      <c r="A191" s="17" t="s">
        <v>51</v>
      </c>
      <c r="B191" s="17" t="s">
        <v>52</v>
      </c>
      <c r="C191" s="17" t="s">
        <v>53</v>
      </c>
      <c r="D191" s="17" t="s">
        <v>389</v>
      </c>
      <c r="E191" s="176">
        <v>15175</v>
      </c>
      <c r="F191" s="176"/>
      <c r="G191" s="176"/>
      <c r="H191" s="176"/>
      <c r="I191" s="176"/>
      <c r="J191" s="176"/>
      <c r="K191" s="176"/>
      <c r="L191" s="176"/>
      <c r="M191" s="176"/>
      <c r="N191" s="176"/>
      <c r="O191" s="176"/>
      <c r="P191" s="176"/>
      <c r="Q191" s="176"/>
    </row>
    <row r="192" spans="1:17" ht="18" x14ac:dyDescent="0.25">
      <c r="A192" s="17" t="s">
        <v>141</v>
      </c>
      <c r="B192" s="17" t="s">
        <v>55</v>
      </c>
      <c r="C192" s="17" t="s">
        <v>56</v>
      </c>
      <c r="D192" s="17" t="s">
        <v>389</v>
      </c>
      <c r="E192" s="176">
        <v>303.16000000000003</v>
      </c>
      <c r="F192" s="176"/>
      <c r="G192" s="176"/>
      <c r="H192" s="176"/>
      <c r="I192" s="176"/>
      <c r="J192" s="176"/>
      <c r="K192" s="176"/>
      <c r="L192" s="176"/>
      <c r="M192" s="176"/>
      <c r="N192" s="176"/>
      <c r="O192" s="176"/>
      <c r="P192" s="176"/>
      <c r="Q192" s="176"/>
    </row>
    <row r="193" spans="1:19" x14ac:dyDescent="0.25">
      <c r="A193" s="17" t="s">
        <v>57</v>
      </c>
      <c r="B193" s="17" t="s">
        <v>58</v>
      </c>
      <c r="C193" s="17" t="s">
        <v>59</v>
      </c>
      <c r="D193" s="17" t="s">
        <v>389</v>
      </c>
      <c r="E193" s="176">
        <v>1.9870000000000001</v>
      </c>
      <c r="F193" s="176"/>
      <c r="G193" s="176"/>
      <c r="H193" s="176"/>
      <c r="I193" s="176"/>
      <c r="J193" s="176"/>
      <c r="K193" s="176"/>
      <c r="L193" s="176"/>
      <c r="M193" s="176"/>
      <c r="N193" s="176"/>
      <c r="O193" s="176"/>
      <c r="P193" s="176"/>
      <c r="Q193" s="176"/>
    </row>
    <row r="194" spans="1:19" ht="18" x14ac:dyDescent="0.25">
      <c r="A194" s="17" t="s">
        <v>142</v>
      </c>
      <c r="B194" s="17" t="s">
        <v>55</v>
      </c>
      <c r="C194" s="17" t="s">
        <v>143</v>
      </c>
      <c r="D194" s="144" t="s">
        <v>363</v>
      </c>
      <c r="E194" s="28">
        <f>AVERAGE(F194:Q194)</f>
        <v>296.85833333333341</v>
      </c>
      <c r="F194" s="25">
        <v>287.64999999999998</v>
      </c>
      <c r="G194" s="25">
        <v>292.14999999999998</v>
      </c>
      <c r="H194" s="25">
        <v>295.14999999999998</v>
      </c>
      <c r="I194" s="25">
        <v>297.64999999999998</v>
      </c>
      <c r="J194" s="25">
        <v>301.14999999999998</v>
      </c>
      <c r="K194" s="25">
        <v>301.64999999999998</v>
      </c>
      <c r="L194" s="25">
        <v>302.64999999999998</v>
      </c>
      <c r="M194" s="25">
        <v>301.64999999999998</v>
      </c>
      <c r="N194" s="25">
        <v>302.14999999999998</v>
      </c>
      <c r="O194" s="25">
        <v>297.64999999999998</v>
      </c>
      <c r="P194" s="25">
        <v>293.14999999999998</v>
      </c>
      <c r="Q194" s="25">
        <v>289.64999999999998</v>
      </c>
    </row>
    <row r="195" spans="1:19" ht="46.8" x14ac:dyDescent="0.25">
      <c r="A195" s="17" t="s">
        <v>144</v>
      </c>
      <c r="B195" s="17" t="s">
        <v>24</v>
      </c>
      <c r="C195" s="17" t="s">
        <v>145</v>
      </c>
      <c r="D195" s="17" t="s">
        <v>390</v>
      </c>
      <c r="E195" s="29">
        <f>SUM(F195:Q195)</f>
        <v>36.32070583453028</v>
      </c>
      <c r="F195" s="29">
        <f>F182*F183*'Project Emissions 2021'!F174+(1-F190)*0</f>
        <v>2.883900344080645</v>
      </c>
      <c r="G195" s="29">
        <f>G182*G183*'Project Emissions 2021'!G174+(1-G190)*0</f>
        <v>2.6308201704976195</v>
      </c>
      <c r="H195" s="29">
        <f>H182*H183*'Project Emissions 2021'!H174+(1-H190)*0</f>
        <v>2.9334597777145155</v>
      </c>
      <c r="I195" s="29">
        <f>I182*I183*'Project Emissions 2021'!I174+(1-I190)*0</f>
        <v>2.8568789262712637</v>
      </c>
      <c r="J195" s="29">
        <f>J182*J183*'Project Emissions 2021'!J174+(1-J190)*0</f>
        <v>3.2288001485588715</v>
      </c>
      <c r="K195" s="29">
        <f>K182*K183*'Project Emissions 2021'!K174+(1-K190)*0</f>
        <v>3.0713707222799989</v>
      </c>
      <c r="L195" s="29">
        <f>L182*L183*'Project Emissions 2021'!L174+(1-L190)*0</f>
        <v>3.2910184299333323</v>
      </c>
      <c r="M195" s="29">
        <f>M182*M183*'Project Emissions 2021'!M174+(1-M190)*0</f>
        <v>3.2921907577545708</v>
      </c>
      <c r="N195" s="29">
        <f>N182*N183*'Project Emissions 2021'!N174+(1-N190)*0</f>
        <v>3.1374915354202768</v>
      </c>
      <c r="O195" s="29">
        <f>O182*O183*'Project Emissions 2021'!O174+(1-O190)*0</f>
        <v>3.1920197242166681</v>
      </c>
      <c r="P195" s="29">
        <f>P182*P183*'Project Emissions 2021'!P174+(1-P190)*0</f>
        <v>2.8502964091277789</v>
      </c>
      <c r="Q195" s="29">
        <f>Q182*Q183*'Project Emissions 2021'!Q174+(1-Q190)*0</f>
        <v>2.9524588886747312</v>
      </c>
    </row>
    <row r="196" spans="1:19" x14ac:dyDescent="0.3">
      <c r="A196" s="30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</row>
    <row r="197" spans="1:19" x14ac:dyDescent="0.25">
      <c r="A197" s="174" t="s">
        <v>146</v>
      </c>
      <c r="B197" s="174"/>
      <c r="C197" s="175"/>
      <c r="D197" s="175"/>
      <c r="E197" s="195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</row>
    <row r="198" spans="1:19" x14ac:dyDescent="0.25">
      <c r="A198" s="33" t="s">
        <v>8</v>
      </c>
      <c r="B198" s="33" t="s">
        <v>9</v>
      </c>
      <c r="C198" s="34" t="s">
        <v>10</v>
      </c>
      <c r="D198" s="34" t="s">
        <v>340</v>
      </c>
      <c r="E198" s="16" t="s">
        <v>65</v>
      </c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</row>
    <row r="199" spans="1:19" ht="46.8" x14ac:dyDescent="0.25">
      <c r="A199" s="15" t="s">
        <v>147</v>
      </c>
      <c r="B199" s="17" t="s">
        <v>95</v>
      </c>
      <c r="C199" s="35" t="s">
        <v>148</v>
      </c>
      <c r="D199" s="35" t="s">
        <v>68</v>
      </c>
      <c r="E199" s="16">
        <v>0</v>
      </c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</row>
    <row r="200" spans="1:19" x14ac:dyDescent="0.25">
      <c r="A200" s="36"/>
      <c r="B200" s="36"/>
      <c r="C200" s="37"/>
      <c r="D200" s="37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</row>
    <row r="201" spans="1:19" x14ac:dyDescent="0.25">
      <c r="A201" s="174" t="s">
        <v>149</v>
      </c>
      <c r="B201" s="174"/>
      <c r="C201" s="175"/>
      <c r="D201" s="175"/>
      <c r="E201" s="195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</row>
    <row r="202" spans="1:19" x14ac:dyDescent="0.25">
      <c r="A202" s="33" t="s">
        <v>8</v>
      </c>
      <c r="B202" s="33" t="s">
        <v>9</v>
      </c>
      <c r="C202" s="34" t="s">
        <v>10</v>
      </c>
      <c r="D202" s="34" t="s">
        <v>340</v>
      </c>
      <c r="E202" s="16" t="s">
        <v>65</v>
      </c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</row>
    <row r="203" spans="1:19" ht="46.8" x14ac:dyDescent="0.25">
      <c r="A203" s="15" t="s">
        <v>150</v>
      </c>
      <c r="B203" s="17" t="s">
        <v>95</v>
      </c>
      <c r="C203" s="35" t="s">
        <v>151</v>
      </c>
      <c r="D203" s="35" t="s">
        <v>68</v>
      </c>
      <c r="E203" s="16">
        <v>0</v>
      </c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</row>
    <row r="204" spans="1:19" x14ac:dyDescent="0.25"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</row>
    <row r="205" spans="1:19" x14ac:dyDescent="0.25">
      <c r="A205" s="174" t="s">
        <v>152</v>
      </c>
      <c r="B205" s="174"/>
      <c r="C205" s="175"/>
      <c r="D205" s="175"/>
      <c r="E205" s="195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</row>
    <row r="206" spans="1:19" s="10" customFormat="1" x14ac:dyDescent="0.25">
      <c r="A206" s="15" t="s">
        <v>8</v>
      </c>
      <c r="B206" s="15" t="s">
        <v>9</v>
      </c>
      <c r="C206" s="38" t="s">
        <v>10</v>
      </c>
      <c r="D206" s="38" t="s">
        <v>340</v>
      </c>
      <c r="E206" s="16" t="s">
        <v>65</v>
      </c>
      <c r="F206" s="32"/>
      <c r="G206" s="32"/>
      <c r="H206" s="39"/>
      <c r="I206" s="39"/>
      <c r="J206" s="39"/>
      <c r="K206" s="39"/>
      <c r="L206" s="39"/>
      <c r="M206" s="39"/>
      <c r="N206" s="39"/>
      <c r="O206" s="39"/>
      <c r="P206" s="39"/>
      <c r="Q206" s="39"/>
    </row>
    <row r="207" spans="1:19" s="10" customFormat="1" ht="18" x14ac:dyDescent="0.4">
      <c r="A207" s="40" t="s">
        <v>153</v>
      </c>
      <c r="B207" s="17" t="s">
        <v>103</v>
      </c>
      <c r="C207" s="35" t="s">
        <v>154</v>
      </c>
      <c r="D207" s="35" t="s">
        <v>155</v>
      </c>
      <c r="E207" s="41">
        <f>E208*E210*(1+E209)</f>
        <v>480.68772728100009</v>
      </c>
      <c r="F207" s="32"/>
      <c r="G207" s="32"/>
      <c r="H207" s="39"/>
      <c r="I207" s="39"/>
      <c r="J207" s="39"/>
      <c r="K207" s="39"/>
      <c r="L207" s="39"/>
      <c r="M207" s="39"/>
      <c r="N207" s="39"/>
      <c r="O207" s="39"/>
      <c r="P207" s="39"/>
      <c r="Q207" s="39"/>
    </row>
    <row r="208" spans="1:19" ht="31.2" x14ac:dyDescent="0.25">
      <c r="A208" s="17" t="s">
        <v>156</v>
      </c>
      <c r="B208" s="17" t="s">
        <v>157</v>
      </c>
      <c r="C208" s="35" t="s">
        <v>158</v>
      </c>
      <c r="D208" s="35" t="s">
        <v>343</v>
      </c>
      <c r="E208" s="20">
        <f>787212.55/1000</f>
        <v>787.21255000000008</v>
      </c>
      <c r="G208" s="42"/>
      <c r="H208" s="43"/>
      <c r="I208" s="43"/>
      <c r="J208" s="43"/>
      <c r="K208" s="43"/>
      <c r="L208" s="43"/>
      <c r="M208" s="43"/>
      <c r="N208" s="43"/>
      <c r="O208" s="43"/>
      <c r="P208" s="43"/>
      <c r="Q208" s="43"/>
      <c r="R208" s="9"/>
      <c r="S208" s="9"/>
    </row>
    <row r="209" spans="1:19" ht="31.2" x14ac:dyDescent="0.25">
      <c r="A209" s="17" t="s">
        <v>159</v>
      </c>
      <c r="B209" s="17" t="s">
        <v>160</v>
      </c>
      <c r="C209" s="35" t="s">
        <v>161</v>
      </c>
      <c r="D209" s="35" t="s">
        <v>162</v>
      </c>
      <c r="E209" s="44">
        <v>0.2</v>
      </c>
      <c r="H209" s="43"/>
      <c r="I209" s="43"/>
      <c r="J209" s="43"/>
      <c r="K209" s="43"/>
      <c r="L209" s="43"/>
      <c r="M209" s="43"/>
      <c r="N209" s="43"/>
      <c r="O209" s="43"/>
      <c r="P209" s="43"/>
      <c r="Q209" s="43"/>
      <c r="R209" s="9"/>
      <c r="S209" s="9"/>
    </row>
    <row r="210" spans="1:19" ht="46.8" x14ac:dyDescent="0.25">
      <c r="A210" s="17" t="s">
        <v>163</v>
      </c>
      <c r="B210" s="17" t="s">
        <v>164</v>
      </c>
      <c r="C210" s="35" t="s">
        <v>165</v>
      </c>
      <c r="D210" s="35" t="s">
        <v>166</v>
      </c>
      <c r="E210" s="45">
        <f>0.5*0.8042+0.5*0.2135</f>
        <v>0.50885000000000002</v>
      </c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</row>
    <row r="211" spans="1:19" ht="31.2" x14ac:dyDescent="0.4">
      <c r="A211" s="40" t="s">
        <v>167</v>
      </c>
      <c r="B211" s="17" t="s">
        <v>103</v>
      </c>
      <c r="C211" s="35" t="s">
        <v>168</v>
      </c>
      <c r="D211" s="35" t="s">
        <v>169</v>
      </c>
      <c r="E211" s="47">
        <v>0</v>
      </c>
      <c r="H211" s="43"/>
      <c r="I211" s="43"/>
      <c r="J211" s="43"/>
      <c r="K211" s="43"/>
      <c r="L211" s="43"/>
      <c r="M211" s="43"/>
      <c r="N211" s="43"/>
      <c r="O211" s="43"/>
      <c r="P211" s="43"/>
      <c r="Q211" s="43"/>
      <c r="R211" s="9"/>
      <c r="S211" s="9"/>
    </row>
    <row r="212" spans="1:19" x14ac:dyDescent="0.3">
      <c r="A212" s="48"/>
      <c r="E212" s="49"/>
      <c r="H212" s="43"/>
      <c r="I212" s="43"/>
      <c r="J212" s="43"/>
      <c r="K212" s="43"/>
      <c r="L212" s="43"/>
      <c r="M212" s="43"/>
      <c r="N212" s="43"/>
      <c r="O212" s="43"/>
      <c r="P212" s="43"/>
      <c r="Q212" s="43"/>
      <c r="R212" s="9"/>
      <c r="S212" s="9"/>
    </row>
    <row r="213" spans="1:19" x14ac:dyDescent="0.25">
      <c r="A213" s="174" t="s">
        <v>170</v>
      </c>
      <c r="B213" s="174"/>
      <c r="C213" s="175"/>
      <c r="D213" s="175"/>
      <c r="E213" s="195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</row>
    <row r="214" spans="1:19" x14ac:dyDescent="0.25">
      <c r="A214" s="15" t="s">
        <v>8</v>
      </c>
      <c r="B214" s="15" t="s">
        <v>9</v>
      </c>
      <c r="C214" s="38" t="s">
        <v>10</v>
      </c>
      <c r="D214" s="38" t="s">
        <v>340</v>
      </c>
      <c r="E214" s="16" t="s">
        <v>65</v>
      </c>
      <c r="H214" s="43"/>
      <c r="I214" s="43"/>
      <c r="J214" s="43"/>
      <c r="K214" s="43"/>
      <c r="L214" s="43"/>
      <c r="M214" s="43"/>
      <c r="N214" s="43"/>
      <c r="O214" s="43"/>
      <c r="P214" s="43"/>
      <c r="Q214" s="43"/>
      <c r="R214" s="9"/>
      <c r="S214" s="9"/>
    </row>
    <row r="215" spans="1:19" ht="33.6" x14ac:dyDescent="0.4">
      <c r="A215" s="40" t="s">
        <v>171</v>
      </c>
      <c r="B215" s="17" t="s">
        <v>74</v>
      </c>
      <c r="C215" s="35" t="s">
        <v>172</v>
      </c>
      <c r="D215" s="35" t="s">
        <v>391</v>
      </c>
      <c r="E215" s="50">
        <f>E216*E219*E220*E221*E222*E223</f>
        <v>1.1875147460925839</v>
      </c>
      <c r="H215" s="43"/>
      <c r="I215" s="43"/>
      <c r="J215" s="43"/>
      <c r="K215" s="43"/>
      <c r="L215" s="43"/>
      <c r="M215" s="43"/>
      <c r="N215" s="43"/>
      <c r="O215" s="43"/>
      <c r="P215" s="43"/>
      <c r="Q215" s="43"/>
      <c r="R215" s="9"/>
      <c r="S215" s="9"/>
    </row>
    <row r="216" spans="1:19" ht="46.8" x14ac:dyDescent="0.4">
      <c r="A216" s="51" t="s">
        <v>173</v>
      </c>
      <c r="B216" s="17" t="s">
        <v>76</v>
      </c>
      <c r="C216" s="35" t="s">
        <v>174</v>
      </c>
      <c r="D216" s="35" t="s">
        <v>392</v>
      </c>
      <c r="E216" s="69">
        <f>ROUNDUP(E217/E218,0)</f>
        <v>179</v>
      </c>
      <c r="H216" s="43"/>
      <c r="I216" s="43"/>
      <c r="J216" s="43"/>
      <c r="K216" s="43"/>
      <c r="L216" s="43"/>
      <c r="M216" s="43"/>
      <c r="N216" s="43"/>
      <c r="O216" s="43"/>
      <c r="P216" s="43"/>
      <c r="Q216" s="43"/>
      <c r="R216" s="9"/>
      <c r="S216" s="9"/>
    </row>
    <row r="217" spans="1:19" ht="62.4" x14ac:dyDescent="0.25">
      <c r="A217" s="17" t="s">
        <v>175</v>
      </c>
      <c r="B217" s="17" t="s">
        <v>78</v>
      </c>
      <c r="C217" s="35" t="s">
        <v>176</v>
      </c>
      <c r="D217" s="35" t="s">
        <v>346</v>
      </c>
      <c r="E217" s="52">
        <v>890.93299999999999</v>
      </c>
      <c r="H217" s="43"/>
      <c r="I217" s="43"/>
      <c r="J217" s="43"/>
      <c r="K217" s="43"/>
      <c r="L217" s="43"/>
      <c r="M217" s="43"/>
      <c r="N217" s="43"/>
      <c r="O217" s="43"/>
      <c r="P217" s="43"/>
      <c r="Q217" s="43"/>
      <c r="R217" s="9"/>
      <c r="S217" s="9"/>
    </row>
    <row r="218" spans="1:19" ht="62.4" x14ac:dyDescent="0.25">
      <c r="A218" s="17" t="s">
        <v>177</v>
      </c>
      <c r="B218" s="17" t="s">
        <v>80</v>
      </c>
      <c r="C218" s="35" t="s">
        <v>81</v>
      </c>
      <c r="D218" s="35" t="s">
        <v>345</v>
      </c>
      <c r="E218" s="25">
        <f>5</f>
        <v>5</v>
      </c>
      <c r="H218" s="43"/>
      <c r="I218" s="43"/>
      <c r="J218" s="43"/>
      <c r="K218" s="43"/>
      <c r="L218" s="43"/>
      <c r="M218" s="43"/>
      <c r="N218" s="43"/>
      <c r="O218" s="43"/>
      <c r="P218" s="43"/>
      <c r="Q218" s="43"/>
      <c r="R218" s="9"/>
      <c r="S218" s="9"/>
    </row>
    <row r="219" spans="1:19" ht="202.8" x14ac:dyDescent="0.25">
      <c r="A219" s="17" t="s">
        <v>178</v>
      </c>
      <c r="B219" s="17" t="s">
        <v>82</v>
      </c>
      <c r="C219" s="35" t="s">
        <v>179</v>
      </c>
      <c r="D219" s="35" t="s">
        <v>367</v>
      </c>
      <c r="E219" s="25">
        <v>9.8000000000000007</v>
      </c>
      <c r="H219" s="43"/>
      <c r="I219" s="43"/>
      <c r="J219" s="43"/>
      <c r="K219" s="43"/>
      <c r="L219" s="43"/>
      <c r="M219" s="43"/>
      <c r="N219" s="43"/>
      <c r="O219" s="43"/>
      <c r="P219" s="43"/>
      <c r="Q219" s="43"/>
      <c r="R219" s="9"/>
      <c r="S219" s="9"/>
    </row>
    <row r="220" spans="1:19" ht="156" x14ac:dyDescent="0.25">
      <c r="A220" s="17" t="s">
        <v>180</v>
      </c>
      <c r="B220" s="17" t="s">
        <v>84</v>
      </c>
      <c r="C220" s="35" t="s">
        <v>85</v>
      </c>
      <c r="D220" s="35" t="s">
        <v>365</v>
      </c>
      <c r="E220" s="25">
        <f>25.1/100</f>
        <v>0.251</v>
      </c>
      <c r="H220" s="43"/>
      <c r="I220" s="43"/>
      <c r="J220" s="43"/>
      <c r="K220" s="43"/>
      <c r="L220" s="43"/>
      <c r="M220" s="43"/>
      <c r="N220" s="43"/>
      <c r="O220" s="43"/>
      <c r="P220" s="43"/>
      <c r="Q220" s="43"/>
      <c r="R220" s="9"/>
      <c r="S220" s="9"/>
    </row>
    <row r="221" spans="1:19" ht="62.4" x14ac:dyDescent="0.25">
      <c r="A221" s="17" t="s">
        <v>86</v>
      </c>
      <c r="B221" s="17" t="s">
        <v>87</v>
      </c>
      <c r="C221" s="35" t="s">
        <v>86</v>
      </c>
      <c r="D221" s="35" t="s">
        <v>215</v>
      </c>
      <c r="E221" s="25">
        <f>0.84/1000</f>
        <v>8.3999999999999993E-4</v>
      </c>
      <c r="H221" s="43"/>
      <c r="I221" s="43"/>
      <c r="J221" s="43"/>
      <c r="K221" s="43"/>
      <c r="L221" s="43"/>
      <c r="M221" s="43"/>
      <c r="N221" s="43"/>
      <c r="O221" s="43"/>
      <c r="P221" s="43"/>
      <c r="Q221" s="43"/>
      <c r="R221" s="9"/>
      <c r="S221" s="9"/>
    </row>
    <row r="222" spans="1:19" ht="124.8" x14ac:dyDescent="0.25">
      <c r="A222" s="17" t="s">
        <v>181</v>
      </c>
      <c r="B222" s="17" t="s">
        <v>88</v>
      </c>
      <c r="C222" s="35" t="s">
        <v>89</v>
      </c>
      <c r="D222" s="35" t="s">
        <v>360</v>
      </c>
      <c r="E222" s="25">
        <f>43.33/1000</f>
        <v>4.333E-2</v>
      </c>
      <c r="H222" s="43"/>
      <c r="I222" s="43"/>
      <c r="J222" s="43"/>
      <c r="K222" s="43"/>
      <c r="L222" s="43"/>
      <c r="M222" s="43"/>
      <c r="N222" s="43"/>
      <c r="O222" s="43"/>
      <c r="P222" s="43"/>
      <c r="Q222" s="43"/>
      <c r="R222" s="9"/>
      <c r="S222" s="9"/>
    </row>
    <row r="223" spans="1:19" ht="33.6" x14ac:dyDescent="0.25">
      <c r="A223" s="17" t="s">
        <v>182</v>
      </c>
      <c r="B223" s="17" t="s">
        <v>90</v>
      </c>
      <c r="C223" s="35" t="s">
        <v>91</v>
      </c>
      <c r="D223" s="35" t="s">
        <v>92</v>
      </c>
      <c r="E223" s="25">
        <v>74.099999999999994</v>
      </c>
      <c r="H223" s="43"/>
      <c r="I223" s="43"/>
      <c r="J223" s="43"/>
      <c r="K223" s="43"/>
      <c r="L223" s="43"/>
      <c r="M223" s="43"/>
      <c r="N223" s="43"/>
      <c r="O223" s="43"/>
      <c r="P223" s="43"/>
      <c r="Q223" s="43"/>
      <c r="R223" s="9"/>
      <c r="S223" s="9"/>
    </row>
    <row r="225" spans="1:19" x14ac:dyDescent="0.25">
      <c r="A225" s="33" t="s">
        <v>8</v>
      </c>
      <c r="B225" s="33" t="s">
        <v>9</v>
      </c>
      <c r="C225" s="34" t="s">
        <v>10</v>
      </c>
      <c r="D225" s="34" t="s">
        <v>340</v>
      </c>
      <c r="E225" s="16" t="s">
        <v>65</v>
      </c>
    </row>
    <row r="226" spans="1:19" ht="18" x14ac:dyDescent="0.25">
      <c r="A226" s="15" t="s">
        <v>183</v>
      </c>
      <c r="B226" s="17" t="s">
        <v>103</v>
      </c>
      <c r="C226" s="35" t="s">
        <v>184</v>
      </c>
      <c r="D226" s="53" t="s">
        <v>393</v>
      </c>
      <c r="E226" s="18">
        <f>ROUNDUP(E175+E199+E203+E207+E215,0)</f>
        <v>482</v>
      </c>
    </row>
    <row r="227" spans="1:19" s="209" customFormat="1" ht="38.4" customHeight="1" x14ac:dyDescent="0.25">
      <c r="A227" s="208" t="s">
        <v>224</v>
      </c>
    </row>
    <row r="228" spans="1:19" s="210" customFormat="1" ht="38.4" customHeight="1" x14ac:dyDescent="0.25">
      <c r="A228" s="210" t="s">
        <v>242</v>
      </c>
    </row>
    <row r="229" spans="1:19" ht="23.4" customHeight="1" x14ac:dyDescent="0.25">
      <c r="A229" s="201" t="s">
        <v>105</v>
      </c>
      <c r="B229" s="201"/>
      <c r="C229" s="201"/>
      <c r="D229" s="201"/>
      <c r="E229" s="201"/>
      <c r="F229" s="201"/>
      <c r="G229" s="201"/>
      <c r="H229" s="201"/>
      <c r="I229" s="201"/>
      <c r="J229" s="201"/>
      <c r="K229" s="201"/>
      <c r="L229" s="201"/>
      <c r="M229" s="201"/>
      <c r="N229" s="201"/>
      <c r="O229" s="201"/>
      <c r="P229" s="201"/>
      <c r="Q229" s="202"/>
    </row>
    <row r="230" spans="1:19" s="10" customFormat="1" ht="31.2" x14ac:dyDescent="0.25">
      <c r="A230" s="15" t="s">
        <v>8</v>
      </c>
      <c r="B230" s="15" t="s">
        <v>9</v>
      </c>
      <c r="C230" s="15" t="s">
        <v>10</v>
      </c>
      <c r="D230" s="15" t="s">
        <v>340</v>
      </c>
      <c r="E230" s="16" t="s">
        <v>11</v>
      </c>
      <c r="F230" s="16" t="s">
        <v>312</v>
      </c>
      <c r="G230" s="16" t="s">
        <v>313</v>
      </c>
      <c r="H230" s="16" t="s">
        <v>314</v>
      </c>
      <c r="I230" s="16" t="s">
        <v>315</v>
      </c>
      <c r="J230" s="16" t="s">
        <v>316</v>
      </c>
      <c r="K230" s="16" t="s">
        <v>317</v>
      </c>
      <c r="L230" s="16" t="s">
        <v>318</v>
      </c>
      <c r="M230" s="16" t="s">
        <v>319</v>
      </c>
      <c r="N230" s="16" t="s">
        <v>320</v>
      </c>
      <c r="O230" s="16" t="s">
        <v>293</v>
      </c>
      <c r="P230" s="16" t="s">
        <v>294</v>
      </c>
      <c r="Q230" s="16" t="s">
        <v>295</v>
      </c>
      <c r="R230" s="54"/>
      <c r="S230" s="54"/>
    </row>
    <row r="231" spans="1:19" s="10" customFormat="1" x14ac:dyDescent="0.25">
      <c r="A231" s="203" t="s">
        <v>106</v>
      </c>
      <c r="B231" s="203"/>
      <c r="C231" s="203"/>
      <c r="D231" s="203"/>
      <c r="E231" s="204"/>
      <c r="F231" s="16">
        <v>31</v>
      </c>
      <c r="G231" s="16">
        <v>28</v>
      </c>
      <c r="H231" s="16">
        <v>31</v>
      </c>
      <c r="I231" s="16">
        <v>30</v>
      </c>
      <c r="J231" s="16">
        <v>31</v>
      </c>
      <c r="K231" s="16">
        <v>30</v>
      </c>
      <c r="L231" s="16">
        <v>31</v>
      </c>
      <c r="M231" s="16">
        <v>31</v>
      </c>
      <c r="N231" s="16">
        <v>30</v>
      </c>
      <c r="O231" s="16">
        <v>31</v>
      </c>
      <c r="P231" s="16">
        <v>30</v>
      </c>
      <c r="Q231" s="16">
        <v>31</v>
      </c>
      <c r="R231" s="54"/>
      <c r="S231" s="54"/>
    </row>
    <row r="232" spans="1:19" s="10" customFormat="1" ht="31.2" x14ac:dyDescent="0.25">
      <c r="A232" s="15" t="s">
        <v>107</v>
      </c>
      <c r="B232" s="17" t="s">
        <v>103</v>
      </c>
      <c r="C232" s="17" t="s">
        <v>108</v>
      </c>
      <c r="D232" s="17" t="s">
        <v>381</v>
      </c>
      <c r="E232" s="18">
        <f>E233+E243</f>
        <v>0</v>
      </c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54"/>
      <c r="S232" s="54"/>
    </row>
    <row r="233" spans="1:19" ht="46.8" x14ac:dyDescent="0.25">
      <c r="A233" s="17" t="s">
        <v>109</v>
      </c>
      <c r="B233" s="17" t="s">
        <v>103</v>
      </c>
      <c r="C233" s="17" t="s">
        <v>110</v>
      </c>
      <c r="D233" s="17" t="s">
        <v>382</v>
      </c>
      <c r="E233" s="19">
        <f>SUM(F233:Q233)</f>
        <v>0</v>
      </c>
      <c r="F233" s="19">
        <f>IF(F234&gt;=0.8,0,$E$241*$E$242*0.4*(F235-F238)*F231)</f>
        <v>0</v>
      </c>
      <c r="G233" s="19">
        <f t="shared" ref="G233:Q233" si="28">IF(G234&gt;=0.8,0,$E$241*$E$242*0.4*(G235-G238)*G231)</f>
        <v>0</v>
      </c>
      <c r="H233" s="19">
        <f t="shared" si="28"/>
        <v>0</v>
      </c>
      <c r="I233" s="19">
        <f t="shared" si="28"/>
        <v>0</v>
      </c>
      <c r="J233" s="19">
        <f t="shared" si="28"/>
        <v>0</v>
      </c>
      <c r="K233" s="19">
        <f t="shared" si="28"/>
        <v>0</v>
      </c>
      <c r="L233" s="19">
        <f t="shared" si="28"/>
        <v>0</v>
      </c>
      <c r="M233" s="19">
        <f t="shared" si="28"/>
        <v>0</v>
      </c>
      <c r="N233" s="19">
        <f t="shared" si="28"/>
        <v>0</v>
      </c>
      <c r="O233" s="19">
        <f t="shared" si="28"/>
        <v>0</v>
      </c>
      <c r="P233" s="19">
        <f t="shared" si="28"/>
        <v>0</v>
      </c>
      <c r="Q233" s="19">
        <f t="shared" si="28"/>
        <v>0</v>
      </c>
    </row>
    <row r="234" spans="1:19" ht="62.4" x14ac:dyDescent="0.25">
      <c r="A234" s="17" t="s">
        <v>111</v>
      </c>
      <c r="B234" s="17" t="s">
        <v>37</v>
      </c>
      <c r="C234" s="17" t="s">
        <v>112</v>
      </c>
      <c r="D234" s="17" t="s">
        <v>383</v>
      </c>
      <c r="E234" s="20">
        <f>AVERAGE(F234:Q234)</f>
        <v>0.95368975893763019</v>
      </c>
      <c r="F234" s="20">
        <f>(F235-F238)/F235</f>
        <v>0.95436013494428928</v>
      </c>
      <c r="G234" s="20">
        <f t="shared" ref="G234:Q234" si="29">(G235-G238)/G235</f>
        <v>0.95346450605297217</v>
      </c>
      <c r="H234" s="20">
        <f t="shared" si="29"/>
        <v>0.952988457423251</v>
      </c>
      <c r="I234" s="20">
        <f t="shared" si="29"/>
        <v>0.95469854874643267</v>
      </c>
      <c r="J234" s="20">
        <f t="shared" si="29"/>
        <v>0.95366056353505102</v>
      </c>
      <c r="K234" s="20">
        <f t="shared" si="29"/>
        <v>0.9522935417916758</v>
      </c>
      <c r="L234" s="20">
        <f t="shared" si="29"/>
        <v>0.95308101763015574</v>
      </c>
      <c r="M234" s="20">
        <f t="shared" si="29"/>
        <v>0.95463488415154807</v>
      </c>
      <c r="N234" s="20">
        <f t="shared" si="29"/>
        <v>0.9547517541740379</v>
      </c>
      <c r="O234" s="20">
        <f t="shared" si="29"/>
        <v>0.95356728807309321</v>
      </c>
      <c r="P234" s="20">
        <f t="shared" si="29"/>
        <v>0.95269320872330709</v>
      </c>
      <c r="Q234" s="20">
        <f t="shared" si="29"/>
        <v>0.95408320200574614</v>
      </c>
    </row>
    <row r="235" spans="1:19" ht="46.8" x14ac:dyDescent="0.25">
      <c r="A235" s="17" t="s">
        <v>113</v>
      </c>
      <c r="B235" s="17" t="s">
        <v>24</v>
      </c>
      <c r="C235" s="17" t="s">
        <v>114</v>
      </c>
      <c r="D235" s="17" t="s">
        <v>384</v>
      </c>
      <c r="E235" s="20">
        <f>SUM(F235:Q235)</f>
        <v>47.014935888521137</v>
      </c>
      <c r="F235" s="20">
        <f>F236*F237</f>
        <v>3.9236724033689301</v>
      </c>
      <c r="G235" s="20">
        <f t="shared" ref="G235:Q235" si="30">G236*G237</f>
        <v>3.918883200054986</v>
      </c>
      <c r="H235" s="20">
        <f t="shared" si="30"/>
        <v>3.9184572965984219</v>
      </c>
      <c r="I235" s="20">
        <f t="shared" si="30"/>
        <v>3.9155914951537367</v>
      </c>
      <c r="J235" s="20">
        <f t="shared" si="30"/>
        <v>4.1417090261423875</v>
      </c>
      <c r="K235" s="20">
        <f t="shared" si="30"/>
        <v>3.6952948097438343</v>
      </c>
      <c r="L235" s="20">
        <f t="shared" si="30"/>
        <v>3.6947082105956985</v>
      </c>
      <c r="M235" s="20">
        <f t="shared" si="30"/>
        <v>3.6937179867950061</v>
      </c>
      <c r="N235" s="20">
        <f t="shared" si="30"/>
        <v>4.1406341821641295</v>
      </c>
      <c r="O235" s="20">
        <f t="shared" si="30"/>
        <v>4.1378446544377558</v>
      </c>
      <c r="P235" s="20">
        <f t="shared" si="30"/>
        <v>3.9183248062194438</v>
      </c>
      <c r="Q235" s="20">
        <f t="shared" si="30"/>
        <v>3.9160978172468104</v>
      </c>
    </row>
    <row r="236" spans="1:19" ht="74.400000000000006" customHeight="1" x14ac:dyDescent="0.25">
      <c r="A236" s="17" t="s">
        <v>115</v>
      </c>
      <c r="B236" s="17" t="s">
        <v>116</v>
      </c>
      <c r="C236" s="17" t="s">
        <v>117</v>
      </c>
      <c r="D236" s="17" t="s">
        <v>337</v>
      </c>
      <c r="E236" s="129">
        <f>SUM(F236:Q236)</f>
        <v>103246.13411052228</v>
      </c>
      <c r="F236" s="129">
        <f>'Baseline Emissions 2021'!F229</f>
        <v>8366.5811290322617</v>
      </c>
      <c r="G236" s="129">
        <f>'Baseline Emissions 2021'!G229</f>
        <v>8365.6009642857171</v>
      </c>
      <c r="H236" s="129">
        <f>'Baseline Emissions 2021'!H229</f>
        <v>8363.3084193548384</v>
      </c>
      <c r="I236" s="129">
        <f>'Baseline Emissions 2021'!I229</f>
        <v>8363.9523333333345</v>
      </c>
      <c r="J236" s="129">
        <f>'Baseline Emissions 2021'!J229</f>
        <v>8842.3902258064536</v>
      </c>
      <c r="K236" s="129">
        <f>'Baseline Emissions 2021'!K229</f>
        <v>8843.6975666666694</v>
      </c>
      <c r="L236" s="129">
        <f>'Baseline Emissions 2021'!L229</f>
        <v>8845.6820000000007</v>
      </c>
      <c r="M236" s="129">
        <f>'Baseline Emissions 2021'!M229</f>
        <v>8845.246774193547</v>
      </c>
      <c r="N236" s="129">
        <f>'Baseline Emissions 2021'!N229</f>
        <v>8844.6006333333335</v>
      </c>
      <c r="O236" s="129">
        <f>'Baseline Emissions 2021'!O229</f>
        <v>8839.7103548387095</v>
      </c>
      <c r="P236" s="129">
        <f>'Baseline Emissions 2021'!P229</f>
        <v>8365.0910000000003</v>
      </c>
      <c r="Q236" s="129">
        <f>'Baseline Emissions 2021'!Q229</f>
        <v>8360.2727096774215</v>
      </c>
    </row>
    <row r="237" spans="1:19" ht="46.8" x14ac:dyDescent="0.25">
      <c r="A237" s="17" t="s">
        <v>118</v>
      </c>
      <c r="B237" s="17" t="s">
        <v>119</v>
      </c>
      <c r="C237" s="17" t="s">
        <v>120</v>
      </c>
      <c r="D237" s="35" t="s">
        <v>338</v>
      </c>
      <c r="E237" s="120">
        <f>AVERAGE(F237:Q237)</f>
        <v>4.5572505578471965E-4</v>
      </c>
      <c r="F237" s="130">
        <f>'Baseline Emissions 2021'!F233</f>
        <v>4.6896962365591377E-4</v>
      </c>
      <c r="G237" s="130">
        <f>'Baseline Emissions 2021'!G233</f>
        <v>4.684520833333333E-4</v>
      </c>
      <c r="H237" s="130">
        <f>'Baseline Emissions 2021'!H233</f>
        <v>4.6852956989247314E-4</v>
      </c>
      <c r="I237" s="130">
        <f>'Baseline Emissions 2021'!I233</f>
        <v>4.6815086206896561E-4</v>
      </c>
      <c r="J237" s="130">
        <f>'Baseline Emissions 2021'!J233</f>
        <v>4.6839247311827962E-4</v>
      </c>
      <c r="K237" s="130">
        <f>'Baseline Emissions 2021'!K233</f>
        <v>4.1784499999999997E-4</v>
      </c>
      <c r="L237" s="130">
        <f>'Baseline Emissions 2021'!L233</f>
        <v>4.1768494623655909E-4</v>
      </c>
      <c r="M237" s="130">
        <f>'Baseline Emissions 2021'!M233</f>
        <v>4.1759354838709692E-4</v>
      </c>
      <c r="N237" s="130">
        <f>'Baseline Emissions 2021'!N233</f>
        <v>4.6815388888888889E-4</v>
      </c>
      <c r="O237" s="130">
        <f>'Baseline Emissions 2021'!O233</f>
        <v>4.6809731182795696E-4</v>
      </c>
      <c r="P237" s="130">
        <f>'Baseline Emissions 2021'!P233</f>
        <v>4.6841388888888881E-4</v>
      </c>
      <c r="Q237" s="130">
        <f>'Baseline Emissions 2021'!Q233</f>
        <v>4.6841747311827963E-4</v>
      </c>
    </row>
    <row r="238" spans="1:19" ht="46.8" x14ac:dyDescent="0.25">
      <c r="A238" s="17" t="s">
        <v>121</v>
      </c>
      <c r="B238" s="17" t="s">
        <v>24</v>
      </c>
      <c r="C238" s="17" t="s">
        <v>122</v>
      </c>
      <c r="D238" s="17" t="s">
        <v>384</v>
      </c>
      <c r="E238" s="20">
        <f>SUM(F238:Q238)</f>
        <v>2.1768353555375928</v>
      </c>
      <c r="F238" s="20">
        <f>SUM(F239*F240)</f>
        <v>0.17907587901257371</v>
      </c>
      <c r="G238" s="20">
        <f t="shared" ref="G238:Q238" si="31">SUM(G239*G240)</f>
        <v>0.18236716543526782</v>
      </c>
      <c r="H238" s="20">
        <f t="shared" si="31"/>
        <v>0.18421272203420916</v>
      </c>
      <c r="I238" s="20">
        <f t="shared" si="31"/>
        <v>0.17738197724659011</v>
      </c>
      <c r="J238" s="20">
        <f t="shared" si="31"/>
        <v>0.19192446227323101</v>
      </c>
      <c r="K238" s="20">
        <f t="shared" si="31"/>
        <v>0.17628942740848147</v>
      </c>
      <c r="L238" s="20">
        <f t="shared" si="31"/>
        <v>0.17335194939465826</v>
      </c>
      <c r="M238" s="20">
        <f t="shared" si="31"/>
        <v>0.16756594438246619</v>
      </c>
      <c r="N238" s="20">
        <f t="shared" si="31"/>
        <v>0.1873564333499444</v>
      </c>
      <c r="O238" s="20">
        <f t="shared" si="31"/>
        <v>0.19213134883779914</v>
      </c>
      <c r="P238" s="20">
        <f t="shared" si="31"/>
        <v>0.18536337376211115</v>
      </c>
      <c r="Q238" s="20">
        <f t="shared" si="31"/>
        <v>0.17981467240026014</v>
      </c>
    </row>
    <row r="239" spans="1:19" ht="62.4" x14ac:dyDescent="0.25">
      <c r="A239" s="17" t="s">
        <v>123</v>
      </c>
      <c r="B239" s="17" t="s">
        <v>116</v>
      </c>
      <c r="C239" s="17" t="s">
        <v>124</v>
      </c>
      <c r="D239" s="17" t="s">
        <v>337</v>
      </c>
      <c r="E239" s="129">
        <f>SUM(F239:Q239)</f>
        <v>101767.56318494625</v>
      </c>
      <c r="F239" s="129">
        <v>8233.7808064516139</v>
      </c>
      <c r="G239" s="129">
        <v>8233.6124999999993</v>
      </c>
      <c r="H239" s="129">
        <v>8235.9392580645163</v>
      </c>
      <c r="I239" s="129">
        <v>8234.0369333333365</v>
      </c>
      <c r="J239" s="129">
        <v>8727.3582903225797</v>
      </c>
      <c r="K239" s="129">
        <v>8724.5599333333339</v>
      </c>
      <c r="L239" s="129">
        <v>8727.1863225806446</v>
      </c>
      <c r="M239" s="129">
        <v>8725.5604516129024</v>
      </c>
      <c r="N239" s="129">
        <v>8725.7517666666645</v>
      </c>
      <c r="O239" s="129">
        <v>8728.8701612903224</v>
      </c>
      <c r="P239" s="129">
        <v>8235.7285999999986</v>
      </c>
      <c r="Q239" s="129">
        <v>8235.1781612903214</v>
      </c>
    </row>
    <row r="240" spans="1:19" ht="46.8" x14ac:dyDescent="0.25">
      <c r="A240" s="17" t="s">
        <v>125</v>
      </c>
      <c r="B240" s="17" t="s">
        <v>119</v>
      </c>
      <c r="C240" s="17" t="s">
        <v>126</v>
      </c>
      <c r="D240" s="35" t="s">
        <v>339</v>
      </c>
      <c r="E240" s="131">
        <f>AVERAGE(F240:Q240)</f>
        <v>2.1408088832168017E-5</v>
      </c>
      <c r="F240" s="131">
        <f>'Baseline Emissions 2021'!F234</f>
        <v>2.1748924731182794E-5</v>
      </c>
      <c r="G240" s="131">
        <f>'Baseline Emissions 2021'!G234</f>
        <v>2.2149107142857142E-5</v>
      </c>
      <c r="H240" s="131">
        <f>'Baseline Emissions 2021'!H234</f>
        <v>2.2366935483870966E-5</v>
      </c>
      <c r="I240" s="131">
        <f>'Baseline Emissions 2021'!I234</f>
        <v>2.1542528735632183E-5</v>
      </c>
      <c r="J240" s="131">
        <f>'Baseline Emissions 2021'!J234</f>
        <v>2.1991129032258067E-5</v>
      </c>
      <c r="K240" s="131">
        <f>'Baseline Emissions 2021'!K234</f>
        <v>2.0206111111111108E-5</v>
      </c>
      <c r="L240" s="131">
        <f>'Baseline Emissions 2021'!L234</f>
        <v>1.9863440860215046E-5</v>
      </c>
      <c r="M240" s="131">
        <f>'Baseline Emissions 2021'!M234</f>
        <v>1.920403225806452E-5</v>
      </c>
      <c r="N240" s="131">
        <f>'Baseline Emissions 2021'!N234</f>
        <v>2.1471666666666666E-5</v>
      </c>
      <c r="O240" s="131">
        <f>'Baseline Emissions 2021'!O234</f>
        <v>2.201102150537634E-5</v>
      </c>
      <c r="P240" s="131">
        <f>'Baseline Emissions 2021'!P234</f>
        <v>2.2507222222222232E-5</v>
      </c>
      <c r="Q240" s="131">
        <f>'Baseline Emissions 2021'!Q234</f>
        <v>2.183494623655914E-5</v>
      </c>
    </row>
    <row r="241" spans="1:17" ht="31.2" x14ac:dyDescent="0.25">
      <c r="A241" s="17" t="s">
        <v>127</v>
      </c>
      <c r="B241" s="17" t="s">
        <v>128</v>
      </c>
      <c r="C241" s="17" t="s">
        <v>17</v>
      </c>
      <c r="D241" s="17" t="s">
        <v>129</v>
      </c>
      <c r="E241" s="176">
        <v>28</v>
      </c>
      <c r="F241" s="176"/>
      <c r="G241" s="176"/>
      <c r="H241" s="176"/>
      <c r="I241" s="176"/>
      <c r="J241" s="176"/>
      <c r="K241" s="176"/>
      <c r="L241" s="176"/>
      <c r="M241" s="176"/>
      <c r="N241" s="176"/>
      <c r="O241" s="176"/>
      <c r="P241" s="176"/>
      <c r="Q241" s="176"/>
    </row>
    <row r="242" spans="1:17" ht="64.8" x14ac:dyDescent="0.25">
      <c r="A242" s="17" t="s">
        <v>130</v>
      </c>
      <c r="B242" s="17" t="s">
        <v>19</v>
      </c>
      <c r="C242" s="17" t="s">
        <v>131</v>
      </c>
      <c r="D242" s="17" t="s">
        <v>394</v>
      </c>
      <c r="E242" s="176">
        <v>0.21</v>
      </c>
      <c r="F242" s="176"/>
      <c r="G242" s="176"/>
      <c r="H242" s="176"/>
      <c r="I242" s="176"/>
      <c r="J242" s="176"/>
      <c r="K242" s="176"/>
      <c r="L242" s="176"/>
      <c r="M242" s="176"/>
      <c r="N242" s="176"/>
      <c r="O242" s="176"/>
      <c r="P242" s="176"/>
      <c r="Q242" s="176"/>
    </row>
    <row r="243" spans="1:17" ht="46.8" x14ac:dyDescent="0.25">
      <c r="A243" s="17" t="s">
        <v>132</v>
      </c>
      <c r="B243" s="17" t="s">
        <v>103</v>
      </c>
      <c r="C243" s="17" t="s">
        <v>133</v>
      </c>
      <c r="D243" s="17" t="s">
        <v>385</v>
      </c>
      <c r="E243" s="19">
        <f>SUM(F243:Q243)</f>
        <v>0</v>
      </c>
      <c r="F243" s="19">
        <f>$E$241*$E$242*F244*F238*F231</f>
        <v>0</v>
      </c>
      <c r="G243" s="19">
        <f t="shared" ref="G243:Q243" si="32">$E$241*$E$242*G244*G238*G231</f>
        <v>0</v>
      </c>
      <c r="H243" s="19">
        <f t="shared" si="32"/>
        <v>0</v>
      </c>
      <c r="I243" s="19">
        <f t="shared" si="32"/>
        <v>0</v>
      </c>
      <c r="J243" s="19">
        <f t="shared" si="32"/>
        <v>0</v>
      </c>
      <c r="K243" s="19">
        <f t="shared" si="32"/>
        <v>0</v>
      </c>
      <c r="L243" s="19">
        <f t="shared" si="32"/>
        <v>0</v>
      </c>
      <c r="M243" s="19">
        <f t="shared" si="32"/>
        <v>0</v>
      </c>
      <c r="N243" s="19">
        <f t="shared" si="32"/>
        <v>0</v>
      </c>
      <c r="O243" s="19">
        <f t="shared" si="32"/>
        <v>0</v>
      </c>
      <c r="P243" s="19">
        <f t="shared" si="32"/>
        <v>0</v>
      </c>
      <c r="Q243" s="19">
        <f t="shared" si="32"/>
        <v>0</v>
      </c>
    </row>
    <row r="244" spans="1:17" ht="18" x14ac:dyDescent="0.25">
      <c r="A244" s="17" t="s">
        <v>134</v>
      </c>
      <c r="B244" s="17" t="s">
        <v>37</v>
      </c>
      <c r="C244" s="17" t="s">
        <v>135</v>
      </c>
      <c r="D244" s="17" t="s">
        <v>386</v>
      </c>
      <c r="E244" s="26">
        <f>AVERAGE(F244:Q244)</f>
        <v>0</v>
      </c>
      <c r="F244" s="26">
        <f>F245*$E$246*0.89</f>
        <v>0</v>
      </c>
      <c r="G244" s="26">
        <f t="shared" ref="G244:Q244" si="33">G245*$E$246*0.89</f>
        <v>0</v>
      </c>
      <c r="H244" s="26">
        <f t="shared" si="33"/>
        <v>0</v>
      </c>
      <c r="I244" s="26">
        <f t="shared" si="33"/>
        <v>0</v>
      </c>
      <c r="J244" s="26">
        <f t="shared" si="33"/>
        <v>0</v>
      </c>
      <c r="K244" s="26">
        <f t="shared" si="33"/>
        <v>0</v>
      </c>
      <c r="L244" s="26">
        <f t="shared" si="33"/>
        <v>0</v>
      </c>
      <c r="M244" s="26">
        <f t="shared" si="33"/>
        <v>0</v>
      </c>
      <c r="N244" s="26">
        <f t="shared" si="33"/>
        <v>0</v>
      </c>
      <c r="O244" s="26">
        <f t="shared" si="33"/>
        <v>0</v>
      </c>
      <c r="P244" s="26">
        <f t="shared" si="33"/>
        <v>0</v>
      </c>
      <c r="Q244" s="26">
        <f t="shared" si="33"/>
        <v>0</v>
      </c>
    </row>
    <row r="245" spans="1:17" ht="31.2" x14ac:dyDescent="0.25">
      <c r="A245" s="17" t="s">
        <v>136</v>
      </c>
      <c r="B245" s="17" t="s">
        <v>37</v>
      </c>
      <c r="C245" s="17" t="s">
        <v>46</v>
      </c>
      <c r="D245" s="17" t="s">
        <v>387</v>
      </c>
      <c r="E245" s="25">
        <v>0</v>
      </c>
      <c r="F245" s="25">
        <v>0</v>
      </c>
      <c r="G245" s="25">
        <v>0</v>
      </c>
      <c r="H245" s="25">
        <v>0</v>
      </c>
      <c r="I245" s="25">
        <v>0</v>
      </c>
      <c r="J245" s="25">
        <v>0</v>
      </c>
      <c r="K245" s="25">
        <v>0</v>
      </c>
      <c r="L245" s="25">
        <v>0</v>
      </c>
      <c r="M245" s="25">
        <v>0</v>
      </c>
      <c r="N245" s="25">
        <v>0</v>
      </c>
      <c r="O245" s="25">
        <v>0</v>
      </c>
      <c r="P245" s="25">
        <v>0</v>
      </c>
      <c r="Q245" s="25">
        <v>0</v>
      </c>
    </row>
    <row r="246" spans="1:17" ht="31.2" x14ac:dyDescent="0.25">
      <c r="A246" s="17" t="s">
        <v>137</v>
      </c>
      <c r="B246" s="17" t="s">
        <v>201</v>
      </c>
      <c r="C246" s="17" t="s">
        <v>138</v>
      </c>
      <c r="D246" s="17" t="s">
        <v>388</v>
      </c>
      <c r="E246" s="196">
        <f>(F247*F252+G247*G252+H247*H252+I247*I252+J247*J252+K247*K252+L247*L252+M247*M252+N247*N252+O247*O252+P247*P252+Q247*Q252)/(F239*F240*F231+G240*G239*G231+H239*H240*H231+I240*I239*I231+J240*J239*J231+K240*K239*K231+L240*L239*L231+M240*M239*M231+N240*N239*N231+O239*O240*O231+P240*P239*P231+Q240*Q239*Q231)</f>
        <v>0.64057502177068248</v>
      </c>
      <c r="F246" s="196"/>
      <c r="G246" s="196"/>
      <c r="H246" s="196"/>
      <c r="I246" s="196"/>
      <c r="J246" s="196"/>
      <c r="K246" s="196"/>
      <c r="L246" s="196"/>
      <c r="M246" s="196"/>
      <c r="N246" s="196"/>
      <c r="O246" s="196"/>
      <c r="P246" s="196"/>
      <c r="Q246" s="196"/>
    </row>
    <row r="247" spans="1:17" ht="31.2" x14ac:dyDescent="0.25">
      <c r="A247" s="17" t="s">
        <v>139</v>
      </c>
      <c r="B247" s="17" t="s">
        <v>37</v>
      </c>
      <c r="C247" s="17" t="s">
        <v>140</v>
      </c>
      <c r="D247" s="17" t="s">
        <v>375</v>
      </c>
      <c r="E247" s="27">
        <f>AVERAGE(F247:Q247)</f>
        <v>0.64054421729664701</v>
      </c>
      <c r="F247" s="27">
        <f>IF(F251&lt;283,0,IF(F251&gt;303,1,EXP(($E$248*(F251-$E$249))/($E$250*$E$249*F251))))</f>
        <v>0.25708890533410012</v>
      </c>
      <c r="G247" s="27">
        <f t="shared" ref="G247:Q247" si="34">IF(G251&lt;283,0,IF(G251&gt;303,1,EXP(($E$248*(G251-$E$249))/($E$250*$E$249*G251))))</f>
        <v>0.37002059672690846</v>
      </c>
      <c r="H247" s="27">
        <f t="shared" si="34"/>
        <v>0.44226396815696317</v>
      </c>
      <c r="I247" s="27">
        <f t="shared" si="34"/>
        <v>0.57531644493802248</v>
      </c>
      <c r="J247" s="27">
        <f t="shared" si="34"/>
        <v>0.88152221926734242</v>
      </c>
      <c r="K247" s="27">
        <f t="shared" si="34"/>
        <v>0.88152221926734242</v>
      </c>
      <c r="L247" s="27">
        <f t="shared" si="34"/>
        <v>0.95843738031531212</v>
      </c>
      <c r="M247" s="27">
        <f t="shared" si="34"/>
        <v>0.91923925774048054</v>
      </c>
      <c r="N247" s="27">
        <f t="shared" si="34"/>
        <v>1</v>
      </c>
      <c r="O247" s="27">
        <f t="shared" si="34"/>
        <v>0.65487347206548807</v>
      </c>
      <c r="P247" s="27">
        <f t="shared" si="34"/>
        <v>0.42307437878932203</v>
      </c>
      <c r="Q247" s="27">
        <f t="shared" si="34"/>
        <v>0.32317176495848171</v>
      </c>
    </row>
    <row r="248" spans="1:17" x14ac:dyDescent="0.25">
      <c r="A248" s="17" t="s">
        <v>51</v>
      </c>
      <c r="B248" s="17" t="s">
        <v>52</v>
      </c>
      <c r="C248" s="17" t="s">
        <v>53</v>
      </c>
      <c r="D248" s="17" t="s">
        <v>389</v>
      </c>
      <c r="E248" s="176">
        <v>15175</v>
      </c>
      <c r="F248" s="176"/>
      <c r="G248" s="176"/>
      <c r="H248" s="176"/>
      <c r="I248" s="176"/>
      <c r="J248" s="176"/>
      <c r="K248" s="176"/>
      <c r="L248" s="176"/>
      <c r="M248" s="176"/>
      <c r="N248" s="176"/>
      <c r="O248" s="176"/>
      <c r="P248" s="176"/>
      <c r="Q248" s="176"/>
    </row>
    <row r="249" spans="1:17" ht="18" x14ac:dyDescent="0.25">
      <c r="A249" s="17" t="s">
        <v>141</v>
      </c>
      <c r="B249" s="17" t="s">
        <v>55</v>
      </c>
      <c r="C249" s="17" t="s">
        <v>56</v>
      </c>
      <c r="D249" s="17" t="s">
        <v>389</v>
      </c>
      <c r="E249" s="176">
        <v>303.16000000000003</v>
      </c>
      <c r="F249" s="176"/>
      <c r="G249" s="176"/>
      <c r="H249" s="176"/>
      <c r="I249" s="176"/>
      <c r="J249" s="176"/>
      <c r="K249" s="176"/>
      <c r="L249" s="176"/>
      <c r="M249" s="176"/>
      <c r="N249" s="176"/>
      <c r="O249" s="176"/>
      <c r="P249" s="176"/>
      <c r="Q249" s="176"/>
    </row>
    <row r="250" spans="1:17" x14ac:dyDescent="0.25">
      <c r="A250" s="17" t="s">
        <v>57</v>
      </c>
      <c r="B250" s="17" t="s">
        <v>58</v>
      </c>
      <c r="C250" s="17" t="s">
        <v>59</v>
      </c>
      <c r="D250" s="17" t="s">
        <v>389</v>
      </c>
      <c r="E250" s="176">
        <v>1.9870000000000001</v>
      </c>
      <c r="F250" s="176"/>
      <c r="G250" s="176"/>
      <c r="H250" s="176"/>
      <c r="I250" s="176"/>
      <c r="J250" s="176"/>
      <c r="K250" s="176"/>
      <c r="L250" s="176"/>
      <c r="M250" s="176"/>
      <c r="N250" s="176"/>
      <c r="O250" s="176"/>
      <c r="P250" s="176"/>
      <c r="Q250" s="176"/>
    </row>
    <row r="251" spans="1:17" ht="18" x14ac:dyDescent="0.25">
      <c r="A251" s="17" t="s">
        <v>142</v>
      </c>
      <c r="B251" s="17" t="s">
        <v>55</v>
      </c>
      <c r="C251" s="17" t="s">
        <v>143</v>
      </c>
      <c r="D251" s="144" t="s">
        <v>363</v>
      </c>
      <c r="E251" s="28">
        <f>AVERAGE(F251:Q251)</f>
        <v>296.85833333333341</v>
      </c>
      <c r="F251" s="25">
        <v>287.64999999999998</v>
      </c>
      <c r="G251" s="25">
        <v>291.64999999999998</v>
      </c>
      <c r="H251" s="25">
        <v>293.64999999999998</v>
      </c>
      <c r="I251" s="25">
        <v>296.64999999999998</v>
      </c>
      <c r="J251" s="25">
        <v>301.64999999999998</v>
      </c>
      <c r="K251" s="25">
        <v>301.64999999999998</v>
      </c>
      <c r="L251" s="25">
        <v>302.64999999999998</v>
      </c>
      <c r="M251" s="25">
        <v>302.14999999999998</v>
      </c>
      <c r="N251" s="25">
        <v>303.14999999999998</v>
      </c>
      <c r="O251" s="25">
        <v>298.14999999999998</v>
      </c>
      <c r="P251" s="25">
        <v>293.14999999999998</v>
      </c>
      <c r="Q251" s="25">
        <v>290.14999999999998</v>
      </c>
    </row>
    <row r="252" spans="1:17" ht="46.8" x14ac:dyDescent="0.25">
      <c r="A252" s="17" t="s">
        <v>144</v>
      </c>
      <c r="B252" s="17" t="s">
        <v>24</v>
      </c>
      <c r="C252" s="17" t="s">
        <v>145</v>
      </c>
      <c r="D252" s="17" t="s">
        <v>390</v>
      </c>
      <c r="E252" s="29">
        <f>SUM(F252:Q252)</f>
        <v>66.208403313592441</v>
      </c>
      <c r="F252" s="29">
        <f>F239*F240*'Project Emissions 2021'!F231+(1-F247)*0</f>
        <v>5.5513522493897849</v>
      </c>
      <c r="G252" s="29">
        <f>G239*G240*'Project Emissions 2021'!G231+(1-G247)*0</f>
        <v>5.1062806321874987</v>
      </c>
      <c r="H252" s="29">
        <f>H239*H240*'Project Emissions 2021'!H231+(1-H247)*0</f>
        <v>5.7105943830604842</v>
      </c>
      <c r="I252" s="29">
        <f>I239*I240*'Project Emissions 2021'!I231+(1-I247)*0</f>
        <v>5.3214593173977036</v>
      </c>
      <c r="J252" s="29">
        <f>J239*J240*'Project Emissions 2021'!J231+(1-J247)*0</f>
        <v>5.9496583304701609</v>
      </c>
      <c r="K252" s="29">
        <f>K239*K240*'Project Emissions 2021'!K231+(1-K247)*0</f>
        <v>5.2886828222544437</v>
      </c>
      <c r="L252" s="29">
        <f>L239*L240*'Project Emissions 2021'!L231+(1-L247)*0</f>
        <v>5.3739104312344059</v>
      </c>
      <c r="M252" s="29">
        <f>M239*M240*'Project Emissions 2021'!M231+(1-M247)*0</f>
        <v>5.194544275856452</v>
      </c>
      <c r="N252" s="29">
        <f>N239*N240*'Project Emissions 2021'!N231+(1-N247)*0</f>
        <v>5.6206930004983322</v>
      </c>
      <c r="O252" s="29">
        <f>O239*O240*'Project Emissions 2021'!O231+(1-O247)*0</f>
        <v>5.9560718139717732</v>
      </c>
      <c r="P252" s="29">
        <f>P239*P240*'Project Emissions 2021'!P231+(1-P247)*0</f>
        <v>5.5609012128633344</v>
      </c>
      <c r="Q252" s="29">
        <f>Q239*Q240*'Project Emissions 2021'!Q231+(1-Q247)*0</f>
        <v>5.5742548444080642</v>
      </c>
    </row>
    <row r="253" spans="1:17" x14ac:dyDescent="0.3">
      <c r="A253" s="30"/>
      <c r="E253" s="31"/>
      <c r="F253" s="31"/>
      <c r="G253" s="31"/>
      <c r="H253" s="31"/>
      <c r="I253" s="31"/>
      <c r="J253" s="31"/>
      <c r="K253" s="31"/>
      <c r="L253" s="31"/>
      <c r="M253" s="31"/>
      <c r="N253" s="31"/>
      <c r="O253" s="31"/>
      <c r="P253" s="31"/>
      <c r="Q253" s="31"/>
    </row>
    <row r="254" spans="1:17" x14ac:dyDescent="0.25">
      <c r="A254" s="174" t="s">
        <v>146</v>
      </c>
      <c r="B254" s="174"/>
      <c r="C254" s="175"/>
      <c r="D254" s="175"/>
      <c r="E254" s="195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</row>
    <row r="255" spans="1:17" x14ac:dyDescent="0.25">
      <c r="A255" s="33" t="s">
        <v>8</v>
      </c>
      <c r="B255" s="33" t="s">
        <v>9</v>
      </c>
      <c r="C255" s="34" t="s">
        <v>10</v>
      </c>
      <c r="D255" s="34" t="s">
        <v>340</v>
      </c>
      <c r="E255" s="16" t="s">
        <v>65</v>
      </c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</row>
    <row r="256" spans="1:17" ht="46.8" x14ac:dyDescent="0.25">
      <c r="A256" s="15" t="s">
        <v>147</v>
      </c>
      <c r="B256" s="17" t="s">
        <v>95</v>
      </c>
      <c r="C256" s="35" t="s">
        <v>148</v>
      </c>
      <c r="D256" s="35" t="s">
        <v>68</v>
      </c>
      <c r="E256" s="16">
        <v>0</v>
      </c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</row>
    <row r="257" spans="1:19" x14ac:dyDescent="0.25">
      <c r="A257" s="36"/>
      <c r="B257" s="36"/>
      <c r="C257" s="37"/>
      <c r="D257" s="37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</row>
    <row r="258" spans="1:19" x14ac:dyDescent="0.25">
      <c r="A258" s="174" t="s">
        <v>149</v>
      </c>
      <c r="B258" s="174"/>
      <c r="C258" s="175"/>
      <c r="D258" s="175"/>
      <c r="E258" s="195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</row>
    <row r="259" spans="1:19" x14ac:dyDescent="0.25">
      <c r="A259" s="33" t="s">
        <v>8</v>
      </c>
      <c r="B259" s="33" t="s">
        <v>9</v>
      </c>
      <c r="C259" s="34" t="s">
        <v>10</v>
      </c>
      <c r="D259" s="34" t="s">
        <v>340</v>
      </c>
      <c r="E259" s="16" t="s">
        <v>65</v>
      </c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</row>
    <row r="260" spans="1:19" ht="46.8" x14ac:dyDescent="0.25">
      <c r="A260" s="15" t="s">
        <v>150</v>
      </c>
      <c r="B260" s="17" t="s">
        <v>95</v>
      </c>
      <c r="C260" s="35" t="s">
        <v>151</v>
      </c>
      <c r="D260" s="35" t="s">
        <v>68</v>
      </c>
      <c r="E260" s="16">
        <v>0</v>
      </c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</row>
    <row r="261" spans="1:19" x14ac:dyDescent="0.25"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</row>
    <row r="262" spans="1:19" x14ac:dyDescent="0.25">
      <c r="A262" s="174" t="s">
        <v>152</v>
      </c>
      <c r="B262" s="174"/>
      <c r="C262" s="175"/>
      <c r="D262" s="175"/>
      <c r="E262" s="195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</row>
    <row r="263" spans="1:19" s="10" customFormat="1" x14ac:dyDescent="0.25">
      <c r="A263" s="15" t="s">
        <v>8</v>
      </c>
      <c r="B263" s="15" t="s">
        <v>9</v>
      </c>
      <c r="C263" s="38" t="s">
        <v>10</v>
      </c>
      <c r="D263" s="38" t="s">
        <v>340</v>
      </c>
      <c r="E263" s="16" t="s">
        <v>65</v>
      </c>
      <c r="F263" s="32"/>
      <c r="G263" s="32"/>
      <c r="H263" s="39"/>
      <c r="I263" s="39"/>
      <c r="J263" s="39"/>
      <c r="K263" s="39"/>
      <c r="L263" s="39"/>
      <c r="M263" s="39"/>
      <c r="N263" s="39"/>
      <c r="O263" s="39"/>
      <c r="P263" s="39"/>
      <c r="Q263" s="39"/>
    </row>
    <row r="264" spans="1:19" s="10" customFormat="1" ht="18" x14ac:dyDescent="0.4">
      <c r="A264" s="40" t="s">
        <v>153</v>
      </c>
      <c r="B264" s="17" t="s">
        <v>103</v>
      </c>
      <c r="C264" s="35" t="s">
        <v>154</v>
      </c>
      <c r="D264" s="35" t="s">
        <v>155</v>
      </c>
      <c r="E264" s="41">
        <f>E265*E267*(1+E266)</f>
        <v>786.32000030460006</v>
      </c>
      <c r="F264" s="32"/>
      <c r="G264" s="32"/>
      <c r="H264" s="39"/>
      <c r="I264" s="39"/>
      <c r="J264" s="39"/>
      <c r="K264" s="39"/>
      <c r="L264" s="39"/>
      <c r="M264" s="39"/>
      <c r="N264" s="39"/>
      <c r="O264" s="39"/>
      <c r="P264" s="39"/>
      <c r="Q264" s="39"/>
    </row>
    <row r="265" spans="1:19" ht="31.2" x14ac:dyDescent="0.25">
      <c r="A265" s="17" t="s">
        <v>156</v>
      </c>
      <c r="B265" s="17" t="s">
        <v>157</v>
      </c>
      <c r="C265" s="35" t="s">
        <v>158</v>
      </c>
      <c r="D265" s="35" t="s">
        <v>343</v>
      </c>
      <c r="E265" s="20">
        <f>1287740.33/1000</f>
        <v>1287.7403300000001</v>
      </c>
      <c r="G265" s="42"/>
      <c r="H265" s="43"/>
      <c r="I265" s="43"/>
      <c r="J265" s="43"/>
      <c r="K265" s="43"/>
      <c r="L265" s="43"/>
      <c r="M265" s="43"/>
      <c r="N265" s="43"/>
      <c r="O265" s="43"/>
      <c r="P265" s="43"/>
      <c r="Q265" s="43"/>
      <c r="R265" s="9"/>
      <c r="S265" s="9"/>
    </row>
    <row r="266" spans="1:19" ht="31.2" x14ac:dyDescent="0.25">
      <c r="A266" s="17" t="s">
        <v>159</v>
      </c>
      <c r="B266" s="17" t="s">
        <v>160</v>
      </c>
      <c r="C266" s="35" t="s">
        <v>161</v>
      </c>
      <c r="D266" s="35" t="s">
        <v>162</v>
      </c>
      <c r="E266" s="44">
        <v>0.2</v>
      </c>
      <c r="H266" s="43"/>
      <c r="I266" s="43"/>
      <c r="J266" s="43"/>
      <c r="K266" s="43"/>
      <c r="L266" s="43"/>
      <c r="M266" s="43"/>
      <c r="N266" s="43"/>
      <c r="O266" s="43"/>
      <c r="P266" s="43"/>
      <c r="Q266" s="43"/>
      <c r="R266" s="9"/>
      <c r="S266" s="9"/>
    </row>
    <row r="267" spans="1:19" ht="46.8" x14ac:dyDescent="0.25">
      <c r="A267" s="17" t="s">
        <v>163</v>
      </c>
      <c r="B267" s="17" t="s">
        <v>164</v>
      </c>
      <c r="C267" s="35" t="s">
        <v>165</v>
      </c>
      <c r="D267" s="35" t="s">
        <v>166</v>
      </c>
      <c r="E267" s="45">
        <f>0.5*0.8042+0.5*0.2135</f>
        <v>0.50885000000000002</v>
      </c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</row>
    <row r="268" spans="1:19" ht="31.2" x14ac:dyDescent="0.4">
      <c r="A268" s="40" t="s">
        <v>167</v>
      </c>
      <c r="B268" s="17" t="s">
        <v>103</v>
      </c>
      <c r="C268" s="35" t="s">
        <v>168</v>
      </c>
      <c r="D268" s="35" t="s">
        <v>169</v>
      </c>
      <c r="E268" s="47">
        <v>0</v>
      </c>
      <c r="H268" s="43"/>
      <c r="I268" s="43"/>
      <c r="J268" s="43"/>
      <c r="K268" s="43"/>
      <c r="L268" s="43"/>
      <c r="M268" s="43"/>
      <c r="N268" s="43"/>
      <c r="O268" s="43"/>
      <c r="P268" s="43"/>
      <c r="Q268" s="43"/>
      <c r="R268" s="9"/>
      <c r="S268" s="9"/>
    </row>
    <row r="269" spans="1:19" x14ac:dyDescent="0.3">
      <c r="A269" s="48"/>
      <c r="E269" s="49"/>
      <c r="H269" s="43"/>
      <c r="I269" s="43"/>
      <c r="J269" s="43"/>
      <c r="K269" s="43"/>
      <c r="L269" s="43"/>
      <c r="M269" s="43"/>
      <c r="N269" s="43"/>
      <c r="O269" s="43"/>
      <c r="P269" s="43"/>
      <c r="Q269" s="43"/>
      <c r="R269" s="9"/>
      <c r="S269" s="9"/>
    </row>
    <row r="270" spans="1:19" x14ac:dyDescent="0.25">
      <c r="A270" s="174" t="s">
        <v>170</v>
      </c>
      <c r="B270" s="174"/>
      <c r="C270" s="175"/>
      <c r="D270" s="175"/>
      <c r="E270" s="195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</row>
    <row r="271" spans="1:19" x14ac:dyDescent="0.25">
      <c r="A271" s="15" t="s">
        <v>8</v>
      </c>
      <c r="B271" s="15" t="s">
        <v>9</v>
      </c>
      <c r="C271" s="38" t="s">
        <v>10</v>
      </c>
      <c r="D271" s="38" t="s">
        <v>340</v>
      </c>
      <c r="E271" s="16" t="s">
        <v>65</v>
      </c>
      <c r="H271" s="43"/>
      <c r="I271" s="43"/>
      <c r="J271" s="43"/>
      <c r="K271" s="43"/>
      <c r="L271" s="43"/>
      <c r="M271" s="43"/>
      <c r="N271" s="43"/>
      <c r="O271" s="43"/>
      <c r="P271" s="43"/>
      <c r="Q271" s="43"/>
      <c r="R271" s="9"/>
      <c r="S271" s="9"/>
    </row>
    <row r="272" spans="1:19" ht="33.6" x14ac:dyDescent="0.4">
      <c r="A272" s="40" t="s">
        <v>171</v>
      </c>
      <c r="B272" s="17" t="s">
        <v>74</v>
      </c>
      <c r="C272" s="35" t="s">
        <v>172</v>
      </c>
      <c r="D272" s="35" t="s">
        <v>391</v>
      </c>
      <c r="E272" s="50">
        <f>E273*E276*E277*E278*E279*E280</f>
        <v>11.486575197639358</v>
      </c>
      <c r="H272" s="43"/>
      <c r="I272" s="43"/>
      <c r="J272" s="43"/>
      <c r="K272" s="43"/>
      <c r="L272" s="43"/>
      <c r="M272" s="43"/>
      <c r="N272" s="43"/>
      <c r="O272" s="43"/>
      <c r="P272" s="43"/>
      <c r="Q272" s="43"/>
      <c r="R272" s="9"/>
      <c r="S272" s="9"/>
    </row>
    <row r="273" spans="1:19" ht="46.8" x14ac:dyDescent="0.4">
      <c r="A273" s="51" t="s">
        <v>173</v>
      </c>
      <c r="B273" s="17" t="s">
        <v>76</v>
      </c>
      <c r="C273" s="35" t="s">
        <v>174</v>
      </c>
      <c r="D273" s="35" t="s">
        <v>392</v>
      </c>
      <c r="E273" s="69">
        <f>ROUNDUP(E274/E275,0)</f>
        <v>280</v>
      </c>
      <c r="H273" s="43"/>
      <c r="I273" s="43"/>
      <c r="J273" s="43"/>
      <c r="K273" s="43"/>
      <c r="L273" s="43"/>
      <c r="M273" s="43"/>
      <c r="N273" s="43"/>
      <c r="O273" s="43"/>
      <c r="P273" s="43"/>
      <c r="Q273" s="43"/>
      <c r="R273" s="9"/>
      <c r="S273" s="9"/>
    </row>
    <row r="274" spans="1:19" ht="62.4" x14ac:dyDescent="0.25">
      <c r="A274" s="17" t="s">
        <v>175</v>
      </c>
      <c r="B274" s="17" t="s">
        <v>78</v>
      </c>
      <c r="C274" s="35" t="s">
        <v>176</v>
      </c>
      <c r="D274" s="35" t="s">
        <v>346</v>
      </c>
      <c r="E274" s="52">
        <v>1399.182</v>
      </c>
      <c r="H274" s="43"/>
      <c r="I274" s="43"/>
      <c r="J274" s="43"/>
      <c r="K274" s="43"/>
      <c r="L274" s="43"/>
      <c r="M274" s="43"/>
      <c r="N274" s="43"/>
      <c r="O274" s="43"/>
      <c r="P274" s="43"/>
      <c r="Q274" s="43"/>
      <c r="R274" s="9"/>
      <c r="S274" s="9"/>
    </row>
    <row r="275" spans="1:19" ht="62.4" x14ac:dyDescent="0.25">
      <c r="A275" s="17" t="s">
        <v>177</v>
      </c>
      <c r="B275" s="17" t="s">
        <v>80</v>
      </c>
      <c r="C275" s="35" t="s">
        <v>81</v>
      </c>
      <c r="D275" s="35" t="s">
        <v>345</v>
      </c>
      <c r="E275" s="25">
        <f>5</f>
        <v>5</v>
      </c>
      <c r="H275" s="43"/>
      <c r="I275" s="43"/>
      <c r="J275" s="43"/>
      <c r="K275" s="43"/>
      <c r="L275" s="43"/>
      <c r="M275" s="43"/>
      <c r="N275" s="43"/>
      <c r="O275" s="43"/>
      <c r="P275" s="43"/>
      <c r="Q275" s="43"/>
      <c r="R275" s="9"/>
      <c r="S275" s="9"/>
    </row>
    <row r="276" spans="1:19" ht="202.8" x14ac:dyDescent="0.25">
      <c r="A276" s="17" t="s">
        <v>178</v>
      </c>
      <c r="B276" s="17" t="s">
        <v>82</v>
      </c>
      <c r="C276" s="35" t="s">
        <v>179</v>
      </c>
      <c r="D276" s="35" t="s">
        <v>367</v>
      </c>
      <c r="E276" s="25">
        <f>30.3*2</f>
        <v>60.6</v>
      </c>
      <c r="H276" s="43"/>
      <c r="I276" s="43"/>
      <c r="J276" s="43"/>
      <c r="K276" s="43"/>
      <c r="L276" s="43"/>
      <c r="M276" s="43"/>
      <c r="N276" s="43"/>
      <c r="O276" s="43"/>
      <c r="P276" s="43"/>
      <c r="Q276" s="43"/>
      <c r="R276" s="9"/>
      <c r="S276" s="9"/>
    </row>
    <row r="277" spans="1:19" ht="156" x14ac:dyDescent="0.25">
      <c r="A277" s="17" t="s">
        <v>180</v>
      </c>
      <c r="B277" s="17" t="s">
        <v>84</v>
      </c>
      <c r="C277" s="35" t="s">
        <v>85</v>
      </c>
      <c r="D277" s="35" t="s">
        <v>365</v>
      </c>
      <c r="E277" s="25">
        <f>25.1/100</f>
        <v>0.251</v>
      </c>
      <c r="H277" s="43"/>
      <c r="I277" s="43"/>
      <c r="J277" s="43"/>
      <c r="K277" s="43"/>
      <c r="L277" s="43"/>
      <c r="M277" s="43"/>
      <c r="N277" s="43"/>
      <c r="O277" s="43"/>
      <c r="P277" s="43"/>
      <c r="Q277" s="43"/>
      <c r="R277" s="9"/>
      <c r="S277" s="9"/>
    </row>
    <row r="278" spans="1:19" ht="62.4" x14ac:dyDescent="0.25">
      <c r="A278" s="17" t="s">
        <v>86</v>
      </c>
      <c r="B278" s="17" t="s">
        <v>87</v>
      </c>
      <c r="C278" s="35" t="s">
        <v>86</v>
      </c>
      <c r="D278" s="35" t="s">
        <v>215</v>
      </c>
      <c r="E278" s="25">
        <f>0.84/1000</f>
        <v>8.3999999999999993E-4</v>
      </c>
      <c r="H278" s="43"/>
      <c r="I278" s="43"/>
      <c r="J278" s="43"/>
      <c r="K278" s="43"/>
      <c r="L278" s="43"/>
      <c r="M278" s="43"/>
      <c r="N278" s="43"/>
      <c r="O278" s="43"/>
      <c r="P278" s="43"/>
      <c r="Q278" s="43"/>
      <c r="R278" s="9"/>
      <c r="S278" s="9"/>
    </row>
    <row r="279" spans="1:19" ht="124.8" x14ac:dyDescent="0.25">
      <c r="A279" s="17" t="s">
        <v>181</v>
      </c>
      <c r="B279" s="17" t="s">
        <v>88</v>
      </c>
      <c r="C279" s="35" t="s">
        <v>89</v>
      </c>
      <c r="D279" s="35" t="s">
        <v>360</v>
      </c>
      <c r="E279" s="25">
        <f>43.33/1000</f>
        <v>4.333E-2</v>
      </c>
      <c r="H279" s="43"/>
      <c r="I279" s="43"/>
      <c r="J279" s="43"/>
      <c r="K279" s="43"/>
      <c r="L279" s="43"/>
      <c r="M279" s="43"/>
      <c r="N279" s="43"/>
      <c r="O279" s="43"/>
      <c r="P279" s="43"/>
      <c r="Q279" s="43"/>
      <c r="R279" s="9"/>
      <c r="S279" s="9"/>
    </row>
    <row r="280" spans="1:19" ht="33.6" x14ac:dyDescent="0.25">
      <c r="A280" s="17" t="s">
        <v>182</v>
      </c>
      <c r="B280" s="17" t="s">
        <v>90</v>
      </c>
      <c r="C280" s="35" t="s">
        <v>91</v>
      </c>
      <c r="D280" s="35" t="s">
        <v>92</v>
      </c>
      <c r="E280" s="25">
        <v>74.099999999999994</v>
      </c>
      <c r="H280" s="43"/>
      <c r="I280" s="43"/>
      <c r="J280" s="43"/>
      <c r="K280" s="43"/>
      <c r="L280" s="43"/>
      <c r="M280" s="43"/>
      <c r="N280" s="43"/>
      <c r="O280" s="43"/>
      <c r="P280" s="43"/>
      <c r="Q280" s="43"/>
      <c r="R280" s="9"/>
      <c r="S280" s="9"/>
    </row>
    <row r="282" spans="1:19" x14ac:dyDescent="0.25">
      <c r="A282" s="33" t="s">
        <v>8</v>
      </c>
      <c r="B282" s="33" t="s">
        <v>9</v>
      </c>
      <c r="C282" s="34" t="s">
        <v>10</v>
      </c>
      <c r="D282" s="34" t="s">
        <v>340</v>
      </c>
      <c r="E282" s="16" t="s">
        <v>65</v>
      </c>
    </row>
    <row r="283" spans="1:19" ht="18" x14ac:dyDescent="0.25">
      <c r="A283" s="15" t="s">
        <v>183</v>
      </c>
      <c r="B283" s="17" t="s">
        <v>103</v>
      </c>
      <c r="C283" s="35" t="s">
        <v>184</v>
      </c>
      <c r="D283" s="53" t="s">
        <v>393</v>
      </c>
      <c r="E283" s="18">
        <f>ROUNDUP(E232+E256+E260+E264+E272,0)</f>
        <v>798</v>
      </c>
    </row>
    <row r="284" spans="1:19" s="200" customFormat="1" ht="43.2" customHeight="1" x14ac:dyDescent="0.25">
      <c r="A284" s="200" t="s">
        <v>247</v>
      </c>
    </row>
    <row r="285" spans="1:19" ht="23.4" customHeight="1" x14ac:dyDescent="0.25">
      <c r="A285" s="201" t="s">
        <v>105</v>
      </c>
      <c r="B285" s="201"/>
      <c r="C285" s="201"/>
      <c r="D285" s="201"/>
      <c r="E285" s="201"/>
      <c r="F285" s="201"/>
      <c r="G285" s="201"/>
      <c r="H285" s="201"/>
      <c r="I285" s="201"/>
      <c r="J285" s="201"/>
      <c r="K285" s="201"/>
      <c r="L285" s="201"/>
      <c r="M285" s="201"/>
      <c r="N285" s="201"/>
      <c r="O285" s="201"/>
      <c r="P285" s="201"/>
      <c r="Q285" s="202"/>
    </row>
    <row r="286" spans="1:19" s="10" customFormat="1" ht="31.2" x14ac:dyDescent="0.25">
      <c r="A286" s="15" t="s">
        <v>8</v>
      </c>
      <c r="B286" s="15" t="s">
        <v>9</v>
      </c>
      <c r="C286" s="15" t="s">
        <v>10</v>
      </c>
      <c r="D286" s="15" t="s">
        <v>340</v>
      </c>
      <c r="E286" s="16" t="s">
        <v>11</v>
      </c>
      <c r="F286" s="16" t="s">
        <v>312</v>
      </c>
      <c r="G286" s="16" t="s">
        <v>313</v>
      </c>
      <c r="H286" s="16" t="s">
        <v>314</v>
      </c>
      <c r="I286" s="16" t="s">
        <v>315</v>
      </c>
      <c r="J286" s="16" t="s">
        <v>316</v>
      </c>
      <c r="K286" s="16" t="s">
        <v>317</v>
      </c>
      <c r="L286" s="16" t="s">
        <v>318</v>
      </c>
      <c r="M286" s="16" t="s">
        <v>319</v>
      </c>
      <c r="N286" s="16" t="s">
        <v>320</v>
      </c>
      <c r="O286" s="16" t="s">
        <v>293</v>
      </c>
      <c r="P286" s="16" t="s">
        <v>294</v>
      </c>
      <c r="Q286" s="16" t="s">
        <v>295</v>
      </c>
      <c r="R286" s="54"/>
      <c r="S286" s="54"/>
    </row>
    <row r="287" spans="1:19" s="10" customFormat="1" x14ac:dyDescent="0.25">
      <c r="A287" s="203" t="s">
        <v>106</v>
      </c>
      <c r="B287" s="203"/>
      <c r="C287" s="203"/>
      <c r="D287" s="203"/>
      <c r="E287" s="204"/>
      <c r="F287" s="16">
        <v>31</v>
      </c>
      <c r="G287" s="16">
        <v>28</v>
      </c>
      <c r="H287" s="16">
        <v>31</v>
      </c>
      <c r="I287" s="16">
        <v>30</v>
      </c>
      <c r="J287" s="16">
        <v>31</v>
      </c>
      <c r="K287" s="16">
        <v>30</v>
      </c>
      <c r="L287" s="16">
        <v>31</v>
      </c>
      <c r="M287" s="16">
        <v>31</v>
      </c>
      <c r="N287" s="16">
        <v>30</v>
      </c>
      <c r="O287" s="16">
        <v>31</v>
      </c>
      <c r="P287" s="16">
        <v>30</v>
      </c>
      <c r="Q287" s="16">
        <v>31</v>
      </c>
      <c r="R287" s="54"/>
      <c r="S287" s="54"/>
    </row>
    <row r="288" spans="1:19" s="10" customFormat="1" ht="31.2" x14ac:dyDescent="0.25">
      <c r="A288" s="15" t="s">
        <v>107</v>
      </c>
      <c r="B288" s="17" t="s">
        <v>103</v>
      </c>
      <c r="C288" s="17" t="s">
        <v>108</v>
      </c>
      <c r="D288" s="17" t="s">
        <v>381</v>
      </c>
      <c r="E288" s="18">
        <f>E289+E299</f>
        <v>0</v>
      </c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54"/>
      <c r="S288" s="54"/>
    </row>
    <row r="289" spans="1:17" ht="46.8" x14ac:dyDescent="0.25">
      <c r="A289" s="17" t="s">
        <v>109</v>
      </c>
      <c r="B289" s="17" t="s">
        <v>103</v>
      </c>
      <c r="C289" s="17" t="s">
        <v>110</v>
      </c>
      <c r="D289" s="17" t="s">
        <v>382</v>
      </c>
      <c r="E289" s="19">
        <f>SUM(F289:Q289)</f>
        <v>0</v>
      </c>
      <c r="F289" s="19">
        <f>IF(F290&gt;=0.8,0,$E$297*$E$298*0.4*(F291-F294)*F287)</f>
        <v>0</v>
      </c>
      <c r="G289" s="19">
        <f t="shared" ref="G289:Q289" si="35">IF(G290&gt;=0.8,0,$E$297*$E$298*0.4*(G291-G294)*G287)</f>
        <v>0</v>
      </c>
      <c r="H289" s="19">
        <f t="shared" si="35"/>
        <v>0</v>
      </c>
      <c r="I289" s="19">
        <f t="shared" si="35"/>
        <v>0</v>
      </c>
      <c r="J289" s="19">
        <f t="shared" si="35"/>
        <v>0</v>
      </c>
      <c r="K289" s="19">
        <f t="shared" si="35"/>
        <v>0</v>
      </c>
      <c r="L289" s="19">
        <f t="shared" si="35"/>
        <v>0</v>
      </c>
      <c r="M289" s="19">
        <f t="shared" si="35"/>
        <v>0</v>
      </c>
      <c r="N289" s="19">
        <f t="shared" si="35"/>
        <v>0</v>
      </c>
      <c r="O289" s="19">
        <f t="shared" si="35"/>
        <v>0</v>
      </c>
      <c r="P289" s="19">
        <f t="shared" si="35"/>
        <v>0</v>
      </c>
      <c r="Q289" s="19">
        <f t="shared" si="35"/>
        <v>0</v>
      </c>
    </row>
    <row r="290" spans="1:17" ht="62.4" x14ac:dyDescent="0.25">
      <c r="A290" s="17" t="s">
        <v>111</v>
      </c>
      <c r="B290" s="17" t="s">
        <v>37</v>
      </c>
      <c r="C290" s="17" t="s">
        <v>112</v>
      </c>
      <c r="D290" s="17" t="s">
        <v>383</v>
      </c>
      <c r="E290" s="20">
        <f>AVERAGE(F290:Q290)</f>
        <v>0.95361884882557602</v>
      </c>
      <c r="F290" s="20">
        <f>(F291-F294)/F291</f>
        <v>0.95396423388783369</v>
      </c>
      <c r="G290" s="20">
        <f t="shared" ref="G290:Q290" si="36">(G291-G294)/G291</f>
        <v>0.95343187355980885</v>
      </c>
      <c r="H290" s="20">
        <f t="shared" si="36"/>
        <v>0.95481705120389526</v>
      </c>
      <c r="I290" s="20">
        <f t="shared" si="36"/>
        <v>0.95370214597311331</v>
      </c>
      <c r="J290" s="20">
        <f t="shared" si="36"/>
        <v>0.95438064149065249</v>
      </c>
      <c r="K290" s="20">
        <f t="shared" si="36"/>
        <v>0.95259106589121201</v>
      </c>
      <c r="L290" s="20">
        <f t="shared" si="36"/>
        <v>0.95198532470155861</v>
      </c>
      <c r="M290" s="20">
        <f t="shared" si="36"/>
        <v>0.95207628113727816</v>
      </c>
      <c r="N290" s="20">
        <f t="shared" si="36"/>
        <v>0.95437162514667284</v>
      </c>
      <c r="O290" s="20">
        <f t="shared" si="36"/>
        <v>0.95346619484221551</v>
      </c>
      <c r="P290" s="20">
        <f t="shared" si="36"/>
        <v>0.95460499385836217</v>
      </c>
      <c r="Q290" s="20">
        <f t="shared" si="36"/>
        <v>0.95403475421430872</v>
      </c>
    </row>
    <row r="291" spans="1:17" ht="46.8" x14ac:dyDescent="0.25">
      <c r="A291" s="17" t="s">
        <v>113</v>
      </c>
      <c r="B291" s="17" t="s">
        <v>24</v>
      </c>
      <c r="C291" s="17" t="s">
        <v>114</v>
      </c>
      <c r="D291" s="17" t="s">
        <v>384</v>
      </c>
      <c r="E291" s="20">
        <f>SUM(F291:Q291)</f>
        <v>43.173416076148513</v>
      </c>
      <c r="F291" s="20">
        <f>F292*F293</f>
        <v>3.561757026049774</v>
      </c>
      <c r="G291" s="20">
        <f t="shared" ref="G291:Q291" si="37">G292*G293</f>
        <v>3.5590382648543168</v>
      </c>
      <c r="H291" s="20">
        <f t="shared" si="37"/>
        <v>3.5627552895476233</v>
      </c>
      <c r="I291" s="20">
        <f t="shared" si="37"/>
        <v>3.5608061429543101</v>
      </c>
      <c r="J291" s="20">
        <f t="shared" si="37"/>
        <v>3.7168728956572838</v>
      </c>
      <c r="K291" s="20">
        <f t="shared" si="37"/>
        <v>3.5542160009550012</v>
      </c>
      <c r="L291" s="20">
        <f t="shared" si="37"/>
        <v>3.5534272301405485</v>
      </c>
      <c r="M291" s="20">
        <f t="shared" si="37"/>
        <v>3.552118145886447</v>
      </c>
      <c r="N291" s="20">
        <f t="shared" si="37"/>
        <v>3.7141300881033339</v>
      </c>
      <c r="O291" s="20">
        <f t="shared" si="37"/>
        <v>3.7143300927730829</v>
      </c>
      <c r="P291" s="20">
        <f t="shared" si="37"/>
        <v>3.5633004009427411</v>
      </c>
      <c r="Q291" s="20">
        <f t="shared" si="37"/>
        <v>3.5606644982840461</v>
      </c>
    </row>
    <row r="292" spans="1:17" ht="64.8" customHeight="1" x14ac:dyDescent="0.25">
      <c r="A292" s="17" t="s">
        <v>115</v>
      </c>
      <c r="B292" s="17" t="s">
        <v>116</v>
      </c>
      <c r="C292" s="17" t="s">
        <v>117</v>
      </c>
      <c r="D292" s="17" t="s">
        <v>337</v>
      </c>
      <c r="E292" s="129">
        <f>SUM(F292:Q292)</f>
        <v>102476.62054577573</v>
      </c>
      <c r="F292" s="129">
        <f>'Baseline Emissions 2021'!F283</f>
        <v>8355.9755161290323</v>
      </c>
      <c r="G292" s="129">
        <f>'Baseline Emissions 2021'!G283</f>
        <v>8356.7159285714297</v>
      </c>
      <c r="H292" s="129">
        <f>'Baseline Emissions 2021'!H283</f>
        <v>8362.0194838709685</v>
      </c>
      <c r="I292" s="129">
        <f>'Baseline Emissions 2021'!I283</f>
        <v>8359.5456999999988</v>
      </c>
      <c r="J292" s="129">
        <f>'Baseline Emissions 2021'!J283</f>
        <v>8723.281258064515</v>
      </c>
      <c r="K292" s="129">
        <f>'Baseline Emissions 2021'!K283</f>
        <v>8717.7060000000019</v>
      </c>
      <c r="L292" s="129">
        <f>'Baseline Emissions 2021'!L283</f>
        <v>8720.3199354838707</v>
      </c>
      <c r="M292" s="129">
        <f>'Baseline Emissions 2021'!M283</f>
        <v>8719.8742903225811</v>
      </c>
      <c r="N292" s="129">
        <f>'Baseline Emissions 2021'!N283</f>
        <v>8721.1060000000016</v>
      </c>
      <c r="O292" s="129">
        <f>'Baseline Emissions 2021'!O283</f>
        <v>8720.7576451612895</v>
      </c>
      <c r="P292" s="129">
        <f>'Baseline Emissions 2021'!P283</f>
        <v>8362.417433333334</v>
      </c>
      <c r="Q292" s="129">
        <f>'Baseline Emissions 2021'!Q283</f>
        <v>8356.9013548387102</v>
      </c>
    </row>
    <row r="293" spans="1:17" ht="46.8" x14ac:dyDescent="0.25">
      <c r="A293" s="17" t="s">
        <v>118</v>
      </c>
      <c r="B293" s="17" t="s">
        <v>119</v>
      </c>
      <c r="C293" s="17" t="s">
        <v>120</v>
      </c>
      <c r="D293" s="35" t="s">
        <v>338</v>
      </c>
      <c r="E293" s="120">
        <f>AVERAGE(F293:Q293)</f>
        <v>4.2139815125087551E-4</v>
      </c>
      <c r="F293" s="130">
        <f>'Baseline Emissions 2021'!F287</f>
        <v>4.2625268817204296E-4</v>
      </c>
      <c r="G293" s="130">
        <f>'Baseline Emissions 2021'!G287</f>
        <v>4.2588958333333345E-4</v>
      </c>
      <c r="H293" s="130">
        <f>'Baseline Emissions 2021'!H287</f>
        <v>4.2606397849462356E-4</v>
      </c>
      <c r="I293" s="130">
        <f>'Baseline Emissions 2021'!I287</f>
        <v>4.2595689655172415E-4</v>
      </c>
      <c r="J293" s="130">
        <f>'Baseline Emissions 2021'!J287</f>
        <v>4.2608655913978498E-4</v>
      </c>
      <c r="K293" s="130">
        <f>'Baseline Emissions 2021'!K287</f>
        <v>4.0770083333333337E-4</v>
      </c>
      <c r="L293" s="130">
        <f>'Baseline Emissions 2021'!L287</f>
        <v>4.0748817204301082E-4</v>
      </c>
      <c r="M293" s="130">
        <f>'Baseline Emissions 2021'!M287</f>
        <v>4.0735887096774196E-4</v>
      </c>
      <c r="N293" s="130">
        <f>'Baseline Emissions 2021'!N287</f>
        <v>4.258783333333333E-4</v>
      </c>
      <c r="O293" s="130">
        <f>'Baseline Emissions 2021'!O287</f>
        <v>4.2591827956989242E-4</v>
      </c>
      <c r="P293" s="130">
        <f>'Baseline Emissions 2021'!P287</f>
        <v>4.2610888888888889E-4</v>
      </c>
      <c r="Q293" s="130">
        <f>'Baseline Emissions 2021'!Q287</f>
        <v>4.2607473118279587E-4</v>
      </c>
    </row>
    <row r="294" spans="1:17" ht="46.8" x14ac:dyDescent="0.25">
      <c r="A294" s="17" t="s">
        <v>121</v>
      </c>
      <c r="B294" s="17" t="s">
        <v>24</v>
      </c>
      <c r="C294" s="17" t="s">
        <v>122</v>
      </c>
      <c r="D294" s="17" t="s">
        <v>384</v>
      </c>
      <c r="E294" s="20">
        <f>SUM(F294:Q294)</f>
        <v>2.0021842407209496</v>
      </c>
      <c r="F294" s="20">
        <f>SUM(F295*F296)</f>
        <v>0.16396821339959244</v>
      </c>
      <c r="G294" s="20">
        <f t="shared" ref="G294:Q294" si="38">SUM(G295*G296)</f>
        <v>0.1657377439232143</v>
      </c>
      <c r="H294" s="20">
        <f t="shared" si="38"/>
        <v>0.16097578982068161</v>
      </c>
      <c r="I294" s="20">
        <f t="shared" si="38"/>
        <v>0.16485768302454026</v>
      </c>
      <c r="J294" s="20">
        <f t="shared" si="38"/>
        <v>0.169561357160666</v>
      </c>
      <c r="K294" s="20">
        <f t="shared" si="38"/>
        <v>0.16850159219767588</v>
      </c>
      <c r="L294" s="20">
        <f t="shared" si="38"/>
        <v>0.17061665465183834</v>
      </c>
      <c r="M294" s="20">
        <f t="shared" si="38"/>
        <v>0.17023071139063475</v>
      </c>
      <c r="N294" s="20">
        <f t="shared" si="38"/>
        <v>0.16946971991399998</v>
      </c>
      <c r="O294" s="20">
        <f t="shared" si="38"/>
        <v>0.17284191282879816</v>
      </c>
      <c r="P294" s="20">
        <f t="shared" si="38"/>
        <v>0.1617560435852963</v>
      </c>
      <c r="Q294" s="20">
        <f t="shared" si="38"/>
        <v>0.16366681882401138</v>
      </c>
    </row>
    <row r="295" spans="1:17" ht="62.4" x14ac:dyDescent="0.25">
      <c r="A295" s="17" t="s">
        <v>123</v>
      </c>
      <c r="B295" s="17" t="s">
        <v>116</v>
      </c>
      <c r="C295" s="17" t="s">
        <v>124</v>
      </c>
      <c r="D295" s="17" t="s">
        <v>337</v>
      </c>
      <c r="E295" s="129">
        <f>SUM(F295:Q295)</f>
        <v>100942.96610230414</v>
      </c>
      <c r="F295" s="129">
        <v>8226.8286129032276</v>
      </c>
      <c r="G295" s="129">
        <v>8230.3038571428588</v>
      </c>
      <c r="H295" s="129">
        <v>8231.6788064516149</v>
      </c>
      <c r="I295" s="129">
        <v>8228.4607000000015</v>
      </c>
      <c r="J295" s="129">
        <v>8593.1045806451602</v>
      </c>
      <c r="K295" s="129">
        <v>8593.2446333333301</v>
      </c>
      <c r="L295" s="129">
        <v>8594.3663548387103</v>
      </c>
      <c r="M295" s="129">
        <v>8594.2436129032249</v>
      </c>
      <c r="N295" s="129">
        <v>8594.8887999999988</v>
      </c>
      <c r="O295" s="129">
        <v>8591.172161290322</v>
      </c>
      <c r="P295" s="129">
        <v>8232.0924666666651</v>
      </c>
      <c r="Q295" s="129">
        <v>8232.5815161290302</v>
      </c>
    </row>
    <row r="296" spans="1:17" ht="46.8" x14ac:dyDescent="0.25">
      <c r="A296" s="17" t="s">
        <v>125</v>
      </c>
      <c r="B296" s="17" t="s">
        <v>119</v>
      </c>
      <c r="C296" s="17" t="s">
        <v>126</v>
      </c>
      <c r="D296" s="35" t="s">
        <v>339</v>
      </c>
      <c r="E296" s="131">
        <f>AVERAGE(F296:Q296)</f>
        <v>1.9835461031804888E-5</v>
      </c>
      <c r="F296" s="131">
        <f>'Baseline Emissions 2021'!F288</f>
        <v>1.993091397849462E-5</v>
      </c>
      <c r="G296" s="131">
        <f>'Baseline Emissions 2021'!G288</f>
        <v>2.0137499999999998E-5</v>
      </c>
      <c r="H296" s="131">
        <f>'Baseline Emissions 2021'!H288</f>
        <v>1.9555645161290322E-5</v>
      </c>
      <c r="I296" s="131">
        <f>'Baseline Emissions 2021'!I288</f>
        <v>2.0035057471264368E-5</v>
      </c>
      <c r="J296" s="131">
        <f>'Baseline Emissions 2021'!J288</f>
        <v>1.9732258064516134E-5</v>
      </c>
      <c r="K296" s="131">
        <f>'Baseline Emissions 2021'!K288</f>
        <v>1.9608611111111113E-5</v>
      </c>
      <c r="L296" s="131">
        <f>'Baseline Emissions 2021'!L288</f>
        <v>1.9852150537634403E-5</v>
      </c>
      <c r="M296" s="131">
        <f>'Baseline Emissions 2021'!M288</f>
        <v>1.9807526881720431E-5</v>
      </c>
      <c r="N296" s="131">
        <f>'Baseline Emissions 2021'!N288</f>
        <v>1.9717499999999999E-5</v>
      </c>
      <c r="O296" s="131">
        <f>'Baseline Emissions 2021'!O288</f>
        <v>2.0118548387096779E-5</v>
      </c>
      <c r="P296" s="131">
        <f>'Baseline Emissions 2021'!P288</f>
        <v>1.9649444444444448E-5</v>
      </c>
      <c r="Q296" s="131">
        <f>'Baseline Emissions 2021'!Q288</f>
        <v>1.9880376344086018E-5</v>
      </c>
    </row>
    <row r="297" spans="1:17" ht="31.2" x14ac:dyDescent="0.25">
      <c r="A297" s="17" t="s">
        <v>127</v>
      </c>
      <c r="B297" s="17" t="s">
        <v>128</v>
      </c>
      <c r="C297" s="17" t="s">
        <v>17</v>
      </c>
      <c r="D297" s="17" t="s">
        <v>129</v>
      </c>
      <c r="E297" s="176">
        <v>28</v>
      </c>
      <c r="F297" s="176"/>
      <c r="G297" s="176"/>
      <c r="H297" s="176"/>
      <c r="I297" s="176"/>
      <c r="J297" s="176"/>
      <c r="K297" s="176"/>
      <c r="L297" s="176"/>
      <c r="M297" s="176"/>
      <c r="N297" s="176"/>
      <c r="O297" s="176"/>
      <c r="P297" s="176"/>
      <c r="Q297" s="176"/>
    </row>
    <row r="298" spans="1:17" ht="64.8" x14ac:dyDescent="0.25">
      <c r="A298" s="17" t="s">
        <v>130</v>
      </c>
      <c r="B298" s="17" t="s">
        <v>19</v>
      </c>
      <c r="C298" s="17" t="s">
        <v>131</v>
      </c>
      <c r="D298" s="17" t="s">
        <v>394</v>
      </c>
      <c r="E298" s="176">
        <v>0.21</v>
      </c>
      <c r="F298" s="176"/>
      <c r="G298" s="176"/>
      <c r="H298" s="176"/>
      <c r="I298" s="176"/>
      <c r="J298" s="176"/>
      <c r="K298" s="176"/>
      <c r="L298" s="176"/>
      <c r="M298" s="176"/>
      <c r="N298" s="176"/>
      <c r="O298" s="176"/>
      <c r="P298" s="176"/>
      <c r="Q298" s="176"/>
    </row>
    <row r="299" spans="1:17" ht="46.8" x14ac:dyDescent="0.25">
      <c r="A299" s="17" t="s">
        <v>132</v>
      </c>
      <c r="B299" s="17" t="s">
        <v>103</v>
      </c>
      <c r="C299" s="17" t="s">
        <v>133</v>
      </c>
      <c r="D299" s="17" t="s">
        <v>385</v>
      </c>
      <c r="E299" s="19">
        <f>SUM(F299:Q299)</f>
        <v>0</v>
      </c>
      <c r="F299" s="19">
        <f>$E$297*$E$298*F300*F294*F287</f>
        <v>0</v>
      </c>
      <c r="G299" s="19">
        <f t="shared" ref="G299:Q299" si="39">$E$297*$E$298*G300*G294*G287</f>
        <v>0</v>
      </c>
      <c r="H299" s="19">
        <f t="shared" si="39"/>
        <v>0</v>
      </c>
      <c r="I299" s="19">
        <f t="shared" si="39"/>
        <v>0</v>
      </c>
      <c r="J299" s="19">
        <f t="shared" si="39"/>
        <v>0</v>
      </c>
      <c r="K299" s="19">
        <f t="shared" si="39"/>
        <v>0</v>
      </c>
      <c r="L299" s="19">
        <f t="shared" si="39"/>
        <v>0</v>
      </c>
      <c r="M299" s="19">
        <f t="shared" si="39"/>
        <v>0</v>
      </c>
      <c r="N299" s="19">
        <f t="shared" si="39"/>
        <v>0</v>
      </c>
      <c r="O299" s="19">
        <f t="shared" si="39"/>
        <v>0</v>
      </c>
      <c r="P299" s="19">
        <f t="shared" si="39"/>
        <v>0</v>
      </c>
      <c r="Q299" s="19">
        <f t="shared" si="39"/>
        <v>0</v>
      </c>
    </row>
    <row r="300" spans="1:17" ht="18" x14ac:dyDescent="0.25">
      <c r="A300" s="17" t="s">
        <v>134</v>
      </c>
      <c r="B300" s="17" t="s">
        <v>37</v>
      </c>
      <c r="C300" s="17" t="s">
        <v>135</v>
      </c>
      <c r="D300" s="17" t="s">
        <v>386</v>
      </c>
      <c r="E300" s="26">
        <f>AVERAGE(F300:Q300)</f>
        <v>0</v>
      </c>
      <c r="F300" s="26">
        <f>F301*$E$302*0.89</f>
        <v>0</v>
      </c>
      <c r="G300" s="26">
        <f t="shared" ref="G300:Q300" si="40">G301*$E$302*0.89</f>
        <v>0</v>
      </c>
      <c r="H300" s="26">
        <f t="shared" si="40"/>
        <v>0</v>
      </c>
      <c r="I300" s="26">
        <f t="shared" si="40"/>
        <v>0</v>
      </c>
      <c r="J300" s="26">
        <f t="shared" si="40"/>
        <v>0</v>
      </c>
      <c r="K300" s="26">
        <f t="shared" si="40"/>
        <v>0</v>
      </c>
      <c r="L300" s="26">
        <f t="shared" si="40"/>
        <v>0</v>
      </c>
      <c r="M300" s="26">
        <f t="shared" si="40"/>
        <v>0</v>
      </c>
      <c r="N300" s="26">
        <f t="shared" si="40"/>
        <v>0</v>
      </c>
      <c r="O300" s="26">
        <f t="shared" si="40"/>
        <v>0</v>
      </c>
      <c r="P300" s="26">
        <f t="shared" si="40"/>
        <v>0</v>
      </c>
      <c r="Q300" s="26">
        <f t="shared" si="40"/>
        <v>0</v>
      </c>
    </row>
    <row r="301" spans="1:17" ht="31.2" x14ac:dyDescent="0.25">
      <c r="A301" s="17" t="s">
        <v>136</v>
      </c>
      <c r="B301" s="17" t="s">
        <v>37</v>
      </c>
      <c r="C301" s="17" t="s">
        <v>46</v>
      </c>
      <c r="D301" s="17" t="s">
        <v>387</v>
      </c>
      <c r="E301" s="25">
        <v>0</v>
      </c>
      <c r="F301" s="25">
        <v>0</v>
      </c>
      <c r="G301" s="25">
        <v>0</v>
      </c>
      <c r="H301" s="25">
        <v>0</v>
      </c>
      <c r="I301" s="25">
        <v>0</v>
      </c>
      <c r="J301" s="25">
        <v>0</v>
      </c>
      <c r="K301" s="25">
        <v>0</v>
      </c>
      <c r="L301" s="25">
        <v>0</v>
      </c>
      <c r="M301" s="25">
        <v>0</v>
      </c>
      <c r="N301" s="25">
        <v>0</v>
      </c>
      <c r="O301" s="25">
        <v>0</v>
      </c>
      <c r="P301" s="25">
        <v>0</v>
      </c>
      <c r="Q301" s="25">
        <v>0</v>
      </c>
    </row>
    <row r="302" spans="1:17" ht="31.2" x14ac:dyDescent="0.25">
      <c r="A302" s="17" t="s">
        <v>137</v>
      </c>
      <c r="B302" s="17" t="s">
        <v>201</v>
      </c>
      <c r="C302" s="17" t="s">
        <v>138</v>
      </c>
      <c r="D302" s="17" t="s">
        <v>388</v>
      </c>
      <c r="E302" s="196">
        <f>(F303*F308+G303*G308+H303*H308+I303*I308+J303*J308+K303*K308+L303*L308+M303*M308+N303*N308+O303*O308+P303*P308+Q303*Q308)/(F295*F296*F287+G296*G295*G287+H295*H296*H287+I296*I295*I287+J296*J295*J287+K296*K295*K287+L296*L295*L287+M296*M295*M287+N296*N295*N287+O295*O296*O287+P296*P295*P287+Q296*Q295*Q287)</f>
        <v>0.64643966787588525</v>
      </c>
      <c r="F302" s="196"/>
      <c r="G302" s="196"/>
      <c r="H302" s="196"/>
      <c r="I302" s="196"/>
      <c r="J302" s="196"/>
      <c r="K302" s="196"/>
      <c r="L302" s="196"/>
      <c r="M302" s="196"/>
      <c r="N302" s="196"/>
      <c r="O302" s="196"/>
      <c r="P302" s="196"/>
      <c r="Q302" s="196"/>
    </row>
    <row r="303" spans="1:17" ht="31.2" x14ac:dyDescent="0.25">
      <c r="A303" s="17" t="s">
        <v>139</v>
      </c>
      <c r="B303" s="17" t="s">
        <v>37</v>
      </c>
      <c r="C303" s="17" t="s">
        <v>140</v>
      </c>
      <c r="D303" s="17" t="s">
        <v>375</v>
      </c>
      <c r="E303" s="27">
        <f>AVERAGE(F303:Q303)</f>
        <v>0.64054421729664701</v>
      </c>
      <c r="F303" s="27">
        <f>IF(F307&lt;283,0,IF(F307&gt;303,1,EXP(($E$304*(F307-$E$305))/($E$306*$E$305*F307))))</f>
        <v>0.25708890533410012</v>
      </c>
      <c r="G303" s="27">
        <f t="shared" ref="G303:Q303" si="41">IF(G307&lt;283,0,IF(G307&gt;303,1,EXP(($E$304*(G307-$E$305))/($E$306*$E$305*G307))))</f>
        <v>0.37002059672690846</v>
      </c>
      <c r="H303" s="27">
        <f t="shared" si="41"/>
        <v>0.44226396815696317</v>
      </c>
      <c r="I303" s="27">
        <f t="shared" si="41"/>
        <v>0.57531644493802248</v>
      </c>
      <c r="J303" s="27">
        <f t="shared" si="41"/>
        <v>0.88152221926734242</v>
      </c>
      <c r="K303" s="27">
        <f t="shared" si="41"/>
        <v>0.88152221926734242</v>
      </c>
      <c r="L303" s="27">
        <f t="shared" si="41"/>
        <v>0.95843738031531212</v>
      </c>
      <c r="M303" s="27">
        <f t="shared" si="41"/>
        <v>0.91923925774048054</v>
      </c>
      <c r="N303" s="27">
        <f t="shared" si="41"/>
        <v>1</v>
      </c>
      <c r="O303" s="27">
        <f t="shared" si="41"/>
        <v>0.65487347206548807</v>
      </c>
      <c r="P303" s="27">
        <f t="shared" si="41"/>
        <v>0.42307437878932203</v>
      </c>
      <c r="Q303" s="27">
        <f t="shared" si="41"/>
        <v>0.32317176495848171</v>
      </c>
    </row>
    <row r="304" spans="1:17" x14ac:dyDescent="0.25">
      <c r="A304" s="17" t="s">
        <v>51</v>
      </c>
      <c r="B304" s="17" t="s">
        <v>52</v>
      </c>
      <c r="C304" s="17" t="s">
        <v>53</v>
      </c>
      <c r="D304" s="17" t="s">
        <v>389</v>
      </c>
      <c r="E304" s="176">
        <v>15175</v>
      </c>
      <c r="F304" s="176"/>
      <c r="G304" s="176"/>
      <c r="H304" s="176"/>
      <c r="I304" s="176"/>
      <c r="J304" s="176"/>
      <c r="K304" s="176"/>
      <c r="L304" s="176"/>
      <c r="M304" s="176"/>
      <c r="N304" s="176"/>
      <c r="O304" s="176"/>
      <c r="P304" s="176"/>
      <c r="Q304" s="176"/>
    </row>
    <row r="305" spans="1:17" ht="18" x14ac:dyDescent="0.25">
      <c r="A305" s="17" t="s">
        <v>141</v>
      </c>
      <c r="B305" s="17" t="s">
        <v>55</v>
      </c>
      <c r="C305" s="17" t="s">
        <v>56</v>
      </c>
      <c r="D305" s="17" t="s">
        <v>389</v>
      </c>
      <c r="E305" s="176">
        <v>303.16000000000003</v>
      </c>
      <c r="F305" s="176"/>
      <c r="G305" s="176"/>
      <c r="H305" s="176"/>
      <c r="I305" s="176"/>
      <c r="J305" s="176"/>
      <c r="K305" s="176"/>
      <c r="L305" s="176"/>
      <c r="M305" s="176"/>
      <c r="N305" s="176"/>
      <c r="O305" s="176"/>
      <c r="P305" s="176"/>
      <c r="Q305" s="176"/>
    </row>
    <row r="306" spans="1:17" x14ac:dyDescent="0.25">
      <c r="A306" s="17" t="s">
        <v>57</v>
      </c>
      <c r="B306" s="17" t="s">
        <v>58</v>
      </c>
      <c r="C306" s="17" t="s">
        <v>59</v>
      </c>
      <c r="D306" s="17" t="s">
        <v>389</v>
      </c>
      <c r="E306" s="176">
        <v>1.9870000000000001</v>
      </c>
      <c r="F306" s="176"/>
      <c r="G306" s="176"/>
      <c r="H306" s="176"/>
      <c r="I306" s="176"/>
      <c r="J306" s="176"/>
      <c r="K306" s="176"/>
      <c r="L306" s="176"/>
      <c r="M306" s="176"/>
      <c r="N306" s="176"/>
      <c r="O306" s="176"/>
      <c r="P306" s="176"/>
      <c r="Q306" s="176"/>
    </row>
    <row r="307" spans="1:17" ht="18" x14ac:dyDescent="0.25">
      <c r="A307" s="17" t="s">
        <v>142</v>
      </c>
      <c r="B307" s="17" t="s">
        <v>55</v>
      </c>
      <c r="C307" s="17" t="s">
        <v>143</v>
      </c>
      <c r="D307" s="144" t="s">
        <v>364</v>
      </c>
      <c r="E307" s="28">
        <f>AVERAGE(F307:Q307)</f>
        <v>296.85833333333341</v>
      </c>
      <c r="F307" s="25">
        <v>287.64999999999998</v>
      </c>
      <c r="G307" s="25">
        <v>291.64999999999998</v>
      </c>
      <c r="H307" s="25">
        <v>293.64999999999998</v>
      </c>
      <c r="I307" s="25">
        <v>296.64999999999998</v>
      </c>
      <c r="J307" s="25">
        <v>301.64999999999998</v>
      </c>
      <c r="K307" s="25">
        <v>301.64999999999998</v>
      </c>
      <c r="L307" s="25">
        <v>302.64999999999998</v>
      </c>
      <c r="M307" s="25">
        <v>302.14999999999998</v>
      </c>
      <c r="N307" s="25">
        <v>303.14999999999998</v>
      </c>
      <c r="O307" s="25">
        <v>298.14999999999998</v>
      </c>
      <c r="P307" s="25">
        <v>293.14999999999998</v>
      </c>
      <c r="Q307" s="25">
        <v>290.14999999999998</v>
      </c>
    </row>
    <row r="308" spans="1:17" ht="46.8" x14ac:dyDescent="0.25">
      <c r="A308" s="17" t="s">
        <v>144</v>
      </c>
      <c r="B308" s="17" t="s">
        <v>24</v>
      </c>
      <c r="C308" s="17" t="s">
        <v>145</v>
      </c>
      <c r="D308" s="17" t="s">
        <v>390</v>
      </c>
      <c r="E308" s="29">
        <f>SUM(F308:Q308)</f>
        <v>60.905913191858282</v>
      </c>
      <c r="F308" s="29">
        <f>F295*F296*'Project Emissions 2021'!F287+(1-F303)*0</f>
        <v>5.0830146153873654</v>
      </c>
      <c r="G308" s="29">
        <f>G295*G296*'Project Emissions 2021'!G287+(1-G303)*0</f>
        <v>4.6406568298500002</v>
      </c>
      <c r="H308" s="29">
        <f>H295*H296*'Project Emissions 2021'!H287+(1-H303)*0</f>
        <v>4.9902494844411303</v>
      </c>
      <c r="I308" s="29">
        <f>I295*I296*'Project Emissions 2021'!I287+(1-I303)*0</f>
        <v>4.9457304907362083</v>
      </c>
      <c r="J308" s="29">
        <f>J295*J296*'Project Emissions 2021'!J287+(1-J303)*0</f>
        <v>5.2564020719806459</v>
      </c>
      <c r="K308" s="29">
        <f>K295*K296*'Project Emissions 2021'!K287+(1-K303)*0</f>
        <v>5.0550477659302766</v>
      </c>
      <c r="L308" s="29">
        <f>L295*L296*'Project Emissions 2021'!L287+(1-L303)*0</f>
        <v>5.2891162942069885</v>
      </c>
      <c r="M308" s="29">
        <f>M295*M296*'Project Emissions 2021'!M287+(1-M303)*0</f>
        <v>5.2771520531096776</v>
      </c>
      <c r="N308" s="29">
        <f>N295*N296*'Project Emissions 2021'!N287+(1-N303)*0</f>
        <v>5.0840915974199996</v>
      </c>
      <c r="O308" s="29">
        <f>O295*O296*'Project Emissions 2021'!O287+(1-O303)*0</f>
        <v>5.3580992976927426</v>
      </c>
      <c r="P308" s="29">
        <f>P295*P296*'Project Emissions 2021'!P287+(1-P303)*0</f>
        <v>4.852681307558889</v>
      </c>
      <c r="Q308" s="29">
        <f>Q295*Q296*'Project Emissions 2021'!Q287+(1-Q303)*0</f>
        <v>5.0736713835443528</v>
      </c>
    </row>
    <row r="309" spans="1:17" x14ac:dyDescent="0.3">
      <c r="A309" s="30"/>
      <c r="E309" s="31"/>
      <c r="F309" s="31"/>
      <c r="G309" s="31"/>
      <c r="H309" s="31"/>
      <c r="I309" s="31"/>
      <c r="J309" s="31"/>
      <c r="K309" s="31"/>
      <c r="L309" s="31"/>
      <c r="M309" s="31"/>
      <c r="N309" s="31"/>
      <c r="O309" s="31"/>
      <c r="P309" s="31"/>
      <c r="Q309" s="31"/>
    </row>
    <row r="310" spans="1:17" x14ac:dyDescent="0.25">
      <c r="A310" s="174" t="s">
        <v>146</v>
      </c>
      <c r="B310" s="174"/>
      <c r="C310" s="175"/>
      <c r="D310" s="175"/>
      <c r="E310" s="195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</row>
    <row r="311" spans="1:17" x14ac:dyDescent="0.25">
      <c r="A311" s="33" t="s">
        <v>8</v>
      </c>
      <c r="B311" s="33" t="s">
        <v>9</v>
      </c>
      <c r="C311" s="34" t="s">
        <v>10</v>
      </c>
      <c r="D311" s="34" t="s">
        <v>340</v>
      </c>
      <c r="E311" s="16" t="s">
        <v>65</v>
      </c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</row>
    <row r="312" spans="1:17" ht="46.8" x14ac:dyDescent="0.25">
      <c r="A312" s="15" t="s">
        <v>147</v>
      </c>
      <c r="B312" s="17" t="s">
        <v>95</v>
      </c>
      <c r="C312" s="35" t="s">
        <v>148</v>
      </c>
      <c r="D312" s="35" t="s">
        <v>68</v>
      </c>
      <c r="E312" s="16">
        <v>0</v>
      </c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</row>
    <row r="313" spans="1:17" x14ac:dyDescent="0.25">
      <c r="A313" s="36"/>
      <c r="B313" s="36"/>
      <c r="C313" s="37"/>
      <c r="D313" s="37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</row>
    <row r="314" spans="1:17" x14ac:dyDescent="0.25">
      <c r="A314" s="174" t="s">
        <v>149</v>
      </c>
      <c r="B314" s="174"/>
      <c r="C314" s="175"/>
      <c r="D314" s="175"/>
      <c r="E314" s="195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</row>
    <row r="315" spans="1:17" x14ac:dyDescent="0.25">
      <c r="A315" s="33" t="s">
        <v>8</v>
      </c>
      <c r="B315" s="33" t="s">
        <v>9</v>
      </c>
      <c r="C315" s="34" t="s">
        <v>10</v>
      </c>
      <c r="D315" s="34" t="s">
        <v>340</v>
      </c>
      <c r="E315" s="16" t="s">
        <v>65</v>
      </c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</row>
    <row r="316" spans="1:17" ht="46.8" x14ac:dyDescent="0.25">
      <c r="A316" s="15" t="s">
        <v>150</v>
      </c>
      <c r="B316" s="17" t="s">
        <v>95</v>
      </c>
      <c r="C316" s="35" t="s">
        <v>151</v>
      </c>
      <c r="D316" s="35" t="s">
        <v>68</v>
      </c>
      <c r="E316" s="16">
        <v>0</v>
      </c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</row>
    <row r="317" spans="1:17" x14ac:dyDescent="0.25"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</row>
    <row r="318" spans="1:17" x14ac:dyDescent="0.25">
      <c r="A318" s="174" t="s">
        <v>152</v>
      </c>
      <c r="B318" s="174"/>
      <c r="C318" s="175"/>
      <c r="D318" s="175"/>
      <c r="E318" s="195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</row>
    <row r="319" spans="1:17" s="10" customFormat="1" x14ac:dyDescent="0.25">
      <c r="A319" s="15" t="s">
        <v>8</v>
      </c>
      <c r="B319" s="15" t="s">
        <v>9</v>
      </c>
      <c r="C319" s="38" t="s">
        <v>10</v>
      </c>
      <c r="D319" s="38" t="s">
        <v>340</v>
      </c>
      <c r="E319" s="16" t="s">
        <v>65</v>
      </c>
      <c r="F319" s="32"/>
      <c r="G319" s="32"/>
      <c r="H319" s="39"/>
      <c r="I319" s="39"/>
      <c r="J319" s="39"/>
      <c r="K319" s="39"/>
      <c r="L319" s="39"/>
      <c r="M319" s="39"/>
      <c r="N319" s="39"/>
      <c r="O319" s="39"/>
      <c r="P319" s="39"/>
      <c r="Q319" s="39"/>
    </row>
    <row r="320" spans="1:17" s="10" customFormat="1" ht="18" x14ac:dyDescent="0.4">
      <c r="A320" s="40" t="s">
        <v>153</v>
      </c>
      <c r="B320" s="17" t="s">
        <v>103</v>
      </c>
      <c r="C320" s="35" t="s">
        <v>154</v>
      </c>
      <c r="D320" s="35" t="s">
        <v>155</v>
      </c>
      <c r="E320" s="41">
        <f>E321*E323*(1+E322)</f>
        <v>617.47809914940001</v>
      </c>
      <c r="F320" s="32"/>
      <c r="G320" s="32"/>
      <c r="H320" s="39"/>
      <c r="I320" s="39"/>
      <c r="J320" s="39"/>
      <c r="K320" s="39"/>
      <c r="L320" s="39"/>
      <c r="M320" s="39"/>
      <c r="N320" s="39"/>
      <c r="O320" s="39"/>
      <c r="P320" s="39"/>
      <c r="Q320" s="39"/>
    </row>
    <row r="321" spans="1:19" ht="31.2" x14ac:dyDescent="0.25">
      <c r="A321" s="17" t="s">
        <v>156</v>
      </c>
      <c r="B321" s="17" t="s">
        <v>157</v>
      </c>
      <c r="C321" s="35" t="s">
        <v>158</v>
      </c>
      <c r="D321" s="35" t="s">
        <v>343</v>
      </c>
      <c r="E321" s="20">
        <f>1011231.37/1000</f>
        <v>1011.23137</v>
      </c>
      <c r="G321" s="42"/>
      <c r="H321" s="43"/>
      <c r="I321" s="43"/>
      <c r="J321" s="43"/>
      <c r="K321" s="43"/>
      <c r="L321" s="43"/>
      <c r="M321" s="43"/>
      <c r="N321" s="43"/>
      <c r="O321" s="43"/>
      <c r="P321" s="43"/>
      <c r="Q321" s="43"/>
      <c r="R321" s="9"/>
      <c r="S321" s="9"/>
    </row>
    <row r="322" spans="1:19" ht="31.2" x14ac:dyDescent="0.25">
      <c r="A322" s="17" t="s">
        <v>159</v>
      </c>
      <c r="B322" s="17" t="s">
        <v>160</v>
      </c>
      <c r="C322" s="35" t="s">
        <v>161</v>
      </c>
      <c r="D322" s="35" t="s">
        <v>162</v>
      </c>
      <c r="E322" s="44">
        <v>0.2</v>
      </c>
      <c r="H322" s="43"/>
      <c r="I322" s="43"/>
      <c r="J322" s="43"/>
      <c r="K322" s="43"/>
      <c r="L322" s="43"/>
      <c r="M322" s="43"/>
      <c r="N322" s="43"/>
      <c r="O322" s="43"/>
      <c r="P322" s="43"/>
      <c r="Q322" s="43"/>
      <c r="R322" s="9"/>
      <c r="S322" s="9"/>
    </row>
    <row r="323" spans="1:19" ht="46.8" x14ac:dyDescent="0.25">
      <c r="A323" s="17" t="s">
        <v>163</v>
      </c>
      <c r="B323" s="17" t="s">
        <v>164</v>
      </c>
      <c r="C323" s="35" t="s">
        <v>165</v>
      </c>
      <c r="D323" s="35" t="s">
        <v>166</v>
      </c>
      <c r="E323" s="45">
        <f>0.5*0.8042+0.5*0.2135</f>
        <v>0.50885000000000002</v>
      </c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</row>
    <row r="324" spans="1:19" ht="31.2" x14ac:dyDescent="0.4">
      <c r="A324" s="40" t="s">
        <v>167</v>
      </c>
      <c r="B324" s="17" t="s">
        <v>103</v>
      </c>
      <c r="C324" s="35" t="s">
        <v>168</v>
      </c>
      <c r="D324" s="35" t="s">
        <v>169</v>
      </c>
      <c r="E324" s="47">
        <v>0</v>
      </c>
      <c r="H324" s="43"/>
      <c r="I324" s="43"/>
      <c r="J324" s="43"/>
      <c r="K324" s="43"/>
      <c r="L324" s="43"/>
      <c r="M324" s="43"/>
      <c r="N324" s="43"/>
      <c r="O324" s="43"/>
      <c r="P324" s="43"/>
      <c r="Q324" s="43"/>
      <c r="R324" s="9"/>
      <c r="S324" s="9"/>
    </row>
    <row r="325" spans="1:19" x14ac:dyDescent="0.3">
      <c r="A325" s="48"/>
      <c r="E325" s="49"/>
      <c r="H325" s="43"/>
      <c r="I325" s="43"/>
      <c r="J325" s="43"/>
      <c r="K325" s="43"/>
      <c r="L325" s="43"/>
      <c r="M325" s="43"/>
      <c r="N325" s="43"/>
      <c r="O325" s="43"/>
      <c r="P325" s="43"/>
      <c r="Q325" s="43"/>
      <c r="R325" s="9"/>
      <c r="S325" s="9"/>
    </row>
    <row r="326" spans="1:19" x14ac:dyDescent="0.25">
      <c r="A326" s="174" t="s">
        <v>170</v>
      </c>
      <c r="B326" s="174"/>
      <c r="C326" s="175"/>
      <c r="D326" s="175"/>
      <c r="E326" s="195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</row>
    <row r="327" spans="1:19" x14ac:dyDescent="0.25">
      <c r="A327" s="15" t="s">
        <v>8</v>
      </c>
      <c r="B327" s="15" t="s">
        <v>9</v>
      </c>
      <c r="C327" s="38" t="s">
        <v>10</v>
      </c>
      <c r="D327" s="38" t="s">
        <v>340</v>
      </c>
      <c r="E327" s="16" t="s">
        <v>65</v>
      </c>
      <c r="H327" s="43"/>
      <c r="I327" s="43"/>
      <c r="J327" s="43"/>
      <c r="K327" s="43"/>
      <c r="L327" s="43"/>
      <c r="M327" s="43"/>
      <c r="N327" s="43"/>
      <c r="O327" s="43"/>
      <c r="P327" s="43"/>
      <c r="Q327" s="43"/>
      <c r="R327" s="9"/>
      <c r="S327" s="9"/>
    </row>
    <row r="328" spans="1:19" ht="33.6" x14ac:dyDescent="0.4">
      <c r="A328" s="40" t="s">
        <v>171</v>
      </c>
      <c r="B328" s="17" t="s">
        <v>74</v>
      </c>
      <c r="C328" s="35" t="s">
        <v>172</v>
      </c>
      <c r="D328" s="35" t="s">
        <v>391</v>
      </c>
      <c r="E328" s="50">
        <f>E329*E332*E333*E334*E335*E336</f>
        <v>5.9673597576137993</v>
      </c>
      <c r="H328" s="43"/>
      <c r="I328" s="43"/>
      <c r="J328" s="43"/>
      <c r="K328" s="43"/>
      <c r="L328" s="43"/>
      <c r="M328" s="43"/>
      <c r="N328" s="43"/>
      <c r="O328" s="43"/>
      <c r="P328" s="43"/>
      <c r="Q328" s="43"/>
      <c r="R328" s="9"/>
      <c r="S328" s="9"/>
    </row>
    <row r="329" spans="1:19" ht="46.8" x14ac:dyDescent="0.4">
      <c r="A329" s="51" t="s">
        <v>173</v>
      </c>
      <c r="B329" s="17" t="s">
        <v>76</v>
      </c>
      <c r="C329" s="35" t="s">
        <v>174</v>
      </c>
      <c r="D329" s="35" t="s">
        <v>392</v>
      </c>
      <c r="E329" s="69">
        <f>ROUNDUP(E330/E331,0)</f>
        <v>215</v>
      </c>
      <c r="H329" s="43"/>
      <c r="I329" s="43"/>
      <c r="J329" s="43"/>
      <c r="K329" s="43"/>
      <c r="L329" s="43"/>
      <c r="M329" s="43"/>
      <c r="N329" s="43"/>
      <c r="O329" s="43"/>
      <c r="P329" s="43"/>
      <c r="Q329" s="43"/>
      <c r="R329" s="9"/>
      <c r="S329" s="9"/>
    </row>
    <row r="330" spans="1:19" ht="62.4" x14ac:dyDescent="0.25">
      <c r="A330" s="17" t="s">
        <v>175</v>
      </c>
      <c r="B330" s="17" t="s">
        <v>78</v>
      </c>
      <c r="C330" s="35" t="s">
        <v>176</v>
      </c>
      <c r="D330" s="35" t="s">
        <v>346</v>
      </c>
      <c r="E330" s="52">
        <v>1073.905</v>
      </c>
      <c r="H330" s="43"/>
      <c r="I330" s="43"/>
      <c r="J330" s="43"/>
      <c r="K330" s="43"/>
      <c r="L330" s="43"/>
      <c r="M330" s="43"/>
      <c r="N330" s="43"/>
      <c r="O330" s="43"/>
      <c r="P330" s="43"/>
      <c r="Q330" s="43"/>
      <c r="R330" s="9"/>
      <c r="S330" s="9"/>
    </row>
    <row r="331" spans="1:19" ht="62.4" x14ac:dyDescent="0.25">
      <c r="A331" s="17" t="s">
        <v>177</v>
      </c>
      <c r="B331" s="17" t="s">
        <v>80</v>
      </c>
      <c r="C331" s="35" t="s">
        <v>81</v>
      </c>
      <c r="D331" s="35" t="s">
        <v>345</v>
      </c>
      <c r="E331" s="25">
        <f>5</f>
        <v>5</v>
      </c>
      <c r="H331" s="43"/>
      <c r="I331" s="43"/>
      <c r="J331" s="43"/>
      <c r="K331" s="43"/>
      <c r="L331" s="43"/>
      <c r="M331" s="43"/>
      <c r="N331" s="43"/>
      <c r="O331" s="43"/>
      <c r="P331" s="43"/>
      <c r="Q331" s="43"/>
      <c r="R331" s="9"/>
      <c r="S331" s="9"/>
    </row>
    <row r="332" spans="1:19" ht="202.8" x14ac:dyDescent="0.25">
      <c r="A332" s="17" t="s">
        <v>178</v>
      </c>
      <c r="B332" s="17" t="s">
        <v>82</v>
      </c>
      <c r="C332" s="35" t="s">
        <v>179</v>
      </c>
      <c r="D332" s="35" t="s">
        <v>367</v>
      </c>
      <c r="E332" s="25">
        <f>20.5*2</f>
        <v>41</v>
      </c>
      <c r="H332" s="43"/>
      <c r="I332" s="43"/>
      <c r="J332" s="43"/>
      <c r="K332" s="43"/>
      <c r="L332" s="43"/>
      <c r="M332" s="43"/>
      <c r="N332" s="43"/>
      <c r="O332" s="43"/>
      <c r="P332" s="43"/>
      <c r="Q332" s="43"/>
      <c r="R332" s="9"/>
      <c r="S332" s="9"/>
    </row>
    <row r="333" spans="1:19" ht="156" x14ac:dyDescent="0.25">
      <c r="A333" s="17" t="s">
        <v>180</v>
      </c>
      <c r="B333" s="17" t="s">
        <v>84</v>
      </c>
      <c r="C333" s="35" t="s">
        <v>85</v>
      </c>
      <c r="D333" s="35" t="s">
        <v>365</v>
      </c>
      <c r="E333" s="25">
        <f>25.1/100</f>
        <v>0.251</v>
      </c>
      <c r="H333" s="43"/>
      <c r="I333" s="43"/>
      <c r="J333" s="43"/>
      <c r="K333" s="43"/>
      <c r="L333" s="43"/>
      <c r="M333" s="43"/>
      <c r="N333" s="43"/>
      <c r="O333" s="43"/>
      <c r="P333" s="43"/>
      <c r="Q333" s="43"/>
      <c r="R333" s="9"/>
      <c r="S333" s="9"/>
    </row>
    <row r="334" spans="1:19" ht="62.4" x14ac:dyDescent="0.25">
      <c r="A334" s="17" t="s">
        <v>86</v>
      </c>
      <c r="B334" s="17" t="s">
        <v>87</v>
      </c>
      <c r="C334" s="35" t="s">
        <v>86</v>
      </c>
      <c r="D334" s="35" t="s">
        <v>215</v>
      </c>
      <c r="E334" s="25">
        <f>0.84/1000</f>
        <v>8.3999999999999993E-4</v>
      </c>
      <c r="H334" s="43"/>
      <c r="I334" s="43"/>
      <c r="J334" s="43"/>
      <c r="K334" s="43"/>
      <c r="L334" s="43"/>
      <c r="M334" s="43"/>
      <c r="N334" s="43"/>
      <c r="O334" s="43"/>
      <c r="P334" s="43"/>
      <c r="Q334" s="43"/>
      <c r="R334" s="9"/>
      <c r="S334" s="9"/>
    </row>
    <row r="335" spans="1:19" ht="124.8" x14ac:dyDescent="0.25">
      <c r="A335" s="17" t="s">
        <v>181</v>
      </c>
      <c r="B335" s="17" t="s">
        <v>88</v>
      </c>
      <c r="C335" s="35" t="s">
        <v>89</v>
      </c>
      <c r="D335" s="35" t="s">
        <v>360</v>
      </c>
      <c r="E335" s="25">
        <f>43.33/1000</f>
        <v>4.333E-2</v>
      </c>
      <c r="H335" s="43"/>
      <c r="I335" s="43"/>
      <c r="J335" s="43"/>
      <c r="K335" s="43"/>
      <c r="L335" s="43"/>
      <c r="M335" s="43"/>
      <c r="N335" s="43"/>
      <c r="O335" s="43"/>
      <c r="P335" s="43"/>
      <c r="Q335" s="43"/>
      <c r="R335" s="9"/>
      <c r="S335" s="9"/>
    </row>
    <row r="336" spans="1:19" ht="33.6" x14ac:dyDescent="0.25">
      <c r="A336" s="17" t="s">
        <v>182</v>
      </c>
      <c r="B336" s="17" t="s">
        <v>90</v>
      </c>
      <c r="C336" s="35" t="s">
        <v>91</v>
      </c>
      <c r="D336" s="35" t="s">
        <v>92</v>
      </c>
      <c r="E336" s="25">
        <v>74.099999999999994</v>
      </c>
      <c r="H336" s="43"/>
      <c r="I336" s="43"/>
      <c r="J336" s="43"/>
      <c r="K336" s="43"/>
      <c r="L336" s="43"/>
      <c r="M336" s="43"/>
      <c r="N336" s="43"/>
      <c r="O336" s="43"/>
      <c r="P336" s="43"/>
      <c r="Q336" s="43"/>
      <c r="R336" s="9"/>
      <c r="S336" s="9"/>
    </row>
    <row r="338" spans="1:19" x14ac:dyDescent="0.25">
      <c r="A338" s="33" t="s">
        <v>8</v>
      </c>
      <c r="B338" s="33" t="s">
        <v>9</v>
      </c>
      <c r="C338" s="34" t="s">
        <v>10</v>
      </c>
      <c r="D338" s="34" t="s">
        <v>340</v>
      </c>
      <c r="E338" s="16" t="s">
        <v>65</v>
      </c>
    </row>
    <row r="339" spans="1:19" ht="18" x14ac:dyDescent="0.25">
      <c r="A339" s="15" t="s">
        <v>183</v>
      </c>
      <c r="B339" s="17" t="s">
        <v>103</v>
      </c>
      <c r="C339" s="35" t="s">
        <v>184</v>
      </c>
      <c r="D339" s="53" t="s">
        <v>393</v>
      </c>
      <c r="E339" s="18">
        <f>ROUNDUP(E288+E312+E316+E320+E328,0)</f>
        <v>624</v>
      </c>
    </row>
    <row r="340" spans="1:19" s="200" customFormat="1" ht="43.2" customHeight="1" x14ac:dyDescent="0.25">
      <c r="A340" s="200" t="s">
        <v>225</v>
      </c>
    </row>
    <row r="341" spans="1:19" ht="23.4" customHeight="1" x14ac:dyDescent="0.25">
      <c r="A341" s="201" t="s">
        <v>105</v>
      </c>
      <c r="B341" s="201"/>
      <c r="C341" s="201"/>
      <c r="D341" s="201"/>
      <c r="E341" s="201"/>
      <c r="F341" s="201"/>
      <c r="G341" s="201"/>
      <c r="H341" s="201"/>
      <c r="I341" s="201"/>
      <c r="J341" s="201"/>
      <c r="K341" s="201"/>
      <c r="L341" s="201"/>
      <c r="M341" s="201"/>
      <c r="N341" s="201"/>
      <c r="O341" s="201"/>
      <c r="P341" s="201"/>
      <c r="Q341" s="202"/>
    </row>
    <row r="342" spans="1:19" s="10" customFormat="1" ht="31.2" x14ac:dyDescent="0.25">
      <c r="A342" s="15" t="s">
        <v>8</v>
      </c>
      <c r="B342" s="15" t="s">
        <v>9</v>
      </c>
      <c r="C342" s="15" t="s">
        <v>10</v>
      </c>
      <c r="D342" s="15" t="s">
        <v>340</v>
      </c>
      <c r="E342" s="16" t="s">
        <v>11</v>
      </c>
      <c r="F342" s="16" t="s">
        <v>312</v>
      </c>
      <c r="G342" s="16" t="s">
        <v>313</v>
      </c>
      <c r="H342" s="16" t="s">
        <v>314</v>
      </c>
      <c r="I342" s="16" t="s">
        <v>315</v>
      </c>
      <c r="J342" s="16" t="s">
        <v>316</v>
      </c>
      <c r="K342" s="16" t="s">
        <v>317</v>
      </c>
      <c r="L342" s="16" t="s">
        <v>318</v>
      </c>
      <c r="M342" s="16" t="s">
        <v>319</v>
      </c>
      <c r="N342" s="16" t="s">
        <v>320</v>
      </c>
      <c r="O342" s="16" t="s">
        <v>293</v>
      </c>
      <c r="P342" s="16" t="s">
        <v>294</v>
      </c>
      <c r="Q342" s="16" t="s">
        <v>295</v>
      </c>
      <c r="R342" s="54"/>
      <c r="S342" s="54"/>
    </row>
    <row r="343" spans="1:19" s="10" customFormat="1" x14ac:dyDescent="0.25">
      <c r="A343" s="203" t="s">
        <v>106</v>
      </c>
      <c r="B343" s="203"/>
      <c r="C343" s="203"/>
      <c r="D343" s="203"/>
      <c r="E343" s="204"/>
      <c r="F343" s="16">
        <v>31</v>
      </c>
      <c r="G343" s="16">
        <v>28</v>
      </c>
      <c r="H343" s="16">
        <v>31</v>
      </c>
      <c r="I343" s="16">
        <v>30</v>
      </c>
      <c r="J343" s="16">
        <v>31</v>
      </c>
      <c r="K343" s="16">
        <v>30</v>
      </c>
      <c r="L343" s="16">
        <v>31</v>
      </c>
      <c r="M343" s="16">
        <v>31</v>
      </c>
      <c r="N343" s="16">
        <v>30</v>
      </c>
      <c r="O343" s="16">
        <v>31</v>
      </c>
      <c r="P343" s="16">
        <v>30</v>
      </c>
      <c r="Q343" s="16">
        <v>31</v>
      </c>
      <c r="R343" s="54"/>
      <c r="S343" s="54"/>
    </row>
    <row r="344" spans="1:19" s="10" customFormat="1" ht="31.2" x14ac:dyDescent="0.25">
      <c r="A344" s="15" t="s">
        <v>107</v>
      </c>
      <c r="B344" s="17" t="s">
        <v>103</v>
      </c>
      <c r="C344" s="17" t="s">
        <v>108</v>
      </c>
      <c r="D344" s="17" t="s">
        <v>381</v>
      </c>
      <c r="E344" s="18">
        <f>E345+E355</f>
        <v>0</v>
      </c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54"/>
      <c r="S344" s="54"/>
    </row>
    <row r="345" spans="1:19" ht="46.8" x14ac:dyDescent="0.25">
      <c r="A345" s="17" t="s">
        <v>109</v>
      </c>
      <c r="B345" s="17" t="s">
        <v>103</v>
      </c>
      <c r="C345" s="17" t="s">
        <v>110</v>
      </c>
      <c r="D345" s="17" t="s">
        <v>382</v>
      </c>
      <c r="E345" s="19">
        <f>SUM(F345:Q345)</f>
        <v>0</v>
      </c>
      <c r="F345" s="19">
        <f>IF(F346&gt;=0.8,0,$E$353*$E$354*0.4*(F347-F350)*F343)</f>
        <v>0</v>
      </c>
      <c r="G345" s="19">
        <f t="shared" ref="G345:Q345" si="42">IF(G346&gt;=0.8,0,$E$353*$E$354*0.4*(G347-G350)*G343)</f>
        <v>0</v>
      </c>
      <c r="H345" s="19">
        <f t="shared" si="42"/>
        <v>0</v>
      </c>
      <c r="I345" s="19">
        <f t="shared" si="42"/>
        <v>0</v>
      </c>
      <c r="J345" s="19">
        <f t="shared" si="42"/>
        <v>0</v>
      </c>
      <c r="K345" s="19">
        <f t="shared" si="42"/>
        <v>0</v>
      </c>
      <c r="L345" s="19">
        <f t="shared" si="42"/>
        <v>0</v>
      </c>
      <c r="M345" s="19">
        <f t="shared" si="42"/>
        <v>0</v>
      </c>
      <c r="N345" s="19">
        <f t="shared" si="42"/>
        <v>0</v>
      </c>
      <c r="O345" s="19">
        <f t="shared" si="42"/>
        <v>0</v>
      </c>
      <c r="P345" s="19">
        <f t="shared" si="42"/>
        <v>0</v>
      </c>
      <c r="Q345" s="19">
        <f t="shared" si="42"/>
        <v>0</v>
      </c>
    </row>
    <row r="346" spans="1:19" ht="62.4" x14ac:dyDescent="0.25">
      <c r="A346" s="17" t="s">
        <v>111</v>
      </c>
      <c r="B346" s="17" t="s">
        <v>37</v>
      </c>
      <c r="C346" s="17" t="s">
        <v>112</v>
      </c>
      <c r="D346" s="17" t="s">
        <v>383</v>
      </c>
      <c r="E346" s="20">
        <f>AVERAGE(F346:Q346)</f>
        <v>0.95197443630745493</v>
      </c>
      <c r="F346" s="20">
        <f>(F347-F350)/F347</f>
        <v>0.95308145766336627</v>
      </c>
      <c r="G346" s="20">
        <f t="shared" ref="G346:Q346" si="43">(G347-G350)/G347</f>
        <v>0.95327630897515114</v>
      </c>
      <c r="H346" s="20">
        <f t="shared" si="43"/>
        <v>0.9533517025102014</v>
      </c>
      <c r="I346" s="20">
        <f t="shared" si="43"/>
        <v>0.9518950836793505</v>
      </c>
      <c r="J346" s="20">
        <f t="shared" si="43"/>
        <v>0.95440509563406184</v>
      </c>
      <c r="K346" s="20">
        <f t="shared" si="43"/>
        <v>0.94740758087283894</v>
      </c>
      <c r="L346" s="20">
        <f t="shared" si="43"/>
        <v>0.94761456079563011</v>
      </c>
      <c r="M346" s="20">
        <f t="shared" si="43"/>
        <v>0.94692774002737778</v>
      </c>
      <c r="N346" s="20">
        <f t="shared" si="43"/>
        <v>0.95255945729637881</v>
      </c>
      <c r="O346" s="20">
        <f t="shared" si="43"/>
        <v>0.9548382121605089</v>
      </c>
      <c r="P346" s="20">
        <f t="shared" si="43"/>
        <v>0.95422411811902808</v>
      </c>
      <c r="Q346" s="20">
        <f t="shared" si="43"/>
        <v>0.95411191795556605</v>
      </c>
    </row>
    <row r="347" spans="1:19" ht="46.8" x14ac:dyDescent="0.25">
      <c r="A347" s="17" t="s">
        <v>113</v>
      </c>
      <c r="B347" s="17" t="s">
        <v>24</v>
      </c>
      <c r="C347" s="17" t="s">
        <v>114</v>
      </c>
      <c r="D347" s="17" t="s">
        <v>384</v>
      </c>
      <c r="E347" s="20">
        <f>SUM(F347:Q347)</f>
        <v>48.05632939790604</v>
      </c>
      <c r="F347" s="20">
        <f>F348*F349</f>
        <v>4.033746169949298</v>
      </c>
      <c r="G347" s="20">
        <f t="shared" ref="G347:Q347" si="44">G348*G349</f>
        <v>4.0355025768831645</v>
      </c>
      <c r="H347" s="20">
        <f t="shared" si="44"/>
        <v>4.0333490914379562</v>
      </c>
      <c r="I347" s="20">
        <f t="shared" si="44"/>
        <v>4.0314324300608719</v>
      </c>
      <c r="J347" s="20">
        <f t="shared" si="44"/>
        <v>4.2137216481689119</v>
      </c>
      <c r="K347" s="20">
        <f t="shared" si="44"/>
        <v>3.7393347560447601</v>
      </c>
      <c r="L347" s="20">
        <f t="shared" si="44"/>
        <v>3.7422512606446561</v>
      </c>
      <c r="M347" s="20">
        <f t="shared" si="44"/>
        <v>3.7414212729657654</v>
      </c>
      <c r="N347" s="20">
        <f t="shared" si="44"/>
        <v>4.209865094884889</v>
      </c>
      <c r="O347" s="20">
        <f t="shared" si="44"/>
        <v>4.212383660311394</v>
      </c>
      <c r="P347" s="20">
        <f t="shared" si="44"/>
        <v>4.0313153912299997</v>
      </c>
      <c r="Q347" s="20">
        <f t="shared" si="44"/>
        <v>4.0320060453243753</v>
      </c>
    </row>
    <row r="348" spans="1:19" ht="68.400000000000006" customHeight="1" x14ac:dyDescent="0.25">
      <c r="A348" s="17" t="s">
        <v>115</v>
      </c>
      <c r="B348" s="17" t="s">
        <v>116</v>
      </c>
      <c r="C348" s="17" t="s">
        <v>117</v>
      </c>
      <c r="D348" s="17" t="s">
        <v>337</v>
      </c>
      <c r="E348" s="129">
        <f>SUM(F348:Q348)</f>
        <v>131896.7353948541</v>
      </c>
      <c r="F348" s="129">
        <f>'Baseline Emissions 2021'!F337</f>
        <v>10751.269258064518</v>
      </c>
      <c r="G348" s="129">
        <f>'Baseline Emissions 2021'!G337</f>
        <v>10750.010035714287</v>
      </c>
      <c r="H348" s="129">
        <f>'Baseline Emissions 2021'!H337</f>
        <v>10752.707064516129</v>
      </c>
      <c r="I348" s="129">
        <f>'Baseline Emissions 2021'!I337</f>
        <v>10752.999633333333</v>
      </c>
      <c r="J348" s="129">
        <f>'Baseline Emissions 2021'!J337</f>
        <v>11230.384161290323</v>
      </c>
      <c r="K348" s="129">
        <f>'Baseline Emissions 2021'!K337</f>
        <v>11228.802633333335</v>
      </c>
      <c r="L348" s="129">
        <f>'Baseline Emissions 2021'!L337</f>
        <v>11232.832193548384</v>
      </c>
      <c r="M348" s="129">
        <f>'Baseline Emissions 2021'!M337</f>
        <v>11232.543290322581</v>
      </c>
      <c r="N348" s="129">
        <f>'Baseline Emissions 2021'!N337</f>
        <v>11230.9324</v>
      </c>
      <c r="O348" s="129">
        <f>'Baseline Emissions 2021'!O337</f>
        <v>11232.129354838711</v>
      </c>
      <c r="P348" s="129">
        <f>'Baseline Emissions 2021'!P337</f>
        <v>10749.099466666665</v>
      </c>
      <c r="Q348" s="129">
        <f>'Baseline Emissions 2021'!Q337</f>
        <v>10753.025903225807</v>
      </c>
    </row>
    <row r="349" spans="1:19" ht="46.8" x14ac:dyDescent="0.25">
      <c r="A349" s="17" t="s">
        <v>118</v>
      </c>
      <c r="B349" s="17" t="s">
        <v>119</v>
      </c>
      <c r="C349" s="17" t="s">
        <v>120</v>
      </c>
      <c r="D349" s="35" t="s">
        <v>338</v>
      </c>
      <c r="E349" s="120">
        <f>AVERAGE(F349:Q349)</f>
        <v>3.645778842121758E-4</v>
      </c>
      <c r="F349" s="130">
        <f>'Baseline Emissions 2021'!F341</f>
        <v>3.751879032258064E-4</v>
      </c>
      <c r="G349" s="130">
        <f>'Baseline Emissions 2021'!G341</f>
        <v>3.7539523809523818E-4</v>
      </c>
      <c r="H349" s="130">
        <f>'Baseline Emissions 2021'!H341</f>
        <v>3.7510080645161296E-4</v>
      </c>
      <c r="I349" s="130">
        <f>'Baseline Emissions 2021'!I341</f>
        <v>3.7491235632183915E-4</v>
      </c>
      <c r="J349" s="130">
        <f>'Baseline Emissions 2021'!J341</f>
        <v>3.7520725806451606E-4</v>
      </c>
      <c r="K349" s="130">
        <f>'Baseline Emissions 2021'!K341</f>
        <v>3.3301277777777783E-4</v>
      </c>
      <c r="L349" s="130">
        <f>'Baseline Emissions 2021'!L341</f>
        <v>3.331529569892472E-4</v>
      </c>
      <c r="M349" s="130">
        <f>'Baseline Emissions 2021'!M341</f>
        <v>3.3308763440860218E-4</v>
      </c>
      <c r="N349" s="130">
        <f>'Baseline Emissions 2021'!N341</f>
        <v>3.7484555555555556E-4</v>
      </c>
      <c r="O349" s="130">
        <f>'Baseline Emissions 2021'!O341</f>
        <v>3.7502983870967737E-4</v>
      </c>
      <c r="P349" s="130">
        <f>'Baseline Emissions 2021'!P341</f>
        <v>3.750375E-4</v>
      </c>
      <c r="Q349" s="130">
        <f>'Baseline Emissions 2021'!Q341</f>
        <v>3.7496478494623652E-4</v>
      </c>
    </row>
    <row r="350" spans="1:19" ht="46.8" x14ac:dyDescent="0.25">
      <c r="A350" s="17" t="s">
        <v>121</v>
      </c>
      <c r="B350" s="17" t="s">
        <v>24</v>
      </c>
      <c r="C350" s="17" t="s">
        <v>122</v>
      </c>
      <c r="D350" s="17" t="s">
        <v>384</v>
      </c>
      <c r="E350" s="20">
        <f>SUM(F350:Q350)</f>
        <v>2.3027968120291149</v>
      </c>
      <c r="F350" s="20">
        <f>SUM(F351*F352)</f>
        <v>0.18925749045000001</v>
      </c>
      <c r="G350" s="20">
        <f t="shared" ref="G350:Q350" si="45">SUM(G351*G352)</f>
        <v>0.18855357553227034</v>
      </c>
      <c r="H350" s="20">
        <f t="shared" si="45"/>
        <v>0.18814886829760674</v>
      </c>
      <c r="I350" s="20">
        <f t="shared" si="45"/>
        <v>0.19393171970043108</v>
      </c>
      <c r="J350" s="20">
        <f t="shared" si="45"/>
        <v>0.19212423557294489</v>
      </c>
      <c r="K350" s="20">
        <f t="shared" si="45"/>
        <v>0.19666066074666672</v>
      </c>
      <c r="L350" s="20">
        <f t="shared" si="45"/>
        <v>0.19603947590197712</v>
      </c>
      <c r="M350" s="20">
        <f t="shared" si="45"/>
        <v>0.19856568246593828</v>
      </c>
      <c r="N350" s="20">
        <f t="shared" si="45"/>
        <v>0.19971828481037035</v>
      </c>
      <c r="O350" s="20">
        <f t="shared" si="45"/>
        <v>0.19023877716552201</v>
      </c>
      <c r="P350" s="20">
        <f t="shared" si="45"/>
        <v>0.1845370171738889</v>
      </c>
      <c r="Q350" s="20">
        <f t="shared" si="45"/>
        <v>0.18502102421149838</v>
      </c>
    </row>
    <row r="351" spans="1:19" ht="62.4" x14ac:dyDescent="0.25">
      <c r="A351" s="17" t="s">
        <v>123</v>
      </c>
      <c r="B351" s="17" t="s">
        <v>116</v>
      </c>
      <c r="C351" s="17" t="s">
        <v>124</v>
      </c>
      <c r="D351" s="17" t="s">
        <v>337</v>
      </c>
      <c r="E351" s="129">
        <f>SUM(F351:Q351)</f>
        <v>130391.34743701997</v>
      </c>
      <c r="F351" s="129">
        <v>10620.414000000001</v>
      </c>
      <c r="G351" s="129">
        <v>10621.66807142857</v>
      </c>
      <c r="H351" s="129">
        <v>10621.491290322583</v>
      </c>
      <c r="I351" s="129">
        <v>10623.217500000002</v>
      </c>
      <c r="J351" s="129">
        <v>11109.590193548389</v>
      </c>
      <c r="K351" s="129">
        <v>11112.341333333334</v>
      </c>
      <c r="L351" s="129">
        <v>11107.729161290323</v>
      </c>
      <c r="M351" s="129">
        <v>11108.736709677421</v>
      </c>
      <c r="N351" s="129">
        <v>11110.548666666667</v>
      </c>
      <c r="O351" s="129">
        <v>11111.101096774193</v>
      </c>
      <c r="P351" s="129">
        <v>10619.816833333334</v>
      </c>
      <c r="Q351" s="129">
        <v>10624.69258064516</v>
      </c>
    </row>
    <row r="352" spans="1:19" ht="46.8" x14ac:dyDescent="0.25">
      <c r="A352" s="17" t="s">
        <v>125</v>
      </c>
      <c r="B352" s="17" t="s">
        <v>119</v>
      </c>
      <c r="C352" s="17" t="s">
        <v>126</v>
      </c>
      <c r="D352" s="35" t="s">
        <v>339</v>
      </c>
      <c r="E352" s="131">
        <f>AVERAGE(F352:Q352)</f>
        <v>1.7662005373401368E-5</v>
      </c>
      <c r="F352" s="131">
        <f>'Baseline Emissions 2021'!F342</f>
        <v>1.7820161290322582E-5</v>
      </c>
      <c r="G352" s="131">
        <f>'Baseline Emissions 2021'!G342</f>
        <v>1.7751785714285711E-5</v>
      </c>
      <c r="H352" s="131">
        <f>'Baseline Emissions 2021'!H342</f>
        <v>1.771397849462366E-5</v>
      </c>
      <c r="I352" s="131">
        <f>'Baseline Emissions 2021'!I342</f>
        <v>1.8255459770114942E-5</v>
      </c>
      <c r="J352" s="131">
        <f>'Baseline Emissions 2021'!J342</f>
        <v>1.7293548387096775E-5</v>
      </c>
      <c r="K352" s="131">
        <f>'Baseline Emissions 2021'!K342</f>
        <v>1.7697500000000005E-5</v>
      </c>
      <c r="L352" s="131">
        <f>'Baseline Emissions 2021'!L342</f>
        <v>1.7648924731182796E-5</v>
      </c>
      <c r="M352" s="131">
        <f>'Baseline Emissions 2021'!M342</f>
        <v>1.7874731182795698E-5</v>
      </c>
      <c r="N352" s="131">
        <f>'Baseline Emissions 2021'!N342</f>
        <v>1.7975555555555552E-5</v>
      </c>
      <c r="O352" s="131">
        <f>'Baseline Emissions 2021'!O342</f>
        <v>1.7121505376344086E-5</v>
      </c>
      <c r="P352" s="131">
        <f>'Baseline Emissions 2021'!P342</f>
        <v>1.7376666666666666E-5</v>
      </c>
      <c r="Q352" s="131">
        <f>'Baseline Emissions 2021'!Q342</f>
        <v>1.7414247311827955E-5</v>
      </c>
    </row>
    <row r="353" spans="1:17" ht="31.2" x14ac:dyDescent="0.25">
      <c r="A353" s="17" t="s">
        <v>127</v>
      </c>
      <c r="B353" s="17" t="s">
        <v>128</v>
      </c>
      <c r="C353" s="17" t="s">
        <v>17</v>
      </c>
      <c r="D353" s="17" t="s">
        <v>129</v>
      </c>
      <c r="E353" s="176">
        <v>28</v>
      </c>
      <c r="F353" s="176"/>
      <c r="G353" s="176"/>
      <c r="H353" s="176"/>
      <c r="I353" s="176"/>
      <c r="J353" s="176"/>
      <c r="K353" s="176"/>
      <c r="L353" s="176"/>
      <c r="M353" s="176"/>
      <c r="N353" s="176"/>
      <c r="O353" s="176"/>
      <c r="P353" s="176"/>
      <c r="Q353" s="176"/>
    </row>
    <row r="354" spans="1:17" ht="64.8" x14ac:dyDescent="0.25">
      <c r="A354" s="17" t="s">
        <v>130</v>
      </c>
      <c r="B354" s="17" t="s">
        <v>19</v>
      </c>
      <c r="C354" s="17" t="s">
        <v>131</v>
      </c>
      <c r="D354" s="17" t="s">
        <v>394</v>
      </c>
      <c r="E354" s="176">
        <v>0.21</v>
      </c>
      <c r="F354" s="176"/>
      <c r="G354" s="176"/>
      <c r="H354" s="176"/>
      <c r="I354" s="176"/>
      <c r="J354" s="176"/>
      <c r="K354" s="176"/>
      <c r="L354" s="176"/>
      <c r="M354" s="176"/>
      <c r="N354" s="176"/>
      <c r="O354" s="176"/>
      <c r="P354" s="176"/>
      <c r="Q354" s="176"/>
    </row>
    <row r="355" spans="1:17" ht="46.8" x14ac:dyDescent="0.25">
      <c r="A355" s="17" t="s">
        <v>132</v>
      </c>
      <c r="B355" s="17" t="s">
        <v>103</v>
      </c>
      <c r="C355" s="17" t="s">
        <v>133</v>
      </c>
      <c r="D355" s="17" t="s">
        <v>385</v>
      </c>
      <c r="E355" s="19">
        <f>SUM(F355:Q355)</f>
        <v>0</v>
      </c>
      <c r="F355" s="19">
        <f>$E$353*$E$354*F356*F350*F343</f>
        <v>0</v>
      </c>
      <c r="G355" s="19">
        <f t="shared" ref="G355:Q355" si="46">$E$353*$E$354*G356*G350*G343</f>
        <v>0</v>
      </c>
      <c r="H355" s="19">
        <f t="shared" si="46"/>
        <v>0</v>
      </c>
      <c r="I355" s="19">
        <f t="shared" si="46"/>
        <v>0</v>
      </c>
      <c r="J355" s="19">
        <f t="shared" si="46"/>
        <v>0</v>
      </c>
      <c r="K355" s="19">
        <f t="shared" si="46"/>
        <v>0</v>
      </c>
      <c r="L355" s="19">
        <f t="shared" si="46"/>
        <v>0</v>
      </c>
      <c r="M355" s="19">
        <f t="shared" si="46"/>
        <v>0</v>
      </c>
      <c r="N355" s="19">
        <f t="shared" si="46"/>
        <v>0</v>
      </c>
      <c r="O355" s="19">
        <f t="shared" si="46"/>
        <v>0</v>
      </c>
      <c r="P355" s="19">
        <f t="shared" si="46"/>
        <v>0</v>
      </c>
      <c r="Q355" s="19">
        <f t="shared" si="46"/>
        <v>0</v>
      </c>
    </row>
    <row r="356" spans="1:17" ht="18" x14ac:dyDescent="0.25">
      <c r="A356" s="17" t="s">
        <v>134</v>
      </c>
      <c r="B356" s="17" t="s">
        <v>37</v>
      </c>
      <c r="C356" s="17" t="s">
        <v>135</v>
      </c>
      <c r="D356" s="17" t="s">
        <v>386</v>
      </c>
      <c r="E356" s="26">
        <f>AVERAGE(F356:Q356)</f>
        <v>0</v>
      </c>
      <c r="F356" s="26">
        <f>F357*$E$358*0.89</f>
        <v>0</v>
      </c>
      <c r="G356" s="26">
        <f t="shared" ref="G356:Q356" si="47">G357*$E$358*0.89</f>
        <v>0</v>
      </c>
      <c r="H356" s="26">
        <f t="shared" si="47"/>
        <v>0</v>
      </c>
      <c r="I356" s="26">
        <f t="shared" si="47"/>
        <v>0</v>
      </c>
      <c r="J356" s="26">
        <f t="shared" si="47"/>
        <v>0</v>
      </c>
      <c r="K356" s="26">
        <f t="shared" si="47"/>
        <v>0</v>
      </c>
      <c r="L356" s="26">
        <f t="shared" si="47"/>
        <v>0</v>
      </c>
      <c r="M356" s="26">
        <f t="shared" si="47"/>
        <v>0</v>
      </c>
      <c r="N356" s="26">
        <f t="shared" si="47"/>
        <v>0</v>
      </c>
      <c r="O356" s="26">
        <f t="shared" si="47"/>
        <v>0</v>
      </c>
      <c r="P356" s="26">
        <f t="shared" si="47"/>
        <v>0</v>
      </c>
      <c r="Q356" s="26">
        <f t="shared" si="47"/>
        <v>0</v>
      </c>
    </row>
    <row r="357" spans="1:17" ht="31.2" x14ac:dyDescent="0.25">
      <c r="A357" s="17" t="s">
        <v>136</v>
      </c>
      <c r="B357" s="17" t="s">
        <v>37</v>
      </c>
      <c r="C357" s="17" t="s">
        <v>46</v>
      </c>
      <c r="D357" s="17" t="s">
        <v>387</v>
      </c>
      <c r="E357" s="25">
        <v>0</v>
      </c>
      <c r="F357" s="25">
        <v>0</v>
      </c>
      <c r="G357" s="25">
        <v>0</v>
      </c>
      <c r="H357" s="25">
        <v>0</v>
      </c>
      <c r="I357" s="25">
        <v>0</v>
      </c>
      <c r="J357" s="25">
        <v>0</v>
      </c>
      <c r="K357" s="25">
        <v>0</v>
      </c>
      <c r="L357" s="25">
        <v>0</v>
      </c>
      <c r="M357" s="25">
        <v>0</v>
      </c>
      <c r="N357" s="25">
        <v>0</v>
      </c>
      <c r="O357" s="25">
        <v>0</v>
      </c>
      <c r="P357" s="25">
        <v>0</v>
      </c>
      <c r="Q357" s="25">
        <v>0</v>
      </c>
    </row>
    <row r="358" spans="1:17" ht="31.2" x14ac:dyDescent="0.25">
      <c r="A358" s="17" t="s">
        <v>137</v>
      </c>
      <c r="B358" s="17" t="s">
        <v>201</v>
      </c>
      <c r="C358" s="17" t="s">
        <v>138</v>
      </c>
      <c r="D358" s="17" t="s">
        <v>388</v>
      </c>
      <c r="E358" s="196">
        <f>(F359*F364+G359*G364+H359*H364+I359*I364+J359*J364+K359*K364+L359*L364+M359*M364+N359*N364+O359*O364+P359*P364+Q359*Q364)/(F351*F352*F343+G352*G351*G343+H351*H352*H343+I352*I351*I343+J352*J351*J343+K352*K351*K343+L352*L351*L343+M352*M351*M343+N352*N351*N343+O351*O352*O343+P352*P351*P343+Q352*Q351*Q343)</f>
        <v>0.64774473866951221</v>
      </c>
      <c r="F358" s="196"/>
      <c r="G358" s="196"/>
      <c r="H358" s="196"/>
      <c r="I358" s="196"/>
      <c r="J358" s="196"/>
      <c r="K358" s="196"/>
      <c r="L358" s="196"/>
      <c r="M358" s="196"/>
      <c r="N358" s="196"/>
      <c r="O358" s="196"/>
      <c r="P358" s="196"/>
      <c r="Q358" s="196"/>
    </row>
    <row r="359" spans="1:17" ht="31.2" x14ac:dyDescent="0.25">
      <c r="A359" s="17" t="s">
        <v>139</v>
      </c>
      <c r="B359" s="17" t="s">
        <v>37</v>
      </c>
      <c r="C359" s="17" t="s">
        <v>140</v>
      </c>
      <c r="D359" s="17" t="s">
        <v>375</v>
      </c>
      <c r="E359" s="27">
        <f>AVERAGE(F359:Q359)</f>
        <v>0.64054421729664701</v>
      </c>
      <c r="F359" s="27">
        <f>IF(F363&lt;283,0,IF(F363&gt;303,1,EXP(($E$360*(F363-$E$361))/($E$362*$E$361*F363))))</f>
        <v>0.25708890533410012</v>
      </c>
      <c r="G359" s="27">
        <f>IF(G363&lt;283,0,IF(G363&gt;303,1,EXP(($E$360*(G363-$E$361))/($E$362*$E$361*G363))))</f>
        <v>0.37002059672690846</v>
      </c>
      <c r="H359" s="27">
        <f t="shared" ref="H359:Q359" si="48">IF(H363&lt;283,0,IF(H363&gt;303,1,EXP(($E$360*(H363-$E$361))/($E$362*$E$361*H363))))</f>
        <v>0.44226396815696317</v>
      </c>
      <c r="I359" s="27">
        <f t="shared" si="48"/>
        <v>0.57531644493802248</v>
      </c>
      <c r="J359" s="27">
        <f t="shared" si="48"/>
        <v>0.88152221926734242</v>
      </c>
      <c r="K359" s="27">
        <f t="shared" si="48"/>
        <v>0.88152221926734242</v>
      </c>
      <c r="L359" s="27">
        <f t="shared" si="48"/>
        <v>0.95843738031531212</v>
      </c>
      <c r="M359" s="27">
        <f t="shared" si="48"/>
        <v>0.91923925774048054</v>
      </c>
      <c r="N359" s="27">
        <f t="shared" si="48"/>
        <v>1</v>
      </c>
      <c r="O359" s="27">
        <f t="shared" si="48"/>
        <v>0.65487347206548807</v>
      </c>
      <c r="P359" s="27">
        <f t="shared" si="48"/>
        <v>0.42307437878932203</v>
      </c>
      <c r="Q359" s="27">
        <f t="shared" si="48"/>
        <v>0.32317176495848171</v>
      </c>
    </row>
    <row r="360" spans="1:17" x14ac:dyDescent="0.25">
      <c r="A360" s="17" t="s">
        <v>51</v>
      </c>
      <c r="B360" s="17" t="s">
        <v>52</v>
      </c>
      <c r="C360" s="17" t="s">
        <v>53</v>
      </c>
      <c r="D360" s="17" t="s">
        <v>389</v>
      </c>
      <c r="E360" s="176">
        <v>15175</v>
      </c>
      <c r="F360" s="176"/>
      <c r="G360" s="176"/>
      <c r="H360" s="176"/>
      <c r="I360" s="176"/>
      <c r="J360" s="176"/>
      <c r="K360" s="176"/>
      <c r="L360" s="176"/>
      <c r="M360" s="176"/>
      <c r="N360" s="176"/>
      <c r="O360" s="176"/>
      <c r="P360" s="176"/>
      <c r="Q360" s="176"/>
    </row>
    <row r="361" spans="1:17" ht="18" x14ac:dyDescent="0.25">
      <c r="A361" s="17" t="s">
        <v>141</v>
      </c>
      <c r="B361" s="17" t="s">
        <v>55</v>
      </c>
      <c r="C361" s="17" t="s">
        <v>56</v>
      </c>
      <c r="D361" s="17" t="s">
        <v>389</v>
      </c>
      <c r="E361" s="176">
        <v>303.16000000000003</v>
      </c>
      <c r="F361" s="176"/>
      <c r="G361" s="176"/>
      <c r="H361" s="176"/>
      <c r="I361" s="176"/>
      <c r="J361" s="176"/>
      <c r="K361" s="176"/>
      <c r="L361" s="176"/>
      <c r="M361" s="176"/>
      <c r="N361" s="176"/>
      <c r="O361" s="176"/>
      <c r="P361" s="176"/>
      <c r="Q361" s="176"/>
    </row>
    <row r="362" spans="1:17" x14ac:dyDescent="0.25">
      <c r="A362" s="17" t="s">
        <v>57</v>
      </c>
      <c r="B362" s="17" t="s">
        <v>58</v>
      </c>
      <c r="C362" s="17" t="s">
        <v>59</v>
      </c>
      <c r="D362" s="17" t="s">
        <v>389</v>
      </c>
      <c r="E362" s="176">
        <v>1.9870000000000001</v>
      </c>
      <c r="F362" s="176"/>
      <c r="G362" s="176"/>
      <c r="H362" s="176"/>
      <c r="I362" s="176"/>
      <c r="J362" s="176"/>
      <c r="K362" s="176"/>
      <c r="L362" s="176"/>
      <c r="M362" s="176"/>
      <c r="N362" s="176"/>
      <c r="O362" s="176"/>
      <c r="P362" s="176"/>
      <c r="Q362" s="176"/>
    </row>
    <row r="363" spans="1:17" ht="18" x14ac:dyDescent="0.25">
      <c r="A363" s="17" t="s">
        <v>142</v>
      </c>
      <c r="B363" s="17" t="s">
        <v>55</v>
      </c>
      <c r="C363" s="17" t="s">
        <v>143</v>
      </c>
      <c r="D363" s="144" t="s">
        <v>363</v>
      </c>
      <c r="E363" s="28">
        <f>AVERAGE(F363:Q363)</f>
        <v>296.85833333333341</v>
      </c>
      <c r="F363" s="25">
        <v>287.64999999999998</v>
      </c>
      <c r="G363" s="25">
        <v>291.64999999999998</v>
      </c>
      <c r="H363" s="25">
        <v>293.64999999999998</v>
      </c>
      <c r="I363" s="25">
        <v>296.64999999999998</v>
      </c>
      <c r="J363" s="25">
        <v>301.64999999999998</v>
      </c>
      <c r="K363" s="25">
        <v>301.64999999999998</v>
      </c>
      <c r="L363" s="25">
        <v>302.64999999999998</v>
      </c>
      <c r="M363" s="25">
        <v>302.14999999999998</v>
      </c>
      <c r="N363" s="25">
        <v>303.14999999999998</v>
      </c>
      <c r="O363" s="25">
        <v>298.14999999999998</v>
      </c>
      <c r="P363" s="25">
        <v>293.14999999999998</v>
      </c>
      <c r="Q363" s="25">
        <v>290.14999999999998</v>
      </c>
    </row>
    <row r="364" spans="1:17" ht="46.8" x14ac:dyDescent="0.25">
      <c r="A364" s="17" t="s">
        <v>144</v>
      </c>
      <c r="B364" s="17" t="s">
        <v>24</v>
      </c>
      <c r="C364" s="17" t="s">
        <v>145</v>
      </c>
      <c r="D364" s="17" t="s">
        <v>390</v>
      </c>
      <c r="E364" s="29">
        <f>SUM(F364:Q364)</f>
        <v>70.046192763874387</v>
      </c>
      <c r="F364" s="29">
        <f>F351*F352*'Project Emissions 2021'!F343+(1-F359)*0</f>
        <v>5.8669822039500001</v>
      </c>
      <c r="G364" s="29">
        <f>G351*G352*'Project Emissions 2021'!G343+(1-G359)*0</f>
        <v>5.2795001149035699</v>
      </c>
      <c r="H364" s="29">
        <f>H351*H352*'Project Emissions 2021'!H343+(1-H359)*0</f>
        <v>5.8326149172258086</v>
      </c>
      <c r="I364" s="29">
        <f>I351*I352*'Project Emissions 2021'!I343+(1-I359)*0</f>
        <v>5.8179515910129327</v>
      </c>
      <c r="J364" s="29">
        <f>J351*J352*'Project Emissions 2021'!J343+(1-J359)*0</f>
        <v>5.9558513027612916</v>
      </c>
      <c r="K364" s="29">
        <f>K351*K352*'Project Emissions 2021'!K343+(1-K359)*0</f>
        <v>5.8998198224000014</v>
      </c>
      <c r="L364" s="29">
        <f>L351*L352*'Project Emissions 2021'!L343+(1-L359)*0</f>
        <v>6.0772237529612907</v>
      </c>
      <c r="M364" s="29">
        <f>M351*M352*'Project Emissions 2021'!M343+(1-M359)*0</f>
        <v>6.1555361564440867</v>
      </c>
      <c r="N364" s="29">
        <f>N351*N352*'Project Emissions 2021'!N343+(1-N359)*0</f>
        <v>5.9915485443111107</v>
      </c>
      <c r="O364" s="29">
        <f>O351*O352*'Project Emissions 2021'!O343+(1-O359)*0</f>
        <v>5.8974020921311823</v>
      </c>
      <c r="P364" s="29">
        <f>P351*P352*'Project Emissions 2021'!P343+(1-P359)*0</f>
        <v>5.5361105152166674</v>
      </c>
      <c r="Q364" s="29">
        <f>Q351*Q352*'Project Emissions 2021'!Q343+(1-Q359)*0</f>
        <v>5.7356517505564497</v>
      </c>
    </row>
    <row r="365" spans="1:17" x14ac:dyDescent="0.3">
      <c r="A365" s="30"/>
      <c r="E365" s="31"/>
      <c r="F365" s="31"/>
      <c r="G365" s="31"/>
      <c r="H365" s="31"/>
      <c r="I365" s="31"/>
      <c r="J365" s="31"/>
      <c r="K365" s="31"/>
      <c r="L365" s="31"/>
      <c r="M365" s="31"/>
      <c r="N365" s="31"/>
      <c r="O365" s="31"/>
      <c r="P365" s="31"/>
      <c r="Q365" s="31"/>
    </row>
    <row r="366" spans="1:17" x14ac:dyDescent="0.25">
      <c r="A366" s="174" t="s">
        <v>146</v>
      </c>
      <c r="B366" s="174"/>
      <c r="C366" s="175"/>
      <c r="D366" s="175"/>
      <c r="E366" s="195"/>
      <c r="F366" s="32"/>
      <c r="G366" s="32"/>
      <c r="H366" s="32"/>
      <c r="I366" s="32"/>
      <c r="J366" s="32"/>
      <c r="K366" s="32"/>
      <c r="L366" s="32"/>
      <c r="M366" s="32"/>
      <c r="N366" s="32"/>
      <c r="O366" s="32"/>
      <c r="P366" s="32"/>
      <c r="Q366" s="32"/>
    </row>
    <row r="367" spans="1:17" x14ac:dyDescent="0.25">
      <c r="A367" s="33" t="s">
        <v>8</v>
      </c>
      <c r="B367" s="33" t="s">
        <v>9</v>
      </c>
      <c r="C367" s="34" t="s">
        <v>10</v>
      </c>
      <c r="D367" s="34" t="s">
        <v>340</v>
      </c>
      <c r="E367" s="16" t="s">
        <v>65</v>
      </c>
      <c r="F367" s="32"/>
      <c r="G367" s="32"/>
      <c r="H367" s="32"/>
      <c r="I367" s="32"/>
      <c r="J367" s="32"/>
      <c r="K367" s="32"/>
      <c r="L367" s="32"/>
      <c r="M367" s="32"/>
      <c r="N367" s="32"/>
      <c r="O367" s="32"/>
      <c r="P367" s="32"/>
      <c r="Q367" s="32"/>
    </row>
    <row r="368" spans="1:17" ht="46.8" x14ac:dyDescent="0.25">
      <c r="A368" s="15" t="s">
        <v>147</v>
      </c>
      <c r="B368" s="17" t="s">
        <v>95</v>
      </c>
      <c r="C368" s="35" t="s">
        <v>148</v>
      </c>
      <c r="D368" s="35" t="s">
        <v>68</v>
      </c>
      <c r="E368" s="16">
        <v>0</v>
      </c>
      <c r="F368" s="32"/>
      <c r="G368" s="32"/>
      <c r="H368" s="32"/>
      <c r="I368" s="32"/>
      <c r="J368" s="32"/>
      <c r="K368" s="32"/>
      <c r="L368" s="32"/>
      <c r="M368" s="32"/>
      <c r="N368" s="32"/>
      <c r="O368" s="32"/>
      <c r="P368" s="32"/>
      <c r="Q368" s="32"/>
    </row>
    <row r="369" spans="1:19" x14ac:dyDescent="0.25">
      <c r="A369" s="36"/>
      <c r="B369" s="36"/>
      <c r="C369" s="37"/>
      <c r="D369" s="37"/>
      <c r="E369" s="32"/>
      <c r="F369" s="32"/>
      <c r="G369" s="32"/>
      <c r="H369" s="32"/>
      <c r="I369" s="32"/>
      <c r="J369" s="32"/>
      <c r="K369" s="32"/>
      <c r="L369" s="32"/>
      <c r="M369" s="32"/>
      <c r="N369" s="32"/>
      <c r="O369" s="32"/>
      <c r="P369" s="32"/>
      <c r="Q369" s="32"/>
    </row>
    <row r="370" spans="1:19" x14ac:dyDescent="0.25">
      <c r="A370" s="174" t="s">
        <v>149</v>
      </c>
      <c r="B370" s="174"/>
      <c r="C370" s="175"/>
      <c r="D370" s="175"/>
      <c r="E370" s="195"/>
      <c r="F370" s="32"/>
      <c r="G370" s="32"/>
      <c r="H370" s="32"/>
      <c r="I370" s="32"/>
      <c r="J370" s="32"/>
      <c r="K370" s="32"/>
      <c r="L370" s="32"/>
      <c r="M370" s="32"/>
      <c r="N370" s="32"/>
      <c r="O370" s="32"/>
      <c r="P370" s="32"/>
      <c r="Q370" s="32"/>
    </row>
    <row r="371" spans="1:19" x14ac:dyDescent="0.25">
      <c r="A371" s="33" t="s">
        <v>8</v>
      </c>
      <c r="B371" s="33" t="s">
        <v>9</v>
      </c>
      <c r="C371" s="34" t="s">
        <v>10</v>
      </c>
      <c r="D371" s="34" t="s">
        <v>340</v>
      </c>
      <c r="E371" s="16" t="s">
        <v>65</v>
      </c>
      <c r="F371" s="32"/>
      <c r="G371" s="32"/>
      <c r="H371" s="32"/>
      <c r="I371" s="32"/>
      <c r="J371" s="32"/>
      <c r="K371" s="32"/>
      <c r="L371" s="32"/>
      <c r="M371" s="32"/>
      <c r="N371" s="32"/>
      <c r="O371" s="32"/>
      <c r="P371" s="32"/>
      <c r="Q371" s="32"/>
    </row>
    <row r="372" spans="1:19" ht="46.8" x14ac:dyDescent="0.25">
      <c r="A372" s="15" t="s">
        <v>150</v>
      </c>
      <c r="B372" s="17" t="s">
        <v>95</v>
      </c>
      <c r="C372" s="35" t="s">
        <v>151</v>
      </c>
      <c r="D372" s="35" t="s">
        <v>68</v>
      </c>
      <c r="E372" s="16">
        <v>0</v>
      </c>
      <c r="F372" s="32"/>
      <c r="G372" s="32"/>
      <c r="H372" s="32"/>
      <c r="I372" s="32"/>
      <c r="J372" s="32"/>
      <c r="K372" s="32"/>
      <c r="L372" s="32"/>
      <c r="M372" s="32"/>
      <c r="N372" s="32"/>
      <c r="O372" s="32"/>
      <c r="P372" s="32"/>
      <c r="Q372" s="32"/>
    </row>
    <row r="373" spans="1:19" x14ac:dyDescent="0.25">
      <c r="F373" s="32"/>
      <c r="G373" s="32"/>
      <c r="H373" s="32"/>
      <c r="I373" s="32"/>
      <c r="J373" s="32"/>
      <c r="K373" s="32"/>
      <c r="L373" s="32"/>
      <c r="M373" s="32"/>
      <c r="N373" s="32"/>
      <c r="O373" s="32"/>
      <c r="P373" s="32"/>
      <c r="Q373" s="32"/>
    </row>
    <row r="374" spans="1:19" x14ac:dyDescent="0.25">
      <c r="A374" s="174" t="s">
        <v>152</v>
      </c>
      <c r="B374" s="174"/>
      <c r="C374" s="175"/>
      <c r="D374" s="175"/>
      <c r="E374" s="195"/>
      <c r="F374" s="32"/>
      <c r="G374" s="32"/>
      <c r="H374" s="32"/>
      <c r="I374" s="32"/>
      <c r="J374" s="32"/>
      <c r="K374" s="32"/>
      <c r="L374" s="32"/>
      <c r="M374" s="32"/>
      <c r="N374" s="32"/>
      <c r="O374" s="32"/>
      <c r="P374" s="32"/>
      <c r="Q374" s="32"/>
    </row>
    <row r="375" spans="1:19" s="10" customFormat="1" x14ac:dyDescent="0.25">
      <c r="A375" s="15" t="s">
        <v>8</v>
      </c>
      <c r="B375" s="15" t="s">
        <v>9</v>
      </c>
      <c r="C375" s="38" t="s">
        <v>10</v>
      </c>
      <c r="D375" s="38" t="s">
        <v>340</v>
      </c>
      <c r="E375" s="16" t="s">
        <v>65</v>
      </c>
      <c r="F375" s="32"/>
      <c r="G375" s="32"/>
      <c r="H375" s="39"/>
      <c r="I375" s="39"/>
      <c r="J375" s="39"/>
      <c r="K375" s="39"/>
      <c r="L375" s="39"/>
      <c r="M375" s="39"/>
      <c r="N375" s="39"/>
      <c r="O375" s="39"/>
      <c r="P375" s="39"/>
      <c r="Q375" s="39"/>
    </row>
    <row r="376" spans="1:19" s="10" customFormat="1" ht="18" x14ac:dyDescent="0.4">
      <c r="A376" s="40" t="s">
        <v>153</v>
      </c>
      <c r="B376" s="17" t="s">
        <v>103</v>
      </c>
      <c r="C376" s="35" t="s">
        <v>154</v>
      </c>
      <c r="D376" s="35" t="s">
        <v>155</v>
      </c>
      <c r="E376" s="41">
        <f>E377*E379*(1+E378)</f>
        <v>772.90664510100009</v>
      </c>
      <c r="F376" s="32"/>
      <c r="G376" s="32"/>
      <c r="H376" s="39"/>
      <c r="I376" s="39"/>
      <c r="J376" s="39"/>
      <c r="K376" s="39"/>
      <c r="L376" s="39"/>
      <c r="M376" s="39"/>
      <c r="N376" s="39"/>
      <c r="O376" s="39"/>
      <c r="P376" s="39"/>
      <c r="Q376" s="39"/>
    </row>
    <row r="377" spans="1:19" ht="31.2" x14ac:dyDescent="0.25">
      <c r="A377" s="17" t="s">
        <v>156</v>
      </c>
      <c r="B377" s="17" t="s">
        <v>157</v>
      </c>
      <c r="C377" s="35" t="s">
        <v>158</v>
      </c>
      <c r="D377" s="35" t="s">
        <v>343</v>
      </c>
      <c r="E377" s="20">
        <f>1265773.55/1000</f>
        <v>1265.7735500000001</v>
      </c>
      <c r="G377" s="42"/>
      <c r="H377" s="43"/>
      <c r="I377" s="43"/>
      <c r="J377" s="43"/>
      <c r="K377" s="43"/>
      <c r="L377" s="43"/>
      <c r="M377" s="43"/>
      <c r="N377" s="43"/>
      <c r="O377" s="43"/>
      <c r="P377" s="43"/>
      <c r="Q377" s="43"/>
      <c r="R377" s="9"/>
      <c r="S377" s="9"/>
    </row>
    <row r="378" spans="1:19" ht="31.2" x14ac:dyDescent="0.25">
      <c r="A378" s="17" t="s">
        <v>159</v>
      </c>
      <c r="B378" s="17" t="s">
        <v>160</v>
      </c>
      <c r="C378" s="35" t="s">
        <v>161</v>
      </c>
      <c r="D378" s="35" t="s">
        <v>162</v>
      </c>
      <c r="E378" s="44">
        <v>0.2</v>
      </c>
      <c r="H378" s="43"/>
      <c r="I378" s="43"/>
      <c r="J378" s="43"/>
      <c r="K378" s="43"/>
      <c r="L378" s="43"/>
      <c r="M378" s="43"/>
      <c r="N378" s="43"/>
      <c r="O378" s="43"/>
      <c r="P378" s="43"/>
      <c r="Q378" s="43"/>
      <c r="R378" s="9"/>
      <c r="S378" s="9"/>
    </row>
    <row r="379" spans="1:19" ht="46.8" x14ac:dyDescent="0.25">
      <c r="A379" s="17" t="s">
        <v>163</v>
      </c>
      <c r="B379" s="17" t="s">
        <v>164</v>
      </c>
      <c r="C379" s="35" t="s">
        <v>165</v>
      </c>
      <c r="D379" s="35" t="s">
        <v>166</v>
      </c>
      <c r="E379" s="45">
        <f>0.5*0.8042+0.5*0.2135</f>
        <v>0.50885000000000002</v>
      </c>
      <c r="F379" s="46"/>
      <c r="G379" s="46"/>
      <c r="H379" s="46"/>
      <c r="I379" s="46"/>
      <c r="J379" s="46"/>
      <c r="K379" s="46"/>
      <c r="L379" s="46"/>
      <c r="M379" s="46"/>
      <c r="N379" s="46"/>
      <c r="O379" s="46"/>
      <c r="P379" s="46"/>
      <c r="Q379" s="46"/>
    </row>
    <row r="380" spans="1:19" ht="31.2" x14ac:dyDescent="0.4">
      <c r="A380" s="40" t="s">
        <v>167</v>
      </c>
      <c r="B380" s="17" t="s">
        <v>103</v>
      </c>
      <c r="C380" s="35" t="s">
        <v>168</v>
      </c>
      <c r="D380" s="35" t="s">
        <v>169</v>
      </c>
      <c r="E380" s="47">
        <v>0</v>
      </c>
      <c r="H380" s="43"/>
      <c r="I380" s="43"/>
      <c r="J380" s="43"/>
      <c r="K380" s="43"/>
      <c r="L380" s="43"/>
      <c r="M380" s="43"/>
      <c r="N380" s="43"/>
      <c r="O380" s="43"/>
      <c r="P380" s="43"/>
      <c r="Q380" s="43"/>
      <c r="R380" s="9"/>
      <c r="S380" s="9"/>
    </row>
    <row r="381" spans="1:19" x14ac:dyDescent="0.3">
      <c r="A381" s="48"/>
      <c r="E381" s="49"/>
      <c r="H381" s="43"/>
      <c r="I381" s="43"/>
      <c r="J381" s="43"/>
      <c r="K381" s="43"/>
      <c r="L381" s="43"/>
      <c r="M381" s="43"/>
      <c r="N381" s="43"/>
      <c r="O381" s="43"/>
      <c r="P381" s="43"/>
      <c r="Q381" s="43"/>
      <c r="R381" s="9"/>
      <c r="S381" s="9"/>
    </row>
    <row r="382" spans="1:19" x14ac:dyDescent="0.25">
      <c r="A382" s="174" t="s">
        <v>170</v>
      </c>
      <c r="B382" s="174"/>
      <c r="C382" s="175"/>
      <c r="D382" s="175"/>
      <c r="E382" s="195"/>
      <c r="F382" s="32"/>
      <c r="G382" s="32"/>
      <c r="H382" s="32"/>
      <c r="I382" s="32"/>
      <c r="J382" s="32"/>
      <c r="K382" s="32"/>
      <c r="L382" s="32"/>
      <c r="M382" s="32"/>
      <c r="N382" s="32"/>
      <c r="O382" s="32"/>
      <c r="P382" s="32"/>
      <c r="Q382" s="32"/>
    </row>
    <row r="383" spans="1:19" x14ac:dyDescent="0.25">
      <c r="A383" s="15" t="s">
        <v>8</v>
      </c>
      <c r="B383" s="15" t="s">
        <v>9</v>
      </c>
      <c r="C383" s="38" t="s">
        <v>10</v>
      </c>
      <c r="D383" s="38" t="s">
        <v>340</v>
      </c>
      <c r="E383" s="16" t="s">
        <v>65</v>
      </c>
      <c r="H383" s="43"/>
      <c r="I383" s="43"/>
      <c r="J383" s="43"/>
      <c r="K383" s="43"/>
      <c r="L383" s="43"/>
      <c r="M383" s="43"/>
      <c r="N383" s="43"/>
      <c r="O383" s="43"/>
      <c r="P383" s="43"/>
      <c r="Q383" s="43"/>
      <c r="R383" s="9"/>
      <c r="S383" s="9"/>
    </row>
    <row r="384" spans="1:19" ht="33.6" x14ac:dyDescent="0.4">
      <c r="A384" s="40" t="s">
        <v>171</v>
      </c>
      <c r="B384" s="17" t="s">
        <v>74</v>
      </c>
      <c r="C384" s="35" t="s">
        <v>172</v>
      </c>
      <c r="D384" s="35" t="s">
        <v>391</v>
      </c>
      <c r="E384" s="50">
        <f>E385*E388*E389*E390*E391*E392</f>
        <v>11.050616072976476</v>
      </c>
      <c r="H384" s="43"/>
      <c r="I384" s="43"/>
      <c r="J384" s="43"/>
      <c r="K384" s="43"/>
      <c r="L384" s="43"/>
      <c r="M384" s="43"/>
      <c r="N384" s="43"/>
      <c r="O384" s="43"/>
      <c r="P384" s="43"/>
      <c r="Q384" s="43"/>
      <c r="R384" s="9"/>
      <c r="S384" s="9"/>
    </row>
    <row r="385" spans="1:19" ht="46.8" x14ac:dyDescent="0.4">
      <c r="A385" s="51" t="s">
        <v>173</v>
      </c>
      <c r="B385" s="17" t="s">
        <v>76</v>
      </c>
      <c r="C385" s="35" t="s">
        <v>174</v>
      </c>
      <c r="D385" s="35" t="s">
        <v>392</v>
      </c>
      <c r="E385" s="69">
        <f>ROUNDUP(E386/E387,0)</f>
        <v>265</v>
      </c>
      <c r="H385" s="43"/>
      <c r="I385" s="43"/>
      <c r="J385" s="43"/>
      <c r="K385" s="43"/>
      <c r="L385" s="43"/>
      <c r="M385" s="43"/>
      <c r="N385" s="43"/>
      <c r="O385" s="43"/>
      <c r="P385" s="43"/>
      <c r="Q385" s="43"/>
      <c r="R385" s="9"/>
      <c r="S385" s="9"/>
    </row>
    <row r="386" spans="1:19" ht="62.4" x14ac:dyDescent="0.25">
      <c r="A386" s="17" t="s">
        <v>175</v>
      </c>
      <c r="B386" s="17" t="s">
        <v>78</v>
      </c>
      <c r="C386" s="35" t="s">
        <v>176</v>
      </c>
      <c r="D386" s="35" t="s">
        <v>346</v>
      </c>
      <c r="E386" s="52">
        <v>1322.934</v>
      </c>
      <c r="H386" s="43"/>
      <c r="I386" s="43"/>
      <c r="J386" s="43"/>
      <c r="K386" s="43"/>
      <c r="L386" s="43"/>
      <c r="M386" s="43"/>
      <c r="N386" s="43"/>
      <c r="O386" s="43"/>
      <c r="P386" s="43"/>
      <c r="Q386" s="43"/>
      <c r="R386" s="9"/>
      <c r="S386" s="9"/>
    </row>
    <row r="387" spans="1:19" ht="62.4" x14ac:dyDescent="0.25">
      <c r="A387" s="17" t="s">
        <v>177</v>
      </c>
      <c r="B387" s="17" t="s">
        <v>80</v>
      </c>
      <c r="C387" s="35" t="s">
        <v>81</v>
      </c>
      <c r="D387" s="35" t="s">
        <v>345</v>
      </c>
      <c r="E387" s="25">
        <f>5</f>
        <v>5</v>
      </c>
      <c r="H387" s="43"/>
      <c r="I387" s="43"/>
      <c r="J387" s="43"/>
      <c r="K387" s="43"/>
      <c r="L387" s="43"/>
      <c r="M387" s="43"/>
      <c r="N387" s="43"/>
      <c r="O387" s="43"/>
      <c r="P387" s="43"/>
      <c r="Q387" s="43"/>
      <c r="R387" s="9"/>
      <c r="S387" s="9"/>
    </row>
    <row r="388" spans="1:19" ht="202.8" x14ac:dyDescent="0.25">
      <c r="A388" s="17" t="s">
        <v>178</v>
      </c>
      <c r="B388" s="17" t="s">
        <v>82</v>
      </c>
      <c r="C388" s="35" t="s">
        <v>179</v>
      </c>
      <c r="D388" s="35" t="s">
        <v>367</v>
      </c>
      <c r="E388" s="25">
        <f>30.8*2</f>
        <v>61.6</v>
      </c>
      <c r="H388" s="43"/>
      <c r="I388" s="43"/>
      <c r="J388" s="43"/>
      <c r="K388" s="43"/>
      <c r="L388" s="43"/>
      <c r="M388" s="43"/>
      <c r="N388" s="43"/>
      <c r="O388" s="43"/>
      <c r="P388" s="43"/>
      <c r="Q388" s="43"/>
      <c r="R388" s="9"/>
      <c r="S388" s="9"/>
    </row>
    <row r="389" spans="1:19" ht="156" x14ac:dyDescent="0.25">
      <c r="A389" s="17" t="s">
        <v>180</v>
      </c>
      <c r="B389" s="17" t="s">
        <v>84</v>
      </c>
      <c r="C389" s="35" t="s">
        <v>85</v>
      </c>
      <c r="D389" s="35" t="s">
        <v>365</v>
      </c>
      <c r="E389" s="25">
        <f>25.1/100</f>
        <v>0.251</v>
      </c>
      <c r="H389" s="43"/>
      <c r="I389" s="43"/>
      <c r="J389" s="43"/>
      <c r="K389" s="43"/>
      <c r="L389" s="43"/>
      <c r="M389" s="43"/>
      <c r="N389" s="43"/>
      <c r="O389" s="43"/>
      <c r="P389" s="43"/>
      <c r="Q389" s="43"/>
      <c r="R389" s="9"/>
      <c r="S389" s="9"/>
    </row>
    <row r="390" spans="1:19" ht="62.4" x14ac:dyDescent="0.25">
      <c r="A390" s="17" t="s">
        <v>86</v>
      </c>
      <c r="B390" s="17" t="s">
        <v>87</v>
      </c>
      <c r="C390" s="35" t="s">
        <v>86</v>
      </c>
      <c r="D390" s="35" t="s">
        <v>215</v>
      </c>
      <c r="E390" s="25">
        <f>0.84/1000</f>
        <v>8.3999999999999993E-4</v>
      </c>
      <c r="H390" s="43"/>
      <c r="I390" s="43"/>
      <c r="J390" s="43"/>
      <c r="K390" s="43"/>
      <c r="L390" s="43"/>
      <c r="M390" s="43"/>
      <c r="N390" s="43"/>
      <c r="O390" s="43"/>
      <c r="P390" s="43"/>
      <c r="Q390" s="43"/>
      <c r="R390" s="9"/>
      <c r="S390" s="9"/>
    </row>
    <row r="391" spans="1:19" ht="124.8" x14ac:dyDescent="0.25">
      <c r="A391" s="17" t="s">
        <v>181</v>
      </c>
      <c r="B391" s="17" t="s">
        <v>88</v>
      </c>
      <c r="C391" s="35" t="s">
        <v>89</v>
      </c>
      <c r="D391" s="35" t="s">
        <v>360</v>
      </c>
      <c r="E391" s="25">
        <f>43.33/1000</f>
        <v>4.333E-2</v>
      </c>
      <c r="H391" s="43"/>
      <c r="I391" s="43"/>
      <c r="J391" s="43"/>
      <c r="K391" s="43"/>
      <c r="L391" s="43"/>
      <c r="M391" s="43"/>
      <c r="N391" s="43"/>
      <c r="O391" s="43"/>
      <c r="P391" s="43"/>
      <c r="Q391" s="43"/>
      <c r="R391" s="9"/>
      <c r="S391" s="9"/>
    </row>
    <row r="392" spans="1:19" ht="33.6" x14ac:dyDescent="0.25">
      <c r="A392" s="17" t="s">
        <v>182</v>
      </c>
      <c r="B392" s="17" t="s">
        <v>90</v>
      </c>
      <c r="C392" s="35" t="s">
        <v>91</v>
      </c>
      <c r="D392" s="35" t="s">
        <v>92</v>
      </c>
      <c r="E392" s="25">
        <v>74.099999999999994</v>
      </c>
      <c r="H392" s="43"/>
      <c r="I392" s="43"/>
      <c r="J392" s="43"/>
      <c r="K392" s="43"/>
      <c r="L392" s="43"/>
      <c r="M392" s="43"/>
      <c r="N392" s="43"/>
      <c r="O392" s="43"/>
      <c r="P392" s="43"/>
      <c r="Q392" s="43"/>
      <c r="R392" s="9"/>
      <c r="S392" s="9"/>
    </row>
    <row r="394" spans="1:19" x14ac:dyDescent="0.25">
      <c r="A394" s="33" t="s">
        <v>8</v>
      </c>
      <c r="B394" s="33" t="s">
        <v>9</v>
      </c>
      <c r="C394" s="34" t="s">
        <v>10</v>
      </c>
      <c r="D394" s="34" t="s">
        <v>340</v>
      </c>
      <c r="E394" s="16" t="s">
        <v>65</v>
      </c>
    </row>
    <row r="395" spans="1:19" ht="18" x14ac:dyDescent="0.25">
      <c r="A395" s="15" t="s">
        <v>183</v>
      </c>
      <c r="B395" s="17" t="s">
        <v>103</v>
      </c>
      <c r="C395" s="35" t="s">
        <v>184</v>
      </c>
      <c r="D395" s="53" t="s">
        <v>393</v>
      </c>
      <c r="E395" s="18">
        <f>ROUNDUP(E344+E368+E372+E376+E384,0)</f>
        <v>784</v>
      </c>
    </row>
    <row r="396" spans="1:19" s="200" customFormat="1" ht="43.2" customHeight="1" x14ac:dyDescent="0.25">
      <c r="A396" s="200" t="s">
        <v>235</v>
      </c>
    </row>
    <row r="397" spans="1:19" ht="23.4" customHeight="1" x14ac:dyDescent="0.25">
      <c r="A397" s="201" t="s">
        <v>105</v>
      </c>
      <c r="B397" s="201"/>
      <c r="C397" s="201"/>
      <c r="D397" s="201"/>
      <c r="E397" s="201"/>
      <c r="F397" s="201"/>
      <c r="G397" s="201"/>
      <c r="H397" s="201"/>
      <c r="I397" s="201"/>
      <c r="J397" s="201"/>
      <c r="K397" s="201"/>
      <c r="L397" s="201"/>
      <c r="M397" s="201"/>
      <c r="N397" s="201"/>
      <c r="O397" s="201"/>
      <c r="P397" s="201"/>
      <c r="Q397" s="202"/>
    </row>
    <row r="398" spans="1:19" s="10" customFormat="1" ht="31.2" x14ac:dyDescent="0.25">
      <c r="A398" s="15" t="s">
        <v>8</v>
      </c>
      <c r="B398" s="15" t="s">
        <v>9</v>
      </c>
      <c r="C398" s="15" t="s">
        <v>10</v>
      </c>
      <c r="D398" s="15" t="s">
        <v>340</v>
      </c>
      <c r="E398" s="16" t="s">
        <v>11</v>
      </c>
      <c r="F398" s="16" t="s">
        <v>312</v>
      </c>
      <c r="G398" s="16" t="s">
        <v>313</v>
      </c>
      <c r="H398" s="16" t="s">
        <v>314</v>
      </c>
      <c r="I398" s="16" t="s">
        <v>315</v>
      </c>
      <c r="J398" s="16" t="s">
        <v>316</v>
      </c>
      <c r="K398" s="16" t="s">
        <v>317</v>
      </c>
      <c r="L398" s="16" t="s">
        <v>318</v>
      </c>
      <c r="M398" s="16" t="s">
        <v>319</v>
      </c>
      <c r="N398" s="16" t="s">
        <v>320</v>
      </c>
      <c r="O398" s="16" t="s">
        <v>293</v>
      </c>
      <c r="P398" s="16" t="s">
        <v>294</v>
      </c>
      <c r="Q398" s="16" t="s">
        <v>295</v>
      </c>
      <c r="R398" s="54"/>
      <c r="S398" s="54"/>
    </row>
    <row r="399" spans="1:19" s="10" customFormat="1" x14ac:dyDescent="0.25">
      <c r="A399" s="203" t="s">
        <v>106</v>
      </c>
      <c r="B399" s="203"/>
      <c r="C399" s="203"/>
      <c r="D399" s="203"/>
      <c r="E399" s="204"/>
      <c r="F399" s="16">
        <v>31</v>
      </c>
      <c r="G399" s="16">
        <v>28</v>
      </c>
      <c r="H399" s="16">
        <v>31</v>
      </c>
      <c r="I399" s="16">
        <v>30</v>
      </c>
      <c r="J399" s="16">
        <v>31</v>
      </c>
      <c r="K399" s="16">
        <v>30</v>
      </c>
      <c r="L399" s="16">
        <v>31</v>
      </c>
      <c r="M399" s="16">
        <v>31</v>
      </c>
      <c r="N399" s="16">
        <v>30</v>
      </c>
      <c r="O399" s="16">
        <v>31</v>
      </c>
      <c r="P399" s="16">
        <v>30</v>
      </c>
      <c r="Q399" s="16">
        <v>31</v>
      </c>
      <c r="R399" s="54"/>
      <c r="S399" s="54"/>
    </row>
    <row r="400" spans="1:19" s="10" customFormat="1" ht="31.2" x14ac:dyDescent="0.25">
      <c r="A400" s="15" t="s">
        <v>107</v>
      </c>
      <c r="B400" s="17" t="s">
        <v>103</v>
      </c>
      <c r="C400" s="17" t="s">
        <v>108</v>
      </c>
      <c r="D400" s="17" t="s">
        <v>381</v>
      </c>
      <c r="E400" s="18">
        <f>E401+E411</f>
        <v>0</v>
      </c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54"/>
      <c r="S400" s="54"/>
    </row>
    <row r="401" spans="1:17" ht="46.8" x14ac:dyDescent="0.25">
      <c r="A401" s="17" t="s">
        <v>109</v>
      </c>
      <c r="B401" s="17" t="s">
        <v>103</v>
      </c>
      <c r="C401" s="17" t="s">
        <v>110</v>
      </c>
      <c r="D401" s="17" t="s">
        <v>382</v>
      </c>
      <c r="E401" s="19">
        <f>SUM(F401:Q401)</f>
        <v>0</v>
      </c>
      <c r="F401" s="19">
        <f>IF(F402&gt;=0.8,0,$E$409*$E$410*0.4*(F403-F406)*F399)</f>
        <v>0</v>
      </c>
      <c r="G401" s="19">
        <f t="shared" ref="G401:Q401" si="49">IF(G402&gt;=0.8,0,$E$409*$E$410*0.4*(G403-G406)*G399)</f>
        <v>0</v>
      </c>
      <c r="H401" s="19">
        <f t="shared" si="49"/>
        <v>0</v>
      </c>
      <c r="I401" s="19">
        <f t="shared" si="49"/>
        <v>0</v>
      </c>
      <c r="J401" s="19">
        <f t="shared" si="49"/>
        <v>0</v>
      </c>
      <c r="K401" s="19">
        <f t="shared" si="49"/>
        <v>0</v>
      </c>
      <c r="L401" s="19">
        <f t="shared" si="49"/>
        <v>0</v>
      </c>
      <c r="M401" s="19">
        <f t="shared" si="49"/>
        <v>0</v>
      </c>
      <c r="N401" s="19">
        <f t="shared" si="49"/>
        <v>0</v>
      </c>
      <c r="O401" s="19">
        <f t="shared" si="49"/>
        <v>0</v>
      </c>
      <c r="P401" s="19">
        <f t="shared" si="49"/>
        <v>0</v>
      </c>
      <c r="Q401" s="19">
        <f t="shared" si="49"/>
        <v>0</v>
      </c>
    </row>
    <row r="402" spans="1:17" ht="62.4" x14ac:dyDescent="0.25">
      <c r="A402" s="17" t="s">
        <v>111</v>
      </c>
      <c r="B402" s="17" t="s">
        <v>37</v>
      </c>
      <c r="C402" s="17" t="s">
        <v>112</v>
      </c>
      <c r="D402" s="17" t="s">
        <v>383</v>
      </c>
      <c r="E402" s="20">
        <f>AVERAGE(F402:Q402)</f>
        <v>0.95362984180570531</v>
      </c>
      <c r="F402" s="20">
        <f>(F403-F406)/F403</f>
        <v>0.95393974056434006</v>
      </c>
      <c r="G402" s="20">
        <f t="shared" ref="G402:Q402" si="50">(G403-G406)/G403</f>
        <v>0.95410577856908629</v>
      </c>
      <c r="H402" s="20">
        <f t="shared" si="50"/>
        <v>0.95425367249571613</v>
      </c>
      <c r="I402" s="20">
        <f t="shared" si="50"/>
        <v>0.9542362940670569</v>
      </c>
      <c r="J402" s="20">
        <f t="shared" si="50"/>
        <v>0.95304151505290235</v>
      </c>
      <c r="K402" s="20">
        <f t="shared" si="50"/>
        <v>0.95178132146776961</v>
      </c>
      <c r="L402" s="20">
        <f t="shared" si="50"/>
        <v>0.9523551222043305</v>
      </c>
      <c r="M402" s="20">
        <f t="shared" si="50"/>
        <v>0.95099722500996353</v>
      </c>
      <c r="N402" s="20">
        <f t="shared" si="50"/>
        <v>0.95419453380759445</v>
      </c>
      <c r="O402" s="20">
        <f t="shared" si="50"/>
        <v>0.95441313958785812</v>
      </c>
      <c r="P402" s="20">
        <f t="shared" si="50"/>
        <v>0.95513156329960436</v>
      </c>
      <c r="Q402" s="20">
        <f t="shared" si="50"/>
        <v>0.9551081955422408</v>
      </c>
    </row>
    <row r="403" spans="1:17" ht="46.8" x14ac:dyDescent="0.25">
      <c r="A403" s="17" t="s">
        <v>113</v>
      </c>
      <c r="B403" s="17" t="s">
        <v>24</v>
      </c>
      <c r="C403" s="17" t="s">
        <v>114</v>
      </c>
      <c r="D403" s="17" t="s">
        <v>384</v>
      </c>
      <c r="E403" s="20">
        <f>SUM(F403:Q403)</f>
        <v>29.978208275547328</v>
      </c>
      <c r="F403" s="20">
        <f>F404*F405</f>
        <v>2.3737161838280789</v>
      </c>
      <c r="G403" s="20">
        <f t="shared" ref="G403:Q403" si="51">G404*G405</f>
        <v>2.3765806119975439</v>
      </c>
      <c r="H403" s="20">
        <f t="shared" si="51"/>
        <v>2.3760992065728401</v>
      </c>
      <c r="I403" s="20">
        <f t="shared" si="51"/>
        <v>2.3712518234194637</v>
      </c>
      <c r="J403" s="20">
        <f t="shared" si="51"/>
        <v>2.6782073346177948</v>
      </c>
      <c r="K403" s="20">
        <f t="shared" si="51"/>
        <v>2.5640396704446293</v>
      </c>
      <c r="L403" s="20">
        <f t="shared" si="51"/>
        <v>2.5656348856938598</v>
      </c>
      <c r="M403" s="20">
        <f t="shared" si="51"/>
        <v>2.5616948384973117</v>
      </c>
      <c r="N403" s="20">
        <f t="shared" si="51"/>
        <v>2.6823222359689813</v>
      </c>
      <c r="O403" s="20">
        <f t="shared" si="51"/>
        <v>2.6811054648872004</v>
      </c>
      <c r="P403" s="20">
        <f t="shared" si="51"/>
        <v>2.3733070694154059</v>
      </c>
      <c r="Q403" s="20">
        <f t="shared" si="51"/>
        <v>2.3742489502042141</v>
      </c>
    </row>
    <row r="404" spans="1:17" ht="68.400000000000006" customHeight="1" x14ac:dyDescent="0.25">
      <c r="A404" s="17" t="s">
        <v>115</v>
      </c>
      <c r="B404" s="17" t="s">
        <v>116</v>
      </c>
      <c r="C404" s="17" t="s">
        <v>117</v>
      </c>
      <c r="D404" s="17" t="s">
        <v>337</v>
      </c>
      <c r="E404" s="129">
        <f>SUM(F404:Q404)</f>
        <v>71194.263315591394</v>
      </c>
      <c r="F404" s="129">
        <f>'Baseline Emissions 2021'!F391</f>
        <v>5573.4155483870982</v>
      </c>
      <c r="G404" s="129">
        <f>'Baseline Emissions 2021'!G391</f>
        <v>5573.9872500000001</v>
      </c>
      <c r="H404" s="129">
        <f>'Baseline Emissions 2021'!H391</f>
        <v>5575.0591612903227</v>
      </c>
      <c r="I404" s="129">
        <f>'Baseline Emissions 2021'!I391</f>
        <v>5572.5737333333345</v>
      </c>
      <c r="J404" s="129">
        <f>'Baseline Emissions 2021'!J391</f>
        <v>6291.4928709677442</v>
      </c>
      <c r="K404" s="129">
        <f>'Baseline Emissions 2021'!K391</f>
        <v>6291.4871666666668</v>
      </c>
      <c r="L404" s="129">
        <f>'Baseline Emissions 2021'!L391</f>
        <v>6291.9357096774183</v>
      </c>
      <c r="M404" s="129">
        <f>'Baseline Emissions 2021'!M391</f>
        <v>6291.2566129032266</v>
      </c>
      <c r="N404" s="129">
        <f>'Baseline Emissions 2021'!N391</f>
        <v>6293.1251666666667</v>
      </c>
      <c r="O404" s="129">
        <f>'Baseline Emissions 2021'!O391</f>
        <v>6292.4200645161281</v>
      </c>
      <c r="P404" s="129">
        <f>'Baseline Emissions 2021'!P391</f>
        <v>5573.7019666666647</v>
      </c>
      <c r="Q404" s="129">
        <f>'Baseline Emissions 2021'!Q391</f>
        <v>5573.8080645161281</v>
      </c>
    </row>
    <row r="405" spans="1:17" ht="46.8" x14ac:dyDescent="0.25">
      <c r="A405" s="17" t="s">
        <v>118</v>
      </c>
      <c r="B405" s="17" t="s">
        <v>119</v>
      </c>
      <c r="C405" s="17" t="s">
        <v>120</v>
      </c>
      <c r="D405" s="35" t="s">
        <v>338</v>
      </c>
      <c r="E405" s="120">
        <f>AVERAGE(F405:Q405)</f>
        <v>4.2135462708969688E-4</v>
      </c>
      <c r="F405" s="130">
        <f>'Baseline Emissions 2021'!F395</f>
        <v>4.2589973118279572E-4</v>
      </c>
      <c r="G405" s="130">
        <f>'Baseline Emissions 2021'!G395</f>
        <v>4.2636994047619037E-4</v>
      </c>
      <c r="H405" s="130">
        <f>'Baseline Emissions 2021'!H395</f>
        <v>4.262016129032257E-4</v>
      </c>
      <c r="I405" s="130">
        <f>'Baseline Emissions 2021'!I395</f>
        <v>4.2552183908045968E-4</v>
      </c>
      <c r="J405" s="130">
        <f>'Baseline Emissions 2021'!J395</f>
        <v>4.2568709677419354E-4</v>
      </c>
      <c r="K405" s="130">
        <f>'Baseline Emissions 2021'!K395</f>
        <v>4.0754111111111107E-4</v>
      </c>
      <c r="L405" s="130">
        <f>'Baseline Emissions 2021'!L395</f>
        <v>4.077655913978494E-4</v>
      </c>
      <c r="M405" s="130">
        <f>'Baseline Emissions 2021'!M395</f>
        <v>4.0718333333333325E-4</v>
      </c>
      <c r="N405" s="130">
        <f>'Baseline Emissions 2021'!N395</f>
        <v>4.2623055555555554E-4</v>
      </c>
      <c r="O405" s="130">
        <f>'Baseline Emissions 2021'!O395</f>
        <v>4.2608494623655913E-4</v>
      </c>
      <c r="P405" s="130">
        <f>'Baseline Emissions 2021'!P395</f>
        <v>4.2580444444444436E-4</v>
      </c>
      <c r="Q405" s="130">
        <f>'Baseline Emissions 2021'!Q395</f>
        <v>4.2596532258064518E-4</v>
      </c>
    </row>
    <row r="406" spans="1:17" ht="46.8" x14ac:dyDescent="0.25">
      <c r="A406" s="17" t="s">
        <v>121</v>
      </c>
      <c r="B406" s="17" t="s">
        <v>24</v>
      </c>
      <c r="C406" s="17" t="s">
        <v>122</v>
      </c>
      <c r="D406" s="17" t="s">
        <v>384</v>
      </c>
      <c r="E406" s="20">
        <f>SUM(F406:Q406)</f>
        <v>1.3909481622139082</v>
      </c>
      <c r="F406" s="20">
        <f>SUM(F407*F408)</f>
        <v>0.10933398325374609</v>
      </c>
      <c r="G406" s="20">
        <f t="shared" ref="G406:Q406" si="52">SUM(G407*G408)</f>
        <v>0.10907131685543162</v>
      </c>
      <c r="H406" s="20">
        <f t="shared" si="52"/>
        <v>0.10869781248655044</v>
      </c>
      <c r="I406" s="20">
        <f t="shared" si="52"/>
        <v>0.10851727113992339</v>
      </c>
      <c r="J406" s="20">
        <f t="shared" si="52"/>
        <v>0.12576455880785636</v>
      </c>
      <c r="K406" s="20">
        <f t="shared" si="52"/>
        <v>0.12363460461305548</v>
      </c>
      <c r="L406" s="20">
        <f t="shared" si="52"/>
        <v>0.12223936059719041</v>
      </c>
      <c r="M406" s="20">
        <f t="shared" si="52"/>
        <v>0.12553015576402182</v>
      </c>
      <c r="N406" s="20">
        <f t="shared" si="52"/>
        <v>0.1228650204968148</v>
      </c>
      <c r="O406" s="20">
        <f t="shared" si="52"/>
        <v>0.12222318057804368</v>
      </c>
      <c r="P406" s="20">
        <f t="shared" si="52"/>
        <v>0.10648657801466667</v>
      </c>
      <c r="Q406" s="20">
        <f t="shared" si="52"/>
        <v>0.10658431960660768</v>
      </c>
    </row>
    <row r="407" spans="1:17" ht="62.4" x14ac:dyDescent="0.25">
      <c r="A407" s="17" t="s">
        <v>123</v>
      </c>
      <c r="B407" s="17" t="s">
        <v>116</v>
      </c>
      <c r="C407" s="17" t="s">
        <v>124</v>
      </c>
      <c r="D407" s="17" t="s">
        <v>337</v>
      </c>
      <c r="E407" s="129">
        <f>SUM(F407:Q407)</f>
        <v>69837.88973494622</v>
      </c>
      <c r="F407" s="129">
        <v>5458.7018709677423</v>
      </c>
      <c r="G407" s="129">
        <v>5458.5207500000015</v>
      </c>
      <c r="H407" s="129">
        <v>5459.1780967741925</v>
      </c>
      <c r="I407" s="129">
        <v>5459.1202666666668</v>
      </c>
      <c r="J407" s="129">
        <v>6180.8114193548381</v>
      </c>
      <c r="K407" s="129">
        <v>6180.2709999999988</v>
      </c>
      <c r="L407" s="129">
        <v>6180.7538387096765</v>
      </c>
      <c r="M407" s="129">
        <v>6180.7231935483869</v>
      </c>
      <c r="N407" s="129">
        <v>6180.6784666666654</v>
      </c>
      <c r="O407" s="129">
        <v>6181.1119354838702</v>
      </c>
      <c r="P407" s="129">
        <v>5459.6058000000003</v>
      </c>
      <c r="Q407" s="129">
        <v>5458.4130967741939</v>
      </c>
    </row>
    <row r="408" spans="1:17" ht="46.8" x14ac:dyDescent="0.25">
      <c r="A408" s="17" t="s">
        <v>125</v>
      </c>
      <c r="B408" s="17" t="s">
        <v>119</v>
      </c>
      <c r="C408" s="17" t="s">
        <v>126</v>
      </c>
      <c r="D408" s="35" t="s">
        <v>339</v>
      </c>
      <c r="E408" s="131">
        <f>AVERAGE(F408:Q408)</f>
        <v>1.9910299945633304E-5</v>
      </c>
      <c r="F408" s="131">
        <f>'Baseline Emissions 2021'!F396</f>
        <v>2.0029301075268816E-5</v>
      </c>
      <c r="G408" s="131">
        <f>'Baseline Emissions 2021'!G396</f>
        <v>1.9981845238095244E-5</v>
      </c>
      <c r="H408" s="131">
        <f>'Baseline Emissions 2021'!H396</f>
        <v>1.9911021505376344E-5</v>
      </c>
      <c r="I408" s="131">
        <f>'Baseline Emissions 2021'!I396</f>
        <v>1.9878160919540234E-5</v>
      </c>
      <c r="J408" s="131">
        <f>'Baseline Emissions 2021'!J396</f>
        <v>2.0347580645161286E-5</v>
      </c>
      <c r="K408" s="131">
        <f>'Baseline Emissions 2021'!K396</f>
        <v>2.0004722222222213E-5</v>
      </c>
      <c r="L408" s="131">
        <f>'Baseline Emissions 2021'!L396</f>
        <v>1.977741935483871E-5</v>
      </c>
      <c r="M408" s="131">
        <f>'Baseline Emissions 2021'!M396</f>
        <v>2.0309946236559134E-5</v>
      </c>
      <c r="N408" s="131">
        <f>'Baseline Emissions 2021'!N396</f>
        <v>1.9878888888888891E-5</v>
      </c>
      <c r="O408" s="131">
        <f>'Baseline Emissions 2021'!O396</f>
        <v>1.9773655913978495E-5</v>
      </c>
      <c r="P408" s="131">
        <f>'Baseline Emissions 2021'!P396</f>
        <v>1.9504444444444445E-5</v>
      </c>
      <c r="Q408" s="131">
        <f>'Baseline Emissions 2021'!Q396</f>
        <v>1.9526612903225801E-5</v>
      </c>
    </row>
    <row r="409" spans="1:17" ht="31.2" x14ac:dyDescent="0.25">
      <c r="A409" s="17" t="s">
        <v>127</v>
      </c>
      <c r="B409" s="17" t="s">
        <v>128</v>
      </c>
      <c r="C409" s="17" t="s">
        <v>17</v>
      </c>
      <c r="D409" s="17" t="s">
        <v>129</v>
      </c>
      <c r="E409" s="176">
        <v>28</v>
      </c>
      <c r="F409" s="176"/>
      <c r="G409" s="176"/>
      <c r="H409" s="176"/>
      <c r="I409" s="176"/>
      <c r="J409" s="176"/>
      <c r="K409" s="176"/>
      <c r="L409" s="176"/>
      <c r="M409" s="176"/>
      <c r="N409" s="176"/>
      <c r="O409" s="176"/>
      <c r="P409" s="176"/>
      <c r="Q409" s="176"/>
    </row>
    <row r="410" spans="1:17" ht="64.8" x14ac:dyDescent="0.25">
      <c r="A410" s="17" t="s">
        <v>130</v>
      </c>
      <c r="B410" s="17" t="s">
        <v>19</v>
      </c>
      <c r="C410" s="17" t="s">
        <v>131</v>
      </c>
      <c r="D410" s="17" t="s">
        <v>394</v>
      </c>
      <c r="E410" s="176">
        <v>0.21</v>
      </c>
      <c r="F410" s="176"/>
      <c r="G410" s="176"/>
      <c r="H410" s="176"/>
      <c r="I410" s="176"/>
      <c r="J410" s="176"/>
      <c r="K410" s="176"/>
      <c r="L410" s="176"/>
      <c r="M410" s="176"/>
      <c r="N410" s="176"/>
      <c r="O410" s="176"/>
      <c r="P410" s="176"/>
      <c r="Q410" s="176"/>
    </row>
    <row r="411" spans="1:17" ht="46.8" x14ac:dyDescent="0.25">
      <c r="A411" s="17" t="s">
        <v>132</v>
      </c>
      <c r="B411" s="17" t="s">
        <v>103</v>
      </c>
      <c r="C411" s="17" t="s">
        <v>133</v>
      </c>
      <c r="D411" s="17" t="s">
        <v>385</v>
      </c>
      <c r="E411" s="19">
        <f>SUM(F411:Q411)</f>
        <v>0</v>
      </c>
      <c r="F411" s="19">
        <f>$E$409*$E$410*F412*F406*F399</f>
        <v>0</v>
      </c>
      <c r="G411" s="19">
        <f t="shared" ref="G411:Q411" si="53">$E$409*$E$410*G412*G406*G399</f>
        <v>0</v>
      </c>
      <c r="H411" s="19">
        <f t="shared" si="53"/>
        <v>0</v>
      </c>
      <c r="I411" s="19">
        <f t="shared" si="53"/>
        <v>0</v>
      </c>
      <c r="J411" s="19">
        <f t="shared" si="53"/>
        <v>0</v>
      </c>
      <c r="K411" s="19">
        <f t="shared" si="53"/>
        <v>0</v>
      </c>
      <c r="L411" s="19">
        <f t="shared" si="53"/>
        <v>0</v>
      </c>
      <c r="M411" s="19">
        <f t="shared" si="53"/>
        <v>0</v>
      </c>
      <c r="N411" s="19">
        <f t="shared" si="53"/>
        <v>0</v>
      </c>
      <c r="O411" s="19">
        <f t="shared" si="53"/>
        <v>0</v>
      </c>
      <c r="P411" s="19">
        <f t="shared" si="53"/>
        <v>0</v>
      </c>
      <c r="Q411" s="19">
        <f t="shared" si="53"/>
        <v>0</v>
      </c>
    </row>
    <row r="412" spans="1:17" ht="18" x14ac:dyDescent="0.25">
      <c r="A412" s="17" t="s">
        <v>134</v>
      </c>
      <c r="B412" s="17" t="s">
        <v>37</v>
      </c>
      <c r="C412" s="17" t="s">
        <v>135</v>
      </c>
      <c r="D412" s="17" t="s">
        <v>386</v>
      </c>
      <c r="E412" s="26">
        <f>AVERAGE(F412:Q412)</f>
        <v>0</v>
      </c>
      <c r="F412" s="26">
        <f>F413*$E$414*0.89</f>
        <v>0</v>
      </c>
      <c r="G412" s="26">
        <f t="shared" ref="G412:Q412" si="54">G413*$E$414*0.89</f>
        <v>0</v>
      </c>
      <c r="H412" s="26">
        <f t="shared" si="54"/>
        <v>0</v>
      </c>
      <c r="I412" s="26">
        <f t="shared" si="54"/>
        <v>0</v>
      </c>
      <c r="J412" s="26">
        <f t="shared" si="54"/>
        <v>0</v>
      </c>
      <c r="K412" s="26">
        <f t="shared" si="54"/>
        <v>0</v>
      </c>
      <c r="L412" s="26">
        <f t="shared" si="54"/>
        <v>0</v>
      </c>
      <c r="M412" s="26">
        <f t="shared" si="54"/>
        <v>0</v>
      </c>
      <c r="N412" s="26">
        <f t="shared" si="54"/>
        <v>0</v>
      </c>
      <c r="O412" s="26">
        <f t="shared" si="54"/>
        <v>0</v>
      </c>
      <c r="P412" s="26">
        <f t="shared" si="54"/>
        <v>0</v>
      </c>
      <c r="Q412" s="26">
        <f t="shared" si="54"/>
        <v>0</v>
      </c>
    </row>
    <row r="413" spans="1:17" ht="31.2" x14ac:dyDescent="0.25">
      <c r="A413" s="17" t="s">
        <v>136</v>
      </c>
      <c r="B413" s="17" t="s">
        <v>37</v>
      </c>
      <c r="C413" s="17" t="s">
        <v>46</v>
      </c>
      <c r="D413" s="17" t="s">
        <v>387</v>
      </c>
      <c r="E413" s="25">
        <v>0</v>
      </c>
      <c r="F413" s="25">
        <v>0</v>
      </c>
      <c r="G413" s="25">
        <v>0</v>
      </c>
      <c r="H413" s="25">
        <v>0</v>
      </c>
      <c r="I413" s="25">
        <v>0</v>
      </c>
      <c r="J413" s="25">
        <v>0</v>
      </c>
      <c r="K413" s="25">
        <v>0</v>
      </c>
      <c r="L413" s="25">
        <v>0</v>
      </c>
      <c r="M413" s="25">
        <v>0</v>
      </c>
      <c r="N413" s="25">
        <v>0</v>
      </c>
      <c r="O413" s="25">
        <v>0</v>
      </c>
      <c r="P413" s="25">
        <v>0</v>
      </c>
      <c r="Q413" s="25">
        <v>0</v>
      </c>
    </row>
    <row r="414" spans="1:17" ht="31.2" x14ac:dyDescent="0.25">
      <c r="A414" s="17" t="s">
        <v>137</v>
      </c>
      <c r="B414" s="17" t="s">
        <v>201</v>
      </c>
      <c r="C414" s="17" t="s">
        <v>138</v>
      </c>
      <c r="D414" s="17" t="s">
        <v>388</v>
      </c>
      <c r="E414" s="196">
        <f>(F415*F420+G415*G420+H415*H420+I415*I420+J415*J420+K415*K420+L415*L420+M415*M420+N415*N420+O415*O420+P415*P420+Q415*Q420)/(F407*F408*F399+G408*G407*G399+H407*H408*H399+I408*I407*I399+J408*J407*J399+K408*K407*K399+L408*L407*L399+M408*M407*M399+N408*N407*N399+O407*O408*O399+P408*P407*P399+Q408*Q407*Q399)</f>
        <v>0.65830892212959646</v>
      </c>
      <c r="F414" s="196"/>
      <c r="G414" s="196"/>
      <c r="H414" s="196"/>
      <c r="I414" s="196"/>
      <c r="J414" s="196"/>
      <c r="K414" s="196"/>
      <c r="L414" s="196"/>
      <c r="M414" s="196"/>
      <c r="N414" s="196"/>
      <c r="O414" s="196"/>
      <c r="P414" s="196"/>
      <c r="Q414" s="196"/>
    </row>
    <row r="415" spans="1:17" ht="31.2" x14ac:dyDescent="0.25">
      <c r="A415" s="17" t="s">
        <v>139</v>
      </c>
      <c r="B415" s="17" t="s">
        <v>37</v>
      </c>
      <c r="C415" s="17" t="s">
        <v>140</v>
      </c>
      <c r="D415" s="17" t="s">
        <v>375</v>
      </c>
      <c r="E415" s="27">
        <f>AVERAGE(F415:Q415)</f>
        <v>0.64054421729664701</v>
      </c>
      <c r="F415" s="27">
        <f>IF(F419&lt;283,0,IF(F419&gt;303,1,EXP(($E$416*(F419-$E$417))/($E$418*$E$417*F419))))</f>
        <v>0.25708890533410012</v>
      </c>
      <c r="G415" s="27">
        <f t="shared" ref="G415:Q415" si="55">IF(G419&lt;283,0,IF(G419&gt;303,1,EXP(($E$416*(G419-$E$417))/($E$418*$E$417*G419))))</f>
        <v>0.37002059672690846</v>
      </c>
      <c r="H415" s="27">
        <f t="shared" si="55"/>
        <v>0.44226396815696317</v>
      </c>
      <c r="I415" s="27">
        <f t="shared" si="55"/>
        <v>0.57531644493802248</v>
      </c>
      <c r="J415" s="27">
        <f t="shared" si="55"/>
        <v>0.88152221926734242</v>
      </c>
      <c r="K415" s="27">
        <f t="shared" si="55"/>
        <v>0.88152221926734242</v>
      </c>
      <c r="L415" s="27">
        <f t="shared" si="55"/>
        <v>0.95843738031531212</v>
      </c>
      <c r="M415" s="27">
        <f t="shared" si="55"/>
        <v>0.91923925774048054</v>
      </c>
      <c r="N415" s="27">
        <f t="shared" si="55"/>
        <v>1</v>
      </c>
      <c r="O415" s="27">
        <f t="shared" si="55"/>
        <v>0.65487347206548807</v>
      </c>
      <c r="P415" s="27">
        <f t="shared" si="55"/>
        <v>0.42307437878932203</v>
      </c>
      <c r="Q415" s="27">
        <f t="shared" si="55"/>
        <v>0.32317176495848171</v>
      </c>
    </row>
    <row r="416" spans="1:17" x14ac:dyDescent="0.25">
      <c r="A416" s="17" t="s">
        <v>51</v>
      </c>
      <c r="B416" s="17" t="s">
        <v>52</v>
      </c>
      <c r="C416" s="17" t="s">
        <v>53</v>
      </c>
      <c r="D416" s="17" t="s">
        <v>389</v>
      </c>
      <c r="E416" s="176">
        <v>15175</v>
      </c>
      <c r="F416" s="176"/>
      <c r="G416" s="176"/>
      <c r="H416" s="176"/>
      <c r="I416" s="176"/>
      <c r="J416" s="176"/>
      <c r="K416" s="176"/>
      <c r="L416" s="176"/>
      <c r="M416" s="176"/>
      <c r="N416" s="176"/>
      <c r="O416" s="176"/>
      <c r="P416" s="176"/>
      <c r="Q416" s="176"/>
    </row>
    <row r="417" spans="1:17" ht="18" x14ac:dyDescent="0.25">
      <c r="A417" s="17" t="s">
        <v>141</v>
      </c>
      <c r="B417" s="17" t="s">
        <v>55</v>
      </c>
      <c r="C417" s="17" t="s">
        <v>56</v>
      </c>
      <c r="D417" s="17" t="s">
        <v>389</v>
      </c>
      <c r="E417" s="176">
        <v>303.16000000000003</v>
      </c>
      <c r="F417" s="176"/>
      <c r="G417" s="176"/>
      <c r="H417" s="176"/>
      <c r="I417" s="176"/>
      <c r="J417" s="176"/>
      <c r="K417" s="176"/>
      <c r="L417" s="176"/>
      <c r="M417" s="176"/>
      <c r="N417" s="176"/>
      <c r="O417" s="176"/>
      <c r="P417" s="176"/>
      <c r="Q417" s="176"/>
    </row>
    <row r="418" spans="1:17" x14ac:dyDescent="0.25">
      <c r="A418" s="17" t="s">
        <v>57</v>
      </c>
      <c r="B418" s="17" t="s">
        <v>58</v>
      </c>
      <c r="C418" s="17" t="s">
        <v>59</v>
      </c>
      <c r="D418" s="17" t="s">
        <v>389</v>
      </c>
      <c r="E418" s="176">
        <v>1.9870000000000001</v>
      </c>
      <c r="F418" s="176"/>
      <c r="G418" s="176"/>
      <c r="H418" s="176"/>
      <c r="I418" s="176"/>
      <c r="J418" s="176"/>
      <c r="K418" s="176"/>
      <c r="L418" s="176"/>
      <c r="M418" s="176"/>
      <c r="N418" s="176"/>
      <c r="O418" s="176"/>
      <c r="P418" s="176"/>
      <c r="Q418" s="176"/>
    </row>
    <row r="419" spans="1:17" ht="18" x14ac:dyDescent="0.25">
      <c r="A419" s="17" t="s">
        <v>142</v>
      </c>
      <c r="B419" s="17" t="s">
        <v>55</v>
      </c>
      <c r="C419" s="17" t="s">
        <v>143</v>
      </c>
      <c r="D419" s="144" t="s">
        <v>363</v>
      </c>
      <c r="E419" s="28">
        <f>AVERAGE(F419:Q419)</f>
        <v>296.85833333333341</v>
      </c>
      <c r="F419" s="25">
        <v>287.64999999999998</v>
      </c>
      <c r="G419" s="25">
        <v>291.64999999999998</v>
      </c>
      <c r="H419" s="25">
        <v>293.64999999999998</v>
      </c>
      <c r="I419" s="25">
        <v>296.64999999999998</v>
      </c>
      <c r="J419" s="25">
        <v>301.64999999999998</v>
      </c>
      <c r="K419" s="25">
        <v>301.64999999999998</v>
      </c>
      <c r="L419" s="25">
        <v>302.64999999999998</v>
      </c>
      <c r="M419" s="25">
        <v>302.14999999999998</v>
      </c>
      <c r="N419" s="25">
        <v>303.14999999999998</v>
      </c>
      <c r="O419" s="25">
        <v>298.14999999999998</v>
      </c>
      <c r="P419" s="25">
        <v>293.14999999999998</v>
      </c>
      <c r="Q419" s="25">
        <v>290.14999999999998</v>
      </c>
    </row>
    <row r="420" spans="1:17" ht="46.8" x14ac:dyDescent="0.25">
      <c r="A420" s="17" t="s">
        <v>144</v>
      </c>
      <c r="B420" s="17" t="s">
        <v>24</v>
      </c>
      <c r="C420" s="17" t="s">
        <v>145</v>
      </c>
      <c r="D420" s="17" t="s">
        <v>390</v>
      </c>
      <c r="E420" s="29">
        <f>SUM(F420:Q420)</f>
        <v>42.330675603800408</v>
      </c>
      <c r="F420" s="29">
        <f>F407*F408*'Project Emissions 2021'!F399+(1-F415)*0</f>
        <v>3.389353480866129</v>
      </c>
      <c r="G420" s="29">
        <f>G407*G408*'Project Emissions 2021'!G399+(1-G415)*0</f>
        <v>3.0539968719520854</v>
      </c>
      <c r="H420" s="29">
        <f>H407*H408*'Project Emissions 2021'!H399+(1-H415)*0</f>
        <v>3.3696321870830639</v>
      </c>
      <c r="I420" s="29">
        <f>I407*I408*'Project Emissions 2021'!I399+(1-I415)*0</f>
        <v>3.2555181341977018</v>
      </c>
      <c r="J420" s="29">
        <f>J407*J408*'Project Emissions 2021'!J399+(1-J415)*0</f>
        <v>3.8987013230435474</v>
      </c>
      <c r="K420" s="29">
        <f>K407*K408*'Project Emissions 2021'!K399+(1-K415)*0</f>
        <v>3.7090381383916644</v>
      </c>
      <c r="L420" s="29">
        <f>L407*L408*'Project Emissions 2021'!L399+(1-L415)*0</f>
        <v>3.7894201785129029</v>
      </c>
      <c r="M420" s="29">
        <f>M407*M408*'Project Emissions 2021'!M399+(1-M415)*0</f>
        <v>3.8914348286846767</v>
      </c>
      <c r="N420" s="29">
        <f>N407*N408*'Project Emissions 2021'!N399+(1-N415)*0</f>
        <v>3.6859506149044439</v>
      </c>
      <c r="O420" s="29">
        <f>O407*O408*'Project Emissions 2021'!O399+(1-O415)*0</f>
        <v>3.7889185979193543</v>
      </c>
      <c r="P420" s="29">
        <f>P407*P408*'Project Emissions 2021'!P399+(1-P415)*0</f>
        <v>3.1945973404400001</v>
      </c>
      <c r="Q420" s="29">
        <f>Q407*Q408*'Project Emissions 2021'!Q399+(1-Q415)*0</f>
        <v>3.304113907804838</v>
      </c>
    </row>
    <row r="421" spans="1:17" x14ac:dyDescent="0.3">
      <c r="A421" s="30"/>
      <c r="E421" s="31"/>
      <c r="F421" s="31"/>
      <c r="G421" s="31"/>
      <c r="H421" s="31"/>
      <c r="I421" s="31"/>
      <c r="J421" s="31"/>
      <c r="K421" s="31"/>
      <c r="L421" s="31"/>
      <c r="M421" s="31"/>
      <c r="N421" s="31"/>
      <c r="O421" s="31"/>
      <c r="P421" s="31"/>
      <c r="Q421" s="31"/>
    </row>
    <row r="422" spans="1:17" x14ac:dyDescent="0.25">
      <c r="A422" s="174" t="s">
        <v>146</v>
      </c>
      <c r="B422" s="174"/>
      <c r="C422" s="175"/>
      <c r="D422" s="175"/>
      <c r="E422" s="195"/>
      <c r="F422" s="32"/>
      <c r="G422" s="32"/>
      <c r="H422" s="32"/>
      <c r="I422" s="32"/>
      <c r="J422" s="32"/>
      <c r="K422" s="32"/>
      <c r="L422" s="32"/>
      <c r="M422" s="32"/>
      <c r="N422" s="32"/>
      <c r="O422" s="32"/>
      <c r="P422" s="32"/>
      <c r="Q422" s="32"/>
    </row>
    <row r="423" spans="1:17" x14ac:dyDescent="0.25">
      <c r="A423" s="33" t="s">
        <v>8</v>
      </c>
      <c r="B423" s="33" t="s">
        <v>9</v>
      </c>
      <c r="C423" s="34" t="s">
        <v>10</v>
      </c>
      <c r="D423" s="34" t="s">
        <v>340</v>
      </c>
      <c r="E423" s="16" t="s">
        <v>65</v>
      </c>
      <c r="F423" s="32"/>
      <c r="G423" s="32"/>
      <c r="H423" s="32"/>
      <c r="I423" s="32"/>
      <c r="J423" s="32"/>
      <c r="K423" s="32"/>
      <c r="L423" s="32"/>
      <c r="M423" s="32"/>
      <c r="N423" s="32"/>
      <c r="O423" s="32"/>
      <c r="P423" s="32"/>
      <c r="Q423" s="32"/>
    </row>
    <row r="424" spans="1:17" ht="46.8" x14ac:dyDescent="0.25">
      <c r="A424" s="15" t="s">
        <v>147</v>
      </c>
      <c r="B424" s="17" t="s">
        <v>95</v>
      </c>
      <c r="C424" s="35" t="s">
        <v>148</v>
      </c>
      <c r="D424" s="35" t="s">
        <v>68</v>
      </c>
      <c r="E424" s="16">
        <v>0</v>
      </c>
      <c r="F424" s="32"/>
      <c r="G424" s="32"/>
      <c r="H424" s="32"/>
      <c r="I424" s="32"/>
      <c r="J424" s="32"/>
      <c r="K424" s="32"/>
      <c r="L424" s="32"/>
      <c r="M424" s="32"/>
      <c r="N424" s="32"/>
      <c r="O424" s="32"/>
      <c r="P424" s="32"/>
      <c r="Q424" s="32"/>
    </row>
    <row r="425" spans="1:17" x14ac:dyDescent="0.25">
      <c r="A425" s="36"/>
      <c r="B425" s="36"/>
      <c r="C425" s="37"/>
      <c r="D425" s="37"/>
      <c r="E425" s="32"/>
      <c r="F425" s="32"/>
      <c r="G425" s="32"/>
      <c r="H425" s="32"/>
      <c r="I425" s="32"/>
      <c r="J425" s="32"/>
      <c r="K425" s="32"/>
      <c r="L425" s="32"/>
      <c r="M425" s="32"/>
      <c r="N425" s="32"/>
      <c r="O425" s="32"/>
      <c r="P425" s="32"/>
      <c r="Q425" s="32"/>
    </row>
    <row r="426" spans="1:17" x14ac:dyDescent="0.25">
      <c r="A426" s="174" t="s">
        <v>149</v>
      </c>
      <c r="B426" s="174"/>
      <c r="C426" s="175"/>
      <c r="D426" s="175"/>
      <c r="E426" s="195"/>
      <c r="F426" s="32"/>
      <c r="G426" s="32"/>
      <c r="H426" s="32"/>
      <c r="I426" s="32"/>
      <c r="J426" s="32"/>
      <c r="K426" s="32"/>
      <c r="L426" s="32"/>
      <c r="M426" s="32"/>
      <c r="N426" s="32"/>
      <c r="O426" s="32"/>
      <c r="P426" s="32"/>
      <c r="Q426" s="32"/>
    </row>
    <row r="427" spans="1:17" x14ac:dyDescent="0.25">
      <c r="A427" s="33" t="s">
        <v>8</v>
      </c>
      <c r="B427" s="33" t="s">
        <v>9</v>
      </c>
      <c r="C427" s="34" t="s">
        <v>10</v>
      </c>
      <c r="D427" s="34" t="s">
        <v>340</v>
      </c>
      <c r="E427" s="16" t="s">
        <v>65</v>
      </c>
      <c r="F427" s="32"/>
      <c r="G427" s="32"/>
      <c r="H427" s="32"/>
      <c r="I427" s="32"/>
      <c r="J427" s="32"/>
      <c r="K427" s="32"/>
      <c r="L427" s="32"/>
      <c r="M427" s="32"/>
      <c r="N427" s="32"/>
      <c r="O427" s="32"/>
      <c r="P427" s="32"/>
      <c r="Q427" s="32"/>
    </row>
    <row r="428" spans="1:17" ht="46.8" x14ac:dyDescent="0.25">
      <c r="A428" s="15" t="s">
        <v>150</v>
      </c>
      <c r="B428" s="17" t="s">
        <v>95</v>
      </c>
      <c r="C428" s="35" t="s">
        <v>151</v>
      </c>
      <c r="D428" s="35" t="s">
        <v>68</v>
      </c>
      <c r="E428" s="16">
        <v>0</v>
      </c>
      <c r="F428" s="32"/>
      <c r="G428" s="32"/>
      <c r="H428" s="32"/>
      <c r="I428" s="32"/>
      <c r="J428" s="32"/>
      <c r="K428" s="32"/>
      <c r="L428" s="32"/>
      <c r="M428" s="32"/>
      <c r="N428" s="32"/>
      <c r="O428" s="32"/>
      <c r="P428" s="32"/>
      <c r="Q428" s="32"/>
    </row>
    <row r="429" spans="1:17" x14ac:dyDescent="0.25">
      <c r="F429" s="32"/>
      <c r="G429" s="32"/>
      <c r="H429" s="32"/>
      <c r="I429" s="32"/>
      <c r="J429" s="32"/>
      <c r="K429" s="32"/>
      <c r="L429" s="32"/>
      <c r="M429" s="32"/>
      <c r="N429" s="32"/>
      <c r="O429" s="32"/>
      <c r="P429" s="32"/>
      <c r="Q429" s="32"/>
    </row>
    <row r="430" spans="1:17" x14ac:dyDescent="0.25">
      <c r="A430" s="174" t="s">
        <v>152</v>
      </c>
      <c r="B430" s="174"/>
      <c r="C430" s="175"/>
      <c r="D430" s="175"/>
      <c r="E430" s="195"/>
      <c r="F430" s="32"/>
      <c r="G430" s="32"/>
      <c r="H430" s="32"/>
      <c r="I430" s="32"/>
      <c r="J430" s="32"/>
      <c r="K430" s="32"/>
      <c r="L430" s="32"/>
      <c r="M430" s="32"/>
      <c r="N430" s="32"/>
      <c r="O430" s="32"/>
      <c r="P430" s="32"/>
      <c r="Q430" s="32"/>
    </row>
    <row r="431" spans="1:17" s="10" customFormat="1" x14ac:dyDescent="0.25">
      <c r="A431" s="15" t="s">
        <v>8</v>
      </c>
      <c r="B431" s="15" t="s">
        <v>9</v>
      </c>
      <c r="C431" s="38" t="s">
        <v>10</v>
      </c>
      <c r="D431" s="38" t="s">
        <v>340</v>
      </c>
      <c r="E431" s="16" t="s">
        <v>65</v>
      </c>
      <c r="F431" s="32"/>
      <c r="G431" s="32"/>
      <c r="H431" s="39"/>
      <c r="I431" s="39"/>
      <c r="J431" s="39"/>
      <c r="K431" s="39"/>
      <c r="L431" s="39"/>
      <c r="M431" s="39"/>
      <c r="N431" s="39"/>
      <c r="O431" s="39"/>
      <c r="P431" s="39"/>
      <c r="Q431" s="39"/>
    </row>
    <row r="432" spans="1:17" s="10" customFormat="1" ht="18" x14ac:dyDescent="0.4">
      <c r="A432" s="40" t="s">
        <v>153</v>
      </c>
      <c r="B432" s="17" t="s">
        <v>103</v>
      </c>
      <c r="C432" s="35" t="s">
        <v>154</v>
      </c>
      <c r="D432" s="35" t="s">
        <v>155</v>
      </c>
      <c r="E432" s="41">
        <f>E433*E435*(1+E434)</f>
        <v>530.45066214600001</v>
      </c>
      <c r="F432" s="32"/>
      <c r="G432" s="32"/>
      <c r="H432" s="39"/>
      <c r="I432" s="39"/>
      <c r="J432" s="39"/>
      <c r="K432" s="39"/>
      <c r="L432" s="39"/>
      <c r="M432" s="39"/>
      <c r="N432" s="39"/>
      <c r="O432" s="39"/>
      <c r="P432" s="39"/>
      <c r="Q432" s="39"/>
    </row>
    <row r="433" spans="1:19" ht="31.2" x14ac:dyDescent="0.25">
      <c r="A433" s="17" t="s">
        <v>156</v>
      </c>
      <c r="B433" s="17" t="s">
        <v>157</v>
      </c>
      <c r="C433" s="35" t="s">
        <v>158</v>
      </c>
      <c r="D433" s="35" t="s">
        <v>343</v>
      </c>
      <c r="E433" s="64">
        <f>868708.3/1000</f>
        <v>868.70830000000001</v>
      </c>
      <c r="G433" s="42"/>
      <c r="H433" s="43"/>
      <c r="I433" s="43"/>
      <c r="J433" s="43"/>
      <c r="K433" s="43"/>
      <c r="L433" s="43"/>
      <c r="M433" s="43"/>
      <c r="N433" s="43"/>
      <c r="O433" s="43"/>
      <c r="P433" s="43"/>
      <c r="Q433" s="43"/>
      <c r="R433" s="9"/>
      <c r="S433" s="9"/>
    </row>
    <row r="434" spans="1:19" ht="31.2" x14ac:dyDescent="0.25">
      <c r="A434" s="17" t="s">
        <v>159</v>
      </c>
      <c r="B434" s="17" t="s">
        <v>160</v>
      </c>
      <c r="C434" s="35" t="s">
        <v>161</v>
      </c>
      <c r="D434" s="35" t="s">
        <v>162</v>
      </c>
      <c r="E434" s="44">
        <v>0.2</v>
      </c>
      <c r="H434" s="43"/>
      <c r="I434" s="43"/>
      <c r="J434" s="43"/>
      <c r="K434" s="43"/>
      <c r="L434" s="43"/>
      <c r="M434" s="43"/>
      <c r="N434" s="43"/>
      <c r="O434" s="43"/>
      <c r="P434" s="43"/>
      <c r="Q434" s="43"/>
      <c r="R434" s="9"/>
      <c r="S434" s="9"/>
    </row>
    <row r="435" spans="1:19" ht="46.8" x14ac:dyDescent="0.25">
      <c r="A435" s="17" t="s">
        <v>163</v>
      </c>
      <c r="B435" s="17" t="s">
        <v>164</v>
      </c>
      <c r="C435" s="35" t="s">
        <v>165</v>
      </c>
      <c r="D435" s="35" t="s">
        <v>166</v>
      </c>
      <c r="E435" s="45">
        <f>0.5*0.8042+0.5*0.2135</f>
        <v>0.50885000000000002</v>
      </c>
      <c r="F435" s="46"/>
      <c r="G435" s="46"/>
      <c r="H435" s="46"/>
      <c r="I435" s="46"/>
      <c r="J435" s="46"/>
      <c r="K435" s="46"/>
      <c r="L435" s="46"/>
      <c r="M435" s="46"/>
      <c r="N435" s="46"/>
      <c r="O435" s="46"/>
      <c r="P435" s="46"/>
      <c r="Q435" s="46"/>
    </row>
    <row r="436" spans="1:19" ht="31.2" x14ac:dyDescent="0.4">
      <c r="A436" s="40" t="s">
        <v>167</v>
      </c>
      <c r="B436" s="17" t="s">
        <v>103</v>
      </c>
      <c r="C436" s="35" t="s">
        <v>168</v>
      </c>
      <c r="D436" s="35" t="s">
        <v>169</v>
      </c>
      <c r="E436" s="47">
        <v>0</v>
      </c>
      <c r="H436" s="43"/>
      <c r="I436" s="43"/>
      <c r="J436" s="43"/>
      <c r="K436" s="43"/>
      <c r="L436" s="43"/>
      <c r="M436" s="43"/>
      <c r="N436" s="43"/>
      <c r="O436" s="43"/>
      <c r="P436" s="43"/>
      <c r="Q436" s="43"/>
      <c r="R436" s="9"/>
      <c r="S436" s="9"/>
    </row>
    <row r="437" spans="1:19" x14ac:dyDescent="0.3">
      <c r="A437" s="48"/>
      <c r="E437" s="49"/>
      <c r="H437" s="43"/>
      <c r="I437" s="43"/>
      <c r="J437" s="43"/>
      <c r="K437" s="43"/>
      <c r="L437" s="43"/>
      <c r="M437" s="43"/>
      <c r="N437" s="43"/>
      <c r="O437" s="43"/>
      <c r="P437" s="43"/>
      <c r="Q437" s="43"/>
      <c r="R437" s="9"/>
      <c r="S437" s="9"/>
    </row>
    <row r="438" spans="1:19" x14ac:dyDescent="0.25">
      <c r="A438" s="174" t="s">
        <v>170</v>
      </c>
      <c r="B438" s="174"/>
      <c r="C438" s="175"/>
      <c r="D438" s="175"/>
      <c r="E438" s="195"/>
      <c r="F438" s="32"/>
      <c r="G438" s="32"/>
      <c r="H438" s="32"/>
      <c r="I438" s="32"/>
      <c r="J438" s="32"/>
      <c r="K438" s="32"/>
      <c r="L438" s="32"/>
      <c r="M438" s="32"/>
      <c r="N438" s="32"/>
      <c r="O438" s="32"/>
      <c r="P438" s="32"/>
      <c r="Q438" s="32"/>
    </row>
    <row r="439" spans="1:19" x14ac:dyDescent="0.25">
      <c r="A439" s="15" t="s">
        <v>8</v>
      </c>
      <c r="B439" s="15" t="s">
        <v>9</v>
      </c>
      <c r="C439" s="38" t="s">
        <v>10</v>
      </c>
      <c r="D439" s="38" t="s">
        <v>340</v>
      </c>
      <c r="E439" s="16" t="s">
        <v>65</v>
      </c>
      <c r="H439" s="43"/>
      <c r="I439" s="43"/>
      <c r="J439" s="43"/>
      <c r="K439" s="43"/>
      <c r="L439" s="43"/>
      <c r="M439" s="43"/>
      <c r="N439" s="43"/>
      <c r="O439" s="43"/>
      <c r="P439" s="43"/>
      <c r="Q439" s="43"/>
      <c r="R439" s="9"/>
      <c r="S439" s="9"/>
    </row>
    <row r="440" spans="1:19" ht="33.6" x14ac:dyDescent="0.4">
      <c r="A440" s="40" t="s">
        <v>171</v>
      </c>
      <c r="B440" s="17" t="s">
        <v>74</v>
      </c>
      <c r="C440" s="35" t="s">
        <v>172</v>
      </c>
      <c r="D440" s="35" t="s">
        <v>391</v>
      </c>
      <c r="E440" s="50">
        <f>E441*E444*E445*E446*E447*E448</f>
        <v>5.2523597149601757</v>
      </c>
      <c r="H440" s="43"/>
      <c r="I440" s="43"/>
      <c r="J440" s="43"/>
      <c r="K440" s="43"/>
      <c r="L440" s="43"/>
      <c r="M440" s="43"/>
      <c r="N440" s="43"/>
      <c r="O440" s="43"/>
      <c r="P440" s="43"/>
      <c r="Q440" s="43"/>
      <c r="R440" s="9"/>
      <c r="S440" s="9"/>
    </row>
    <row r="441" spans="1:19" ht="46.8" x14ac:dyDescent="0.4">
      <c r="A441" s="51" t="s">
        <v>173</v>
      </c>
      <c r="B441" s="17" t="s">
        <v>76</v>
      </c>
      <c r="C441" s="35" t="s">
        <v>174</v>
      </c>
      <c r="D441" s="35" t="s">
        <v>392</v>
      </c>
      <c r="E441" s="69">
        <f>ROUNDUP(E442/E443,0)</f>
        <v>163</v>
      </c>
      <c r="H441" s="43"/>
      <c r="I441" s="43"/>
      <c r="J441" s="43"/>
      <c r="K441" s="43"/>
      <c r="L441" s="43"/>
      <c r="M441" s="43"/>
      <c r="N441" s="43"/>
      <c r="O441" s="43"/>
      <c r="P441" s="43"/>
      <c r="Q441" s="43"/>
      <c r="R441" s="9"/>
      <c r="S441" s="9"/>
    </row>
    <row r="442" spans="1:19" ht="62.4" x14ac:dyDescent="0.25">
      <c r="A442" s="17" t="s">
        <v>175</v>
      </c>
      <c r="B442" s="17" t="s">
        <v>78</v>
      </c>
      <c r="C442" s="35" t="s">
        <v>176</v>
      </c>
      <c r="D442" s="35" t="s">
        <v>346</v>
      </c>
      <c r="E442" s="52">
        <v>814.23199999999997</v>
      </c>
      <c r="H442" s="43"/>
      <c r="I442" s="43"/>
      <c r="J442" s="43"/>
      <c r="K442" s="43"/>
      <c r="L442" s="43"/>
      <c r="M442" s="43"/>
      <c r="N442" s="43"/>
      <c r="O442" s="43"/>
      <c r="P442" s="43"/>
      <c r="Q442" s="43"/>
      <c r="R442" s="9"/>
      <c r="S442" s="9"/>
    </row>
    <row r="443" spans="1:19" ht="62.4" x14ac:dyDescent="0.25">
      <c r="A443" s="17" t="s">
        <v>177</v>
      </c>
      <c r="B443" s="17" t="s">
        <v>80</v>
      </c>
      <c r="C443" s="35" t="s">
        <v>81</v>
      </c>
      <c r="D443" s="35" t="s">
        <v>345</v>
      </c>
      <c r="E443" s="25">
        <f>5</f>
        <v>5</v>
      </c>
      <c r="H443" s="43"/>
      <c r="I443" s="43"/>
      <c r="J443" s="43"/>
      <c r="K443" s="43"/>
      <c r="L443" s="43"/>
      <c r="M443" s="43"/>
      <c r="N443" s="43"/>
      <c r="O443" s="43"/>
      <c r="P443" s="43"/>
      <c r="Q443" s="43"/>
      <c r="R443" s="9"/>
      <c r="S443" s="9"/>
    </row>
    <row r="444" spans="1:19" ht="202.8" x14ac:dyDescent="0.25">
      <c r="A444" s="17" t="s">
        <v>178</v>
      </c>
      <c r="B444" s="17" t="s">
        <v>82</v>
      </c>
      <c r="C444" s="35" t="s">
        <v>179</v>
      </c>
      <c r="D444" s="35" t="s">
        <v>367</v>
      </c>
      <c r="E444" s="25">
        <v>47.6</v>
      </c>
      <c r="H444" s="43"/>
      <c r="I444" s="43"/>
      <c r="J444" s="43"/>
      <c r="K444" s="43"/>
      <c r="L444" s="43"/>
      <c r="M444" s="43"/>
      <c r="N444" s="43"/>
      <c r="O444" s="43"/>
      <c r="P444" s="43"/>
      <c r="Q444" s="43"/>
      <c r="R444" s="9"/>
      <c r="S444" s="9"/>
    </row>
    <row r="445" spans="1:19" ht="156" x14ac:dyDescent="0.25">
      <c r="A445" s="17" t="s">
        <v>180</v>
      </c>
      <c r="B445" s="17" t="s">
        <v>84</v>
      </c>
      <c r="C445" s="35" t="s">
        <v>85</v>
      </c>
      <c r="D445" s="35" t="s">
        <v>365</v>
      </c>
      <c r="E445" s="25">
        <v>0.251</v>
      </c>
      <c r="H445" s="43"/>
      <c r="I445" s="43"/>
      <c r="J445" s="43"/>
      <c r="K445" s="43"/>
      <c r="L445" s="43"/>
      <c r="M445" s="43"/>
      <c r="N445" s="43"/>
      <c r="O445" s="43"/>
      <c r="P445" s="43"/>
      <c r="Q445" s="43"/>
      <c r="R445" s="9"/>
      <c r="S445" s="9"/>
    </row>
    <row r="446" spans="1:19" ht="62.4" x14ac:dyDescent="0.25">
      <c r="A446" s="17" t="s">
        <v>86</v>
      </c>
      <c r="B446" s="17" t="s">
        <v>87</v>
      </c>
      <c r="C446" s="35" t="s">
        <v>86</v>
      </c>
      <c r="D446" s="35" t="s">
        <v>215</v>
      </c>
      <c r="E446" s="25">
        <f>0.84/1000</f>
        <v>8.3999999999999993E-4</v>
      </c>
      <c r="H446" s="43"/>
      <c r="I446" s="43"/>
      <c r="J446" s="43"/>
      <c r="K446" s="43"/>
      <c r="L446" s="43"/>
      <c r="M446" s="43"/>
      <c r="N446" s="43"/>
      <c r="O446" s="43"/>
      <c r="P446" s="43"/>
      <c r="Q446" s="43"/>
      <c r="R446" s="9"/>
      <c r="S446" s="9"/>
    </row>
    <row r="447" spans="1:19" ht="124.8" x14ac:dyDescent="0.25">
      <c r="A447" s="17" t="s">
        <v>181</v>
      </c>
      <c r="B447" s="17" t="s">
        <v>88</v>
      </c>
      <c r="C447" s="35" t="s">
        <v>89</v>
      </c>
      <c r="D447" s="35" t="s">
        <v>360</v>
      </c>
      <c r="E447" s="25">
        <f>43.33/1000</f>
        <v>4.333E-2</v>
      </c>
      <c r="H447" s="43"/>
      <c r="I447" s="43"/>
      <c r="J447" s="43"/>
      <c r="K447" s="43"/>
      <c r="L447" s="43"/>
      <c r="M447" s="43"/>
      <c r="N447" s="43"/>
      <c r="O447" s="43"/>
      <c r="P447" s="43"/>
      <c r="Q447" s="43"/>
      <c r="R447" s="9"/>
      <c r="S447" s="9"/>
    </row>
    <row r="448" spans="1:19" ht="33.6" x14ac:dyDescent="0.25">
      <c r="A448" s="17" t="s">
        <v>182</v>
      </c>
      <c r="B448" s="17" t="s">
        <v>90</v>
      </c>
      <c r="C448" s="35" t="s">
        <v>91</v>
      </c>
      <c r="D448" s="35" t="s">
        <v>92</v>
      </c>
      <c r="E448" s="25">
        <v>74.099999999999994</v>
      </c>
      <c r="H448" s="43"/>
      <c r="I448" s="43"/>
      <c r="J448" s="43"/>
      <c r="K448" s="43"/>
      <c r="L448" s="43"/>
      <c r="M448" s="43"/>
      <c r="N448" s="43"/>
      <c r="O448" s="43"/>
      <c r="P448" s="43"/>
      <c r="Q448" s="43"/>
      <c r="R448" s="9"/>
      <c r="S448" s="9"/>
    </row>
    <row r="450" spans="1:19" x14ac:dyDescent="0.25">
      <c r="A450" s="33" t="s">
        <v>8</v>
      </c>
      <c r="B450" s="33" t="s">
        <v>9</v>
      </c>
      <c r="C450" s="34" t="s">
        <v>10</v>
      </c>
      <c r="D450" s="34" t="s">
        <v>340</v>
      </c>
      <c r="E450" s="16" t="s">
        <v>65</v>
      </c>
    </row>
    <row r="451" spans="1:19" ht="18" x14ac:dyDescent="0.25">
      <c r="A451" s="15" t="s">
        <v>183</v>
      </c>
      <c r="B451" s="17" t="s">
        <v>103</v>
      </c>
      <c r="C451" s="35" t="s">
        <v>184</v>
      </c>
      <c r="D451" s="53" t="s">
        <v>393</v>
      </c>
      <c r="E451" s="18">
        <f>ROUNDUP(E400+E424+E428+E432+E440,0)</f>
        <v>536</v>
      </c>
    </row>
    <row r="452" spans="1:19" s="209" customFormat="1" ht="38.4" customHeight="1" x14ac:dyDescent="0.25">
      <c r="A452" s="208" t="s">
        <v>226</v>
      </c>
    </row>
    <row r="453" spans="1:19" ht="23.4" customHeight="1" x14ac:dyDescent="0.25">
      <c r="A453" s="201" t="s">
        <v>105</v>
      </c>
      <c r="B453" s="201"/>
      <c r="C453" s="201"/>
      <c r="D453" s="201"/>
      <c r="E453" s="201"/>
      <c r="F453" s="201"/>
      <c r="G453" s="201"/>
      <c r="H453" s="201"/>
      <c r="I453" s="201"/>
      <c r="J453" s="201"/>
      <c r="K453" s="201"/>
      <c r="L453" s="201"/>
      <c r="M453" s="201"/>
      <c r="N453" s="201"/>
      <c r="O453" s="201"/>
      <c r="P453" s="201"/>
      <c r="Q453" s="202"/>
    </row>
    <row r="454" spans="1:19" s="10" customFormat="1" ht="31.2" x14ac:dyDescent="0.25">
      <c r="A454" s="15" t="s">
        <v>8</v>
      </c>
      <c r="B454" s="15" t="s">
        <v>9</v>
      </c>
      <c r="C454" s="15" t="s">
        <v>10</v>
      </c>
      <c r="D454" s="15" t="s">
        <v>340</v>
      </c>
      <c r="E454" s="16" t="s">
        <v>11</v>
      </c>
      <c r="F454" s="16" t="s">
        <v>312</v>
      </c>
      <c r="G454" s="16" t="s">
        <v>313</v>
      </c>
      <c r="H454" s="16" t="s">
        <v>314</v>
      </c>
      <c r="I454" s="16" t="s">
        <v>315</v>
      </c>
      <c r="J454" s="16" t="s">
        <v>316</v>
      </c>
      <c r="K454" s="16" t="s">
        <v>317</v>
      </c>
      <c r="L454" s="16" t="s">
        <v>318</v>
      </c>
      <c r="M454" s="16" t="s">
        <v>319</v>
      </c>
      <c r="N454" s="16" t="s">
        <v>320</v>
      </c>
      <c r="O454" s="16" t="s">
        <v>293</v>
      </c>
      <c r="P454" s="16" t="s">
        <v>294</v>
      </c>
      <c r="Q454" s="16" t="s">
        <v>295</v>
      </c>
      <c r="R454" s="54"/>
      <c r="S454" s="54"/>
    </row>
    <row r="455" spans="1:19" s="10" customFormat="1" x14ac:dyDescent="0.25">
      <c r="A455" s="203" t="s">
        <v>106</v>
      </c>
      <c r="B455" s="203"/>
      <c r="C455" s="203"/>
      <c r="D455" s="203"/>
      <c r="E455" s="204"/>
      <c r="F455" s="16">
        <v>31</v>
      </c>
      <c r="G455" s="16">
        <v>28</v>
      </c>
      <c r="H455" s="16">
        <v>31</v>
      </c>
      <c r="I455" s="16">
        <v>30</v>
      </c>
      <c r="J455" s="16">
        <v>31</v>
      </c>
      <c r="K455" s="16">
        <v>30</v>
      </c>
      <c r="L455" s="16">
        <v>31</v>
      </c>
      <c r="M455" s="16">
        <v>31</v>
      </c>
      <c r="N455" s="16">
        <v>30</v>
      </c>
      <c r="O455" s="16">
        <v>31</v>
      </c>
      <c r="P455" s="16">
        <v>30</v>
      </c>
      <c r="Q455" s="16">
        <v>31</v>
      </c>
      <c r="R455" s="54"/>
      <c r="S455" s="54"/>
    </row>
    <row r="456" spans="1:19" s="10" customFormat="1" ht="31.2" x14ac:dyDescent="0.25">
      <c r="A456" s="15" t="s">
        <v>107</v>
      </c>
      <c r="B456" s="17" t="s">
        <v>103</v>
      </c>
      <c r="C456" s="17" t="s">
        <v>108</v>
      </c>
      <c r="D456" s="17" t="s">
        <v>381</v>
      </c>
      <c r="E456" s="18">
        <f>E457+E467</f>
        <v>0</v>
      </c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54"/>
      <c r="S456" s="54"/>
    </row>
    <row r="457" spans="1:19" ht="46.8" x14ac:dyDescent="0.25">
      <c r="A457" s="17" t="s">
        <v>109</v>
      </c>
      <c r="B457" s="17" t="s">
        <v>103</v>
      </c>
      <c r="C457" s="17" t="s">
        <v>110</v>
      </c>
      <c r="D457" s="17" t="s">
        <v>382</v>
      </c>
      <c r="E457" s="19">
        <f>SUM(F457:Q457)</f>
        <v>0</v>
      </c>
      <c r="F457" s="19">
        <f>IF(F458&gt;=0.8,0,$E$465*$E$466*0.4*(F459-F462)*F455)</f>
        <v>0</v>
      </c>
      <c r="G457" s="19">
        <f t="shared" ref="G457:Q457" si="56">IF(G458&gt;=0.8,0,$E$465*$E$466*0.4*(G459-G462)*G455)</f>
        <v>0</v>
      </c>
      <c r="H457" s="19">
        <f t="shared" si="56"/>
        <v>0</v>
      </c>
      <c r="I457" s="19">
        <f t="shared" si="56"/>
        <v>0</v>
      </c>
      <c r="J457" s="19">
        <f t="shared" si="56"/>
        <v>0</v>
      </c>
      <c r="K457" s="19">
        <f t="shared" si="56"/>
        <v>0</v>
      </c>
      <c r="L457" s="19">
        <f t="shared" si="56"/>
        <v>0</v>
      </c>
      <c r="M457" s="19">
        <f t="shared" si="56"/>
        <v>0</v>
      </c>
      <c r="N457" s="19">
        <f t="shared" si="56"/>
        <v>0</v>
      </c>
      <c r="O457" s="19">
        <f t="shared" si="56"/>
        <v>0</v>
      </c>
      <c r="P457" s="19">
        <f t="shared" si="56"/>
        <v>0</v>
      </c>
      <c r="Q457" s="19">
        <f t="shared" si="56"/>
        <v>0</v>
      </c>
    </row>
    <row r="458" spans="1:19" ht="62.4" x14ac:dyDescent="0.25">
      <c r="A458" s="17" t="s">
        <v>111</v>
      </c>
      <c r="B458" s="17" t="s">
        <v>37</v>
      </c>
      <c r="C458" s="17" t="s">
        <v>112</v>
      </c>
      <c r="D458" s="17" t="s">
        <v>383</v>
      </c>
      <c r="E458" s="20">
        <f>AVERAGE(F458:Q458)</f>
        <v>0.95292183422980081</v>
      </c>
      <c r="F458" s="20">
        <f>(F459-F462)/F459</f>
        <v>0.95456203517387739</v>
      </c>
      <c r="G458" s="20">
        <f t="shared" ref="G458:Q458" si="57">(G459-G462)/G459</f>
        <v>0.95393842604948964</v>
      </c>
      <c r="H458" s="20">
        <f t="shared" si="57"/>
        <v>0.95242218657570543</v>
      </c>
      <c r="I458" s="20">
        <f t="shared" si="57"/>
        <v>0.95408920335415037</v>
      </c>
      <c r="J458" s="20">
        <f t="shared" si="57"/>
        <v>0.952238941341506</v>
      </c>
      <c r="K458" s="20">
        <f t="shared" si="57"/>
        <v>0.9522297542700795</v>
      </c>
      <c r="L458" s="20">
        <f t="shared" si="57"/>
        <v>0.95114986831772264</v>
      </c>
      <c r="M458" s="20">
        <f t="shared" si="57"/>
        <v>0.95169685389432657</v>
      </c>
      <c r="N458" s="20">
        <f t="shared" si="57"/>
        <v>0.95312314707817469</v>
      </c>
      <c r="O458" s="20">
        <f t="shared" si="57"/>
        <v>0.95227826931149084</v>
      </c>
      <c r="P458" s="20">
        <f t="shared" si="57"/>
        <v>0.95345363341192135</v>
      </c>
      <c r="Q458" s="20">
        <f t="shared" si="57"/>
        <v>0.95387969197916533</v>
      </c>
    </row>
    <row r="459" spans="1:19" ht="46.8" x14ac:dyDescent="0.25">
      <c r="A459" s="17" t="s">
        <v>113</v>
      </c>
      <c r="B459" s="17" t="s">
        <v>24</v>
      </c>
      <c r="C459" s="17" t="s">
        <v>114</v>
      </c>
      <c r="D459" s="17" t="s">
        <v>384</v>
      </c>
      <c r="E459" s="20">
        <f>SUM(F459:Q459)</f>
        <v>105.84192027302163</v>
      </c>
      <c r="F459" s="20">
        <f>F460*F461</f>
        <v>8.8693923090540761</v>
      </c>
      <c r="G459" s="20">
        <f t="shared" ref="G459:Q459" si="58">G460*G461</f>
        <v>8.8757525942859754</v>
      </c>
      <c r="H459" s="20">
        <f t="shared" si="58"/>
        <v>8.8631356953330656</v>
      </c>
      <c r="I459" s="20">
        <f t="shared" si="58"/>
        <v>8.8651537868616082</v>
      </c>
      <c r="J459" s="20">
        <f t="shared" si="58"/>
        <v>9.269018335111733</v>
      </c>
      <c r="K459" s="20">
        <f t="shared" si="58"/>
        <v>8.2665888007279271</v>
      </c>
      <c r="L459" s="20">
        <f t="shared" si="58"/>
        <v>8.2720311590722346</v>
      </c>
      <c r="M459" s="20">
        <f t="shared" si="58"/>
        <v>8.2824711124898531</v>
      </c>
      <c r="N459" s="20">
        <f t="shared" si="58"/>
        <v>9.2750526221489604</v>
      </c>
      <c r="O459" s="20">
        <f t="shared" si="58"/>
        <v>9.2738714507558679</v>
      </c>
      <c r="P459" s="20">
        <f t="shared" si="58"/>
        <v>8.8633182280917175</v>
      </c>
      <c r="Q459" s="20">
        <f t="shared" si="58"/>
        <v>8.8661341790886254</v>
      </c>
    </row>
    <row r="460" spans="1:19" ht="66.599999999999994" customHeight="1" x14ac:dyDescent="0.25">
      <c r="A460" s="17" t="s">
        <v>115</v>
      </c>
      <c r="B460" s="17" t="s">
        <v>116</v>
      </c>
      <c r="C460" s="17" t="s">
        <v>117</v>
      </c>
      <c r="D460" s="17" t="s">
        <v>337</v>
      </c>
      <c r="E460" s="21">
        <f>SUM(F460:Q460)</f>
        <v>232403.20387933947</v>
      </c>
      <c r="F460" s="21">
        <f>'Baseline Emissions 2021'!F446</f>
        <v>18932.911870967739</v>
      </c>
      <c r="G460" s="21">
        <f>'Baseline Emissions 2021'!G446</f>
        <v>18931.032464285709</v>
      </c>
      <c r="H460" s="21">
        <f>'Baseline Emissions 2021'!H446</f>
        <v>18926.029000000002</v>
      </c>
      <c r="I460" s="21">
        <f>'Baseline Emissions 2021'!I446</f>
        <v>18936.392533333332</v>
      </c>
      <c r="J460" s="21">
        <f>'Baseline Emissions 2021'!J446</f>
        <v>19798.487129032255</v>
      </c>
      <c r="K460" s="21">
        <f>'Baseline Emissions 2021'!K446</f>
        <v>19806.590866666666</v>
      </c>
      <c r="L460" s="21">
        <f>'Baseline Emissions 2021'!L446</f>
        <v>19804.84483870968</v>
      </c>
      <c r="M460" s="21">
        <f>'Baseline Emissions 2021'!M446</f>
        <v>19804.971709677418</v>
      </c>
      <c r="N460" s="21">
        <f>'Baseline Emissions 2021'!N446</f>
        <v>19800.108066666671</v>
      </c>
      <c r="O460" s="21">
        <f>'Baseline Emissions 2021'!O446</f>
        <v>19806.73796774193</v>
      </c>
      <c r="P460" s="21">
        <f>'Baseline Emissions 2021'!P446</f>
        <v>18927.10939999999</v>
      </c>
      <c r="Q460" s="21">
        <f>'Baseline Emissions 2021'!Q446</f>
        <v>18927.988032258065</v>
      </c>
    </row>
    <row r="461" spans="1:19" ht="46.8" x14ac:dyDescent="0.25">
      <c r="A461" s="17" t="s">
        <v>118</v>
      </c>
      <c r="B461" s="17" t="s">
        <v>119</v>
      </c>
      <c r="C461" s="17" t="s">
        <v>120</v>
      </c>
      <c r="D461" s="35" t="s">
        <v>338</v>
      </c>
      <c r="E461" s="120">
        <f>AVERAGE(F461:Q461)</f>
        <v>4.5571125199920848E-4</v>
      </c>
      <c r="F461" s="130">
        <f>'Baseline Emissions 2021'!F450</f>
        <v>4.6846424731182806E-4</v>
      </c>
      <c r="G461" s="130">
        <f>'Baseline Emissions 2021'!G450</f>
        <v>4.6884672619047611E-4</v>
      </c>
      <c r="H461" s="130">
        <f>'Baseline Emissions 2021'!H450</f>
        <v>4.683040322580645E-4</v>
      </c>
      <c r="I461" s="130">
        <f>'Baseline Emissions 2021'!I450</f>
        <v>4.6815431034482761E-4</v>
      </c>
      <c r="J461" s="130">
        <f>'Baseline Emissions 2021'!J450</f>
        <v>4.6816801075268822E-4</v>
      </c>
      <c r="K461" s="130">
        <f>'Baseline Emissions 2021'!K450</f>
        <v>4.1736555555555566E-4</v>
      </c>
      <c r="L461" s="130">
        <f>'Baseline Emissions 2021'!L450</f>
        <v>4.1767715053763442E-4</v>
      </c>
      <c r="M461" s="130">
        <f>'Baseline Emissions 2021'!M450</f>
        <v>4.1820161290322577E-4</v>
      </c>
      <c r="N461" s="130">
        <f>'Baseline Emissions 2021'!N450</f>
        <v>4.6843444444444424E-4</v>
      </c>
      <c r="O461" s="130">
        <f>'Baseline Emissions 2021'!O450</f>
        <v>4.6821801075268819E-4</v>
      </c>
      <c r="P461" s="130">
        <f>'Baseline Emissions 2021'!P450</f>
        <v>4.6828694444444441E-4</v>
      </c>
      <c r="Q461" s="130">
        <f>'Baseline Emissions 2021'!Q450</f>
        <v>4.6841397849462375E-4</v>
      </c>
    </row>
    <row r="462" spans="1:19" ht="46.8" x14ac:dyDescent="0.25">
      <c r="A462" s="17" t="s">
        <v>121</v>
      </c>
      <c r="B462" s="17" t="s">
        <v>24</v>
      </c>
      <c r="C462" s="17" t="s">
        <v>122</v>
      </c>
      <c r="D462" s="17" t="s">
        <v>384</v>
      </c>
      <c r="E462" s="20">
        <f>SUM(F462:Q462)</f>
        <v>4.9811020620463413</v>
      </c>
      <c r="F462" s="20">
        <f>SUM(F463*F464)</f>
        <v>0.40300713576788066</v>
      </c>
      <c r="G462" s="20">
        <f t="shared" ref="G462:Q462" si="59">SUM(G463*G464)</f>
        <v>0.40883113448813774</v>
      </c>
      <c r="H462" s="20">
        <f t="shared" si="59"/>
        <v>0.42168861646676198</v>
      </c>
      <c r="I462" s="20">
        <f t="shared" si="59"/>
        <v>0.40700627274278756</v>
      </c>
      <c r="J462" s="20">
        <f t="shared" si="59"/>
        <v>0.44269812840992889</v>
      </c>
      <c r="K462" s="20">
        <f t="shared" si="59"/>
        <v>0.39489697835898158</v>
      </c>
      <c r="L462" s="20">
        <f t="shared" si="59"/>
        <v>0.4040898114005807</v>
      </c>
      <c r="M462" s="20">
        <f t="shared" si="59"/>
        <v>0.40006941226261689</v>
      </c>
      <c r="N462" s="20">
        <f t="shared" si="59"/>
        <v>0.43478527761066665</v>
      </c>
      <c r="O462" s="20">
        <f t="shared" si="59"/>
        <v>0.44256519581282522</v>
      </c>
      <c r="P462" s="20">
        <f t="shared" si="59"/>
        <v>0.41255525943155558</v>
      </c>
      <c r="Q462" s="20">
        <f t="shared" si="59"/>
        <v>0.40890883929361788</v>
      </c>
    </row>
    <row r="463" spans="1:19" ht="62.4" x14ac:dyDescent="0.25">
      <c r="A463" s="17" t="s">
        <v>123</v>
      </c>
      <c r="B463" s="17" t="s">
        <v>116</v>
      </c>
      <c r="C463" s="17" t="s">
        <v>124</v>
      </c>
      <c r="D463" s="17" t="s">
        <v>337</v>
      </c>
      <c r="E463" s="129">
        <f>SUM(F463:Q463)</f>
        <v>229618.38267619043</v>
      </c>
      <c r="F463" s="129">
        <v>18675.401677419355</v>
      </c>
      <c r="G463" s="129">
        <v>18669.610642857144</v>
      </c>
      <c r="H463" s="129">
        <v>18670.558483870966</v>
      </c>
      <c r="I463" s="129">
        <v>18668.782100000004</v>
      </c>
      <c r="J463" s="129">
        <v>19595.171967741935</v>
      </c>
      <c r="K463" s="129">
        <v>19600.566966666669</v>
      </c>
      <c r="L463" s="129">
        <v>19602.452870967732</v>
      </c>
      <c r="M463" s="129">
        <v>19596.526612903217</v>
      </c>
      <c r="N463" s="129">
        <v>19596.692199999998</v>
      </c>
      <c r="O463" s="129">
        <v>19598.149258064514</v>
      </c>
      <c r="P463" s="129">
        <v>18673.291766666669</v>
      </c>
      <c r="Q463" s="129">
        <v>18671.178129032261</v>
      </c>
    </row>
    <row r="464" spans="1:19" ht="46.8" x14ac:dyDescent="0.25">
      <c r="A464" s="17" t="s">
        <v>125</v>
      </c>
      <c r="B464" s="17" t="s">
        <v>119</v>
      </c>
      <c r="C464" s="17" t="s">
        <v>126</v>
      </c>
      <c r="D464" s="35" t="s">
        <v>339</v>
      </c>
      <c r="E464" s="131">
        <f>AVERAGE(F464:Q464)</f>
        <v>2.1699708078788308E-5</v>
      </c>
      <c r="F464" s="131">
        <f>'Baseline Emissions 2021'!F451</f>
        <v>2.1579569892473118E-5</v>
      </c>
      <c r="G464" s="131">
        <f>'Baseline Emissions 2021'!G451</f>
        <v>2.1898214285714284E-5</v>
      </c>
      <c r="H464" s="131">
        <f>'Baseline Emissions 2021'!H451</f>
        <v>2.2585752688172042E-5</v>
      </c>
      <c r="I464" s="131">
        <f>'Baseline Emissions 2021'!I451</f>
        <v>2.1801436781609203E-5</v>
      </c>
      <c r="J464" s="131">
        <f>'Baseline Emissions 2021'!J451</f>
        <v>2.259220430107527E-5</v>
      </c>
      <c r="K464" s="131">
        <f>'Baseline Emissions 2021'!K451</f>
        <v>2.0147222222222224E-5</v>
      </c>
      <c r="L464" s="131">
        <f>'Baseline Emissions 2021'!L451</f>
        <v>2.0614247311827951E-5</v>
      </c>
      <c r="M464" s="131">
        <f>'Baseline Emissions 2021'!M451</f>
        <v>2.0415322580645162E-5</v>
      </c>
      <c r="N464" s="131">
        <f>'Baseline Emissions 2021'!N451</f>
        <v>2.2186666666666669E-5</v>
      </c>
      <c r="O464" s="131">
        <f>'Baseline Emissions 2021'!O451</f>
        <v>2.2581989247311833E-5</v>
      </c>
      <c r="P464" s="131">
        <f>'Baseline Emissions 2021'!P451</f>
        <v>2.2093333333333331E-5</v>
      </c>
      <c r="Q464" s="131">
        <f>'Baseline Emissions 2021'!Q451</f>
        <v>2.1900537634408605E-5</v>
      </c>
    </row>
    <row r="465" spans="1:17" ht="31.2" x14ac:dyDescent="0.25">
      <c r="A465" s="17" t="s">
        <v>127</v>
      </c>
      <c r="B465" s="17" t="s">
        <v>128</v>
      </c>
      <c r="C465" s="17" t="s">
        <v>17</v>
      </c>
      <c r="D465" s="17" t="s">
        <v>129</v>
      </c>
      <c r="E465" s="176">
        <v>28</v>
      </c>
      <c r="F465" s="176"/>
      <c r="G465" s="176"/>
      <c r="H465" s="176"/>
      <c r="I465" s="176"/>
      <c r="J465" s="176"/>
      <c r="K465" s="176"/>
      <c r="L465" s="176"/>
      <c r="M465" s="176"/>
      <c r="N465" s="176"/>
      <c r="O465" s="176"/>
      <c r="P465" s="176"/>
      <c r="Q465" s="176"/>
    </row>
    <row r="466" spans="1:17" ht="64.8" x14ac:dyDescent="0.25">
      <c r="A466" s="17" t="s">
        <v>130</v>
      </c>
      <c r="B466" s="17" t="s">
        <v>19</v>
      </c>
      <c r="C466" s="17" t="s">
        <v>131</v>
      </c>
      <c r="D466" s="17" t="s">
        <v>394</v>
      </c>
      <c r="E466" s="176">
        <v>0.21</v>
      </c>
      <c r="F466" s="176"/>
      <c r="G466" s="176"/>
      <c r="H466" s="176"/>
      <c r="I466" s="176"/>
      <c r="J466" s="176"/>
      <c r="K466" s="176"/>
      <c r="L466" s="176"/>
      <c r="M466" s="176"/>
      <c r="N466" s="176"/>
      <c r="O466" s="176"/>
      <c r="P466" s="176"/>
      <c r="Q466" s="176"/>
    </row>
    <row r="467" spans="1:17" ht="46.8" x14ac:dyDescent="0.25">
      <c r="A467" s="17" t="s">
        <v>132</v>
      </c>
      <c r="B467" s="17" t="s">
        <v>103</v>
      </c>
      <c r="C467" s="17" t="s">
        <v>133</v>
      </c>
      <c r="D467" s="17" t="s">
        <v>385</v>
      </c>
      <c r="E467" s="19">
        <f>SUM(F467:Q467)</f>
        <v>0</v>
      </c>
      <c r="F467" s="19">
        <f>$E$465*$E$466*F468*F462*F455</f>
        <v>0</v>
      </c>
      <c r="G467" s="19">
        <f t="shared" ref="G467:Q467" si="60">$E$465*$E$466*G468*G462*G455</f>
        <v>0</v>
      </c>
      <c r="H467" s="19">
        <f t="shared" si="60"/>
        <v>0</v>
      </c>
      <c r="I467" s="19">
        <f t="shared" si="60"/>
        <v>0</v>
      </c>
      <c r="J467" s="19">
        <f t="shared" si="60"/>
        <v>0</v>
      </c>
      <c r="K467" s="19">
        <f t="shared" si="60"/>
        <v>0</v>
      </c>
      <c r="L467" s="19">
        <f t="shared" si="60"/>
        <v>0</v>
      </c>
      <c r="M467" s="19">
        <f t="shared" si="60"/>
        <v>0</v>
      </c>
      <c r="N467" s="19">
        <f t="shared" si="60"/>
        <v>0</v>
      </c>
      <c r="O467" s="19">
        <f t="shared" si="60"/>
        <v>0</v>
      </c>
      <c r="P467" s="19">
        <f t="shared" si="60"/>
        <v>0</v>
      </c>
      <c r="Q467" s="19">
        <f t="shared" si="60"/>
        <v>0</v>
      </c>
    </row>
    <row r="468" spans="1:17" ht="18" x14ac:dyDescent="0.25">
      <c r="A468" s="17" t="s">
        <v>134</v>
      </c>
      <c r="B468" s="17" t="s">
        <v>37</v>
      </c>
      <c r="C468" s="17" t="s">
        <v>135</v>
      </c>
      <c r="D468" s="17" t="s">
        <v>386</v>
      </c>
      <c r="E468" s="26">
        <f>AVERAGE(F468:Q468)</f>
        <v>0</v>
      </c>
      <c r="F468" s="26">
        <f>F469*$E$470*0.89</f>
        <v>0</v>
      </c>
      <c r="G468" s="26">
        <f t="shared" ref="G468:Q468" si="61">G469*$E$470*0.89</f>
        <v>0</v>
      </c>
      <c r="H468" s="26">
        <f t="shared" si="61"/>
        <v>0</v>
      </c>
      <c r="I468" s="26">
        <f t="shared" si="61"/>
        <v>0</v>
      </c>
      <c r="J468" s="26">
        <f t="shared" si="61"/>
        <v>0</v>
      </c>
      <c r="K468" s="26">
        <f t="shared" si="61"/>
        <v>0</v>
      </c>
      <c r="L468" s="26">
        <f t="shared" si="61"/>
        <v>0</v>
      </c>
      <c r="M468" s="26">
        <f t="shared" si="61"/>
        <v>0</v>
      </c>
      <c r="N468" s="26">
        <f t="shared" si="61"/>
        <v>0</v>
      </c>
      <c r="O468" s="26">
        <f t="shared" si="61"/>
        <v>0</v>
      </c>
      <c r="P468" s="26">
        <f t="shared" si="61"/>
        <v>0</v>
      </c>
      <c r="Q468" s="26">
        <f t="shared" si="61"/>
        <v>0</v>
      </c>
    </row>
    <row r="469" spans="1:17" ht="31.2" x14ac:dyDescent="0.25">
      <c r="A469" s="17" t="s">
        <v>136</v>
      </c>
      <c r="B469" s="17" t="s">
        <v>37</v>
      </c>
      <c r="C469" s="17" t="s">
        <v>46</v>
      </c>
      <c r="D469" s="17" t="s">
        <v>387</v>
      </c>
      <c r="E469" s="25">
        <v>0</v>
      </c>
      <c r="F469" s="25">
        <v>0</v>
      </c>
      <c r="G469" s="25">
        <v>0</v>
      </c>
      <c r="H469" s="25">
        <v>0</v>
      </c>
      <c r="I469" s="25">
        <v>0</v>
      </c>
      <c r="J469" s="25">
        <v>0</v>
      </c>
      <c r="K469" s="25">
        <v>0</v>
      </c>
      <c r="L469" s="25">
        <v>0</v>
      </c>
      <c r="M469" s="25">
        <v>0</v>
      </c>
      <c r="N469" s="25">
        <v>0</v>
      </c>
      <c r="O469" s="25">
        <v>0</v>
      </c>
      <c r="P469" s="25">
        <v>0</v>
      </c>
      <c r="Q469" s="25">
        <v>0</v>
      </c>
    </row>
    <row r="470" spans="1:17" ht="31.2" x14ac:dyDescent="0.25">
      <c r="A470" s="17" t="s">
        <v>137</v>
      </c>
      <c r="B470" s="17" t="s">
        <v>201</v>
      </c>
      <c r="C470" s="17" t="s">
        <v>138</v>
      </c>
      <c r="D470" s="17" t="s">
        <v>388</v>
      </c>
      <c r="E470" s="196">
        <f>(F471*F476+G471*G476+H471*H476+I471*I476+J471*J476+K471*K476+L471*L476+M471*M476+N471*N476+O471*O476+P471*P476+Q471*Q476)/(F463*F464*F455+G464*G463*G455+H463*H464*H455+I464*I463*I455+J464*J463*J455+K464*K463*K455+L464*L463*L455+M464*M463*M455+N464*N463*N455+O463*O464*O455+P464*P463*P455+Q464*Q463*Q455)</f>
        <v>0.64709436848580826</v>
      </c>
      <c r="F470" s="196"/>
      <c r="G470" s="196"/>
      <c r="H470" s="196"/>
      <c r="I470" s="196"/>
      <c r="J470" s="196"/>
      <c r="K470" s="196"/>
      <c r="L470" s="196"/>
      <c r="M470" s="196"/>
      <c r="N470" s="196"/>
      <c r="O470" s="196"/>
      <c r="P470" s="196"/>
      <c r="Q470" s="196"/>
    </row>
    <row r="471" spans="1:17" ht="31.2" x14ac:dyDescent="0.25">
      <c r="A471" s="17" t="s">
        <v>139</v>
      </c>
      <c r="B471" s="17" t="s">
        <v>37</v>
      </c>
      <c r="C471" s="17" t="s">
        <v>140</v>
      </c>
      <c r="D471" s="17" t="s">
        <v>375</v>
      </c>
      <c r="E471" s="27">
        <f>AVERAGE(F471:Q471)</f>
        <v>0.64479238509433301</v>
      </c>
      <c r="F471" s="27">
        <f>IF(F475&lt;283,0,IF(F475&gt;303,1,EXP(($E$472*(F475-$E$473))/($E$474*$E$473*F475))))</f>
        <v>0.24547412919519337</v>
      </c>
      <c r="G471" s="27">
        <f t="shared" ref="G471:Q471" si="62">IF(G475&lt;283,0,IF(G475&gt;303,1,EXP(($E$472*(G475-$E$473))/($E$474*$E$473*G475))))</f>
        <v>0.38698063689870399</v>
      </c>
      <c r="H471" s="27">
        <f t="shared" si="62"/>
        <v>0.50475941545474445</v>
      </c>
      <c r="I471" s="27">
        <f t="shared" si="62"/>
        <v>0.60078639810878987</v>
      </c>
      <c r="J471" s="27">
        <f t="shared" si="62"/>
        <v>0.91923925774048054</v>
      </c>
      <c r="K471" s="27">
        <f t="shared" si="62"/>
        <v>0.95843738031531212</v>
      </c>
      <c r="L471" s="27">
        <f t="shared" si="62"/>
        <v>1</v>
      </c>
      <c r="M471" s="27">
        <f t="shared" si="62"/>
        <v>0.95843738031531212</v>
      </c>
      <c r="N471" s="27">
        <f t="shared" si="62"/>
        <v>0.91923925774048054</v>
      </c>
      <c r="O471" s="27">
        <f t="shared" si="62"/>
        <v>0.57531644493802248</v>
      </c>
      <c r="P471" s="27">
        <f t="shared" si="62"/>
        <v>0.38698063689870399</v>
      </c>
      <c r="Q471" s="27">
        <f t="shared" si="62"/>
        <v>0.28185768352625201</v>
      </c>
    </row>
    <row r="472" spans="1:17" x14ac:dyDescent="0.25">
      <c r="A472" s="17" t="s">
        <v>51</v>
      </c>
      <c r="B472" s="17" t="s">
        <v>52</v>
      </c>
      <c r="C472" s="17" t="s">
        <v>53</v>
      </c>
      <c r="D472" s="17" t="s">
        <v>389</v>
      </c>
      <c r="E472" s="176">
        <v>15175</v>
      </c>
      <c r="F472" s="176"/>
      <c r="G472" s="176"/>
      <c r="H472" s="176"/>
      <c r="I472" s="176"/>
      <c r="J472" s="176"/>
      <c r="K472" s="176"/>
      <c r="L472" s="176"/>
      <c r="M472" s="176"/>
      <c r="N472" s="176"/>
      <c r="O472" s="176"/>
      <c r="P472" s="176"/>
      <c r="Q472" s="176"/>
    </row>
    <row r="473" spans="1:17" ht="18" x14ac:dyDescent="0.25">
      <c r="A473" s="17" t="s">
        <v>141</v>
      </c>
      <c r="B473" s="17" t="s">
        <v>55</v>
      </c>
      <c r="C473" s="17" t="s">
        <v>56</v>
      </c>
      <c r="D473" s="17" t="s">
        <v>389</v>
      </c>
      <c r="E473" s="176">
        <v>303.16000000000003</v>
      </c>
      <c r="F473" s="176"/>
      <c r="G473" s="176"/>
      <c r="H473" s="176"/>
      <c r="I473" s="176"/>
      <c r="J473" s="176"/>
      <c r="K473" s="176"/>
      <c r="L473" s="176"/>
      <c r="M473" s="176"/>
      <c r="N473" s="176"/>
      <c r="O473" s="176"/>
      <c r="P473" s="176"/>
      <c r="Q473" s="176"/>
    </row>
    <row r="474" spans="1:17" x14ac:dyDescent="0.25">
      <c r="A474" s="17" t="s">
        <v>57</v>
      </c>
      <c r="B474" s="17" t="s">
        <v>58</v>
      </c>
      <c r="C474" s="17" t="s">
        <v>59</v>
      </c>
      <c r="D474" s="17" t="s">
        <v>389</v>
      </c>
      <c r="E474" s="176">
        <v>1.9870000000000001</v>
      </c>
      <c r="F474" s="176"/>
      <c r="G474" s="176"/>
      <c r="H474" s="176"/>
      <c r="I474" s="176"/>
      <c r="J474" s="176"/>
      <c r="K474" s="176"/>
      <c r="L474" s="176"/>
      <c r="M474" s="176"/>
      <c r="N474" s="176"/>
      <c r="O474" s="176"/>
      <c r="P474" s="176"/>
      <c r="Q474" s="176"/>
    </row>
    <row r="475" spans="1:17" ht="18" x14ac:dyDescent="0.25">
      <c r="A475" s="17" t="s">
        <v>142</v>
      </c>
      <c r="B475" s="17" t="s">
        <v>55</v>
      </c>
      <c r="C475" s="17" t="s">
        <v>143</v>
      </c>
      <c r="D475" s="144" t="s">
        <v>363</v>
      </c>
      <c r="E475" s="28">
        <f>AVERAGE(F475:Q475)</f>
        <v>296.81666666666672</v>
      </c>
      <c r="F475" s="25">
        <v>287.14999999999998</v>
      </c>
      <c r="G475" s="25">
        <v>292.14999999999998</v>
      </c>
      <c r="H475" s="25">
        <v>295.14999999999998</v>
      </c>
      <c r="I475" s="25">
        <v>297.14999999999998</v>
      </c>
      <c r="J475" s="25">
        <v>302.14999999999998</v>
      </c>
      <c r="K475" s="25">
        <v>302.64999999999998</v>
      </c>
      <c r="L475" s="25">
        <v>303.14999999999998</v>
      </c>
      <c r="M475" s="25">
        <v>302.64999999999998</v>
      </c>
      <c r="N475" s="25">
        <v>302.14999999999998</v>
      </c>
      <c r="O475" s="25">
        <v>296.64999999999998</v>
      </c>
      <c r="P475" s="25">
        <v>292.14999999999998</v>
      </c>
      <c r="Q475" s="25">
        <v>288.64999999999998</v>
      </c>
    </row>
    <row r="476" spans="1:17" ht="46.8" x14ac:dyDescent="0.25">
      <c r="A476" s="17" t="s">
        <v>144</v>
      </c>
      <c r="B476" s="17" t="s">
        <v>24</v>
      </c>
      <c r="C476" s="17" t="s">
        <v>145</v>
      </c>
      <c r="D476" s="17" t="s">
        <v>390</v>
      </c>
      <c r="E476" s="29">
        <f>SUM(F476:Q476)</f>
        <v>151.5384267318282</v>
      </c>
      <c r="F476" s="29">
        <f>F463*F464*'Project Emissions 2021'!F455+(1-F471)*0</f>
        <v>12.4932212088043</v>
      </c>
      <c r="G476" s="29">
        <f>G463*G464*'Project Emissions 2021'!G455+(1-G471)*0</f>
        <v>11.447271765667857</v>
      </c>
      <c r="H476" s="29">
        <f>H463*H464*'Project Emissions 2021'!H455+(1-H471)*0</f>
        <v>13.072347110469622</v>
      </c>
      <c r="I476" s="29">
        <f>I463*I464*'Project Emissions 2021'!I455+(1-I471)*0</f>
        <v>12.210188182283627</v>
      </c>
      <c r="J476" s="29">
        <f>J463*J464*'Project Emissions 2021'!J455+(1-J471)*0</f>
        <v>13.723641980707797</v>
      </c>
      <c r="K476" s="29">
        <f>K463*K464*'Project Emissions 2021'!K455+(1-K471)*0</f>
        <v>11.846909350769447</v>
      </c>
      <c r="L476" s="29">
        <f>L463*L464*'Project Emissions 2021'!L455+(1-L471)*0</f>
        <v>12.526784153418001</v>
      </c>
      <c r="M476" s="29">
        <f>M463*M464*'Project Emissions 2021'!M455+(1-M471)*0</f>
        <v>12.402151780141123</v>
      </c>
      <c r="N476" s="29">
        <f>N463*N464*'Project Emissions 2021'!N455+(1-N471)*0</f>
        <v>13.04355832832</v>
      </c>
      <c r="O476" s="29">
        <f>O463*O464*'Project Emissions 2021'!O455+(1-O471)*0</f>
        <v>13.719521070197581</v>
      </c>
      <c r="P476" s="29">
        <f>P463*P464*'Project Emissions 2021'!P455+(1-P471)*0</f>
        <v>12.376657782946667</v>
      </c>
      <c r="Q476" s="29">
        <f>Q463*Q464*'Project Emissions 2021'!Q455+(1-Q471)*0</f>
        <v>12.676174018102154</v>
      </c>
    </row>
    <row r="477" spans="1:17" x14ac:dyDescent="0.3">
      <c r="A477" s="30"/>
      <c r="E477" s="31"/>
      <c r="F477" s="31"/>
      <c r="G477" s="31"/>
      <c r="H477" s="31"/>
      <c r="I477" s="31"/>
      <c r="J477" s="31"/>
      <c r="K477" s="31"/>
      <c r="L477" s="31"/>
      <c r="M477" s="31"/>
      <c r="N477" s="31"/>
      <c r="O477" s="31"/>
      <c r="P477" s="31"/>
      <c r="Q477" s="31"/>
    </row>
    <row r="478" spans="1:17" x14ac:dyDescent="0.25">
      <c r="A478" s="174" t="s">
        <v>146</v>
      </c>
      <c r="B478" s="174"/>
      <c r="C478" s="175"/>
      <c r="D478" s="175"/>
      <c r="E478" s="195"/>
      <c r="F478" s="32"/>
      <c r="G478" s="32"/>
      <c r="H478" s="32"/>
      <c r="I478" s="32"/>
      <c r="J478" s="32"/>
      <c r="K478" s="32"/>
      <c r="L478" s="32"/>
      <c r="M478" s="32"/>
      <c r="N478" s="32"/>
      <c r="O478" s="32"/>
      <c r="P478" s="32"/>
      <c r="Q478" s="32"/>
    </row>
    <row r="479" spans="1:17" x14ac:dyDescent="0.25">
      <c r="A479" s="33" t="s">
        <v>8</v>
      </c>
      <c r="B479" s="33" t="s">
        <v>9</v>
      </c>
      <c r="C479" s="34" t="s">
        <v>10</v>
      </c>
      <c r="D479" s="34" t="s">
        <v>340</v>
      </c>
      <c r="E479" s="16" t="s">
        <v>65</v>
      </c>
      <c r="F479" s="32"/>
      <c r="G479" s="32"/>
      <c r="H479" s="32"/>
      <c r="I479" s="32"/>
      <c r="J479" s="32"/>
      <c r="K479" s="32"/>
      <c r="L479" s="32"/>
      <c r="M479" s="32"/>
      <c r="N479" s="32"/>
      <c r="O479" s="32"/>
      <c r="P479" s="32"/>
      <c r="Q479" s="32"/>
    </row>
    <row r="480" spans="1:17" ht="46.8" x14ac:dyDescent="0.25">
      <c r="A480" s="15" t="s">
        <v>147</v>
      </c>
      <c r="B480" s="17" t="s">
        <v>95</v>
      </c>
      <c r="C480" s="35" t="s">
        <v>148</v>
      </c>
      <c r="D480" s="35" t="s">
        <v>68</v>
      </c>
      <c r="E480" s="16">
        <v>0</v>
      </c>
      <c r="F480" s="32"/>
      <c r="G480" s="32"/>
      <c r="H480" s="32"/>
      <c r="I480" s="32"/>
      <c r="J480" s="32"/>
      <c r="K480" s="32"/>
      <c r="L480" s="32"/>
      <c r="M480" s="32"/>
      <c r="N480" s="32"/>
      <c r="O480" s="32"/>
      <c r="P480" s="32"/>
      <c r="Q480" s="32"/>
    </row>
    <row r="481" spans="1:19" x14ac:dyDescent="0.25">
      <c r="A481" s="36"/>
      <c r="B481" s="36"/>
      <c r="C481" s="37"/>
      <c r="D481" s="37"/>
      <c r="E481" s="32"/>
      <c r="F481" s="32"/>
      <c r="G481" s="32"/>
      <c r="H481" s="32"/>
      <c r="I481" s="32"/>
      <c r="J481" s="32"/>
      <c r="K481" s="32"/>
      <c r="L481" s="32"/>
      <c r="M481" s="32"/>
      <c r="N481" s="32"/>
      <c r="O481" s="32"/>
      <c r="P481" s="32"/>
      <c r="Q481" s="32"/>
    </row>
    <row r="482" spans="1:19" x14ac:dyDescent="0.25">
      <c r="A482" s="174" t="s">
        <v>149</v>
      </c>
      <c r="B482" s="174"/>
      <c r="C482" s="175"/>
      <c r="D482" s="175"/>
      <c r="E482" s="195"/>
      <c r="F482" s="32"/>
      <c r="G482" s="32"/>
      <c r="H482" s="32"/>
      <c r="I482" s="32"/>
      <c r="J482" s="32"/>
      <c r="K482" s="32"/>
      <c r="L482" s="32"/>
      <c r="M482" s="32"/>
      <c r="N482" s="32"/>
      <c r="O482" s="32"/>
      <c r="P482" s="32"/>
      <c r="Q482" s="32"/>
    </row>
    <row r="483" spans="1:19" x14ac:dyDescent="0.25">
      <c r="A483" s="33" t="s">
        <v>8</v>
      </c>
      <c r="B483" s="33" t="s">
        <v>9</v>
      </c>
      <c r="C483" s="34" t="s">
        <v>10</v>
      </c>
      <c r="D483" s="34" t="s">
        <v>340</v>
      </c>
      <c r="E483" s="16" t="s">
        <v>65</v>
      </c>
      <c r="F483" s="32"/>
      <c r="G483" s="32"/>
      <c r="H483" s="32"/>
      <c r="I483" s="32"/>
      <c r="J483" s="32"/>
      <c r="K483" s="32"/>
      <c r="L483" s="32"/>
      <c r="M483" s="32"/>
      <c r="N483" s="32"/>
      <c r="O483" s="32"/>
      <c r="P483" s="32"/>
      <c r="Q483" s="32"/>
    </row>
    <row r="484" spans="1:19" ht="46.8" x14ac:dyDescent="0.25">
      <c r="A484" s="15" t="s">
        <v>150</v>
      </c>
      <c r="B484" s="17" t="s">
        <v>95</v>
      </c>
      <c r="C484" s="35" t="s">
        <v>151</v>
      </c>
      <c r="D484" s="35" t="s">
        <v>68</v>
      </c>
      <c r="E484" s="16">
        <v>0</v>
      </c>
      <c r="F484" s="32"/>
      <c r="G484" s="32"/>
      <c r="H484" s="32"/>
      <c r="I484" s="32"/>
      <c r="J484" s="32"/>
      <c r="K484" s="32"/>
      <c r="L484" s="32"/>
      <c r="M484" s="32"/>
      <c r="N484" s="32"/>
      <c r="O484" s="32"/>
      <c r="P484" s="32"/>
      <c r="Q484" s="32"/>
    </row>
    <row r="485" spans="1:19" x14ac:dyDescent="0.25">
      <c r="F485" s="32"/>
      <c r="G485" s="32"/>
      <c r="H485" s="32"/>
      <c r="I485" s="32"/>
      <c r="J485" s="32"/>
      <c r="K485" s="32"/>
      <c r="L485" s="32"/>
      <c r="M485" s="32"/>
      <c r="N485" s="32"/>
      <c r="O485" s="32"/>
      <c r="P485" s="32"/>
      <c r="Q485" s="32"/>
    </row>
    <row r="486" spans="1:19" x14ac:dyDescent="0.25">
      <c r="A486" s="174" t="s">
        <v>152</v>
      </c>
      <c r="B486" s="174"/>
      <c r="C486" s="175"/>
      <c r="D486" s="175"/>
      <c r="E486" s="195"/>
      <c r="F486" s="32"/>
      <c r="G486" s="32"/>
      <c r="H486" s="32"/>
      <c r="I486" s="32"/>
      <c r="J486" s="32"/>
      <c r="K486" s="32"/>
      <c r="L486" s="32"/>
      <c r="M486" s="32"/>
      <c r="N486" s="32"/>
      <c r="O486" s="32"/>
      <c r="P486" s="32"/>
      <c r="Q486" s="32"/>
    </row>
    <row r="487" spans="1:19" s="10" customFormat="1" x14ac:dyDescent="0.25">
      <c r="A487" s="15" t="s">
        <v>8</v>
      </c>
      <c r="B487" s="15" t="s">
        <v>9</v>
      </c>
      <c r="C487" s="38" t="s">
        <v>10</v>
      </c>
      <c r="D487" s="38" t="s">
        <v>340</v>
      </c>
      <c r="E487" s="16" t="s">
        <v>65</v>
      </c>
      <c r="F487" s="32"/>
      <c r="G487" s="32"/>
      <c r="H487" s="39"/>
      <c r="I487" s="39"/>
      <c r="J487" s="39"/>
      <c r="K487" s="39"/>
      <c r="L487" s="39"/>
      <c r="M487" s="39"/>
      <c r="N487" s="39"/>
      <c r="O487" s="39"/>
      <c r="P487" s="39"/>
      <c r="Q487" s="39"/>
    </row>
    <row r="488" spans="1:19" s="10" customFormat="1" ht="18" x14ac:dyDescent="0.4">
      <c r="A488" s="40" t="s">
        <v>153</v>
      </c>
      <c r="B488" s="17" t="s">
        <v>103</v>
      </c>
      <c r="C488" s="35" t="s">
        <v>154</v>
      </c>
      <c r="D488" s="35" t="s">
        <v>155</v>
      </c>
      <c r="E488" s="41">
        <f>E489*E491*(1+E490)</f>
        <v>1963.0603533792</v>
      </c>
      <c r="F488" s="32"/>
      <c r="G488" s="32"/>
      <c r="H488" s="39"/>
      <c r="I488" s="39"/>
      <c r="J488" s="39"/>
      <c r="K488" s="39"/>
      <c r="L488" s="39"/>
      <c r="M488" s="39"/>
      <c r="N488" s="39"/>
      <c r="O488" s="39"/>
      <c r="P488" s="39"/>
      <c r="Q488" s="39"/>
    </row>
    <row r="489" spans="1:19" ht="31.2" x14ac:dyDescent="0.25">
      <c r="A489" s="17" t="s">
        <v>156</v>
      </c>
      <c r="B489" s="17" t="s">
        <v>157</v>
      </c>
      <c r="C489" s="35" t="s">
        <v>158</v>
      </c>
      <c r="D489" s="35" t="s">
        <v>343</v>
      </c>
      <c r="E489" s="20">
        <f>3214864.16/1000</f>
        <v>3214.8641600000001</v>
      </c>
      <c r="G489" s="42"/>
      <c r="H489" s="43"/>
      <c r="I489" s="43"/>
      <c r="J489" s="43"/>
      <c r="K489" s="43"/>
      <c r="L489" s="43"/>
      <c r="M489" s="43"/>
      <c r="N489" s="43"/>
      <c r="O489" s="43"/>
      <c r="P489" s="43"/>
      <c r="Q489" s="43"/>
      <c r="R489" s="9"/>
      <c r="S489" s="9"/>
    </row>
    <row r="490" spans="1:19" ht="31.2" x14ac:dyDescent="0.25">
      <c r="A490" s="17" t="s">
        <v>159</v>
      </c>
      <c r="B490" s="17" t="s">
        <v>160</v>
      </c>
      <c r="C490" s="35" t="s">
        <v>161</v>
      </c>
      <c r="D490" s="35" t="s">
        <v>162</v>
      </c>
      <c r="E490" s="44">
        <v>0.2</v>
      </c>
      <c r="H490" s="43"/>
      <c r="I490" s="43"/>
      <c r="J490" s="43"/>
      <c r="K490" s="43"/>
      <c r="L490" s="43"/>
      <c r="M490" s="43"/>
      <c r="N490" s="43"/>
      <c r="O490" s="43"/>
      <c r="P490" s="43"/>
      <c r="Q490" s="43"/>
      <c r="R490" s="9"/>
      <c r="S490" s="9"/>
    </row>
    <row r="491" spans="1:19" ht="46.8" x14ac:dyDescent="0.25">
      <c r="A491" s="17" t="s">
        <v>163</v>
      </c>
      <c r="B491" s="17" t="s">
        <v>164</v>
      </c>
      <c r="C491" s="35" t="s">
        <v>165</v>
      </c>
      <c r="D491" s="35" t="s">
        <v>166</v>
      </c>
      <c r="E491" s="45">
        <f>0.5*0.8042+0.5*0.2135</f>
        <v>0.50885000000000002</v>
      </c>
      <c r="F491" s="46"/>
      <c r="G491" s="46"/>
      <c r="H491" s="46"/>
      <c r="I491" s="46"/>
      <c r="J491" s="46"/>
      <c r="K491" s="46"/>
      <c r="L491" s="46"/>
      <c r="M491" s="46"/>
      <c r="N491" s="46"/>
      <c r="O491" s="46"/>
      <c r="P491" s="46"/>
      <c r="Q491" s="46"/>
    </row>
    <row r="492" spans="1:19" ht="31.2" x14ac:dyDescent="0.4">
      <c r="A492" s="40" t="s">
        <v>167</v>
      </c>
      <c r="B492" s="17" t="s">
        <v>103</v>
      </c>
      <c r="C492" s="35" t="s">
        <v>168</v>
      </c>
      <c r="D492" s="35" t="s">
        <v>169</v>
      </c>
      <c r="E492" s="47">
        <v>0</v>
      </c>
      <c r="H492" s="43"/>
      <c r="I492" s="43"/>
      <c r="J492" s="43"/>
      <c r="K492" s="43"/>
      <c r="L492" s="43"/>
      <c r="M492" s="43"/>
      <c r="N492" s="43"/>
      <c r="O492" s="43"/>
      <c r="P492" s="43"/>
      <c r="Q492" s="43"/>
      <c r="R492" s="9"/>
      <c r="S492" s="9"/>
    </row>
    <row r="493" spans="1:19" x14ac:dyDescent="0.3">
      <c r="A493" s="48"/>
      <c r="E493" s="49"/>
      <c r="H493" s="43"/>
      <c r="I493" s="43"/>
      <c r="J493" s="43"/>
      <c r="K493" s="43"/>
      <c r="L493" s="43"/>
      <c r="M493" s="43"/>
      <c r="N493" s="43"/>
      <c r="O493" s="43"/>
      <c r="P493" s="43"/>
      <c r="Q493" s="43"/>
      <c r="R493" s="9"/>
      <c r="S493" s="9"/>
    </row>
    <row r="494" spans="1:19" x14ac:dyDescent="0.25">
      <c r="A494" s="174" t="s">
        <v>170</v>
      </c>
      <c r="B494" s="174"/>
      <c r="C494" s="175"/>
      <c r="D494" s="175"/>
      <c r="E494" s="195"/>
      <c r="F494" s="32"/>
      <c r="G494" s="32"/>
      <c r="H494" s="32"/>
      <c r="I494" s="32"/>
      <c r="J494" s="32"/>
      <c r="K494" s="32"/>
      <c r="L494" s="32"/>
      <c r="M494" s="32"/>
      <c r="N494" s="32"/>
      <c r="O494" s="32"/>
      <c r="P494" s="32"/>
      <c r="Q494" s="32"/>
    </row>
    <row r="495" spans="1:19" x14ac:dyDescent="0.25">
      <c r="A495" s="15" t="s">
        <v>8</v>
      </c>
      <c r="B495" s="15" t="s">
        <v>9</v>
      </c>
      <c r="C495" s="38" t="s">
        <v>10</v>
      </c>
      <c r="D495" s="38" t="s">
        <v>340</v>
      </c>
      <c r="E495" s="16" t="s">
        <v>65</v>
      </c>
      <c r="H495" s="43"/>
      <c r="I495" s="43"/>
      <c r="J495" s="43"/>
      <c r="K495" s="43"/>
      <c r="L495" s="43"/>
      <c r="M495" s="43"/>
      <c r="N495" s="43"/>
      <c r="O495" s="43"/>
      <c r="P495" s="43"/>
      <c r="Q495" s="43"/>
      <c r="R495" s="9"/>
      <c r="S495" s="9"/>
    </row>
    <row r="496" spans="1:19" ht="33.6" x14ac:dyDescent="0.4">
      <c r="A496" s="40" t="s">
        <v>171</v>
      </c>
      <c r="B496" s="17" t="s">
        <v>74</v>
      </c>
      <c r="C496" s="35" t="s">
        <v>172</v>
      </c>
      <c r="D496" s="35" t="s">
        <v>391</v>
      </c>
      <c r="E496" s="50">
        <f>E497*E500*E501*E502*E503*E504</f>
        <v>8.6490499384205268</v>
      </c>
      <c r="H496" s="43"/>
      <c r="I496" s="43"/>
      <c r="J496" s="43"/>
      <c r="K496" s="43"/>
      <c r="L496" s="43"/>
      <c r="M496" s="43"/>
      <c r="N496" s="43"/>
      <c r="O496" s="43"/>
      <c r="P496" s="43"/>
      <c r="Q496" s="43"/>
      <c r="R496" s="9"/>
      <c r="S496" s="9"/>
    </row>
    <row r="497" spans="1:19" ht="46.8" x14ac:dyDescent="0.4">
      <c r="A497" s="51" t="s">
        <v>173</v>
      </c>
      <c r="B497" s="17" t="s">
        <v>76</v>
      </c>
      <c r="C497" s="35" t="s">
        <v>174</v>
      </c>
      <c r="D497" s="35" t="s">
        <v>392</v>
      </c>
      <c r="E497" s="69">
        <f>ROUNDUP(E498/E499,0)</f>
        <v>702</v>
      </c>
      <c r="H497" s="43"/>
      <c r="I497" s="43"/>
      <c r="J497" s="43"/>
      <c r="K497" s="43"/>
      <c r="L497" s="43"/>
      <c r="M497" s="43"/>
      <c r="N497" s="43"/>
      <c r="O497" s="43"/>
      <c r="P497" s="43"/>
      <c r="Q497" s="43"/>
      <c r="R497" s="9"/>
      <c r="S497" s="9"/>
    </row>
    <row r="498" spans="1:19" ht="62.4" x14ac:dyDescent="0.25">
      <c r="A498" s="17" t="s">
        <v>175</v>
      </c>
      <c r="B498" s="17" t="s">
        <v>78</v>
      </c>
      <c r="C498" s="35" t="s">
        <v>176</v>
      </c>
      <c r="D498" s="35" t="s">
        <v>346</v>
      </c>
      <c r="E498" s="52">
        <v>3508.4369999999994</v>
      </c>
      <c r="H498" s="43"/>
      <c r="I498" s="43"/>
      <c r="J498" s="43"/>
      <c r="K498" s="43"/>
      <c r="L498" s="43"/>
      <c r="M498" s="43"/>
      <c r="N498" s="43"/>
      <c r="O498" s="43"/>
      <c r="P498" s="43"/>
      <c r="Q498" s="43"/>
      <c r="R498" s="9"/>
      <c r="S498" s="9"/>
    </row>
    <row r="499" spans="1:19" ht="62.4" x14ac:dyDescent="0.25">
      <c r="A499" s="17" t="s">
        <v>177</v>
      </c>
      <c r="B499" s="17" t="s">
        <v>80</v>
      </c>
      <c r="C499" s="35" t="s">
        <v>81</v>
      </c>
      <c r="D499" s="35" t="s">
        <v>345</v>
      </c>
      <c r="E499" s="25">
        <f>5</f>
        <v>5</v>
      </c>
      <c r="H499" s="43"/>
      <c r="I499" s="43"/>
      <c r="J499" s="43"/>
      <c r="K499" s="43"/>
      <c r="L499" s="43"/>
      <c r="M499" s="43"/>
      <c r="N499" s="43"/>
      <c r="O499" s="43"/>
      <c r="P499" s="43"/>
      <c r="Q499" s="43"/>
      <c r="R499" s="9"/>
      <c r="S499" s="9"/>
    </row>
    <row r="500" spans="1:19" ht="202.8" x14ac:dyDescent="0.25">
      <c r="A500" s="17" t="s">
        <v>178</v>
      </c>
      <c r="B500" s="17" t="s">
        <v>82</v>
      </c>
      <c r="C500" s="35" t="s">
        <v>179</v>
      </c>
      <c r="D500" s="35" t="s">
        <v>367</v>
      </c>
      <c r="E500" s="25">
        <v>18.2</v>
      </c>
      <c r="H500" s="43"/>
      <c r="I500" s="43"/>
      <c r="J500" s="43"/>
      <c r="K500" s="43"/>
      <c r="L500" s="43"/>
      <c r="M500" s="43"/>
      <c r="N500" s="43"/>
      <c r="O500" s="43"/>
      <c r="P500" s="43"/>
      <c r="Q500" s="43"/>
      <c r="R500" s="9"/>
      <c r="S500" s="9"/>
    </row>
    <row r="501" spans="1:19" ht="156" x14ac:dyDescent="0.25">
      <c r="A501" s="17" t="s">
        <v>180</v>
      </c>
      <c r="B501" s="17" t="s">
        <v>84</v>
      </c>
      <c r="C501" s="35" t="s">
        <v>85</v>
      </c>
      <c r="D501" s="35" t="s">
        <v>365</v>
      </c>
      <c r="E501" s="25">
        <f>25.1/100</f>
        <v>0.251</v>
      </c>
      <c r="H501" s="43"/>
      <c r="I501" s="43"/>
      <c r="J501" s="43"/>
      <c r="K501" s="43"/>
      <c r="L501" s="43"/>
      <c r="M501" s="43"/>
      <c r="N501" s="43"/>
      <c r="O501" s="43"/>
      <c r="P501" s="43"/>
      <c r="Q501" s="43"/>
      <c r="R501" s="9"/>
      <c r="S501" s="9"/>
    </row>
    <row r="502" spans="1:19" ht="62.4" x14ac:dyDescent="0.25">
      <c r="A502" s="17" t="s">
        <v>86</v>
      </c>
      <c r="B502" s="17" t="s">
        <v>87</v>
      </c>
      <c r="C502" s="35" t="s">
        <v>86</v>
      </c>
      <c r="D502" s="35" t="s">
        <v>215</v>
      </c>
      <c r="E502" s="25">
        <f>0.84/1000</f>
        <v>8.3999999999999993E-4</v>
      </c>
      <c r="H502" s="43"/>
      <c r="I502" s="43"/>
      <c r="J502" s="43"/>
      <c r="K502" s="43"/>
      <c r="L502" s="43"/>
      <c r="M502" s="43"/>
      <c r="N502" s="43"/>
      <c r="O502" s="43"/>
      <c r="P502" s="43"/>
      <c r="Q502" s="43"/>
      <c r="R502" s="9"/>
      <c r="S502" s="9"/>
    </row>
    <row r="503" spans="1:19" ht="124.8" x14ac:dyDescent="0.25">
      <c r="A503" s="17" t="s">
        <v>181</v>
      </c>
      <c r="B503" s="17" t="s">
        <v>88</v>
      </c>
      <c r="C503" s="35" t="s">
        <v>89</v>
      </c>
      <c r="D503" s="35" t="s">
        <v>360</v>
      </c>
      <c r="E503" s="25">
        <f>43.33/1000</f>
        <v>4.333E-2</v>
      </c>
      <c r="H503" s="43"/>
      <c r="I503" s="43"/>
      <c r="J503" s="43"/>
      <c r="K503" s="43"/>
      <c r="L503" s="43"/>
      <c r="M503" s="43"/>
      <c r="N503" s="43"/>
      <c r="O503" s="43"/>
      <c r="P503" s="43"/>
      <c r="Q503" s="43"/>
      <c r="R503" s="9"/>
      <c r="S503" s="9"/>
    </row>
    <row r="504" spans="1:19" ht="33.6" x14ac:dyDescent="0.25">
      <c r="A504" s="17" t="s">
        <v>182</v>
      </c>
      <c r="B504" s="17" t="s">
        <v>90</v>
      </c>
      <c r="C504" s="35" t="s">
        <v>91</v>
      </c>
      <c r="D504" s="35" t="s">
        <v>92</v>
      </c>
      <c r="E504" s="25">
        <v>74.099999999999994</v>
      </c>
      <c r="H504" s="43"/>
      <c r="I504" s="43"/>
      <c r="J504" s="43"/>
      <c r="K504" s="43"/>
      <c r="L504" s="43"/>
      <c r="M504" s="43"/>
      <c r="N504" s="43"/>
      <c r="O504" s="43"/>
      <c r="P504" s="43"/>
      <c r="Q504" s="43"/>
      <c r="R504" s="9"/>
      <c r="S504" s="9"/>
    </row>
    <row r="506" spans="1:19" x14ac:dyDescent="0.25">
      <c r="A506" s="33" t="s">
        <v>8</v>
      </c>
      <c r="B506" s="33" t="s">
        <v>9</v>
      </c>
      <c r="C506" s="34" t="s">
        <v>10</v>
      </c>
      <c r="D506" s="34" t="s">
        <v>340</v>
      </c>
      <c r="E506" s="16" t="s">
        <v>65</v>
      </c>
    </row>
    <row r="507" spans="1:19" ht="18" x14ac:dyDescent="0.25">
      <c r="A507" s="15" t="s">
        <v>183</v>
      </c>
      <c r="B507" s="17" t="s">
        <v>103</v>
      </c>
      <c r="C507" s="35" t="s">
        <v>184</v>
      </c>
      <c r="D507" s="53" t="s">
        <v>393</v>
      </c>
      <c r="E507" s="18">
        <f>ROUNDUP(E456+E480+E484+E488+E496,0)</f>
        <v>1972</v>
      </c>
    </row>
    <row r="508" spans="1:19" s="209" customFormat="1" ht="38.4" customHeight="1" x14ac:dyDescent="0.25">
      <c r="A508" s="208" t="s">
        <v>227</v>
      </c>
    </row>
    <row r="509" spans="1:19" s="200" customFormat="1" ht="43.2" customHeight="1" x14ac:dyDescent="0.25">
      <c r="A509" s="200" t="s">
        <v>228</v>
      </c>
    </row>
    <row r="510" spans="1:19" ht="23.4" customHeight="1" x14ac:dyDescent="0.25">
      <c r="A510" s="201" t="s">
        <v>105</v>
      </c>
      <c r="B510" s="201"/>
      <c r="C510" s="201"/>
      <c r="D510" s="201"/>
      <c r="E510" s="201"/>
      <c r="F510" s="201"/>
      <c r="G510" s="201"/>
      <c r="H510" s="201"/>
      <c r="I510" s="201"/>
      <c r="J510" s="201"/>
      <c r="K510" s="201"/>
      <c r="L510" s="201"/>
      <c r="M510" s="201"/>
      <c r="N510" s="201"/>
      <c r="O510" s="201"/>
      <c r="P510" s="201"/>
      <c r="Q510" s="202"/>
    </row>
    <row r="511" spans="1:19" s="10" customFormat="1" ht="31.2" x14ac:dyDescent="0.25">
      <c r="A511" s="15" t="s">
        <v>8</v>
      </c>
      <c r="B511" s="15" t="s">
        <v>9</v>
      </c>
      <c r="C511" s="15" t="s">
        <v>10</v>
      </c>
      <c r="D511" s="15" t="s">
        <v>340</v>
      </c>
      <c r="E511" s="16" t="s">
        <v>11</v>
      </c>
      <c r="F511" s="16" t="s">
        <v>312</v>
      </c>
      <c r="G511" s="16" t="s">
        <v>313</v>
      </c>
      <c r="H511" s="16" t="s">
        <v>314</v>
      </c>
      <c r="I511" s="16" t="s">
        <v>315</v>
      </c>
      <c r="J511" s="16" t="s">
        <v>316</v>
      </c>
      <c r="K511" s="16" t="s">
        <v>317</v>
      </c>
      <c r="L511" s="16" t="s">
        <v>318</v>
      </c>
      <c r="M511" s="16" t="s">
        <v>319</v>
      </c>
      <c r="N511" s="16" t="s">
        <v>320</v>
      </c>
      <c r="O511" s="16" t="s">
        <v>293</v>
      </c>
      <c r="P511" s="16" t="s">
        <v>294</v>
      </c>
      <c r="Q511" s="16" t="s">
        <v>295</v>
      </c>
      <c r="R511" s="54"/>
      <c r="S511" s="54"/>
    </row>
    <row r="512" spans="1:19" s="10" customFormat="1" x14ac:dyDescent="0.25">
      <c r="A512" s="203" t="s">
        <v>106</v>
      </c>
      <c r="B512" s="203"/>
      <c r="C512" s="203"/>
      <c r="D512" s="203"/>
      <c r="E512" s="204"/>
      <c r="F512" s="16">
        <v>31</v>
      </c>
      <c r="G512" s="16">
        <v>28</v>
      </c>
      <c r="H512" s="16">
        <v>31</v>
      </c>
      <c r="I512" s="16">
        <v>30</v>
      </c>
      <c r="J512" s="16">
        <v>31</v>
      </c>
      <c r="K512" s="16">
        <v>30</v>
      </c>
      <c r="L512" s="16">
        <v>31</v>
      </c>
      <c r="M512" s="16">
        <v>31</v>
      </c>
      <c r="N512" s="16">
        <v>30</v>
      </c>
      <c r="O512" s="16">
        <v>31</v>
      </c>
      <c r="P512" s="16">
        <v>30</v>
      </c>
      <c r="Q512" s="16">
        <v>31</v>
      </c>
      <c r="R512" s="54"/>
      <c r="S512" s="54"/>
    </row>
    <row r="513" spans="1:19" s="10" customFormat="1" ht="31.2" x14ac:dyDescent="0.25">
      <c r="A513" s="15" t="s">
        <v>107</v>
      </c>
      <c r="B513" s="17" t="s">
        <v>103</v>
      </c>
      <c r="C513" s="17" t="s">
        <v>108</v>
      </c>
      <c r="D513" s="17" t="s">
        <v>381</v>
      </c>
      <c r="E513" s="18">
        <f>E514+E524</f>
        <v>0</v>
      </c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54"/>
      <c r="S513" s="54"/>
    </row>
    <row r="514" spans="1:19" ht="46.8" x14ac:dyDescent="0.25">
      <c r="A514" s="17" t="s">
        <v>109</v>
      </c>
      <c r="B514" s="17" t="s">
        <v>103</v>
      </c>
      <c r="C514" s="17" t="s">
        <v>110</v>
      </c>
      <c r="D514" s="17" t="s">
        <v>382</v>
      </c>
      <c r="E514" s="19">
        <f>SUM(F514:Q514)</f>
        <v>0</v>
      </c>
      <c r="F514" s="19">
        <f>IF(F515&gt;=0.8,0,$E$522*$E$523*0.4*(F516-F519)*F512)</f>
        <v>0</v>
      </c>
      <c r="G514" s="19">
        <f t="shared" ref="G514:Q514" si="63">IF(G515&gt;=0.8,0,$E$522*$E$523*0.4*(G516-G519)*G512)</f>
        <v>0</v>
      </c>
      <c r="H514" s="19">
        <f t="shared" si="63"/>
        <v>0</v>
      </c>
      <c r="I514" s="19">
        <f t="shared" si="63"/>
        <v>0</v>
      </c>
      <c r="J514" s="19">
        <f t="shared" si="63"/>
        <v>0</v>
      </c>
      <c r="K514" s="19">
        <f t="shared" si="63"/>
        <v>0</v>
      </c>
      <c r="L514" s="19">
        <f t="shared" si="63"/>
        <v>0</v>
      </c>
      <c r="M514" s="19">
        <f t="shared" si="63"/>
        <v>0</v>
      </c>
      <c r="N514" s="19">
        <f t="shared" si="63"/>
        <v>0</v>
      </c>
      <c r="O514" s="19">
        <f t="shared" si="63"/>
        <v>0</v>
      </c>
      <c r="P514" s="19">
        <f t="shared" si="63"/>
        <v>0</v>
      </c>
      <c r="Q514" s="19">
        <f t="shared" si="63"/>
        <v>0</v>
      </c>
    </row>
    <row r="515" spans="1:19" ht="62.4" x14ac:dyDescent="0.25">
      <c r="A515" s="17" t="s">
        <v>111</v>
      </c>
      <c r="B515" s="17" t="s">
        <v>37</v>
      </c>
      <c r="C515" s="17" t="s">
        <v>112</v>
      </c>
      <c r="D515" s="17" t="s">
        <v>383</v>
      </c>
      <c r="E515" s="20">
        <f>AVERAGE(F515:Q515)</f>
        <v>0.95401723764703983</v>
      </c>
      <c r="F515" s="20">
        <f>(F516-F519)/F516</f>
        <v>0.95473973085404018</v>
      </c>
      <c r="G515" s="20">
        <f t="shared" ref="G515:Q515" si="64">(G516-G519)/G516</f>
        <v>0.9539133729471323</v>
      </c>
      <c r="H515" s="20">
        <f t="shared" si="64"/>
        <v>0.95457206141292561</v>
      </c>
      <c r="I515" s="20">
        <f t="shared" si="64"/>
        <v>0.95475226521935885</v>
      </c>
      <c r="J515" s="20">
        <f t="shared" si="64"/>
        <v>0.95389819103797024</v>
      </c>
      <c r="K515" s="20">
        <f t="shared" si="64"/>
        <v>0.95317530848279242</v>
      </c>
      <c r="L515" s="20">
        <f t="shared" si="64"/>
        <v>0.95275793964578936</v>
      </c>
      <c r="M515" s="20">
        <f t="shared" si="64"/>
        <v>0.95340185463213101</v>
      </c>
      <c r="N515" s="20">
        <f t="shared" si="64"/>
        <v>0.95421062983182747</v>
      </c>
      <c r="O515" s="20">
        <f t="shared" si="64"/>
        <v>0.95407710063077544</v>
      </c>
      <c r="P515" s="20">
        <f t="shared" si="64"/>
        <v>0.95437597435764232</v>
      </c>
      <c r="Q515" s="20">
        <f t="shared" si="64"/>
        <v>0.95433242271209373</v>
      </c>
    </row>
    <row r="516" spans="1:19" ht="46.8" x14ac:dyDescent="0.25">
      <c r="A516" s="17" t="s">
        <v>113</v>
      </c>
      <c r="B516" s="17" t="s">
        <v>24</v>
      </c>
      <c r="C516" s="17" t="s">
        <v>114</v>
      </c>
      <c r="D516" s="17" t="s">
        <v>384</v>
      </c>
      <c r="E516" s="20">
        <f>SUM(F516:Q516)</f>
        <v>25.729710886578925</v>
      </c>
      <c r="F516" s="20">
        <f>F517*F518</f>
        <v>2.0661476341607528</v>
      </c>
      <c r="G516" s="20">
        <f t="shared" ref="G516:Q516" si="65">G517*G518</f>
        <v>2.0665720647696433</v>
      </c>
      <c r="H516" s="20">
        <f t="shared" si="65"/>
        <v>2.0658872424583237</v>
      </c>
      <c r="I516" s="20">
        <f t="shared" si="65"/>
        <v>2.0666635390866475</v>
      </c>
      <c r="J516" s="20">
        <f t="shared" si="65"/>
        <v>2.2716316292084628</v>
      </c>
      <c r="K516" s="20">
        <f t="shared" si="65"/>
        <v>2.1713103320658886</v>
      </c>
      <c r="L516" s="20">
        <f t="shared" si="65"/>
        <v>2.1730543503037798</v>
      </c>
      <c r="M516" s="20">
        <f t="shared" si="65"/>
        <v>2.1717341377608395</v>
      </c>
      <c r="N516" s="20">
        <f t="shared" si="65"/>
        <v>2.273071533866001</v>
      </c>
      <c r="O516" s="20">
        <f t="shared" si="65"/>
        <v>2.2699630027146025</v>
      </c>
      <c r="P516" s="20">
        <f t="shared" si="65"/>
        <v>2.0675318074940745</v>
      </c>
      <c r="Q516" s="20">
        <f t="shared" si="65"/>
        <v>2.0661436126899062</v>
      </c>
    </row>
    <row r="517" spans="1:19" ht="64.8" customHeight="1" x14ac:dyDescent="0.25">
      <c r="A517" s="17" t="s">
        <v>115</v>
      </c>
      <c r="B517" s="17" t="s">
        <v>116</v>
      </c>
      <c r="C517" s="17" t="s">
        <v>117</v>
      </c>
      <c r="D517" s="17" t="s">
        <v>337</v>
      </c>
      <c r="E517" s="129">
        <f>SUM(F517:Q517)</f>
        <v>61086.391980107517</v>
      </c>
      <c r="F517" s="129">
        <f>'Baseline Emissions 2021'!F501</f>
        <v>4849.7660000000005</v>
      </c>
      <c r="G517" s="129">
        <f>'Baseline Emissions 2021'!G501</f>
        <v>4849.7257500000005</v>
      </c>
      <c r="H517" s="129">
        <f>'Baseline Emissions 2021'!H501</f>
        <v>4850.5963548387099</v>
      </c>
      <c r="I517" s="129">
        <f>'Baseline Emissions 2021'!I501</f>
        <v>4849.9259333333339</v>
      </c>
      <c r="J517" s="129">
        <f>'Baseline Emissions 2021'!J501</f>
        <v>5331.8764516129022</v>
      </c>
      <c r="K517" s="129">
        <f>'Baseline Emissions 2021'!K501</f>
        <v>5330.9635333333335</v>
      </c>
      <c r="L517" s="129">
        <f>'Baseline Emissions 2021'!L501</f>
        <v>5331.1259354838694</v>
      </c>
      <c r="M517" s="129">
        <f>'Baseline Emissions 2021'!M501</f>
        <v>5332.2757419354839</v>
      </c>
      <c r="N517" s="129">
        <f>'Baseline Emissions 2021'!N501</f>
        <v>5331.9686000000011</v>
      </c>
      <c r="O517" s="129">
        <f>'Baseline Emissions 2021'!O501</f>
        <v>5327.556548387096</v>
      </c>
      <c r="P517" s="129">
        <f>'Baseline Emissions 2021'!P501</f>
        <v>4851.2890666666681</v>
      </c>
      <c r="Q517" s="129">
        <f>'Baseline Emissions 2021'!Q501</f>
        <v>4849.3220645161291</v>
      </c>
    </row>
    <row r="518" spans="1:19" ht="46.8" x14ac:dyDescent="0.25">
      <c r="A518" s="17" t="s">
        <v>118</v>
      </c>
      <c r="B518" s="17" t="s">
        <v>119</v>
      </c>
      <c r="C518" s="17" t="s">
        <v>120</v>
      </c>
      <c r="D518" s="35" t="s">
        <v>338</v>
      </c>
      <c r="E518" s="120">
        <f>AVERAGE(F518:Q518)</f>
        <v>4.2142205187936616E-4</v>
      </c>
      <c r="F518" s="130">
        <f>'Baseline Emissions 2021'!F505</f>
        <v>4.2603037634408603E-4</v>
      </c>
      <c r="G518" s="130">
        <f>'Baseline Emissions 2021'!G505</f>
        <v>4.2612142857142857E-4</v>
      </c>
      <c r="H518" s="130">
        <f>'Baseline Emissions 2021'!H505</f>
        <v>4.2590376344086E-4</v>
      </c>
      <c r="I518" s="130">
        <f>'Baseline Emissions 2021'!I505</f>
        <v>4.2612270114942527E-4</v>
      </c>
      <c r="J518" s="130">
        <f>'Baseline Emissions 2021'!J505</f>
        <v>4.2604731182795699E-4</v>
      </c>
      <c r="K518" s="130">
        <f>'Baseline Emissions 2021'!K505</f>
        <v>4.0730166666666664E-4</v>
      </c>
      <c r="L518" s="130">
        <f>'Baseline Emissions 2021'!L505</f>
        <v>4.0761639784946233E-4</v>
      </c>
      <c r="M518" s="130">
        <f>'Baseline Emissions 2021'!M505</f>
        <v>4.0728091397849466E-4</v>
      </c>
      <c r="N518" s="130">
        <f>'Baseline Emissions 2021'!N505</f>
        <v>4.2631000000000011E-4</v>
      </c>
      <c r="O518" s="130">
        <f>'Baseline Emissions 2021'!O505</f>
        <v>4.2607956989247311E-4</v>
      </c>
      <c r="P518" s="130">
        <f>'Baseline Emissions 2021'!P505</f>
        <v>4.2618194444444439E-4</v>
      </c>
      <c r="Q518" s="130">
        <f>'Baseline Emissions 2021'!Q505</f>
        <v>4.2606854838709673E-4</v>
      </c>
    </row>
    <row r="519" spans="1:19" ht="46.8" x14ac:dyDescent="0.25">
      <c r="A519" s="17" t="s">
        <v>121</v>
      </c>
      <c r="B519" s="17" t="s">
        <v>24</v>
      </c>
      <c r="C519" s="17" t="s">
        <v>122</v>
      </c>
      <c r="D519" s="17" t="s">
        <v>384</v>
      </c>
      <c r="E519" s="20">
        <f>SUM(F519:Q519)</f>
        <v>1.1833828819810879</v>
      </c>
      <c r="F519" s="20">
        <f>SUM(F520*F521)</f>
        <v>9.3514398017403758E-2</v>
      </c>
      <c r="G519" s="20">
        <f t="shared" ref="G519:Q519" si="66">SUM(G520*G521)</f>
        <v>9.5241336026913273E-2</v>
      </c>
      <c r="H519" s="20">
        <f t="shared" si="66"/>
        <v>9.384899877821716E-2</v>
      </c>
      <c r="I519" s="20">
        <f t="shared" si="66"/>
        <v>9.3511843697413777E-2</v>
      </c>
      <c r="J519" s="20">
        <f t="shared" si="66"/>
        <v>0.10472632740187306</v>
      </c>
      <c r="K519" s="20">
        <f t="shared" si="66"/>
        <v>0.1016709364871111</v>
      </c>
      <c r="L519" s="20">
        <f t="shared" si="66"/>
        <v>0.10265956477003123</v>
      </c>
      <c r="M519" s="20">
        <f t="shared" si="66"/>
        <v>0.10119878305174304</v>
      </c>
      <c r="N519" s="20">
        <f t="shared" si="66"/>
        <v>0.10408251388292597</v>
      </c>
      <c r="O519" s="20">
        <f t="shared" si="66"/>
        <v>0.10424328254552549</v>
      </c>
      <c r="P519" s="20">
        <f t="shared" si="66"/>
        <v>9.432912420149997E-2</v>
      </c>
      <c r="Q519" s="20">
        <f t="shared" si="66"/>
        <v>9.4355773120430114E-2</v>
      </c>
    </row>
    <row r="520" spans="1:19" ht="62.4" x14ac:dyDescent="0.25">
      <c r="A520" s="17" t="s">
        <v>123</v>
      </c>
      <c r="B520" s="17" t="s">
        <v>116</v>
      </c>
      <c r="C520" s="17" t="s">
        <v>124</v>
      </c>
      <c r="D520" s="17" t="s">
        <v>337</v>
      </c>
      <c r="E520" s="129">
        <f>SUM(F520:Q520)</f>
        <v>59701.34885422427</v>
      </c>
      <c r="F520" s="129">
        <v>4738.5825483870967</v>
      </c>
      <c r="G520" s="129">
        <v>4739.4275714285723</v>
      </c>
      <c r="H520" s="129">
        <v>4737.2757741935484</v>
      </c>
      <c r="I520" s="129">
        <v>4737.7409999999991</v>
      </c>
      <c r="J520" s="129">
        <v>5212.7748064516127</v>
      </c>
      <c r="K520" s="129">
        <v>5212.3349333333326</v>
      </c>
      <c r="L520" s="129">
        <v>5211.4298709677423</v>
      </c>
      <c r="M520" s="129">
        <v>5212.4596451612915</v>
      </c>
      <c r="N520" s="129">
        <v>5210.5665333333336</v>
      </c>
      <c r="O520" s="129">
        <v>5211.8138709677414</v>
      </c>
      <c r="P520" s="129">
        <v>4738.9663</v>
      </c>
      <c r="Q520" s="129">
        <v>4737.9760000000006</v>
      </c>
    </row>
    <row r="521" spans="1:19" ht="46.8" x14ac:dyDescent="0.25">
      <c r="A521" s="17" t="s">
        <v>125</v>
      </c>
      <c r="B521" s="17" t="s">
        <v>119</v>
      </c>
      <c r="C521" s="17" t="s">
        <v>126</v>
      </c>
      <c r="D521" s="35" t="s">
        <v>339</v>
      </c>
      <c r="E521" s="131">
        <f>AVERAGE(F521:Q521)</f>
        <v>1.9823740158450602E-5</v>
      </c>
      <c r="F521" s="131">
        <f>'Baseline Emissions 2021'!F506</f>
        <v>1.9734677419354841E-5</v>
      </c>
      <c r="G521" s="131">
        <f>'Baseline Emissions 2021'!G506</f>
        <v>2.0095535714285713E-5</v>
      </c>
      <c r="H521" s="131">
        <f>'Baseline Emissions 2021'!H506</f>
        <v>1.9810752688172049E-5</v>
      </c>
      <c r="I521" s="131">
        <f>'Baseline Emissions 2021'!I506</f>
        <v>1.973764367816092E-5</v>
      </c>
      <c r="J521" s="131">
        <f>'Baseline Emissions 2021'!J506</f>
        <v>2.0090322580645165E-5</v>
      </c>
      <c r="K521" s="131">
        <f>'Baseline Emissions 2021'!K506</f>
        <v>1.9505833333333336E-5</v>
      </c>
      <c r="L521" s="131">
        <f>'Baseline Emissions 2021'!L506</f>
        <v>1.9698924731182795E-5</v>
      </c>
      <c r="M521" s="131">
        <f>'Baseline Emissions 2021'!M506</f>
        <v>1.9414784946236567E-5</v>
      </c>
      <c r="N521" s="131">
        <f>'Baseline Emissions 2021'!N506</f>
        <v>1.9975277777777784E-5</v>
      </c>
      <c r="O521" s="131">
        <f>'Baseline Emissions 2021'!O506</f>
        <v>2.0001344086021506E-5</v>
      </c>
      <c r="P521" s="131">
        <f>'Baseline Emissions 2021'!P506</f>
        <v>1.9904999999999993E-5</v>
      </c>
      <c r="Q521" s="131">
        <f>'Baseline Emissions 2021'!Q506</f>
        <v>1.9914784946236559E-5</v>
      </c>
    </row>
    <row r="522" spans="1:19" ht="31.2" x14ac:dyDescent="0.25">
      <c r="A522" s="17" t="s">
        <v>127</v>
      </c>
      <c r="B522" s="17" t="s">
        <v>128</v>
      </c>
      <c r="C522" s="17" t="s">
        <v>17</v>
      </c>
      <c r="D522" s="17" t="s">
        <v>129</v>
      </c>
      <c r="E522" s="176">
        <v>28</v>
      </c>
      <c r="F522" s="176"/>
      <c r="G522" s="176"/>
      <c r="H522" s="176"/>
      <c r="I522" s="176"/>
      <c r="J522" s="176"/>
      <c r="K522" s="176"/>
      <c r="L522" s="176"/>
      <c r="M522" s="176"/>
      <c r="N522" s="176"/>
      <c r="O522" s="176"/>
      <c r="P522" s="176"/>
      <c r="Q522" s="176"/>
    </row>
    <row r="523" spans="1:19" ht="64.8" x14ac:dyDescent="0.25">
      <c r="A523" s="17" t="s">
        <v>130</v>
      </c>
      <c r="B523" s="17" t="s">
        <v>19</v>
      </c>
      <c r="C523" s="17" t="s">
        <v>131</v>
      </c>
      <c r="D523" s="17" t="s">
        <v>394</v>
      </c>
      <c r="E523" s="176">
        <v>0.21</v>
      </c>
      <c r="F523" s="176"/>
      <c r="G523" s="176"/>
      <c r="H523" s="176"/>
      <c r="I523" s="176"/>
      <c r="J523" s="176"/>
      <c r="K523" s="176"/>
      <c r="L523" s="176"/>
      <c r="M523" s="176"/>
      <c r="N523" s="176"/>
      <c r="O523" s="176"/>
      <c r="P523" s="176"/>
      <c r="Q523" s="176"/>
    </row>
    <row r="524" spans="1:19" ht="46.8" x14ac:dyDescent="0.25">
      <c r="A524" s="17" t="s">
        <v>132</v>
      </c>
      <c r="B524" s="17" t="s">
        <v>103</v>
      </c>
      <c r="C524" s="17" t="s">
        <v>133</v>
      </c>
      <c r="D524" s="17" t="s">
        <v>385</v>
      </c>
      <c r="E524" s="19">
        <f>SUM(F524:Q524)</f>
        <v>0</v>
      </c>
      <c r="F524" s="19">
        <f>$E$522*$E$523*F525*F519*F512</f>
        <v>0</v>
      </c>
      <c r="G524" s="19">
        <f t="shared" ref="G524:Q524" si="67">$E$522*$E$523*G525*G519*G512</f>
        <v>0</v>
      </c>
      <c r="H524" s="19">
        <f t="shared" si="67"/>
        <v>0</v>
      </c>
      <c r="I524" s="19">
        <f t="shared" si="67"/>
        <v>0</v>
      </c>
      <c r="J524" s="19">
        <f t="shared" si="67"/>
        <v>0</v>
      </c>
      <c r="K524" s="19">
        <f t="shared" si="67"/>
        <v>0</v>
      </c>
      <c r="L524" s="19">
        <f t="shared" si="67"/>
        <v>0</v>
      </c>
      <c r="M524" s="19">
        <f t="shared" si="67"/>
        <v>0</v>
      </c>
      <c r="N524" s="19">
        <f t="shared" si="67"/>
        <v>0</v>
      </c>
      <c r="O524" s="19">
        <f t="shared" si="67"/>
        <v>0</v>
      </c>
      <c r="P524" s="19">
        <f t="shared" si="67"/>
        <v>0</v>
      </c>
      <c r="Q524" s="19">
        <f t="shared" si="67"/>
        <v>0</v>
      </c>
    </row>
    <row r="525" spans="1:19" ht="18" x14ac:dyDescent="0.25">
      <c r="A525" s="17" t="s">
        <v>134</v>
      </c>
      <c r="B525" s="17" t="s">
        <v>37</v>
      </c>
      <c r="C525" s="17" t="s">
        <v>135</v>
      </c>
      <c r="D525" s="17" t="s">
        <v>386</v>
      </c>
      <c r="E525" s="26">
        <f>AVERAGE(F525:Q525)</f>
        <v>0</v>
      </c>
      <c r="F525" s="26">
        <f>F526*$E$527*0.89</f>
        <v>0</v>
      </c>
      <c r="G525" s="26">
        <f t="shared" ref="G525:Q525" si="68">G526*$E$527*0.89</f>
        <v>0</v>
      </c>
      <c r="H525" s="26">
        <f t="shared" si="68"/>
        <v>0</v>
      </c>
      <c r="I525" s="26">
        <f t="shared" si="68"/>
        <v>0</v>
      </c>
      <c r="J525" s="26">
        <f t="shared" si="68"/>
        <v>0</v>
      </c>
      <c r="K525" s="26">
        <f t="shared" si="68"/>
        <v>0</v>
      </c>
      <c r="L525" s="26">
        <f t="shared" si="68"/>
        <v>0</v>
      </c>
      <c r="M525" s="26">
        <f t="shared" si="68"/>
        <v>0</v>
      </c>
      <c r="N525" s="26">
        <f t="shared" si="68"/>
        <v>0</v>
      </c>
      <c r="O525" s="26">
        <f t="shared" si="68"/>
        <v>0</v>
      </c>
      <c r="P525" s="26">
        <f t="shared" si="68"/>
        <v>0</v>
      </c>
      <c r="Q525" s="26">
        <f t="shared" si="68"/>
        <v>0</v>
      </c>
    </row>
    <row r="526" spans="1:19" ht="31.2" x14ac:dyDescent="0.25">
      <c r="A526" s="17" t="s">
        <v>136</v>
      </c>
      <c r="B526" s="17" t="s">
        <v>37</v>
      </c>
      <c r="C526" s="17" t="s">
        <v>46</v>
      </c>
      <c r="D526" s="17" t="s">
        <v>387</v>
      </c>
      <c r="E526" s="25">
        <v>0</v>
      </c>
      <c r="F526" s="25">
        <v>0</v>
      </c>
      <c r="G526" s="25">
        <v>0</v>
      </c>
      <c r="H526" s="25">
        <v>0</v>
      </c>
      <c r="I526" s="25">
        <v>0</v>
      </c>
      <c r="J526" s="25">
        <v>0</v>
      </c>
      <c r="K526" s="25">
        <v>0</v>
      </c>
      <c r="L526" s="25">
        <v>0</v>
      </c>
      <c r="M526" s="25">
        <v>0</v>
      </c>
      <c r="N526" s="25">
        <v>0</v>
      </c>
      <c r="O526" s="25">
        <v>0</v>
      </c>
      <c r="P526" s="25">
        <v>0</v>
      </c>
      <c r="Q526" s="25">
        <v>0</v>
      </c>
    </row>
    <row r="527" spans="1:19" ht="31.2" x14ac:dyDescent="0.25">
      <c r="A527" s="17" t="s">
        <v>137</v>
      </c>
      <c r="B527" s="17" t="s">
        <v>201</v>
      </c>
      <c r="C527" s="17" t="s">
        <v>138</v>
      </c>
      <c r="D527" s="17" t="s">
        <v>388</v>
      </c>
      <c r="E527" s="196">
        <f>(F528*F533+G528*G533+H528*H533+I528*I533+J528*J533+K528*K533+L528*L533+M528*M533+N528*N533+O528*O533+P528*P533+Q528*Q533)/(F520*F521*F512+G521*G520*G512+H520*H521*H512+I521*I520*I512+J521*J520*J512+K521*K520*K512+L521*L520*L512+M521*M520*M512+N521*N520*N512+O520*O521*O512+P521*P520*P512+Q521*Q520*Q512)</f>
        <v>0.64335479277836294</v>
      </c>
      <c r="F527" s="196"/>
      <c r="G527" s="196"/>
      <c r="H527" s="196"/>
      <c r="I527" s="196"/>
      <c r="J527" s="196"/>
      <c r="K527" s="196"/>
      <c r="L527" s="196"/>
      <c r="M527" s="196"/>
      <c r="N527" s="196"/>
      <c r="O527" s="196"/>
      <c r="P527" s="196"/>
      <c r="Q527" s="196"/>
    </row>
    <row r="528" spans="1:19" ht="31.2" x14ac:dyDescent="0.25">
      <c r="A528" s="17" t="s">
        <v>139</v>
      </c>
      <c r="B528" s="17" t="s">
        <v>37</v>
      </c>
      <c r="C528" s="17" t="s">
        <v>140</v>
      </c>
      <c r="D528" s="17" t="s">
        <v>375</v>
      </c>
      <c r="E528" s="27">
        <f>AVERAGE(F528:Q528)</f>
        <v>0.63155158305475345</v>
      </c>
      <c r="F528" s="27">
        <f>IF(F532&lt;283,0,IF(F532&gt;303,1,EXP(($E$529*(F532-$E$530))/($E$531*$E$530*F532))))</f>
        <v>0.24547412919519337</v>
      </c>
      <c r="G528" s="27">
        <f t="shared" ref="G528:Q528" si="69">IF(G532&lt;283,0,IF(G532&gt;303,1,EXP(($E$529*(G532-$E$530))/($E$531*$E$530*G532))))</f>
        <v>0.37002059672690846</v>
      </c>
      <c r="H528" s="27">
        <f t="shared" si="69"/>
        <v>0.44226396815696317</v>
      </c>
      <c r="I528" s="27">
        <f t="shared" si="69"/>
        <v>0.57531644493802248</v>
      </c>
      <c r="J528" s="27">
        <f t="shared" si="69"/>
        <v>0.84523513966163832</v>
      </c>
      <c r="K528" s="27">
        <f t="shared" si="69"/>
        <v>0.91923925774048054</v>
      </c>
      <c r="L528" s="27">
        <f t="shared" si="69"/>
        <v>1</v>
      </c>
      <c r="M528" s="27">
        <f t="shared" si="69"/>
        <v>0.91923925774048054</v>
      </c>
      <c r="N528" s="27">
        <f t="shared" si="69"/>
        <v>1</v>
      </c>
      <c r="O528" s="27">
        <f t="shared" si="69"/>
        <v>0.57531644493802248</v>
      </c>
      <c r="P528" s="27">
        <f t="shared" si="69"/>
        <v>0.40465607403307924</v>
      </c>
      <c r="Q528" s="27">
        <f t="shared" si="69"/>
        <v>0.28185768352625201</v>
      </c>
    </row>
    <row r="529" spans="1:17" x14ac:dyDescent="0.25">
      <c r="A529" s="17" t="s">
        <v>51</v>
      </c>
      <c r="B529" s="17" t="s">
        <v>52</v>
      </c>
      <c r="C529" s="17" t="s">
        <v>53</v>
      </c>
      <c r="D529" s="17" t="s">
        <v>389</v>
      </c>
      <c r="E529" s="176">
        <v>15175</v>
      </c>
      <c r="F529" s="176"/>
      <c r="G529" s="176"/>
      <c r="H529" s="176"/>
      <c r="I529" s="176"/>
      <c r="J529" s="176"/>
      <c r="K529" s="176"/>
      <c r="L529" s="176"/>
      <c r="M529" s="176"/>
      <c r="N529" s="176"/>
      <c r="O529" s="176"/>
      <c r="P529" s="176"/>
      <c r="Q529" s="176"/>
    </row>
    <row r="530" spans="1:17" ht="18" x14ac:dyDescent="0.25">
      <c r="A530" s="17" t="s">
        <v>141</v>
      </c>
      <c r="B530" s="17" t="s">
        <v>55</v>
      </c>
      <c r="C530" s="17" t="s">
        <v>56</v>
      </c>
      <c r="D530" s="17" t="s">
        <v>389</v>
      </c>
      <c r="E530" s="176">
        <v>303.16000000000003</v>
      </c>
      <c r="F530" s="176"/>
      <c r="G530" s="176"/>
      <c r="H530" s="176"/>
      <c r="I530" s="176"/>
      <c r="J530" s="176"/>
      <c r="K530" s="176"/>
      <c r="L530" s="176"/>
      <c r="M530" s="176"/>
      <c r="N530" s="176"/>
      <c r="O530" s="176"/>
      <c r="P530" s="176"/>
      <c r="Q530" s="176"/>
    </row>
    <row r="531" spans="1:17" x14ac:dyDescent="0.25">
      <c r="A531" s="17" t="s">
        <v>57</v>
      </c>
      <c r="B531" s="17" t="s">
        <v>58</v>
      </c>
      <c r="C531" s="17" t="s">
        <v>59</v>
      </c>
      <c r="D531" s="17" t="s">
        <v>389</v>
      </c>
      <c r="E531" s="176">
        <v>1.9870000000000001</v>
      </c>
      <c r="F531" s="176"/>
      <c r="G531" s="176"/>
      <c r="H531" s="176"/>
      <c r="I531" s="176"/>
      <c r="J531" s="176"/>
      <c r="K531" s="176"/>
      <c r="L531" s="176"/>
      <c r="M531" s="176"/>
      <c r="N531" s="176"/>
      <c r="O531" s="176"/>
      <c r="P531" s="176"/>
      <c r="Q531" s="176"/>
    </row>
    <row r="532" spans="1:17" ht="18" x14ac:dyDescent="0.25">
      <c r="A532" s="17" t="s">
        <v>142</v>
      </c>
      <c r="B532" s="17" t="s">
        <v>55</v>
      </c>
      <c r="C532" s="17" t="s">
        <v>143</v>
      </c>
      <c r="D532" s="144" t="s">
        <v>364</v>
      </c>
      <c r="E532" s="28">
        <f>AVERAGE(F532:Q532)</f>
        <v>296.60833333333341</v>
      </c>
      <c r="F532" s="25">
        <v>287.14999999999998</v>
      </c>
      <c r="G532" s="25">
        <v>291.64999999999998</v>
      </c>
      <c r="H532" s="25">
        <v>293.64999999999998</v>
      </c>
      <c r="I532" s="25">
        <v>296.64999999999998</v>
      </c>
      <c r="J532" s="25">
        <v>301.14999999999998</v>
      </c>
      <c r="K532" s="25">
        <v>302.14999999999998</v>
      </c>
      <c r="L532" s="25">
        <v>303.64999999999998</v>
      </c>
      <c r="M532" s="25">
        <v>302.14999999999998</v>
      </c>
      <c r="N532" s="25">
        <v>303.14999999999998</v>
      </c>
      <c r="O532" s="25">
        <v>296.64999999999998</v>
      </c>
      <c r="P532" s="25">
        <v>292.64999999999998</v>
      </c>
      <c r="Q532" s="25">
        <v>288.64999999999998</v>
      </c>
    </row>
    <row r="533" spans="1:17" ht="46.8" x14ac:dyDescent="0.25">
      <c r="A533" s="17" t="s">
        <v>144</v>
      </c>
      <c r="B533" s="17" t="s">
        <v>24</v>
      </c>
      <c r="C533" s="17" t="s">
        <v>145</v>
      </c>
      <c r="D533" s="17" t="s">
        <v>390</v>
      </c>
      <c r="E533" s="29">
        <f>SUM(F533:Q533)</f>
        <v>36.005550915064042</v>
      </c>
      <c r="F533" s="29">
        <f>F520*F521*'Project Emissions 2021'!F512+(1-F528)*0</f>
        <v>2.8989463385395164</v>
      </c>
      <c r="G533" s="29">
        <f>G520*G521*'Project Emissions 2021'!G512+(1-G528)*0</f>
        <v>2.6667574087535715</v>
      </c>
      <c r="H533" s="29">
        <f>H520*H521*'Project Emissions 2021'!H512+(1-H528)*0</f>
        <v>2.9093189621247322</v>
      </c>
      <c r="I533" s="29">
        <f>I520*I521*'Project Emissions 2021'!I512+(1-I528)*0</f>
        <v>2.8053553109224132</v>
      </c>
      <c r="J533" s="29">
        <f>J520*J521*'Project Emissions 2021'!J512+(1-J528)*0</f>
        <v>3.2465161494580648</v>
      </c>
      <c r="K533" s="29">
        <f>K520*K521*'Project Emissions 2021'!K512+(1-K528)*0</f>
        <v>3.0501280946133331</v>
      </c>
      <c r="L533" s="29">
        <f>L520*L521*'Project Emissions 2021'!L512+(1-L528)*0</f>
        <v>3.1824465078709681</v>
      </c>
      <c r="M533" s="29">
        <f>M520*M521*'Project Emissions 2021'!M512+(1-M528)*0</f>
        <v>3.1371622746040342</v>
      </c>
      <c r="N533" s="29">
        <f>N520*N521*'Project Emissions 2021'!N512+(1-N528)*0</f>
        <v>3.122475416487779</v>
      </c>
      <c r="O533" s="29">
        <f>O520*O521*'Project Emissions 2021'!O512+(1-O528)*0</f>
        <v>3.2315417589112903</v>
      </c>
      <c r="P533" s="29">
        <f>P520*P521*'Project Emissions 2021'!P512+(1-P528)*0</f>
        <v>2.8298737260449993</v>
      </c>
      <c r="Q533" s="29">
        <f>Q520*Q521*'Project Emissions 2021'!Q512+(1-Q528)*0</f>
        <v>2.9250289667333336</v>
      </c>
    </row>
    <row r="534" spans="1:17" x14ac:dyDescent="0.3">
      <c r="A534" s="30"/>
      <c r="E534" s="31"/>
      <c r="F534" s="31"/>
      <c r="G534" s="31"/>
      <c r="H534" s="31"/>
      <c r="I534" s="31"/>
      <c r="J534" s="31"/>
      <c r="K534" s="31"/>
      <c r="L534" s="31"/>
      <c r="M534" s="31"/>
      <c r="N534" s="31"/>
      <c r="O534" s="31"/>
      <c r="P534" s="31"/>
      <c r="Q534" s="31"/>
    </row>
    <row r="535" spans="1:17" x14ac:dyDescent="0.25">
      <c r="A535" s="174" t="s">
        <v>146</v>
      </c>
      <c r="B535" s="174"/>
      <c r="C535" s="175"/>
      <c r="D535" s="175"/>
      <c r="E535" s="195"/>
      <c r="F535" s="32"/>
      <c r="G535" s="32"/>
      <c r="H535" s="32"/>
      <c r="I535" s="32"/>
      <c r="J535" s="32"/>
      <c r="K535" s="32"/>
      <c r="L535" s="32"/>
      <c r="M535" s="32"/>
      <c r="N535" s="32"/>
      <c r="O535" s="32"/>
      <c r="P535" s="32"/>
      <c r="Q535" s="32"/>
    </row>
    <row r="536" spans="1:17" x14ac:dyDescent="0.25">
      <c r="A536" s="33" t="s">
        <v>8</v>
      </c>
      <c r="B536" s="33" t="s">
        <v>9</v>
      </c>
      <c r="C536" s="34" t="s">
        <v>10</v>
      </c>
      <c r="D536" s="34" t="s">
        <v>340</v>
      </c>
      <c r="E536" s="16" t="s">
        <v>65</v>
      </c>
      <c r="F536" s="32"/>
      <c r="G536" s="32"/>
      <c r="H536" s="32"/>
      <c r="I536" s="32"/>
      <c r="J536" s="32"/>
      <c r="K536" s="32"/>
      <c r="L536" s="32"/>
      <c r="M536" s="32"/>
      <c r="N536" s="32"/>
      <c r="O536" s="32"/>
      <c r="P536" s="32"/>
      <c r="Q536" s="32"/>
    </row>
    <row r="537" spans="1:17" ht="46.8" x14ac:dyDescent="0.25">
      <c r="A537" s="15" t="s">
        <v>147</v>
      </c>
      <c r="B537" s="17" t="s">
        <v>95</v>
      </c>
      <c r="C537" s="35" t="s">
        <v>148</v>
      </c>
      <c r="D537" s="35" t="s">
        <v>68</v>
      </c>
      <c r="E537" s="16">
        <v>0</v>
      </c>
      <c r="F537" s="32"/>
      <c r="G537" s="32"/>
      <c r="H537" s="32"/>
      <c r="I537" s="32"/>
      <c r="J537" s="32"/>
      <c r="K537" s="32"/>
      <c r="L537" s="32"/>
      <c r="M537" s="32"/>
      <c r="N537" s="32"/>
      <c r="O537" s="32"/>
      <c r="P537" s="32"/>
      <c r="Q537" s="32"/>
    </row>
    <row r="538" spans="1:17" x14ac:dyDescent="0.25">
      <c r="A538" s="36"/>
      <c r="B538" s="36"/>
      <c r="C538" s="37"/>
      <c r="D538" s="37"/>
      <c r="E538" s="32"/>
      <c r="F538" s="32"/>
      <c r="G538" s="32"/>
      <c r="H538" s="32"/>
      <c r="I538" s="32"/>
      <c r="J538" s="32"/>
      <c r="K538" s="32"/>
      <c r="L538" s="32"/>
      <c r="M538" s="32"/>
      <c r="N538" s="32"/>
      <c r="O538" s="32"/>
      <c r="P538" s="32"/>
      <c r="Q538" s="32"/>
    </row>
    <row r="539" spans="1:17" x14ac:dyDescent="0.25">
      <c r="A539" s="174" t="s">
        <v>149</v>
      </c>
      <c r="B539" s="174"/>
      <c r="C539" s="175"/>
      <c r="D539" s="175"/>
      <c r="E539" s="195"/>
      <c r="F539" s="32"/>
      <c r="G539" s="32"/>
      <c r="H539" s="32"/>
      <c r="I539" s="32"/>
      <c r="J539" s="32"/>
      <c r="K539" s="32"/>
      <c r="L539" s="32"/>
      <c r="M539" s="32"/>
      <c r="N539" s="32"/>
      <c r="O539" s="32"/>
      <c r="P539" s="32"/>
      <c r="Q539" s="32"/>
    </row>
    <row r="540" spans="1:17" x14ac:dyDescent="0.25">
      <c r="A540" s="33" t="s">
        <v>8</v>
      </c>
      <c r="B540" s="33" t="s">
        <v>9</v>
      </c>
      <c r="C540" s="34" t="s">
        <v>10</v>
      </c>
      <c r="D540" s="34" t="s">
        <v>340</v>
      </c>
      <c r="E540" s="16" t="s">
        <v>65</v>
      </c>
      <c r="F540" s="32"/>
      <c r="G540" s="32"/>
      <c r="H540" s="32"/>
      <c r="I540" s="32"/>
      <c r="J540" s="32"/>
      <c r="K540" s="32"/>
      <c r="L540" s="32"/>
      <c r="M540" s="32"/>
      <c r="N540" s="32"/>
      <c r="O540" s="32"/>
      <c r="P540" s="32"/>
      <c r="Q540" s="32"/>
    </row>
    <row r="541" spans="1:17" ht="46.8" x14ac:dyDescent="0.25">
      <c r="A541" s="15" t="s">
        <v>150</v>
      </c>
      <c r="B541" s="17" t="s">
        <v>95</v>
      </c>
      <c r="C541" s="35" t="s">
        <v>151</v>
      </c>
      <c r="D541" s="35" t="s">
        <v>68</v>
      </c>
      <c r="E541" s="16">
        <v>0</v>
      </c>
      <c r="F541" s="32"/>
      <c r="G541" s="32"/>
      <c r="H541" s="32"/>
      <c r="I541" s="32"/>
      <c r="J541" s="32"/>
      <c r="K541" s="32"/>
      <c r="L541" s="32"/>
      <c r="M541" s="32"/>
      <c r="N541" s="32"/>
      <c r="O541" s="32"/>
      <c r="P541" s="32"/>
      <c r="Q541" s="32"/>
    </row>
    <row r="542" spans="1:17" x14ac:dyDescent="0.25">
      <c r="F542" s="32"/>
      <c r="G542" s="32"/>
      <c r="H542" s="32"/>
      <c r="I542" s="32"/>
      <c r="J542" s="32"/>
      <c r="K542" s="32"/>
      <c r="L542" s="32"/>
      <c r="M542" s="32"/>
      <c r="N542" s="32"/>
      <c r="O542" s="32"/>
      <c r="P542" s="32"/>
      <c r="Q542" s="32"/>
    </row>
    <row r="543" spans="1:17" x14ac:dyDescent="0.25">
      <c r="A543" s="174" t="s">
        <v>152</v>
      </c>
      <c r="B543" s="174"/>
      <c r="C543" s="175"/>
      <c r="D543" s="175"/>
      <c r="E543" s="195"/>
      <c r="F543" s="32"/>
      <c r="G543" s="32"/>
      <c r="H543" s="32"/>
      <c r="I543" s="32"/>
      <c r="J543" s="32"/>
      <c r="K543" s="32"/>
      <c r="L543" s="32"/>
      <c r="M543" s="32"/>
      <c r="N543" s="32"/>
      <c r="O543" s="32"/>
      <c r="P543" s="32"/>
      <c r="Q543" s="32"/>
    </row>
    <row r="544" spans="1:17" s="10" customFormat="1" x14ac:dyDescent="0.25">
      <c r="A544" s="15" t="s">
        <v>8</v>
      </c>
      <c r="B544" s="15" t="s">
        <v>9</v>
      </c>
      <c r="C544" s="38" t="s">
        <v>10</v>
      </c>
      <c r="D544" s="38" t="s">
        <v>340</v>
      </c>
      <c r="E544" s="16" t="s">
        <v>65</v>
      </c>
      <c r="F544" s="32"/>
      <c r="G544" s="32"/>
      <c r="H544" s="39"/>
      <c r="I544" s="39"/>
      <c r="J544" s="39"/>
      <c r="K544" s="39"/>
      <c r="L544" s="39"/>
      <c r="M544" s="39"/>
      <c r="N544" s="39"/>
      <c r="O544" s="39"/>
      <c r="P544" s="39"/>
      <c r="Q544" s="39"/>
    </row>
    <row r="545" spans="1:19" s="10" customFormat="1" ht="18" x14ac:dyDescent="0.4">
      <c r="A545" s="40" t="s">
        <v>153</v>
      </c>
      <c r="B545" s="17" t="s">
        <v>103</v>
      </c>
      <c r="C545" s="35" t="s">
        <v>154</v>
      </c>
      <c r="D545" s="35" t="s">
        <v>155</v>
      </c>
      <c r="E545" s="41">
        <f>E546*E548*(1+E547)</f>
        <v>411.69183170939999</v>
      </c>
      <c r="F545" s="32"/>
      <c r="G545" s="32"/>
      <c r="H545" s="39"/>
      <c r="I545" s="39"/>
      <c r="J545" s="39"/>
      <c r="K545" s="39"/>
      <c r="L545" s="39"/>
      <c r="M545" s="39"/>
      <c r="N545" s="39"/>
      <c r="O545" s="39"/>
      <c r="P545" s="39"/>
      <c r="Q545" s="39"/>
    </row>
    <row r="546" spans="1:19" ht="31.2" x14ac:dyDescent="0.25">
      <c r="A546" s="17" t="s">
        <v>156</v>
      </c>
      <c r="B546" s="17" t="s">
        <v>157</v>
      </c>
      <c r="C546" s="35" t="s">
        <v>158</v>
      </c>
      <c r="D546" s="35" t="s">
        <v>343</v>
      </c>
      <c r="E546" s="20">
        <f>674219.37/1000</f>
        <v>674.21937000000003</v>
      </c>
      <c r="G546" s="42"/>
      <c r="H546" s="43"/>
      <c r="I546" s="43"/>
      <c r="J546" s="43"/>
      <c r="K546" s="43"/>
      <c r="L546" s="43"/>
      <c r="M546" s="43"/>
      <c r="N546" s="43"/>
      <c r="O546" s="43"/>
      <c r="P546" s="43"/>
      <c r="Q546" s="43"/>
      <c r="R546" s="9"/>
      <c r="S546" s="9"/>
    </row>
    <row r="547" spans="1:19" ht="31.2" x14ac:dyDescent="0.25">
      <c r="A547" s="17" t="s">
        <v>159</v>
      </c>
      <c r="B547" s="17" t="s">
        <v>160</v>
      </c>
      <c r="C547" s="35" t="s">
        <v>161</v>
      </c>
      <c r="D547" s="35" t="s">
        <v>162</v>
      </c>
      <c r="E547" s="44">
        <v>0.2</v>
      </c>
      <c r="H547" s="43"/>
      <c r="I547" s="43"/>
      <c r="J547" s="43"/>
      <c r="K547" s="43"/>
      <c r="L547" s="43"/>
      <c r="M547" s="43"/>
      <c r="N547" s="43"/>
      <c r="O547" s="43"/>
      <c r="P547" s="43"/>
      <c r="Q547" s="43"/>
      <c r="R547" s="9"/>
      <c r="S547" s="9"/>
    </row>
    <row r="548" spans="1:19" ht="46.8" x14ac:dyDescent="0.25">
      <c r="A548" s="17" t="s">
        <v>163</v>
      </c>
      <c r="B548" s="17" t="s">
        <v>164</v>
      </c>
      <c r="C548" s="35" t="s">
        <v>165</v>
      </c>
      <c r="D548" s="35" t="s">
        <v>166</v>
      </c>
      <c r="E548" s="45">
        <f>0.5*0.8042+0.5*0.2135</f>
        <v>0.50885000000000002</v>
      </c>
      <c r="F548" s="46"/>
      <c r="G548" s="46"/>
      <c r="H548" s="46"/>
      <c r="I548" s="46"/>
      <c r="J548" s="46"/>
      <c r="K548" s="46"/>
      <c r="L548" s="46"/>
      <c r="M548" s="46"/>
      <c r="N548" s="46"/>
      <c r="O548" s="46"/>
      <c r="P548" s="46"/>
      <c r="Q548" s="46"/>
    </row>
    <row r="549" spans="1:19" ht="31.2" x14ac:dyDescent="0.4">
      <c r="A549" s="40" t="s">
        <v>167</v>
      </c>
      <c r="B549" s="17" t="s">
        <v>103</v>
      </c>
      <c r="C549" s="35" t="s">
        <v>168</v>
      </c>
      <c r="D549" s="35" t="s">
        <v>169</v>
      </c>
      <c r="E549" s="47">
        <v>0</v>
      </c>
      <c r="H549" s="43"/>
      <c r="I549" s="43"/>
      <c r="J549" s="43"/>
      <c r="K549" s="43"/>
      <c r="L549" s="43"/>
      <c r="M549" s="43"/>
      <c r="N549" s="43"/>
      <c r="O549" s="43"/>
      <c r="P549" s="43"/>
      <c r="Q549" s="43"/>
      <c r="R549" s="9"/>
      <c r="S549" s="9"/>
    </row>
    <row r="550" spans="1:19" x14ac:dyDescent="0.3">
      <c r="A550" s="48"/>
      <c r="E550" s="49"/>
      <c r="H550" s="43"/>
      <c r="I550" s="43"/>
      <c r="J550" s="43"/>
      <c r="K550" s="43"/>
      <c r="L550" s="43"/>
      <c r="M550" s="43"/>
      <c r="N550" s="43"/>
      <c r="O550" s="43"/>
      <c r="P550" s="43"/>
      <c r="Q550" s="43"/>
      <c r="R550" s="9"/>
      <c r="S550" s="9"/>
    </row>
    <row r="551" spans="1:19" x14ac:dyDescent="0.25">
      <c r="A551" s="174" t="s">
        <v>170</v>
      </c>
      <c r="B551" s="174"/>
      <c r="C551" s="175"/>
      <c r="D551" s="175"/>
      <c r="E551" s="195"/>
      <c r="F551" s="32"/>
      <c r="G551" s="32"/>
      <c r="H551" s="32"/>
      <c r="I551" s="32"/>
      <c r="J551" s="32"/>
      <c r="K551" s="32"/>
      <c r="L551" s="32"/>
      <c r="M551" s="32"/>
      <c r="N551" s="32"/>
      <c r="O551" s="32"/>
      <c r="P551" s="32"/>
      <c r="Q551" s="32"/>
    </row>
    <row r="552" spans="1:19" x14ac:dyDescent="0.25">
      <c r="A552" s="15" t="s">
        <v>8</v>
      </c>
      <c r="B552" s="15" t="s">
        <v>9</v>
      </c>
      <c r="C552" s="38" t="s">
        <v>10</v>
      </c>
      <c r="D552" s="38" t="s">
        <v>340</v>
      </c>
      <c r="E552" s="16" t="s">
        <v>65</v>
      </c>
      <c r="H552" s="43"/>
      <c r="I552" s="43"/>
      <c r="J552" s="43"/>
      <c r="K552" s="43"/>
      <c r="L552" s="43"/>
      <c r="M552" s="43"/>
      <c r="N552" s="43"/>
      <c r="O552" s="43"/>
      <c r="P552" s="43"/>
      <c r="Q552" s="43"/>
      <c r="R552" s="9"/>
      <c r="S552" s="9"/>
    </row>
    <row r="553" spans="1:19" ht="33.6" x14ac:dyDescent="0.4">
      <c r="A553" s="40" t="s">
        <v>171</v>
      </c>
      <c r="B553" s="17" t="s">
        <v>74</v>
      </c>
      <c r="C553" s="35" t="s">
        <v>172</v>
      </c>
      <c r="D553" s="35" t="s">
        <v>391</v>
      </c>
      <c r="E553" s="50">
        <f>E554*E557*E558*E559*E560*E561</f>
        <v>23.438353982962457</v>
      </c>
      <c r="H553" s="43"/>
      <c r="I553" s="43"/>
      <c r="J553" s="43"/>
      <c r="K553" s="43"/>
      <c r="L553" s="43"/>
      <c r="M553" s="43"/>
      <c r="N553" s="43"/>
      <c r="O553" s="43"/>
      <c r="P553" s="43"/>
      <c r="Q553" s="43"/>
      <c r="R553" s="9"/>
      <c r="S553" s="9"/>
    </row>
    <row r="554" spans="1:19" ht="46.8" x14ac:dyDescent="0.4">
      <c r="A554" s="51" t="s">
        <v>173</v>
      </c>
      <c r="B554" s="17" t="s">
        <v>76</v>
      </c>
      <c r="C554" s="35" t="s">
        <v>174</v>
      </c>
      <c r="D554" s="35" t="s">
        <v>392</v>
      </c>
      <c r="E554" s="69">
        <f>ROUNDUP(E555/E556,0)</f>
        <v>226</v>
      </c>
      <c r="H554" s="43"/>
      <c r="I554" s="43"/>
      <c r="J554" s="43"/>
      <c r="K554" s="43"/>
      <c r="L554" s="43"/>
      <c r="M554" s="43"/>
      <c r="N554" s="43"/>
      <c r="O554" s="43"/>
      <c r="P554" s="43"/>
      <c r="Q554" s="43"/>
      <c r="R554" s="9"/>
      <c r="S554" s="9"/>
    </row>
    <row r="555" spans="1:19" ht="62.4" x14ac:dyDescent="0.25">
      <c r="A555" s="17" t="s">
        <v>175</v>
      </c>
      <c r="B555" s="17" t="s">
        <v>78</v>
      </c>
      <c r="C555" s="35" t="s">
        <v>176</v>
      </c>
      <c r="D555" s="35" t="s">
        <v>346</v>
      </c>
      <c r="E555" s="52">
        <v>1128.9779999999998</v>
      </c>
      <c r="H555" s="43"/>
      <c r="I555" s="43"/>
      <c r="J555" s="43"/>
      <c r="K555" s="43"/>
      <c r="L555" s="43"/>
      <c r="M555" s="43"/>
      <c r="N555" s="43"/>
      <c r="O555" s="43"/>
      <c r="P555" s="43"/>
      <c r="Q555" s="43"/>
      <c r="R555" s="9"/>
      <c r="S555" s="9"/>
    </row>
    <row r="556" spans="1:19" ht="62.4" x14ac:dyDescent="0.25">
      <c r="A556" s="17" t="s">
        <v>177</v>
      </c>
      <c r="B556" s="17" t="s">
        <v>80</v>
      </c>
      <c r="C556" s="35" t="s">
        <v>81</v>
      </c>
      <c r="D556" s="35" t="s">
        <v>345</v>
      </c>
      <c r="E556" s="25">
        <f>5</f>
        <v>5</v>
      </c>
      <c r="H556" s="43"/>
      <c r="I556" s="43"/>
      <c r="J556" s="43"/>
      <c r="K556" s="43"/>
      <c r="L556" s="43"/>
      <c r="M556" s="43"/>
      <c r="N556" s="43"/>
      <c r="O556" s="43"/>
      <c r="P556" s="43"/>
      <c r="Q556" s="43"/>
      <c r="R556" s="9"/>
      <c r="S556" s="9"/>
    </row>
    <row r="557" spans="1:19" ht="202.8" x14ac:dyDescent="0.25">
      <c r="A557" s="17" t="s">
        <v>178</v>
      </c>
      <c r="B557" s="17" t="s">
        <v>82</v>
      </c>
      <c r="C557" s="35" t="s">
        <v>179</v>
      </c>
      <c r="D557" s="35" t="s">
        <v>367</v>
      </c>
      <c r="E557" s="25">
        <v>153.19999999999999</v>
      </c>
      <c r="H557" s="43"/>
      <c r="I557" s="43"/>
      <c r="J557" s="43"/>
      <c r="K557" s="43"/>
      <c r="L557" s="43"/>
      <c r="M557" s="43"/>
      <c r="N557" s="43"/>
      <c r="O557" s="43"/>
      <c r="P557" s="43"/>
      <c r="Q557" s="43"/>
      <c r="R557" s="9"/>
      <c r="S557" s="9"/>
    </row>
    <row r="558" spans="1:19" ht="156" x14ac:dyDescent="0.25">
      <c r="A558" s="17" t="s">
        <v>180</v>
      </c>
      <c r="B558" s="17" t="s">
        <v>84</v>
      </c>
      <c r="C558" s="35" t="s">
        <v>85</v>
      </c>
      <c r="D558" s="35" t="s">
        <v>365</v>
      </c>
      <c r="E558" s="25">
        <f>25.1/100</f>
        <v>0.251</v>
      </c>
      <c r="H558" s="43"/>
      <c r="I558" s="43"/>
      <c r="J558" s="43"/>
      <c r="K558" s="43"/>
      <c r="L558" s="43"/>
      <c r="M558" s="43"/>
      <c r="N558" s="43"/>
      <c r="O558" s="43"/>
      <c r="P558" s="43"/>
      <c r="Q558" s="43"/>
      <c r="R558" s="9"/>
      <c r="S558" s="9"/>
    </row>
    <row r="559" spans="1:19" ht="62.4" x14ac:dyDescent="0.25">
      <c r="A559" s="17" t="s">
        <v>86</v>
      </c>
      <c r="B559" s="17" t="s">
        <v>87</v>
      </c>
      <c r="C559" s="35" t="s">
        <v>86</v>
      </c>
      <c r="D559" s="35" t="s">
        <v>215</v>
      </c>
      <c r="E559" s="25">
        <f>0.84/1000</f>
        <v>8.3999999999999993E-4</v>
      </c>
      <c r="H559" s="43"/>
      <c r="I559" s="43"/>
      <c r="J559" s="43"/>
      <c r="K559" s="43"/>
      <c r="L559" s="43"/>
      <c r="M559" s="43"/>
      <c r="N559" s="43"/>
      <c r="O559" s="43"/>
      <c r="P559" s="43"/>
      <c r="Q559" s="43"/>
      <c r="R559" s="9"/>
      <c r="S559" s="9"/>
    </row>
    <row r="560" spans="1:19" ht="124.8" x14ac:dyDescent="0.25">
      <c r="A560" s="17" t="s">
        <v>181</v>
      </c>
      <c r="B560" s="17" t="s">
        <v>88</v>
      </c>
      <c r="C560" s="35" t="s">
        <v>89</v>
      </c>
      <c r="D560" s="35" t="s">
        <v>360</v>
      </c>
      <c r="E560" s="25">
        <f>43.33/1000</f>
        <v>4.333E-2</v>
      </c>
      <c r="H560" s="43"/>
      <c r="I560" s="43"/>
      <c r="J560" s="43"/>
      <c r="K560" s="43"/>
      <c r="L560" s="43"/>
      <c r="M560" s="43"/>
      <c r="N560" s="43"/>
      <c r="O560" s="43"/>
      <c r="P560" s="43"/>
      <c r="Q560" s="43"/>
      <c r="R560" s="9"/>
      <c r="S560" s="9"/>
    </row>
    <row r="561" spans="1:133" ht="33.6" x14ac:dyDescent="0.25">
      <c r="A561" s="17" t="s">
        <v>182</v>
      </c>
      <c r="B561" s="17" t="s">
        <v>90</v>
      </c>
      <c r="C561" s="35" t="s">
        <v>91</v>
      </c>
      <c r="D561" s="35" t="s">
        <v>92</v>
      </c>
      <c r="E561" s="25">
        <v>74.099999999999994</v>
      </c>
      <c r="H561" s="43"/>
      <c r="I561" s="43"/>
      <c r="J561" s="43"/>
      <c r="K561" s="43"/>
      <c r="L561" s="43"/>
      <c r="M561" s="43"/>
      <c r="N561" s="43"/>
      <c r="O561" s="43"/>
      <c r="P561" s="43"/>
      <c r="Q561" s="43"/>
      <c r="R561" s="9"/>
      <c r="S561" s="9"/>
    </row>
    <row r="563" spans="1:133" x14ac:dyDescent="0.25">
      <c r="A563" s="33" t="s">
        <v>8</v>
      </c>
      <c r="B563" s="33" t="s">
        <v>9</v>
      </c>
      <c r="C563" s="34" t="s">
        <v>10</v>
      </c>
      <c r="D563" s="34" t="s">
        <v>340</v>
      </c>
      <c r="E563" s="16" t="s">
        <v>65</v>
      </c>
    </row>
    <row r="564" spans="1:133" ht="18" x14ac:dyDescent="0.25">
      <c r="A564" s="15" t="s">
        <v>183</v>
      </c>
      <c r="B564" s="17" t="s">
        <v>103</v>
      </c>
      <c r="C564" s="35" t="s">
        <v>184</v>
      </c>
      <c r="D564" s="53" t="s">
        <v>393</v>
      </c>
      <c r="E564" s="18">
        <f>ROUNDUP(E513+E537+E541+E545+E553,0)</f>
        <v>436</v>
      </c>
    </row>
    <row r="565" spans="1:133" s="200" customFormat="1" ht="43.2" customHeight="1" x14ac:dyDescent="0.25">
      <c r="A565" s="197" t="s">
        <v>229</v>
      </c>
      <c r="B565" s="198"/>
      <c r="C565" s="198"/>
      <c r="D565" s="198"/>
      <c r="E565" s="198"/>
      <c r="F565" s="198"/>
      <c r="G565" s="198"/>
      <c r="H565" s="198"/>
      <c r="I565" s="198"/>
      <c r="J565" s="198"/>
      <c r="K565" s="198"/>
      <c r="L565" s="198"/>
      <c r="M565" s="198"/>
      <c r="N565" s="198"/>
      <c r="O565" s="198"/>
      <c r="P565" s="198"/>
      <c r="Q565" s="198"/>
      <c r="R565" s="198"/>
      <c r="S565" s="198"/>
      <c r="T565" s="198"/>
      <c r="U565" s="198"/>
      <c r="V565" s="198"/>
      <c r="W565" s="198"/>
      <c r="X565" s="198"/>
      <c r="Y565" s="198"/>
      <c r="Z565" s="198"/>
      <c r="AA565" s="198"/>
      <c r="AB565" s="198"/>
      <c r="AC565" s="198"/>
      <c r="AD565" s="198"/>
      <c r="AE565" s="198"/>
      <c r="AF565" s="198"/>
      <c r="AG565" s="198"/>
      <c r="AH565" s="198"/>
      <c r="AI565" s="198"/>
      <c r="AJ565" s="198"/>
      <c r="AK565" s="198"/>
      <c r="AL565" s="198"/>
      <c r="AM565" s="198"/>
      <c r="AN565" s="198"/>
      <c r="AO565" s="198"/>
      <c r="AP565" s="198"/>
      <c r="AQ565" s="198"/>
      <c r="AR565" s="198"/>
      <c r="AS565" s="198"/>
      <c r="AT565" s="198"/>
      <c r="AU565" s="198"/>
      <c r="AV565" s="198"/>
      <c r="AW565" s="198"/>
      <c r="AX565" s="198"/>
      <c r="AY565" s="198"/>
      <c r="AZ565" s="198"/>
      <c r="BA565" s="198"/>
      <c r="BB565" s="198"/>
      <c r="BC565" s="198"/>
      <c r="BD565" s="198"/>
      <c r="BE565" s="198"/>
      <c r="BF565" s="198"/>
      <c r="BG565" s="198"/>
      <c r="BH565" s="198"/>
      <c r="BI565" s="198"/>
      <c r="BJ565" s="198"/>
      <c r="BK565" s="198"/>
      <c r="BL565" s="198"/>
      <c r="BM565" s="198"/>
      <c r="BN565" s="198"/>
      <c r="BO565" s="198"/>
      <c r="BP565" s="198"/>
      <c r="BQ565" s="198"/>
      <c r="BR565" s="198"/>
      <c r="BS565" s="198"/>
      <c r="BT565" s="198"/>
      <c r="BU565" s="198"/>
      <c r="BV565" s="198"/>
      <c r="BW565" s="198"/>
      <c r="BX565" s="198"/>
      <c r="BY565" s="198"/>
      <c r="BZ565" s="198"/>
      <c r="CA565" s="198"/>
      <c r="CB565" s="198"/>
      <c r="CC565" s="198"/>
      <c r="CD565" s="198"/>
      <c r="CE565" s="198"/>
      <c r="CF565" s="198"/>
      <c r="CG565" s="198"/>
      <c r="CH565" s="198"/>
      <c r="CI565" s="198"/>
      <c r="CJ565" s="198"/>
      <c r="CK565" s="198"/>
      <c r="CL565" s="198"/>
      <c r="CM565" s="198"/>
      <c r="CN565" s="198"/>
      <c r="CO565" s="198"/>
      <c r="CP565" s="198"/>
      <c r="CQ565" s="198"/>
      <c r="CR565" s="198"/>
      <c r="CS565" s="198"/>
      <c r="CT565" s="198"/>
      <c r="CU565" s="198"/>
      <c r="CV565" s="198"/>
      <c r="CW565" s="198"/>
      <c r="CX565" s="198"/>
      <c r="CY565" s="198"/>
      <c r="CZ565" s="198"/>
      <c r="DA565" s="198"/>
      <c r="DB565" s="198"/>
      <c r="DC565" s="198"/>
      <c r="DD565" s="198"/>
      <c r="DE565" s="198"/>
      <c r="DF565" s="198"/>
      <c r="DG565" s="198"/>
      <c r="DH565" s="198"/>
      <c r="DI565" s="198"/>
      <c r="DJ565" s="198"/>
      <c r="DK565" s="198"/>
      <c r="DL565" s="198"/>
      <c r="DM565" s="198"/>
      <c r="DN565" s="198"/>
      <c r="DO565" s="198"/>
      <c r="DP565" s="198"/>
      <c r="DQ565" s="198"/>
      <c r="DR565" s="198"/>
      <c r="DS565" s="198"/>
      <c r="DT565" s="198"/>
      <c r="DU565" s="198"/>
      <c r="DV565" s="198"/>
      <c r="DW565" s="198"/>
      <c r="DX565" s="198"/>
      <c r="DY565" s="198"/>
      <c r="DZ565" s="198"/>
      <c r="EA565" s="198"/>
      <c r="EB565" s="198"/>
      <c r="EC565" s="199"/>
    </row>
    <row r="566" spans="1:133" ht="23.4" customHeight="1" x14ac:dyDescent="0.25">
      <c r="A566" s="201" t="s">
        <v>105</v>
      </c>
      <c r="B566" s="201"/>
      <c r="C566" s="201"/>
      <c r="D566" s="201"/>
      <c r="E566" s="201"/>
      <c r="F566" s="201"/>
      <c r="G566" s="201"/>
      <c r="H566" s="201"/>
      <c r="I566" s="201"/>
      <c r="J566" s="201"/>
      <c r="K566" s="201"/>
      <c r="L566" s="201"/>
      <c r="M566" s="201"/>
      <c r="N566" s="201"/>
      <c r="O566" s="201"/>
      <c r="P566" s="201"/>
      <c r="Q566" s="202"/>
    </row>
    <row r="567" spans="1:133" s="10" customFormat="1" ht="31.2" x14ac:dyDescent="0.25">
      <c r="A567" s="15" t="s">
        <v>8</v>
      </c>
      <c r="B567" s="15" t="s">
        <v>9</v>
      </c>
      <c r="C567" s="15" t="s">
        <v>10</v>
      </c>
      <c r="D567" s="15" t="s">
        <v>340</v>
      </c>
      <c r="E567" s="16" t="s">
        <v>11</v>
      </c>
      <c r="F567" s="16" t="s">
        <v>312</v>
      </c>
      <c r="G567" s="16" t="s">
        <v>313</v>
      </c>
      <c r="H567" s="16" t="s">
        <v>314</v>
      </c>
      <c r="I567" s="16" t="s">
        <v>315</v>
      </c>
      <c r="J567" s="16" t="s">
        <v>316</v>
      </c>
      <c r="K567" s="16" t="s">
        <v>317</v>
      </c>
      <c r="L567" s="16" t="s">
        <v>318</v>
      </c>
      <c r="M567" s="16" t="s">
        <v>319</v>
      </c>
      <c r="N567" s="16" t="s">
        <v>320</v>
      </c>
      <c r="O567" s="16" t="s">
        <v>293</v>
      </c>
      <c r="P567" s="16" t="s">
        <v>294</v>
      </c>
      <c r="Q567" s="16" t="s">
        <v>295</v>
      </c>
      <c r="R567" s="54"/>
      <c r="S567" s="54"/>
    </row>
    <row r="568" spans="1:133" s="10" customFormat="1" x14ac:dyDescent="0.25">
      <c r="A568" s="203" t="s">
        <v>106</v>
      </c>
      <c r="B568" s="203"/>
      <c r="C568" s="203"/>
      <c r="D568" s="203"/>
      <c r="E568" s="204"/>
      <c r="F568" s="16">
        <v>31</v>
      </c>
      <c r="G568" s="16">
        <v>28</v>
      </c>
      <c r="H568" s="16">
        <v>31</v>
      </c>
      <c r="I568" s="16">
        <v>30</v>
      </c>
      <c r="J568" s="16">
        <v>31</v>
      </c>
      <c r="K568" s="16">
        <v>30</v>
      </c>
      <c r="L568" s="16">
        <v>31</v>
      </c>
      <c r="M568" s="16">
        <v>31</v>
      </c>
      <c r="N568" s="16">
        <v>30</v>
      </c>
      <c r="O568" s="16">
        <v>31</v>
      </c>
      <c r="P568" s="16">
        <v>30</v>
      </c>
      <c r="Q568" s="16">
        <v>31</v>
      </c>
      <c r="R568" s="54"/>
      <c r="S568" s="54"/>
    </row>
    <row r="569" spans="1:133" s="10" customFormat="1" ht="31.2" x14ac:dyDescent="0.25">
      <c r="A569" s="15" t="s">
        <v>107</v>
      </c>
      <c r="B569" s="17" t="s">
        <v>103</v>
      </c>
      <c r="C569" s="17" t="s">
        <v>108</v>
      </c>
      <c r="D569" s="17" t="s">
        <v>381</v>
      </c>
      <c r="E569" s="18">
        <f>E570+E580</f>
        <v>0</v>
      </c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54"/>
      <c r="S569" s="54"/>
    </row>
    <row r="570" spans="1:133" ht="46.8" x14ac:dyDescent="0.25">
      <c r="A570" s="17" t="s">
        <v>109</v>
      </c>
      <c r="B570" s="17" t="s">
        <v>103</v>
      </c>
      <c r="C570" s="17" t="s">
        <v>110</v>
      </c>
      <c r="D570" s="17" t="s">
        <v>382</v>
      </c>
      <c r="E570" s="19">
        <f>SUM(F570:Q570)</f>
        <v>0</v>
      </c>
      <c r="F570" s="19">
        <f>IF(F571&gt;=0.8,0,$E$578*$E$579*0.4*(F572-F575)*F568)</f>
        <v>0</v>
      </c>
      <c r="G570" s="19">
        <f t="shared" ref="G570:Q570" si="70">IF(G571&gt;=0.8,0,$E$578*$E$579*0.4*(G572-G575)*G568)</f>
        <v>0</v>
      </c>
      <c r="H570" s="19">
        <f t="shared" si="70"/>
        <v>0</v>
      </c>
      <c r="I570" s="19">
        <f t="shared" si="70"/>
        <v>0</v>
      </c>
      <c r="J570" s="19">
        <f t="shared" si="70"/>
        <v>0</v>
      </c>
      <c r="K570" s="19">
        <f t="shared" si="70"/>
        <v>0</v>
      </c>
      <c r="L570" s="19">
        <f t="shared" si="70"/>
        <v>0</v>
      </c>
      <c r="M570" s="19">
        <f t="shared" si="70"/>
        <v>0</v>
      </c>
      <c r="N570" s="19">
        <f t="shared" si="70"/>
        <v>0</v>
      </c>
      <c r="O570" s="19">
        <f t="shared" si="70"/>
        <v>0</v>
      </c>
      <c r="P570" s="19">
        <f t="shared" si="70"/>
        <v>0</v>
      </c>
      <c r="Q570" s="19">
        <f t="shared" si="70"/>
        <v>0</v>
      </c>
    </row>
    <row r="571" spans="1:133" ht="62.4" x14ac:dyDescent="0.25">
      <c r="A571" s="17" t="s">
        <v>111</v>
      </c>
      <c r="B571" s="17" t="s">
        <v>37</v>
      </c>
      <c r="C571" s="17" t="s">
        <v>112</v>
      </c>
      <c r="D571" s="17" t="s">
        <v>383</v>
      </c>
      <c r="E571" s="20">
        <f>AVERAGE(F571:Q571)</f>
        <v>0.95378674084611959</v>
      </c>
      <c r="F571" s="20">
        <f>(F572-F575)/F572</f>
        <v>0.95317909616628405</v>
      </c>
      <c r="G571" s="20">
        <f t="shared" ref="G571:Q571" si="71">(G572-G575)/G572</f>
        <v>0.95453626041571882</v>
      </c>
      <c r="H571" s="20">
        <f t="shared" si="71"/>
        <v>0.95388061454087403</v>
      </c>
      <c r="I571" s="20">
        <f t="shared" si="71"/>
        <v>0.95394394423008944</v>
      </c>
      <c r="J571" s="20">
        <f t="shared" si="71"/>
        <v>0.95279399402011367</v>
      </c>
      <c r="K571" s="20">
        <f t="shared" si="71"/>
        <v>0.95259127783401354</v>
      </c>
      <c r="L571" s="20">
        <f t="shared" si="71"/>
        <v>0.95389008755835092</v>
      </c>
      <c r="M571" s="20">
        <f t="shared" si="71"/>
        <v>0.95372772312936305</v>
      </c>
      <c r="N571" s="20">
        <f t="shared" si="71"/>
        <v>0.95436276659690022</v>
      </c>
      <c r="O571" s="20">
        <f t="shared" si="71"/>
        <v>0.95376065692049339</v>
      </c>
      <c r="P571" s="20">
        <f t="shared" si="71"/>
        <v>0.95379881366156205</v>
      </c>
      <c r="Q571" s="20">
        <f t="shared" si="71"/>
        <v>0.9549756550796723</v>
      </c>
    </row>
    <row r="572" spans="1:133" ht="46.8" x14ac:dyDescent="0.25">
      <c r="A572" s="17" t="s">
        <v>113</v>
      </c>
      <c r="B572" s="17" t="s">
        <v>24</v>
      </c>
      <c r="C572" s="17" t="s">
        <v>114</v>
      </c>
      <c r="D572" s="17" t="s">
        <v>384</v>
      </c>
      <c r="E572" s="20">
        <f>SUM(F572:Q572)</f>
        <v>29.916092823475452</v>
      </c>
      <c r="F572" s="20">
        <f>F573*F574</f>
        <v>2.3985763743750006</v>
      </c>
      <c r="G572" s="20">
        <f t="shared" ref="G572:Q572" si="72">G573*G574</f>
        <v>2.3994694798804201</v>
      </c>
      <c r="H572" s="20">
        <f t="shared" si="72"/>
        <v>2.3977128621127473</v>
      </c>
      <c r="I572" s="20">
        <f t="shared" si="72"/>
        <v>2.3990980006683911</v>
      </c>
      <c r="J572" s="20">
        <f t="shared" si="72"/>
        <v>2.7333962491697457</v>
      </c>
      <c r="K572" s="20">
        <f t="shared" si="72"/>
        <v>2.438525301246389</v>
      </c>
      <c r="L572" s="20">
        <f t="shared" si="72"/>
        <v>2.4386830053705162</v>
      </c>
      <c r="M572" s="20">
        <f t="shared" si="72"/>
        <v>2.4418514286500344</v>
      </c>
      <c r="N572" s="20">
        <f t="shared" si="72"/>
        <v>2.7342854621388519</v>
      </c>
      <c r="O572" s="20">
        <f t="shared" si="72"/>
        <v>2.7369090958920408</v>
      </c>
      <c r="P572" s="20">
        <f t="shared" si="72"/>
        <v>2.3984303993709442</v>
      </c>
      <c r="Q572" s="20">
        <f t="shared" si="72"/>
        <v>2.3991551646003648</v>
      </c>
    </row>
    <row r="573" spans="1:133" ht="72.599999999999994" customHeight="1" x14ac:dyDescent="0.25">
      <c r="A573" s="17" t="s">
        <v>115</v>
      </c>
      <c r="B573" s="17" t="s">
        <v>116</v>
      </c>
      <c r="C573" s="17" t="s">
        <v>117</v>
      </c>
      <c r="D573" s="17" t="s">
        <v>337</v>
      </c>
      <c r="E573" s="129">
        <f>SUM(F573:Q573)</f>
        <v>65767.557585560673</v>
      </c>
      <c r="F573" s="129">
        <f>'Baseline Emissions 2021'!F555</f>
        <v>5120.4250000000011</v>
      </c>
      <c r="G573" s="129">
        <f>'Baseline Emissions 2021'!G555</f>
        <v>5121.9739285714277</v>
      </c>
      <c r="H573" s="129">
        <f>'Baseline Emissions 2021'!H555</f>
        <v>5120.5474516129034</v>
      </c>
      <c r="I573" s="129">
        <f>'Baseline Emissions 2021'!I555</f>
        <v>5119.519400000001</v>
      </c>
      <c r="J573" s="129">
        <f>'Baseline Emissions 2021'!J555</f>
        <v>5839.9361612903231</v>
      </c>
      <c r="K573" s="129">
        <f>'Baseline Emissions 2021'!K555</f>
        <v>5841.6731</v>
      </c>
      <c r="L573" s="129">
        <f>'Baseline Emissions 2021'!L555</f>
        <v>5840.8485161290319</v>
      </c>
      <c r="M573" s="129">
        <f>'Baseline Emissions 2021'!M555</f>
        <v>5840.4802903225791</v>
      </c>
      <c r="N573" s="129">
        <f>'Baseline Emissions 2021'!N555</f>
        <v>5839.8975666666665</v>
      </c>
      <c r="O573" s="129">
        <f>'Baseline Emissions 2021'!O555</f>
        <v>5839.8646774193558</v>
      </c>
      <c r="P573" s="129">
        <f>'Baseline Emissions 2021'!P555</f>
        <v>5121.5743000000002</v>
      </c>
      <c r="Q573" s="129">
        <f>'Baseline Emissions 2021'!Q555</f>
        <v>5120.8171935483888</v>
      </c>
    </row>
    <row r="574" spans="1:133" ht="46.8" x14ac:dyDescent="0.25">
      <c r="A574" s="17" t="s">
        <v>118</v>
      </c>
      <c r="B574" s="17" t="s">
        <v>119</v>
      </c>
      <c r="C574" s="17" t="s">
        <v>120</v>
      </c>
      <c r="D574" s="35" t="s">
        <v>338</v>
      </c>
      <c r="E574" s="120">
        <f>AVERAGE(F574:Q574)</f>
        <v>4.5571236905092956E-4</v>
      </c>
      <c r="F574" s="130">
        <f>'Baseline Emissions 2021'!F559</f>
        <v>4.6843306451612902E-4</v>
      </c>
      <c r="G574" s="130">
        <f>'Baseline Emissions 2021'!G559</f>
        <v>4.6846577380952372E-4</v>
      </c>
      <c r="H574" s="130">
        <f>'Baseline Emissions 2021'!H559</f>
        <v>4.6825322580645163E-4</v>
      </c>
      <c r="I574" s="130">
        <f>'Baseline Emissions 2021'!I559</f>
        <v>4.68617816091954E-4</v>
      </c>
      <c r="J574" s="130">
        <f>'Baseline Emissions 2021'!J559</f>
        <v>4.6805241935483877E-4</v>
      </c>
      <c r="K574" s="130">
        <f>'Baseline Emissions 2021'!K559</f>
        <v>4.1743611111111112E-4</v>
      </c>
      <c r="L574" s="130">
        <f>'Baseline Emissions 2021'!L559</f>
        <v>4.175220430107526E-4</v>
      </c>
      <c r="M574" s="130">
        <f>'Baseline Emissions 2021'!M559</f>
        <v>4.1809086021505384E-4</v>
      </c>
      <c r="N574" s="130">
        <f>'Baseline Emissions 2021'!N559</f>
        <v>4.6820777777777784E-4</v>
      </c>
      <c r="O574" s="130">
        <f>'Baseline Emissions 2021'!O559</f>
        <v>4.6865967741935495E-4</v>
      </c>
      <c r="P574" s="130">
        <f>'Baseline Emissions 2021'!P559</f>
        <v>4.6829944444444439E-4</v>
      </c>
      <c r="Q574" s="130">
        <f>'Baseline Emissions 2021'!Q559</f>
        <v>4.6851021505376342E-4</v>
      </c>
    </row>
    <row r="575" spans="1:133" ht="46.8" x14ac:dyDescent="0.25">
      <c r="A575" s="17" t="s">
        <v>121</v>
      </c>
      <c r="B575" s="17" t="s">
        <v>24</v>
      </c>
      <c r="C575" s="17" t="s">
        <v>122</v>
      </c>
      <c r="D575" s="17" t="s">
        <v>384</v>
      </c>
      <c r="E575" s="20">
        <f>SUM(F575:Q575)</f>
        <v>1.3827127997179178</v>
      </c>
      <c r="F575" s="20">
        <f>SUM(F576*F577)</f>
        <v>0.11230351376243497</v>
      </c>
      <c r="G575" s="20">
        <f t="shared" ref="G575:Q575" si="73">SUM(G576*G577)</f>
        <v>0.10908885557371387</v>
      </c>
      <c r="H575" s="20">
        <f t="shared" si="73"/>
        <v>0.11058104370808187</v>
      </c>
      <c r="I575" s="20">
        <f t="shared" si="73"/>
        <v>0.11049299131626432</v>
      </c>
      <c r="J575" s="20">
        <f t="shared" si="73"/>
        <v>0.12903271968370619</v>
      </c>
      <c r="K575" s="20">
        <f t="shared" si="73"/>
        <v>0.11560736850151855</v>
      </c>
      <c r="L575" s="20">
        <f t="shared" si="73"/>
        <v>0.11244745985057231</v>
      </c>
      <c r="M575" s="20">
        <f t="shared" si="73"/>
        <v>0.11299002538345473</v>
      </c>
      <c r="N575" s="20">
        <f t="shared" si="73"/>
        <v>0.12478522382633335</v>
      </c>
      <c r="O575" s="20">
        <f t="shared" si="73"/>
        <v>0.12655287866237422</v>
      </c>
      <c r="P575" s="20">
        <f t="shared" si="73"/>
        <v>0.11081032980111112</v>
      </c>
      <c r="Q575" s="20">
        <f t="shared" si="73"/>
        <v>0.10802038964835238</v>
      </c>
    </row>
    <row r="576" spans="1:133" ht="62.4" x14ac:dyDescent="0.25">
      <c r="A576" s="17" t="s">
        <v>123</v>
      </c>
      <c r="B576" s="17" t="s">
        <v>116</v>
      </c>
      <c r="C576" s="17" t="s">
        <v>124</v>
      </c>
      <c r="D576" s="17" t="s">
        <v>337</v>
      </c>
      <c r="E576" s="129">
        <f>AVERAGE(F576:Q576)</f>
        <v>5347.4164026945728</v>
      </c>
      <c r="F576" s="129">
        <v>5009.1013548387091</v>
      </c>
      <c r="G576" s="129">
        <v>5009.752678571429</v>
      </c>
      <c r="H576" s="129">
        <v>5010.0049032258066</v>
      </c>
      <c r="I576" s="129">
        <v>5011.2159333333329</v>
      </c>
      <c r="J576" s="129">
        <v>5685.5400322580645</v>
      </c>
      <c r="K576" s="129">
        <v>5683.2014666666682</v>
      </c>
      <c r="L576" s="129">
        <v>5692.8449032258068</v>
      </c>
      <c r="M576" s="129">
        <v>5685.724838709677</v>
      </c>
      <c r="N576" s="129">
        <v>5677.862533333333</v>
      </c>
      <c r="O576" s="129">
        <v>5683.3066774193539</v>
      </c>
      <c r="P576" s="129">
        <v>5011.0188333333335</v>
      </c>
      <c r="Q576" s="129">
        <v>5009.4226774193539</v>
      </c>
    </row>
    <row r="577" spans="1:17" ht="46.8" x14ac:dyDescent="0.25">
      <c r="A577" s="17" t="s">
        <v>125</v>
      </c>
      <c r="B577" s="17" t="s">
        <v>119</v>
      </c>
      <c r="C577" s="17" t="s">
        <v>126</v>
      </c>
      <c r="D577" s="35" t="s">
        <v>339</v>
      </c>
      <c r="E577" s="131">
        <f>AVERAGE(F577:Q577)</f>
        <v>2.157499627194531E-5</v>
      </c>
      <c r="F577" s="131">
        <f>'Baseline Emissions 2021'!F560</f>
        <v>2.2419892473118283E-5</v>
      </c>
      <c r="G577" s="131">
        <f>'Baseline Emissions 2021'!G560</f>
        <v>2.1775297619047619E-5</v>
      </c>
      <c r="H577" s="131">
        <f>'Baseline Emissions 2021'!H560</f>
        <v>2.2072043010752689E-5</v>
      </c>
      <c r="I577" s="131">
        <f>'Baseline Emissions 2021'!I560</f>
        <v>2.2049137931034475E-5</v>
      </c>
      <c r="J577" s="131">
        <f>'Baseline Emissions 2021'!J560</f>
        <v>2.2694892473118279E-5</v>
      </c>
      <c r="K577" s="131">
        <f>'Baseline Emissions 2021'!K560</f>
        <v>2.0341944444444445E-5</v>
      </c>
      <c r="L577" s="131">
        <f>'Baseline Emissions 2021'!L560</f>
        <v>1.9752419354838706E-5</v>
      </c>
      <c r="M577" s="131">
        <f>'Baseline Emissions 2021'!M560</f>
        <v>1.9872580645161291E-5</v>
      </c>
      <c r="N577" s="131">
        <f>'Baseline Emissions 2021'!N560</f>
        <v>2.1977500000000004E-5</v>
      </c>
      <c r="O577" s="131">
        <f>'Baseline Emissions 2021'!O560</f>
        <v>2.2267473118279565E-5</v>
      </c>
      <c r="P577" s="131">
        <f>'Baseline Emissions 2021'!P560</f>
        <v>2.2113333333333334E-5</v>
      </c>
      <c r="Q577" s="131">
        <f>'Baseline Emissions 2021'!Q560</f>
        <v>2.156344086021505E-5</v>
      </c>
    </row>
    <row r="578" spans="1:17" ht="31.2" x14ac:dyDescent="0.25">
      <c r="A578" s="17" t="s">
        <v>127</v>
      </c>
      <c r="B578" s="17" t="s">
        <v>128</v>
      </c>
      <c r="C578" s="17" t="s">
        <v>17</v>
      </c>
      <c r="D578" s="17" t="s">
        <v>129</v>
      </c>
      <c r="E578" s="176">
        <v>28</v>
      </c>
      <c r="F578" s="176"/>
      <c r="G578" s="176"/>
      <c r="H578" s="176"/>
      <c r="I578" s="176"/>
      <c r="J578" s="176"/>
      <c r="K578" s="176"/>
      <c r="L578" s="176"/>
      <c r="M578" s="176"/>
      <c r="N578" s="176"/>
      <c r="O578" s="176"/>
      <c r="P578" s="176"/>
      <c r="Q578" s="176"/>
    </row>
    <row r="579" spans="1:17" ht="64.8" x14ac:dyDescent="0.25">
      <c r="A579" s="17" t="s">
        <v>130</v>
      </c>
      <c r="B579" s="17" t="s">
        <v>19</v>
      </c>
      <c r="C579" s="17" t="s">
        <v>131</v>
      </c>
      <c r="D579" s="17" t="s">
        <v>394</v>
      </c>
      <c r="E579" s="176">
        <v>0.21</v>
      </c>
      <c r="F579" s="176"/>
      <c r="G579" s="176"/>
      <c r="H579" s="176"/>
      <c r="I579" s="176"/>
      <c r="J579" s="176"/>
      <c r="K579" s="176"/>
      <c r="L579" s="176"/>
      <c r="M579" s="176"/>
      <c r="N579" s="176"/>
      <c r="O579" s="176"/>
      <c r="P579" s="176"/>
      <c r="Q579" s="176"/>
    </row>
    <row r="580" spans="1:17" ht="46.8" x14ac:dyDescent="0.25">
      <c r="A580" s="17" t="s">
        <v>132</v>
      </c>
      <c r="B580" s="17" t="s">
        <v>103</v>
      </c>
      <c r="C580" s="17" t="s">
        <v>133</v>
      </c>
      <c r="D580" s="17" t="s">
        <v>385</v>
      </c>
      <c r="E580" s="19">
        <f>SUM(F580:Q580)</f>
        <v>0</v>
      </c>
      <c r="F580" s="19">
        <f>$E$578*$E$579*F581*F575*F568</f>
        <v>0</v>
      </c>
      <c r="G580" s="19">
        <f t="shared" ref="G580:Q580" si="74">$E$578*$E$579*G581*G575*G568</f>
        <v>0</v>
      </c>
      <c r="H580" s="19">
        <f t="shared" si="74"/>
        <v>0</v>
      </c>
      <c r="I580" s="19">
        <f t="shared" si="74"/>
        <v>0</v>
      </c>
      <c r="J580" s="19">
        <f t="shared" si="74"/>
        <v>0</v>
      </c>
      <c r="K580" s="19">
        <f t="shared" si="74"/>
        <v>0</v>
      </c>
      <c r="L580" s="19">
        <f t="shared" si="74"/>
        <v>0</v>
      </c>
      <c r="M580" s="19">
        <f t="shared" si="74"/>
        <v>0</v>
      </c>
      <c r="N580" s="19">
        <f t="shared" si="74"/>
        <v>0</v>
      </c>
      <c r="O580" s="19">
        <f t="shared" si="74"/>
        <v>0</v>
      </c>
      <c r="P580" s="19">
        <f t="shared" si="74"/>
        <v>0</v>
      </c>
      <c r="Q580" s="19">
        <f t="shared" si="74"/>
        <v>0</v>
      </c>
    </row>
    <row r="581" spans="1:17" ht="18" x14ac:dyDescent="0.25">
      <c r="A581" s="17" t="s">
        <v>134</v>
      </c>
      <c r="B581" s="17" t="s">
        <v>37</v>
      </c>
      <c r="C581" s="17" t="s">
        <v>135</v>
      </c>
      <c r="D581" s="17" t="s">
        <v>386</v>
      </c>
      <c r="E581" s="26">
        <f>AVERAGE(F581:Q581)</f>
        <v>0</v>
      </c>
      <c r="F581" s="26">
        <f>F582*$E$583*0.89</f>
        <v>0</v>
      </c>
      <c r="G581" s="26">
        <f t="shared" ref="G581:Q581" si="75">G582*$E$583*0.89</f>
        <v>0</v>
      </c>
      <c r="H581" s="26">
        <f t="shared" si="75"/>
        <v>0</v>
      </c>
      <c r="I581" s="26">
        <f t="shared" si="75"/>
        <v>0</v>
      </c>
      <c r="J581" s="26">
        <f t="shared" si="75"/>
        <v>0</v>
      </c>
      <c r="K581" s="26">
        <f t="shared" si="75"/>
        <v>0</v>
      </c>
      <c r="L581" s="26">
        <f t="shared" si="75"/>
        <v>0</v>
      </c>
      <c r="M581" s="26">
        <f t="shared" si="75"/>
        <v>0</v>
      </c>
      <c r="N581" s="26">
        <f t="shared" si="75"/>
        <v>0</v>
      </c>
      <c r="O581" s="26">
        <f t="shared" si="75"/>
        <v>0</v>
      </c>
      <c r="P581" s="26">
        <f t="shared" si="75"/>
        <v>0</v>
      </c>
      <c r="Q581" s="26">
        <f t="shared" si="75"/>
        <v>0</v>
      </c>
    </row>
    <row r="582" spans="1:17" ht="31.2" x14ac:dyDescent="0.25">
      <c r="A582" s="17" t="s">
        <v>136</v>
      </c>
      <c r="B582" s="17" t="s">
        <v>37</v>
      </c>
      <c r="C582" s="17" t="s">
        <v>46</v>
      </c>
      <c r="D582" s="17" t="s">
        <v>387</v>
      </c>
      <c r="E582" s="25">
        <v>0</v>
      </c>
      <c r="F582" s="25">
        <v>0</v>
      </c>
      <c r="G582" s="25">
        <v>0</v>
      </c>
      <c r="H582" s="25">
        <v>0</v>
      </c>
      <c r="I582" s="25">
        <v>0</v>
      </c>
      <c r="J582" s="25">
        <v>0</v>
      </c>
      <c r="K582" s="25">
        <v>0</v>
      </c>
      <c r="L582" s="25">
        <v>0</v>
      </c>
      <c r="M582" s="25">
        <v>0</v>
      </c>
      <c r="N582" s="25">
        <v>0</v>
      </c>
      <c r="O582" s="25">
        <v>0</v>
      </c>
      <c r="P582" s="25">
        <v>0</v>
      </c>
      <c r="Q582" s="25">
        <v>0</v>
      </c>
    </row>
    <row r="583" spans="1:17" ht="31.2" x14ac:dyDescent="0.25">
      <c r="A583" s="17" t="s">
        <v>137</v>
      </c>
      <c r="B583" s="17" t="s">
        <v>201</v>
      </c>
      <c r="C583" s="17" t="s">
        <v>138</v>
      </c>
      <c r="D583" s="17" t="s">
        <v>388</v>
      </c>
      <c r="E583" s="196">
        <f>(F584*F589+G584*G589+H584*H589+I584*I589+J584*J589+K584*K589+L584*L589+M584*M589+N584*N589+O584*O589+P584*P589+Q584*Q589)/(F576*F577*F568+G577*G576*G568+H576*H577*H568+I577*I576*I568+J577*J576*J568+K577*K576*K568+L577*L576*L568+M577*M576*M568+N577*N576*N568+O576*O577*O568+P577*P576*P568+Q577*Q576*Q568)</f>
        <v>0.64105229753455562</v>
      </c>
      <c r="F583" s="196"/>
      <c r="G583" s="196"/>
      <c r="H583" s="196"/>
      <c r="I583" s="196"/>
      <c r="J583" s="196"/>
      <c r="K583" s="196"/>
      <c r="L583" s="196"/>
      <c r="M583" s="196"/>
      <c r="N583" s="196"/>
      <c r="O583" s="196"/>
      <c r="P583" s="196"/>
      <c r="Q583" s="196"/>
    </row>
    <row r="584" spans="1:17" ht="31.2" x14ac:dyDescent="0.25">
      <c r="A584" s="17" t="s">
        <v>139</v>
      </c>
      <c r="B584" s="17" t="s">
        <v>37</v>
      </c>
      <c r="C584" s="17" t="s">
        <v>140</v>
      </c>
      <c r="D584" s="17" t="s">
        <v>375</v>
      </c>
      <c r="E584" s="27">
        <f>AVERAGE(F584:Q584)</f>
        <v>0.63155158305475345</v>
      </c>
      <c r="F584" s="27">
        <f>IF(F588&lt;283,0,IF(F588&gt;303,1,EXP(($E$585*(F588-$E$586))/($E$587*$E$586*F588))))</f>
        <v>0.24547412919519337</v>
      </c>
      <c r="G584" s="27">
        <f>IF(G588&lt;283,0,IF(G588&gt;303,1,EXP(($E$585*(G588-$E$586))/($E$587*$E$586*G588))))</f>
        <v>0.37002059672690846</v>
      </c>
      <c r="H584" s="27">
        <f t="shared" ref="H584:Q584" si="76">IF(H588&lt;283,0,IF(H588&gt;303,1,EXP(($E$585*(H588-$E$586))/($E$587*$E$586*H588))))</f>
        <v>0.44226396815696317</v>
      </c>
      <c r="I584" s="27">
        <f t="shared" si="76"/>
        <v>0.57531644493802248</v>
      </c>
      <c r="J584" s="27">
        <f t="shared" si="76"/>
        <v>0.84523513966163832</v>
      </c>
      <c r="K584" s="27">
        <f t="shared" si="76"/>
        <v>0.91923925774048054</v>
      </c>
      <c r="L584" s="27">
        <f t="shared" si="76"/>
        <v>1</v>
      </c>
      <c r="M584" s="27">
        <f t="shared" si="76"/>
        <v>0.91923925774048054</v>
      </c>
      <c r="N584" s="27">
        <f t="shared" si="76"/>
        <v>1</v>
      </c>
      <c r="O584" s="27">
        <f t="shared" si="76"/>
        <v>0.57531644493802248</v>
      </c>
      <c r="P584" s="27">
        <f t="shared" si="76"/>
        <v>0.40465607403307924</v>
      </c>
      <c r="Q584" s="27">
        <f t="shared" si="76"/>
        <v>0.28185768352625201</v>
      </c>
    </row>
    <row r="585" spans="1:17" x14ac:dyDescent="0.25">
      <c r="A585" s="17" t="s">
        <v>51</v>
      </c>
      <c r="B585" s="17" t="s">
        <v>52</v>
      </c>
      <c r="C585" s="17" t="s">
        <v>53</v>
      </c>
      <c r="D585" s="17" t="s">
        <v>389</v>
      </c>
      <c r="E585" s="176">
        <v>15175</v>
      </c>
      <c r="F585" s="176"/>
      <c r="G585" s="176"/>
      <c r="H585" s="176"/>
      <c r="I585" s="176"/>
      <c r="J585" s="176"/>
      <c r="K585" s="176"/>
      <c r="L585" s="176"/>
      <c r="M585" s="176"/>
      <c r="N585" s="176"/>
      <c r="O585" s="176"/>
      <c r="P585" s="176"/>
      <c r="Q585" s="176"/>
    </row>
    <row r="586" spans="1:17" ht="18" x14ac:dyDescent="0.25">
      <c r="A586" s="17" t="s">
        <v>141</v>
      </c>
      <c r="B586" s="17" t="s">
        <v>55</v>
      </c>
      <c r="C586" s="17" t="s">
        <v>56</v>
      </c>
      <c r="D586" s="17" t="s">
        <v>389</v>
      </c>
      <c r="E586" s="176">
        <v>303.16000000000003</v>
      </c>
      <c r="F586" s="176"/>
      <c r="G586" s="176"/>
      <c r="H586" s="176"/>
      <c r="I586" s="176"/>
      <c r="J586" s="176"/>
      <c r="K586" s="176"/>
      <c r="L586" s="176"/>
      <c r="M586" s="176"/>
      <c r="N586" s="176"/>
      <c r="O586" s="176"/>
      <c r="P586" s="176"/>
      <c r="Q586" s="176"/>
    </row>
    <row r="587" spans="1:17" x14ac:dyDescent="0.25">
      <c r="A587" s="17" t="s">
        <v>57</v>
      </c>
      <c r="B587" s="17" t="s">
        <v>58</v>
      </c>
      <c r="C587" s="17" t="s">
        <v>59</v>
      </c>
      <c r="D587" s="17" t="s">
        <v>389</v>
      </c>
      <c r="E587" s="176">
        <v>1.9870000000000001</v>
      </c>
      <c r="F587" s="176"/>
      <c r="G587" s="176"/>
      <c r="H587" s="176"/>
      <c r="I587" s="176"/>
      <c r="J587" s="176"/>
      <c r="K587" s="176"/>
      <c r="L587" s="176"/>
      <c r="M587" s="176"/>
      <c r="N587" s="176"/>
      <c r="O587" s="176"/>
      <c r="P587" s="176"/>
      <c r="Q587" s="176"/>
    </row>
    <row r="588" spans="1:17" ht="18" x14ac:dyDescent="0.25">
      <c r="A588" s="17" t="s">
        <v>142</v>
      </c>
      <c r="B588" s="17" t="s">
        <v>55</v>
      </c>
      <c r="C588" s="17" t="s">
        <v>143</v>
      </c>
      <c r="D588" s="144" t="s">
        <v>363</v>
      </c>
      <c r="E588" s="28">
        <f>AVERAGE(F588:Q588)</f>
        <v>296.60833333333341</v>
      </c>
      <c r="F588" s="25">
        <v>287.14999999999998</v>
      </c>
      <c r="G588" s="25">
        <v>291.64999999999998</v>
      </c>
      <c r="H588" s="25">
        <v>293.64999999999998</v>
      </c>
      <c r="I588" s="25">
        <v>296.64999999999998</v>
      </c>
      <c r="J588" s="25">
        <v>301.14999999999998</v>
      </c>
      <c r="K588" s="25">
        <v>302.14999999999998</v>
      </c>
      <c r="L588" s="25">
        <v>303.64999999999998</v>
      </c>
      <c r="M588" s="25">
        <v>302.14999999999998</v>
      </c>
      <c r="N588" s="25">
        <v>303.14999999999998</v>
      </c>
      <c r="O588" s="25">
        <v>296.64999999999998</v>
      </c>
      <c r="P588" s="25">
        <v>292.64999999999998</v>
      </c>
      <c r="Q588" s="25">
        <v>288.64999999999998</v>
      </c>
    </row>
    <row r="589" spans="1:17" ht="46.8" x14ac:dyDescent="0.25">
      <c r="A589" s="17" t="s">
        <v>144</v>
      </c>
      <c r="B589" s="17" t="s">
        <v>24</v>
      </c>
      <c r="C589" s="17" t="s">
        <v>145</v>
      </c>
      <c r="D589" s="17" t="s">
        <v>390</v>
      </c>
      <c r="E589" s="29">
        <f>SUM(F589:Q589)</f>
        <v>42.075134311089094</v>
      </c>
      <c r="F589" s="29">
        <f>F576*F577*'Project Emissions 2021'!F568+(1-F584)*0</f>
        <v>3.481408926635484</v>
      </c>
      <c r="G589" s="29">
        <f>G576*G577*'Project Emissions 2021'!G568+(1-G584)*0</f>
        <v>3.0544879560639884</v>
      </c>
      <c r="H589" s="29">
        <f>H576*H577*'Project Emissions 2021'!H568+(1-H584)*0</f>
        <v>3.4280123549505381</v>
      </c>
      <c r="I589" s="29">
        <f>I576*I577*'Project Emissions 2021'!I568+(1-I584)*0</f>
        <v>3.3147897394879298</v>
      </c>
      <c r="J589" s="29">
        <f>J576*J577*'Project Emissions 2021'!J568+(1-J584)*0</f>
        <v>4.0000143101948922</v>
      </c>
      <c r="K589" s="29">
        <f>K576*K577*'Project Emissions 2021'!K568+(1-K584)*0</f>
        <v>3.4682210550455563</v>
      </c>
      <c r="L589" s="29">
        <f>L576*L577*'Project Emissions 2021'!L568+(1-L584)*0</f>
        <v>3.4858712553677416</v>
      </c>
      <c r="M589" s="29">
        <f>M576*M577*'Project Emissions 2021'!M568+(1-M584)*0</f>
        <v>3.5026907868870967</v>
      </c>
      <c r="N589" s="29">
        <f>N576*N577*'Project Emissions 2021'!N568+(1-N584)*0</f>
        <v>3.7435567147900004</v>
      </c>
      <c r="O589" s="29">
        <f>O576*O577*'Project Emissions 2021'!O568+(1-O584)*0</f>
        <v>3.9231392385336008</v>
      </c>
      <c r="P589" s="29">
        <f>P576*P577*'Project Emissions 2021'!P568+(1-P584)*0</f>
        <v>3.3243098940333335</v>
      </c>
      <c r="Q589" s="29">
        <f>Q576*Q577*'Project Emissions 2021'!Q568+(1-Q584)*0</f>
        <v>3.3486320790989237</v>
      </c>
    </row>
    <row r="590" spans="1:17" x14ac:dyDescent="0.3">
      <c r="A590" s="30"/>
      <c r="E590" s="31"/>
      <c r="F590" s="31"/>
      <c r="G590" s="31"/>
      <c r="H590" s="31"/>
      <c r="I590" s="31"/>
      <c r="J590" s="31"/>
      <c r="K590" s="31"/>
      <c r="L590" s="31"/>
      <c r="M590" s="31"/>
      <c r="N590" s="31"/>
      <c r="O590" s="31"/>
      <c r="P590" s="31"/>
      <c r="Q590" s="31"/>
    </row>
    <row r="591" spans="1:17" x14ac:dyDescent="0.25">
      <c r="A591" s="174" t="s">
        <v>146</v>
      </c>
      <c r="B591" s="174"/>
      <c r="C591" s="175"/>
      <c r="D591" s="175"/>
      <c r="E591" s="195"/>
      <c r="F591" s="32"/>
      <c r="G591" s="32"/>
      <c r="H591" s="32"/>
      <c r="I591" s="32"/>
      <c r="J591" s="32"/>
      <c r="K591" s="32"/>
      <c r="L591" s="32"/>
      <c r="M591" s="32"/>
      <c r="N591" s="32"/>
      <c r="O591" s="32"/>
      <c r="P591" s="32"/>
      <c r="Q591" s="32"/>
    </row>
    <row r="592" spans="1:17" x14ac:dyDescent="0.25">
      <c r="A592" s="33" t="s">
        <v>8</v>
      </c>
      <c r="B592" s="33" t="s">
        <v>9</v>
      </c>
      <c r="C592" s="34" t="s">
        <v>10</v>
      </c>
      <c r="D592" s="34" t="s">
        <v>340</v>
      </c>
      <c r="E592" s="16" t="s">
        <v>65</v>
      </c>
      <c r="F592" s="32"/>
      <c r="G592" s="32"/>
      <c r="H592" s="32"/>
      <c r="I592" s="32"/>
      <c r="J592" s="32"/>
      <c r="K592" s="32"/>
      <c r="L592" s="32"/>
      <c r="M592" s="32"/>
      <c r="N592" s="32"/>
      <c r="O592" s="32"/>
      <c r="P592" s="32"/>
      <c r="Q592" s="32"/>
    </row>
    <row r="593" spans="1:19" ht="46.8" x14ac:dyDescent="0.25">
      <c r="A593" s="15" t="s">
        <v>147</v>
      </c>
      <c r="B593" s="17" t="s">
        <v>95</v>
      </c>
      <c r="C593" s="35" t="s">
        <v>148</v>
      </c>
      <c r="D593" s="35" t="s">
        <v>68</v>
      </c>
      <c r="E593" s="16">
        <v>0</v>
      </c>
      <c r="F593" s="32"/>
      <c r="G593" s="32"/>
      <c r="H593" s="32"/>
      <c r="I593" s="32"/>
      <c r="J593" s="32"/>
      <c r="K593" s="32"/>
      <c r="L593" s="32"/>
      <c r="M593" s="32"/>
      <c r="N593" s="32"/>
      <c r="O593" s="32"/>
      <c r="P593" s="32"/>
      <c r="Q593" s="32"/>
    </row>
    <row r="594" spans="1:19" x14ac:dyDescent="0.25">
      <c r="A594" s="36"/>
      <c r="B594" s="36"/>
      <c r="C594" s="37"/>
      <c r="D594" s="37"/>
      <c r="E594" s="32"/>
      <c r="F594" s="32"/>
      <c r="G594" s="32"/>
      <c r="H594" s="32"/>
      <c r="I594" s="32"/>
      <c r="J594" s="32"/>
      <c r="K594" s="32"/>
      <c r="L594" s="32"/>
      <c r="M594" s="32"/>
      <c r="N594" s="32"/>
      <c r="O594" s="32"/>
      <c r="P594" s="32"/>
      <c r="Q594" s="32"/>
    </row>
    <row r="595" spans="1:19" x14ac:dyDescent="0.25">
      <c r="A595" s="174" t="s">
        <v>149</v>
      </c>
      <c r="B595" s="174"/>
      <c r="C595" s="175"/>
      <c r="D595" s="175"/>
      <c r="E595" s="195"/>
      <c r="F595" s="32"/>
      <c r="G595" s="32"/>
      <c r="H595" s="32"/>
      <c r="I595" s="32"/>
      <c r="J595" s="32"/>
      <c r="K595" s="32"/>
      <c r="L595" s="32"/>
      <c r="M595" s="32"/>
      <c r="N595" s="32"/>
      <c r="O595" s="32"/>
      <c r="P595" s="32"/>
      <c r="Q595" s="32"/>
    </row>
    <row r="596" spans="1:19" x14ac:dyDescent="0.25">
      <c r="A596" s="33" t="s">
        <v>8</v>
      </c>
      <c r="B596" s="33" t="s">
        <v>9</v>
      </c>
      <c r="C596" s="34" t="s">
        <v>10</v>
      </c>
      <c r="D596" s="34" t="s">
        <v>340</v>
      </c>
      <c r="E596" s="16" t="s">
        <v>65</v>
      </c>
      <c r="F596" s="32"/>
      <c r="G596" s="32"/>
      <c r="H596" s="32"/>
      <c r="I596" s="32"/>
      <c r="J596" s="32"/>
      <c r="K596" s="32"/>
      <c r="L596" s="32"/>
      <c r="M596" s="32"/>
      <c r="N596" s="32"/>
      <c r="O596" s="32"/>
      <c r="P596" s="32"/>
      <c r="Q596" s="32"/>
    </row>
    <row r="597" spans="1:19" ht="46.8" x14ac:dyDescent="0.25">
      <c r="A597" s="15" t="s">
        <v>150</v>
      </c>
      <c r="B597" s="17" t="s">
        <v>95</v>
      </c>
      <c r="C597" s="35" t="s">
        <v>151</v>
      </c>
      <c r="D597" s="35" t="s">
        <v>68</v>
      </c>
      <c r="E597" s="16">
        <v>0</v>
      </c>
      <c r="F597" s="32"/>
      <c r="G597" s="32"/>
      <c r="H597" s="32"/>
      <c r="I597" s="32"/>
      <c r="J597" s="32"/>
      <c r="K597" s="32"/>
      <c r="L597" s="32"/>
      <c r="M597" s="32"/>
      <c r="N597" s="32"/>
      <c r="O597" s="32"/>
      <c r="P597" s="32"/>
      <c r="Q597" s="32"/>
    </row>
    <row r="598" spans="1:19" x14ac:dyDescent="0.25">
      <c r="F598" s="32"/>
      <c r="G598" s="32"/>
      <c r="H598" s="32"/>
      <c r="I598" s="32"/>
      <c r="J598" s="32"/>
      <c r="K598" s="32"/>
      <c r="L598" s="32"/>
      <c r="M598" s="32"/>
      <c r="N598" s="32"/>
      <c r="O598" s="32"/>
      <c r="P598" s="32"/>
      <c r="Q598" s="32"/>
    </row>
    <row r="599" spans="1:19" x14ac:dyDescent="0.25">
      <c r="A599" s="174" t="s">
        <v>152</v>
      </c>
      <c r="B599" s="174"/>
      <c r="C599" s="175"/>
      <c r="D599" s="175"/>
      <c r="E599" s="195"/>
      <c r="F599" s="32"/>
      <c r="G599" s="32"/>
      <c r="H599" s="32"/>
      <c r="I599" s="32"/>
      <c r="J599" s="32"/>
      <c r="K599" s="32"/>
      <c r="L599" s="32"/>
      <c r="M599" s="32"/>
      <c r="N599" s="32"/>
      <c r="O599" s="32"/>
      <c r="P599" s="32"/>
      <c r="Q599" s="32"/>
    </row>
    <row r="600" spans="1:19" s="10" customFormat="1" x14ac:dyDescent="0.25">
      <c r="A600" s="15" t="s">
        <v>8</v>
      </c>
      <c r="B600" s="15" t="s">
        <v>9</v>
      </c>
      <c r="C600" s="38" t="s">
        <v>10</v>
      </c>
      <c r="D600" s="38" t="s">
        <v>340</v>
      </c>
      <c r="E600" s="16" t="s">
        <v>65</v>
      </c>
      <c r="F600" s="32"/>
      <c r="G600" s="32"/>
      <c r="H600" s="39"/>
      <c r="I600" s="39"/>
      <c r="J600" s="39"/>
      <c r="K600" s="39"/>
      <c r="L600" s="39"/>
      <c r="M600" s="39"/>
      <c r="N600" s="39"/>
      <c r="O600" s="39"/>
      <c r="P600" s="39"/>
      <c r="Q600" s="39"/>
    </row>
    <row r="601" spans="1:19" s="10" customFormat="1" ht="18" x14ac:dyDescent="0.4">
      <c r="A601" s="40" t="s">
        <v>153</v>
      </c>
      <c r="B601" s="17" t="s">
        <v>103</v>
      </c>
      <c r="C601" s="35" t="s">
        <v>154</v>
      </c>
      <c r="D601" s="35" t="s">
        <v>155</v>
      </c>
      <c r="E601" s="41">
        <f>E602*E604*(1+E603)</f>
        <v>454.73825799060006</v>
      </c>
      <c r="F601" s="32"/>
      <c r="G601" s="32"/>
      <c r="H601" s="39"/>
      <c r="I601" s="39"/>
      <c r="J601" s="39"/>
      <c r="K601" s="39"/>
      <c r="L601" s="39"/>
      <c r="M601" s="39"/>
      <c r="N601" s="39"/>
      <c r="O601" s="39"/>
      <c r="P601" s="39"/>
      <c r="Q601" s="39"/>
    </row>
    <row r="602" spans="1:19" ht="31.2" x14ac:dyDescent="0.25">
      <c r="A602" s="17" t="s">
        <v>156</v>
      </c>
      <c r="B602" s="17" t="s">
        <v>157</v>
      </c>
      <c r="C602" s="35" t="s">
        <v>158</v>
      </c>
      <c r="D602" s="35" t="s">
        <v>343</v>
      </c>
      <c r="E602" s="20">
        <f>744715.63/1000</f>
        <v>744.71563000000003</v>
      </c>
      <c r="G602" s="42"/>
      <c r="H602" s="43"/>
      <c r="I602" s="43"/>
      <c r="J602" s="43"/>
      <c r="K602" s="43"/>
      <c r="L602" s="43"/>
      <c r="M602" s="43"/>
      <c r="N602" s="43"/>
      <c r="O602" s="43"/>
      <c r="P602" s="43"/>
      <c r="Q602" s="43"/>
      <c r="R602" s="9"/>
      <c r="S602" s="9"/>
    </row>
    <row r="603" spans="1:19" ht="31.2" x14ac:dyDescent="0.25">
      <c r="A603" s="17" t="s">
        <v>159</v>
      </c>
      <c r="B603" s="17" t="s">
        <v>160</v>
      </c>
      <c r="C603" s="35" t="s">
        <v>161</v>
      </c>
      <c r="D603" s="35" t="s">
        <v>162</v>
      </c>
      <c r="E603" s="44">
        <v>0.2</v>
      </c>
      <c r="H603" s="43"/>
      <c r="I603" s="43"/>
      <c r="J603" s="43"/>
      <c r="K603" s="43"/>
      <c r="L603" s="43"/>
      <c r="M603" s="43"/>
      <c r="N603" s="43"/>
      <c r="O603" s="43"/>
      <c r="P603" s="43"/>
      <c r="Q603" s="43"/>
      <c r="R603" s="9"/>
      <c r="S603" s="9"/>
    </row>
    <row r="604" spans="1:19" ht="46.8" x14ac:dyDescent="0.25">
      <c r="A604" s="17" t="s">
        <v>163</v>
      </c>
      <c r="B604" s="17" t="s">
        <v>164</v>
      </c>
      <c r="C604" s="35" t="s">
        <v>165</v>
      </c>
      <c r="D604" s="35" t="s">
        <v>166</v>
      </c>
      <c r="E604" s="45">
        <f>0.5*0.8042+0.5*0.2135</f>
        <v>0.50885000000000002</v>
      </c>
      <c r="F604" s="46"/>
      <c r="G604" s="46"/>
      <c r="H604" s="46"/>
      <c r="I604" s="46"/>
      <c r="J604" s="46"/>
      <c r="K604" s="46"/>
      <c r="L604" s="46"/>
      <c r="M604" s="46"/>
      <c r="N604" s="46"/>
      <c r="O604" s="46"/>
      <c r="P604" s="46"/>
      <c r="Q604" s="46"/>
    </row>
    <row r="605" spans="1:19" ht="31.2" x14ac:dyDescent="0.4">
      <c r="A605" s="40" t="s">
        <v>167</v>
      </c>
      <c r="B605" s="17" t="s">
        <v>103</v>
      </c>
      <c r="C605" s="35" t="s">
        <v>168</v>
      </c>
      <c r="D605" s="35" t="s">
        <v>169</v>
      </c>
      <c r="E605" s="47">
        <v>0</v>
      </c>
      <c r="H605" s="43"/>
      <c r="I605" s="43"/>
      <c r="J605" s="43"/>
      <c r="K605" s="43"/>
      <c r="L605" s="43"/>
      <c r="M605" s="43"/>
      <c r="N605" s="43"/>
      <c r="O605" s="43"/>
      <c r="P605" s="43"/>
      <c r="Q605" s="43"/>
      <c r="R605" s="9"/>
      <c r="S605" s="9"/>
    </row>
    <row r="606" spans="1:19" x14ac:dyDescent="0.3">
      <c r="A606" s="48"/>
      <c r="E606" s="49"/>
      <c r="H606" s="43"/>
      <c r="I606" s="43"/>
      <c r="J606" s="43"/>
      <c r="K606" s="43"/>
      <c r="L606" s="43"/>
      <c r="M606" s="43"/>
      <c r="N606" s="43"/>
      <c r="O606" s="43"/>
      <c r="P606" s="43"/>
      <c r="Q606" s="43"/>
      <c r="R606" s="9"/>
      <c r="S606" s="9"/>
    </row>
    <row r="607" spans="1:19" x14ac:dyDescent="0.25">
      <c r="A607" s="174" t="s">
        <v>170</v>
      </c>
      <c r="B607" s="174"/>
      <c r="C607" s="175"/>
      <c r="D607" s="175"/>
      <c r="E607" s="195"/>
      <c r="F607" s="32"/>
      <c r="G607" s="32"/>
      <c r="H607" s="32"/>
      <c r="I607" s="32"/>
      <c r="J607" s="32"/>
      <c r="K607" s="32"/>
      <c r="L607" s="32"/>
      <c r="M607" s="32"/>
      <c r="N607" s="32"/>
      <c r="O607" s="32"/>
      <c r="P607" s="32"/>
      <c r="Q607" s="32"/>
    </row>
    <row r="608" spans="1:19" x14ac:dyDescent="0.25">
      <c r="A608" s="15" t="s">
        <v>8</v>
      </c>
      <c r="B608" s="15" t="s">
        <v>9</v>
      </c>
      <c r="C608" s="38" t="s">
        <v>10</v>
      </c>
      <c r="D608" s="38" t="s">
        <v>340</v>
      </c>
      <c r="E608" s="16" t="s">
        <v>65</v>
      </c>
      <c r="H608" s="43"/>
      <c r="I608" s="43"/>
      <c r="J608" s="43"/>
      <c r="K608" s="43"/>
      <c r="L608" s="43"/>
      <c r="M608" s="43"/>
      <c r="N608" s="43"/>
      <c r="O608" s="43"/>
      <c r="P608" s="43"/>
      <c r="Q608" s="43"/>
      <c r="R608" s="9"/>
      <c r="S608" s="9"/>
    </row>
    <row r="609" spans="1:133" ht="33.6" x14ac:dyDescent="0.4">
      <c r="A609" s="40" t="s">
        <v>171</v>
      </c>
      <c r="B609" s="17" t="s">
        <v>74</v>
      </c>
      <c r="C609" s="35" t="s">
        <v>172</v>
      </c>
      <c r="D609" s="35" t="s">
        <v>391</v>
      </c>
      <c r="E609" s="50">
        <f>E610*E613*E614*E615*E616*E617</f>
        <v>23.850484285904635</v>
      </c>
      <c r="H609" s="43"/>
      <c r="I609" s="43"/>
      <c r="J609" s="43"/>
      <c r="K609" s="43"/>
      <c r="L609" s="43"/>
      <c r="M609" s="43"/>
      <c r="N609" s="43"/>
      <c r="O609" s="43"/>
      <c r="P609" s="43"/>
      <c r="Q609" s="43"/>
      <c r="R609" s="9"/>
      <c r="S609" s="9"/>
    </row>
    <row r="610" spans="1:133" ht="46.8" x14ac:dyDescent="0.4">
      <c r="A610" s="51" t="s">
        <v>173</v>
      </c>
      <c r="B610" s="17" t="s">
        <v>76</v>
      </c>
      <c r="C610" s="35" t="s">
        <v>174</v>
      </c>
      <c r="D610" s="35" t="s">
        <v>392</v>
      </c>
      <c r="E610" s="69">
        <f>ROUNDUP(E611/E612,0)</f>
        <v>240</v>
      </c>
      <c r="H610" s="43"/>
      <c r="I610" s="43"/>
      <c r="J610" s="43"/>
      <c r="K610" s="43"/>
      <c r="L610" s="43"/>
      <c r="M610" s="43"/>
      <c r="N610" s="43"/>
      <c r="O610" s="43"/>
      <c r="P610" s="43"/>
      <c r="Q610" s="43"/>
      <c r="R610" s="9"/>
      <c r="S610" s="9"/>
    </row>
    <row r="611" spans="1:133" ht="62.4" x14ac:dyDescent="0.25">
      <c r="A611" s="17" t="s">
        <v>175</v>
      </c>
      <c r="B611" s="17" t="s">
        <v>78</v>
      </c>
      <c r="C611" s="35" t="s">
        <v>176</v>
      </c>
      <c r="D611" s="35" t="s">
        <v>346</v>
      </c>
      <c r="E611" s="52">
        <v>1198.1590000000001</v>
      </c>
      <c r="H611" s="43"/>
      <c r="I611" s="43"/>
      <c r="J611" s="43"/>
      <c r="K611" s="43"/>
      <c r="L611" s="43"/>
      <c r="M611" s="43"/>
      <c r="N611" s="43"/>
      <c r="O611" s="43"/>
      <c r="P611" s="43"/>
      <c r="Q611" s="43"/>
      <c r="R611" s="9"/>
      <c r="S611" s="9"/>
    </row>
    <row r="612" spans="1:133" ht="62.4" x14ac:dyDescent="0.25">
      <c r="A612" s="17" t="s">
        <v>177</v>
      </c>
      <c r="B612" s="17" t="s">
        <v>80</v>
      </c>
      <c r="C612" s="35" t="s">
        <v>81</v>
      </c>
      <c r="D612" s="35" t="s">
        <v>345</v>
      </c>
      <c r="E612" s="25">
        <f>5</f>
        <v>5</v>
      </c>
      <c r="H612" s="43"/>
      <c r="I612" s="43"/>
      <c r="J612" s="43"/>
      <c r="K612" s="43"/>
      <c r="L612" s="43"/>
      <c r="M612" s="43"/>
      <c r="N612" s="43"/>
      <c r="O612" s="43"/>
      <c r="P612" s="43"/>
      <c r="Q612" s="43"/>
      <c r="R612" s="9"/>
      <c r="S612" s="9"/>
    </row>
    <row r="613" spans="1:133" ht="202.8" x14ac:dyDescent="0.25">
      <c r="A613" s="17" t="s">
        <v>178</v>
      </c>
      <c r="B613" s="17" t="s">
        <v>82</v>
      </c>
      <c r="C613" s="35" t="s">
        <v>179</v>
      </c>
      <c r="D613" s="35" t="s">
        <v>367</v>
      </c>
      <c r="E613" s="25">
        <v>146.80000000000001</v>
      </c>
      <c r="H613" s="43"/>
      <c r="I613" s="43"/>
      <c r="J613" s="43"/>
      <c r="K613" s="43"/>
      <c r="L613" s="43"/>
      <c r="M613" s="43"/>
      <c r="N613" s="43"/>
      <c r="O613" s="43"/>
      <c r="P613" s="43"/>
      <c r="Q613" s="43"/>
      <c r="R613" s="9"/>
      <c r="S613" s="9"/>
    </row>
    <row r="614" spans="1:133" ht="156" x14ac:dyDescent="0.25">
      <c r="A614" s="17" t="s">
        <v>180</v>
      </c>
      <c r="B614" s="17" t="s">
        <v>84</v>
      </c>
      <c r="C614" s="35" t="s">
        <v>85</v>
      </c>
      <c r="D614" s="35" t="s">
        <v>365</v>
      </c>
      <c r="E614" s="25">
        <f>25.1/100</f>
        <v>0.251</v>
      </c>
      <c r="H614" s="43"/>
      <c r="I614" s="43"/>
      <c r="J614" s="43"/>
      <c r="K614" s="43"/>
      <c r="L614" s="43"/>
      <c r="M614" s="43"/>
      <c r="N614" s="43"/>
      <c r="O614" s="43"/>
      <c r="P614" s="43"/>
      <c r="Q614" s="43"/>
      <c r="R614" s="9"/>
      <c r="S614" s="9"/>
    </row>
    <row r="615" spans="1:133" ht="62.4" x14ac:dyDescent="0.25">
      <c r="A615" s="17" t="s">
        <v>86</v>
      </c>
      <c r="B615" s="17" t="s">
        <v>87</v>
      </c>
      <c r="C615" s="35" t="s">
        <v>86</v>
      </c>
      <c r="D615" s="35" t="s">
        <v>215</v>
      </c>
      <c r="E615" s="25">
        <f>0.84/1000</f>
        <v>8.3999999999999993E-4</v>
      </c>
      <c r="H615" s="43"/>
      <c r="I615" s="43"/>
      <c r="J615" s="43"/>
      <c r="K615" s="43"/>
      <c r="L615" s="43"/>
      <c r="M615" s="43"/>
      <c r="N615" s="43"/>
      <c r="O615" s="43"/>
      <c r="P615" s="43"/>
      <c r="Q615" s="43"/>
      <c r="R615" s="9"/>
      <c r="S615" s="9"/>
    </row>
    <row r="616" spans="1:133" ht="124.8" x14ac:dyDescent="0.25">
      <c r="A616" s="17" t="s">
        <v>181</v>
      </c>
      <c r="B616" s="17" t="s">
        <v>88</v>
      </c>
      <c r="C616" s="35" t="s">
        <v>89</v>
      </c>
      <c r="D616" s="35" t="s">
        <v>360</v>
      </c>
      <c r="E616" s="25">
        <f>43.33/1000</f>
        <v>4.333E-2</v>
      </c>
      <c r="H616" s="43"/>
      <c r="I616" s="43"/>
      <c r="J616" s="43"/>
      <c r="K616" s="43"/>
      <c r="L616" s="43"/>
      <c r="M616" s="43"/>
      <c r="N616" s="43"/>
      <c r="O616" s="43"/>
      <c r="P616" s="43"/>
      <c r="Q616" s="43"/>
      <c r="R616" s="9"/>
      <c r="S616" s="9"/>
    </row>
    <row r="617" spans="1:133" ht="33.6" x14ac:dyDescent="0.25">
      <c r="A617" s="17" t="s">
        <v>182</v>
      </c>
      <c r="B617" s="17" t="s">
        <v>90</v>
      </c>
      <c r="C617" s="35" t="s">
        <v>91</v>
      </c>
      <c r="D617" s="35" t="s">
        <v>92</v>
      </c>
      <c r="E617" s="25">
        <v>74.099999999999994</v>
      </c>
      <c r="H617" s="43"/>
      <c r="I617" s="43"/>
      <c r="J617" s="43"/>
      <c r="K617" s="43"/>
      <c r="L617" s="43"/>
      <c r="M617" s="43"/>
      <c r="N617" s="43"/>
      <c r="O617" s="43"/>
      <c r="P617" s="43"/>
      <c r="Q617" s="43"/>
      <c r="R617" s="9"/>
      <c r="S617" s="9"/>
    </row>
    <row r="619" spans="1:133" x14ac:dyDescent="0.25">
      <c r="A619" s="33" t="s">
        <v>8</v>
      </c>
      <c r="B619" s="33" t="s">
        <v>9</v>
      </c>
      <c r="C619" s="34" t="s">
        <v>10</v>
      </c>
      <c r="D619" s="34" t="s">
        <v>340</v>
      </c>
      <c r="E619" s="16" t="s">
        <v>65</v>
      </c>
    </row>
    <row r="620" spans="1:133" ht="18" x14ac:dyDescent="0.25">
      <c r="A620" s="15" t="s">
        <v>183</v>
      </c>
      <c r="B620" s="17" t="s">
        <v>103</v>
      </c>
      <c r="C620" s="35" t="s">
        <v>184</v>
      </c>
      <c r="D620" s="53" t="s">
        <v>393</v>
      </c>
      <c r="E620" s="18">
        <f>ROUNDUP(E569+E593+E597+E601+E609,0)</f>
        <v>479</v>
      </c>
    </row>
    <row r="621" spans="1:133" s="208" customFormat="1" ht="38.4" customHeight="1" x14ac:dyDescent="0.25">
      <c r="A621" s="205" t="s">
        <v>230</v>
      </c>
      <c r="B621" s="206"/>
      <c r="C621" s="206"/>
      <c r="D621" s="206"/>
      <c r="E621" s="206"/>
      <c r="F621" s="206"/>
      <c r="G621" s="206"/>
      <c r="H621" s="206"/>
      <c r="I621" s="206"/>
      <c r="J621" s="206"/>
      <c r="K621" s="206"/>
      <c r="L621" s="206"/>
      <c r="M621" s="206"/>
      <c r="N621" s="206"/>
      <c r="O621" s="206"/>
      <c r="P621" s="206"/>
      <c r="Q621" s="206"/>
      <c r="R621" s="206"/>
      <c r="S621" s="206"/>
      <c r="T621" s="206"/>
      <c r="U621" s="206"/>
      <c r="V621" s="206"/>
      <c r="W621" s="206"/>
      <c r="X621" s="206"/>
      <c r="Y621" s="206"/>
      <c r="Z621" s="206"/>
      <c r="AA621" s="206"/>
      <c r="AB621" s="206"/>
      <c r="AC621" s="206"/>
      <c r="AD621" s="206"/>
      <c r="AE621" s="206"/>
      <c r="AF621" s="206"/>
      <c r="AG621" s="206"/>
      <c r="AH621" s="206"/>
      <c r="AI621" s="206"/>
      <c r="AJ621" s="206"/>
      <c r="AK621" s="206"/>
      <c r="AL621" s="206"/>
      <c r="AM621" s="206"/>
      <c r="AN621" s="206"/>
      <c r="AO621" s="206"/>
      <c r="AP621" s="206"/>
      <c r="AQ621" s="206"/>
      <c r="AR621" s="206"/>
      <c r="AS621" s="206"/>
      <c r="AT621" s="206"/>
      <c r="AU621" s="206"/>
      <c r="AV621" s="206"/>
      <c r="AW621" s="206"/>
      <c r="AX621" s="206"/>
      <c r="AY621" s="206"/>
      <c r="AZ621" s="206"/>
      <c r="BA621" s="206"/>
      <c r="BB621" s="206"/>
      <c r="BC621" s="206"/>
      <c r="BD621" s="206"/>
      <c r="BE621" s="206"/>
      <c r="BF621" s="206"/>
      <c r="BG621" s="206"/>
      <c r="BH621" s="206"/>
      <c r="BI621" s="206"/>
      <c r="BJ621" s="206"/>
      <c r="BK621" s="206"/>
      <c r="BL621" s="206"/>
      <c r="BM621" s="206"/>
      <c r="BN621" s="206"/>
      <c r="BO621" s="206"/>
      <c r="BP621" s="206"/>
      <c r="BQ621" s="206"/>
      <c r="BR621" s="206"/>
      <c r="BS621" s="206"/>
      <c r="BT621" s="206"/>
      <c r="BU621" s="206"/>
      <c r="BV621" s="206"/>
      <c r="BW621" s="206"/>
      <c r="BX621" s="206"/>
      <c r="BY621" s="206"/>
      <c r="BZ621" s="206"/>
      <c r="CA621" s="206"/>
      <c r="CB621" s="206"/>
      <c r="CC621" s="206"/>
      <c r="CD621" s="206"/>
      <c r="CE621" s="206"/>
      <c r="CF621" s="206"/>
      <c r="CG621" s="206"/>
      <c r="CH621" s="206"/>
      <c r="CI621" s="206"/>
      <c r="CJ621" s="206"/>
      <c r="CK621" s="206"/>
      <c r="CL621" s="206"/>
      <c r="CM621" s="206"/>
      <c r="CN621" s="206"/>
      <c r="CO621" s="206"/>
      <c r="CP621" s="206"/>
      <c r="CQ621" s="206"/>
      <c r="CR621" s="206"/>
      <c r="CS621" s="206"/>
      <c r="CT621" s="206"/>
      <c r="CU621" s="206"/>
      <c r="CV621" s="206"/>
      <c r="CW621" s="206"/>
      <c r="CX621" s="206"/>
      <c r="CY621" s="206"/>
      <c r="CZ621" s="206"/>
      <c r="DA621" s="206"/>
      <c r="DB621" s="206"/>
      <c r="DC621" s="206"/>
      <c r="DD621" s="206"/>
      <c r="DE621" s="206"/>
      <c r="DF621" s="206"/>
      <c r="DG621" s="206"/>
      <c r="DH621" s="206"/>
      <c r="DI621" s="206"/>
      <c r="DJ621" s="206"/>
      <c r="DK621" s="206"/>
      <c r="DL621" s="206"/>
      <c r="DM621" s="206"/>
      <c r="DN621" s="206"/>
      <c r="DO621" s="206"/>
      <c r="DP621" s="206"/>
      <c r="DQ621" s="206"/>
      <c r="DR621" s="206"/>
      <c r="DS621" s="206"/>
      <c r="DT621" s="206"/>
      <c r="DU621" s="206"/>
      <c r="DV621" s="206"/>
      <c r="DW621" s="206"/>
      <c r="DX621" s="206"/>
      <c r="DY621" s="206"/>
      <c r="DZ621" s="206"/>
      <c r="EA621" s="206"/>
      <c r="EB621" s="206"/>
      <c r="EC621" s="207"/>
    </row>
    <row r="622" spans="1:133" s="200" customFormat="1" ht="43.2" customHeight="1" x14ac:dyDescent="0.25">
      <c r="A622" s="197" t="s">
        <v>231</v>
      </c>
      <c r="B622" s="198"/>
      <c r="C622" s="198"/>
      <c r="D622" s="198"/>
      <c r="E622" s="198"/>
      <c r="F622" s="198"/>
      <c r="G622" s="198"/>
      <c r="H622" s="198"/>
      <c r="I622" s="198"/>
      <c r="J622" s="198"/>
      <c r="K622" s="198"/>
      <c r="L622" s="198"/>
      <c r="M622" s="198"/>
      <c r="N622" s="198"/>
      <c r="O622" s="198"/>
      <c r="P622" s="198"/>
      <c r="Q622" s="198"/>
      <c r="R622" s="198"/>
      <c r="S622" s="198"/>
      <c r="T622" s="198"/>
      <c r="U622" s="198"/>
      <c r="V622" s="198"/>
      <c r="W622" s="198"/>
      <c r="X622" s="198"/>
      <c r="Y622" s="198"/>
      <c r="Z622" s="198"/>
      <c r="AA622" s="198"/>
      <c r="AB622" s="198"/>
      <c r="AC622" s="198"/>
      <c r="AD622" s="198"/>
      <c r="AE622" s="198"/>
      <c r="AF622" s="198"/>
      <c r="AG622" s="198"/>
      <c r="AH622" s="198"/>
      <c r="AI622" s="198"/>
      <c r="AJ622" s="198"/>
      <c r="AK622" s="198"/>
      <c r="AL622" s="198"/>
      <c r="AM622" s="198"/>
      <c r="AN622" s="198"/>
      <c r="AO622" s="198"/>
      <c r="AP622" s="198"/>
      <c r="AQ622" s="198"/>
      <c r="AR622" s="198"/>
      <c r="AS622" s="198"/>
      <c r="AT622" s="198"/>
      <c r="AU622" s="198"/>
      <c r="AV622" s="198"/>
      <c r="AW622" s="198"/>
      <c r="AX622" s="198"/>
      <c r="AY622" s="198"/>
      <c r="AZ622" s="198"/>
      <c r="BA622" s="198"/>
      <c r="BB622" s="198"/>
      <c r="BC622" s="198"/>
      <c r="BD622" s="198"/>
      <c r="BE622" s="198"/>
      <c r="BF622" s="198"/>
      <c r="BG622" s="198"/>
      <c r="BH622" s="198"/>
      <c r="BI622" s="198"/>
      <c r="BJ622" s="198"/>
      <c r="BK622" s="198"/>
      <c r="BL622" s="198"/>
      <c r="BM622" s="198"/>
      <c r="BN622" s="198"/>
      <c r="BO622" s="198"/>
      <c r="BP622" s="198"/>
      <c r="BQ622" s="198"/>
      <c r="BR622" s="198"/>
      <c r="BS622" s="198"/>
      <c r="BT622" s="198"/>
      <c r="BU622" s="198"/>
      <c r="BV622" s="198"/>
      <c r="BW622" s="198"/>
      <c r="BX622" s="198"/>
      <c r="BY622" s="198"/>
      <c r="BZ622" s="198"/>
      <c r="CA622" s="198"/>
      <c r="CB622" s="198"/>
      <c r="CC622" s="198"/>
      <c r="CD622" s="198"/>
      <c r="CE622" s="198"/>
      <c r="CF622" s="198"/>
      <c r="CG622" s="198"/>
      <c r="CH622" s="198"/>
      <c r="CI622" s="198"/>
      <c r="CJ622" s="198"/>
      <c r="CK622" s="198"/>
      <c r="CL622" s="198"/>
      <c r="CM622" s="198"/>
      <c r="CN622" s="198"/>
      <c r="CO622" s="198"/>
      <c r="CP622" s="198"/>
      <c r="CQ622" s="198"/>
      <c r="CR622" s="198"/>
      <c r="CS622" s="198"/>
      <c r="CT622" s="198"/>
      <c r="CU622" s="198"/>
      <c r="CV622" s="198"/>
      <c r="CW622" s="198"/>
      <c r="CX622" s="198"/>
      <c r="CY622" s="198"/>
      <c r="CZ622" s="198"/>
      <c r="DA622" s="198"/>
      <c r="DB622" s="198"/>
      <c r="DC622" s="198"/>
      <c r="DD622" s="198"/>
      <c r="DE622" s="198"/>
      <c r="DF622" s="198"/>
      <c r="DG622" s="198"/>
      <c r="DH622" s="198"/>
      <c r="DI622" s="198"/>
      <c r="DJ622" s="198"/>
      <c r="DK622" s="198"/>
      <c r="DL622" s="198"/>
      <c r="DM622" s="198"/>
      <c r="DN622" s="198"/>
      <c r="DO622" s="198"/>
      <c r="DP622" s="198"/>
      <c r="DQ622" s="198"/>
      <c r="DR622" s="198"/>
      <c r="DS622" s="198"/>
      <c r="DT622" s="198"/>
      <c r="DU622" s="198"/>
      <c r="DV622" s="198"/>
      <c r="DW622" s="198"/>
      <c r="DX622" s="198"/>
      <c r="DY622" s="198"/>
      <c r="DZ622" s="198"/>
      <c r="EA622" s="198"/>
      <c r="EB622" s="198"/>
      <c r="EC622" s="199"/>
    </row>
    <row r="623" spans="1:133" ht="23.4" customHeight="1" x14ac:dyDescent="0.25">
      <c r="A623" s="201" t="s">
        <v>105</v>
      </c>
      <c r="B623" s="201"/>
      <c r="C623" s="201"/>
      <c r="D623" s="201"/>
      <c r="E623" s="201"/>
      <c r="F623" s="201"/>
      <c r="G623" s="201"/>
      <c r="H623" s="201"/>
      <c r="I623" s="201"/>
      <c r="J623" s="201"/>
      <c r="K623" s="201"/>
      <c r="L623" s="201"/>
      <c r="M623" s="201"/>
      <c r="N623" s="201"/>
      <c r="O623" s="201"/>
      <c r="P623" s="201"/>
      <c r="Q623" s="202"/>
    </row>
    <row r="624" spans="1:133" s="10" customFormat="1" ht="31.2" x14ac:dyDescent="0.25">
      <c r="A624" s="15" t="s">
        <v>8</v>
      </c>
      <c r="B624" s="15" t="s">
        <v>9</v>
      </c>
      <c r="C624" s="15" t="s">
        <v>10</v>
      </c>
      <c r="D624" s="15" t="s">
        <v>340</v>
      </c>
      <c r="E624" s="16" t="s">
        <v>11</v>
      </c>
      <c r="F624" s="16" t="s">
        <v>312</v>
      </c>
      <c r="G624" s="16" t="s">
        <v>313</v>
      </c>
      <c r="H624" s="16" t="s">
        <v>314</v>
      </c>
      <c r="I624" s="16" t="s">
        <v>315</v>
      </c>
      <c r="J624" s="16" t="s">
        <v>316</v>
      </c>
      <c r="K624" s="16" t="s">
        <v>317</v>
      </c>
      <c r="L624" s="16" t="s">
        <v>318</v>
      </c>
      <c r="M624" s="16" t="s">
        <v>319</v>
      </c>
      <c r="N624" s="16" t="s">
        <v>320</v>
      </c>
      <c r="O624" s="16" t="s">
        <v>293</v>
      </c>
      <c r="P624" s="16" t="s">
        <v>294</v>
      </c>
      <c r="Q624" s="16" t="s">
        <v>295</v>
      </c>
      <c r="R624" s="54"/>
      <c r="S624" s="54"/>
    </row>
    <row r="625" spans="1:19" s="10" customFormat="1" x14ac:dyDescent="0.25">
      <c r="A625" s="203" t="s">
        <v>106</v>
      </c>
      <c r="B625" s="203"/>
      <c r="C625" s="203"/>
      <c r="D625" s="203"/>
      <c r="E625" s="204"/>
      <c r="F625" s="16">
        <v>31</v>
      </c>
      <c r="G625" s="16">
        <v>28</v>
      </c>
      <c r="H625" s="16">
        <v>31</v>
      </c>
      <c r="I625" s="16">
        <v>30</v>
      </c>
      <c r="J625" s="16">
        <v>31</v>
      </c>
      <c r="K625" s="16">
        <v>30</v>
      </c>
      <c r="L625" s="16">
        <v>31</v>
      </c>
      <c r="M625" s="16">
        <v>31</v>
      </c>
      <c r="N625" s="16">
        <v>30</v>
      </c>
      <c r="O625" s="16">
        <v>31</v>
      </c>
      <c r="P625" s="16">
        <v>30</v>
      </c>
      <c r="Q625" s="16">
        <v>31</v>
      </c>
      <c r="R625" s="54"/>
      <c r="S625" s="54"/>
    </row>
    <row r="626" spans="1:19" s="10" customFormat="1" ht="31.2" x14ac:dyDescent="0.25">
      <c r="A626" s="15" t="s">
        <v>107</v>
      </c>
      <c r="B626" s="17" t="s">
        <v>103</v>
      </c>
      <c r="C626" s="17" t="s">
        <v>108</v>
      </c>
      <c r="D626" s="17" t="s">
        <v>381</v>
      </c>
      <c r="E626" s="18">
        <f>E627+E637</f>
        <v>0</v>
      </c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54"/>
      <c r="S626" s="54"/>
    </row>
    <row r="627" spans="1:19" ht="46.8" x14ac:dyDescent="0.25">
      <c r="A627" s="17" t="s">
        <v>109</v>
      </c>
      <c r="B627" s="17" t="s">
        <v>103</v>
      </c>
      <c r="C627" s="17" t="s">
        <v>110</v>
      </c>
      <c r="D627" s="17" t="s">
        <v>382</v>
      </c>
      <c r="E627" s="19">
        <f>SUM(F627:Q627)</f>
        <v>0</v>
      </c>
      <c r="F627" s="19">
        <f>IF(F628&gt;=0.8,0,$E$635*$E$636*0.4*(F629-F632)*F625)</f>
        <v>0</v>
      </c>
      <c r="G627" s="19">
        <f t="shared" ref="G627:Q627" si="77">IF(G628&gt;=0.8,0,$E$635*$E$636*0.4*(G629-G632)*G625)</f>
        <v>0</v>
      </c>
      <c r="H627" s="19">
        <f t="shared" si="77"/>
        <v>0</v>
      </c>
      <c r="I627" s="19">
        <f t="shared" si="77"/>
        <v>0</v>
      </c>
      <c r="J627" s="19">
        <f t="shared" si="77"/>
        <v>0</v>
      </c>
      <c r="K627" s="19">
        <f t="shared" si="77"/>
        <v>0</v>
      </c>
      <c r="L627" s="19">
        <f t="shared" si="77"/>
        <v>0</v>
      </c>
      <c r="M627" s="19">
        <f t="shared" si="77"/>
        <v>0</v>
      </c>
      <c r="N627" s="19">
        <f t="shared" si="77"/>
        <v>0</v>
      </c>
      <c r="O627" s="19">
        <f t="shared" si="77"/>
        <v>0</v>
      </c>
      <c r="P627" s="19">
        <f t="shared" si="77"/>
        <v>0</v>
      </c>
      <c r="Q627" s="19">
        <f t="shared" si="77"/>
        <v>0</v>
      </c>
    </row>
    <row r="628" spans="1:19" ht="62.4" x14ac:dyDescent="0.25">
      <c r="A628" s="17" t="s">
        <v>111</v>
      </c>
      <c r="B628" s="17" t="s">
        <v>37</v>
      </c>
      <c r="C628" s="17" t="s">
        <v>112</v>
      </c>
      <c r="D628" s="17" t="s">
        <v>383</v>
      </c>
      <c r="E628" s="20">
        <f>AVERAGE(F628:Q628)</f>
        <v>0.95280543531923678</v>
      </c>
      <c r="F628" s="20">
        <f>(F629-F632)/F629</f>
        <v>0.95363354594871785</v>
      </c>
      <c r="G628" s="20">
        <f t="shared" ref="G628:Q628" si="78">(G629-G632)/G629</f>
        <v>0.95279432006909559</v>
      </c>
      <c r="H628" s="20">
        <f t="shared" si="78"/>
        <v>0.95365830535034246</v>
      </c>
      <c r="I628" s="20">
        <f t="shared" si="78"/>
        <v>0.95321021259310756</v>
      </c>
      <c r="J628" s="20">
        <f t="shared" si="78"/>
        <v>0.95355630822685511</v>
      </c>
      <c r="K628" s="20">
        <f t="shared" si="78"/>
        <v>0.94913842059930298</v>
      </c>
      <c r="L628" s="20">
        <f t="shared" si="78"/>
        <v>0.95106027469451804</v>
      </c>
      <c r="M628" s="20">
        <f t="shared" si="78"/>
        <v>0.94998137235825331</v>
      </c>
      <c r="N628" s="20">
        <f t="shared" si="78"/>
        <v>0.95504752845731955</v>
      </c>
      <c r="O628" s="20">
        <f t="shared" si="78"/>
        <v>0.9543096009465436</v>
      </c>
      <c r="P628" s="20">
        <f t="shared" si="78"/>
        <v>0.95325385983796496</v>
      </c>
      <c r="Q628" s="20">
        <f t="shared" si="78"/>
        <v>0.95402147474882082</v>
      </c>
    </row>
    <row r="629" spans="1:19" ht="46.8" x14ac:dyDescent="0.25">
      <c r="A629" s="17" t="s">
        <v>113</v>
      </c>
      <c r="B629" s="17" t="s">
        <v>24</v>
      </c>
      <c r="C629" s="17" t="s">
        <v>114</v>
      </c>
      <c r="D629" s="17" t="s">
        <v>384</v>
      </c>
      <c r="E629" s="20">
        <f>SUM(F629:Q629)</f>
        <v>20.89629009421099</v>
      </c>
      <c r="F629" s="20">
        <f>F630*F631</f>
        <v>1.6684199235408603</v>
      </c>
      <c r="G629" s="20">
        <f t="shared" ref="G629:Q629" si="79">G630*G631</f>
        <v>1.6667778460396787</v>
      </c>
      <c r="H629" s="20">
        <f t="shared" si="79"/>
        <v>1.6680090007233095</v>
      </c>
      <c r="I629" s="20">
        <f t="shared" si="79"/>
        <v>1.6676015290524713</v>
      </c>
      <c r="J629" s="20">
        <f t="shared" si="79"/>
        <v>1.9015695197936695</v>
      </c>
      <c r="K629" s="20">
        <f t="shared" si="79"/>
        <v>1.7281676783994073</v>
      </c>
      <c r="L629" s="20">
        <f t="shared" si="79"/>
        <v>1.728361509575234</v>
      </c>
      <c r="M629" s="20">
        <f t="shared" si="79"/>
        <v>1.7279755459625383</v>
      </c>
      <c r="N629" s="20">
        <f t="shared" si="79"/>
        <v>1.9017014117667594</v>
      </c>
      <c r="O629" s="20">
        <f t="shared" si="79"/>
        <v>1.9027963516332989</v>
      </c>
      <c r="P629" s="20">
        <f t="shared" si="79"/>
        <v>1.6674826037388149</v>
      </c>
      <c r="Q629" s="20">
        <f t="shared" si="79"/>
        <v>1.6674271739849462</v>
      </c>
    </row>
    <row r="630" spans="1:19" ht="76.8" customHeight="1" x14ac:dyDescent="0.25">
      <c r="A630" s="17" t="s">
        <v>115</v>
      </c>
      <c r="B630" s="17" t="s">
        <v>116</v>
      </c>
      <c r="C630" s="17" t="s">
        <v>117</v>
      </c>
      <c r="D630" s="17" t="s">
        <v>337</v>
      </c>
      <c r="E630" s="129">
        <f>SUM(F630:Q630)</f>
        <v>65775.100366897081</v>
      </c>
      <c r="F630" s="129">
        <f>'Baseline Emissions 2021'!F610</f>
        <v>5121.3829999999998</v>
      </c>
      <c r="G630" s="129">
        <f>'Baseline Emissions 2021'!G610</f>
        <v>5120.4960357142854</v>
      </c>
      <c r="H630" s="129">
        <f>'Baseline Emissions 2021'!H610</f>
        <v>5120.4934516129033</v>
      </c>
      <c r="I630" s="129">
        <f>'Baseline Emissions 2021'!I610</f>
        <v>5122.6435333333329</v>
      </c>
      <c r="J630" s="129">
        <f>'Baseline Emissions 2021'!J610</f>
        <v>5841.2525483870968</v>
      </c>
      <c r="K630" s="129">
        <f>'Baseline Emissions 2021'!K610</f>
        <v>5840.7941333333329</v>
      </c>
      <c r="L630" s="129">
        <f>'Baseline Emissions 2021'!L610</f>
        <v>5840.8308387096777</v>
      </c>
      <c r="M630" s="129">
        <f>'Baseline Emissions 2021'!M610</f>
        <v>5840.5664516129018</v>
      </c>
      <c r="N630" s="129">
        <f>'Baseline Emissions 2021'!N610</f>
        <v>5841.378733333333</v>
      </c>
      <c r="O630" s="129">
        <f>'Baseline Emissions 2021'!O610</f>
        <v>5840.8057741935472</v>
      </c>
      <c r="P630" s="129">
        <f>'Baseline Emissions 2021'!P610</f>
        <v>5121.3178666666672</v>
      </c>
      <c r="Q630" s="129">
        <f>'Baseline Emissions 2021'!Q610</f>
        <v>5123.1379999999999</v>
      </c>
    </row>
    <row r="631" spans="1:19" ht="46.8" x14ac:dyDescent="0.25">
      <c r="A631" s="17" t="s">
        <v>118</v>
      </c>
      <c r="B631" s="17" t="s">
        <v>119</v>
      </c>
      <c r="C631" s="17" t="s">
        <v>120</v>
      </c>
      <c r="D631" s="35" t="s">
        <v>338</v>
      </c>
      <c r="E631" s="120">
        <f>AVERAGE(F631:Q631)</f>
        <v>3.1818006975159056E-4</v>
      </c>
      <c r="F631" s="130">
        <f>'Baseline Emissions 2021'!F614</f>
        <v>3.2577526881720433E-4</v>
      </c>
      <c r="G631" s="130">
        <f>'Baseline Emissions 2021'!G614</f>
        <v>3.2551101190476185E-4</v>
      </c>
      <c r="H631" s="130">
        <f>'Baseline Emissions 2021'!H614</f>
        <v>3.2575161290322588E-4</v>
      </c>
      <c r="I631" s="130">
        <f>'Baseline Emissions 2021'!I614</f>
        <v>3.2553534482758625E-4</v>
      </c>
      <c r="J631" s="130">
        <f>'Baseline Emissions 2021'!J614</f>
        <v>3.255413978494623E-4</v>
      </c>
      <c r="K631" s="130">
        <f>'Baseline Emissions 2021'!K614</f>
        <v>2.9587888888888889E-4</v>
      </c>
      <c r="L631" s="130">
        <f>'Baseline Emissions 2021'!L614</f>
        <v>2.959102150537634E-4</v>
      </c>
      <c r="M631" s="130">
        <f>'Baseline Emissions 2021'!M614</f>
        <v>2.9585752688172039E-4</v>
      </c>
      <c r="N631" s="130">
        <f>'Baseline Emissions 2021'!N614</f>
        <v>3.2555694444444448E-4</v>
      </c>
      <c r="O631" s="130">
        <f>'Baseline Emissions 2021'!O614</f>
        <v>3.2577634408602162E-4</v>
      </c>
      <c r="P631" s="130">
        <f>'Baseline Emissions 2021'!P614</f>
        <v>3.2559638888888886E-4</v>
      </c>
      <c r="Q631" s="130">
        <f>'Baseline Emissions 2021'!Q614</f>
        <v>3.254698924731183E-4</v>
      </c>
    </row>
    <row r="632" spans="1:19" ht="46.8" x14ac:dyDescent="0.25">
      <c r="A632" s="17" t="s">
        <v>121</v>
      </c>
      <c r="B632" s="17" t="s">
        <v>24</v>
      </c>
      <c r="C632" s="17" t="s">
        <v>122</v>
      </c>
      <c r="D632" s="17" t="s">
        <v>384</v>
      </c>
      <c r="E632" s="20">
        <f>SUM(F632:Q632)</f>
        <v>0.9856348523716103</v>
      </c>
      <c r="F632" s="20">
        <f>SUM(F633*F634)</f>
        <v>7.7358715723100963E-2</v>
      </c>
      <c r="G632" s="20">
        <f t="shared" ref="G632:Q632" si="80">SUM(G633*G634)</f>
        <v>7.8681381516071403E-2</v>
      </c>
      <c r="H632" s="20">
        <f t="shared" si="80"/>
        <v>7.729836378439997E-2</v>
      </c>
      <c r="I632" s="20">
        <f t="shared" si="80"/>
        <v>7.8026721023773948E-2</v>
      </c>
      <c r="J632" s="20">
        <f t="shared" si="80"/>
        <v>8.8315908662504342E-2</v>
      </c>
      <c r="K632" s="20">
        <f t="shared" si="80"/>
        <v>8.7897337592629673E-2</v>
      </c>
      <c r="L632" s="20">
        <f t="shared" si="80"/>
        <v>8.4585537507180023E-2</v>
      </c>
      <c r="M632" s="20">
        <f t="shared" si="80"/>
        <v>8.6430965407544233E-2</v>
      </c>
      <c r="N632" s="20">
        <f t="shared" si="80"/>
        <v>8.5486178595120352E-2</v>
      </c>
      <c r="O632" s="20">
        <f t="shared" si="80"/>
        <v>8.6939524623586562E-2</v>
      </c>
      <c r="P632" s="20">
        <f t="shared" si="80"/>
        <v>7.7948375512129645E-2</v>
      </c>
      <c r="Q632" s="20">
        <f t="shared" si="80"/>
        <v>7.6665842423569205E-2</v>
      </c>
    </row>
    <row r="633" spans="1:19" ht="62.4" x14ac:dyDescent="0.25">
      <c r="A633" s="17" t="s">
        <v>123</v>
      </c>
      <c r="B633" s="17" t="s">
        <v>116</v>
      </c>
      <c r="C633" s="17" t="s">
        <v>124</v>
      </c>
      <c r="D633" s="17" t="s">
        <v>337</v>
      </c>
      <c r="E633" s="129">
        <f>SUM(F633:Q633)</f>
        <v>64187.703284639021</v>
      </c>
      <c r="F633" s="129">
        <v>5012.9676774193558</v>
      </c>
      <c r="G633" s="129">
        <v>5010.2232857142862</v>
      </c>
      <c r="H633" s="129">
        <v>5011.0644838709695</v>
      </c>
      <c r="I633" s="129">
        <v>5009.5564666666669</v>
      </c>
      <c r="J633" s="129">
        <v>5688.1329032258063</v>
      </c>
      <c r="K633" s="129">
        <v>5687.4097333333339</v>
      </c>
      <c r="L633" s="129">
        <v>5685.4979677419351</v>
      </c>
      <c r="M633" s="129">
        <v>5691.985612903226</v>
      </c>
      <c r="N633" s="129">
        <v>5685.7066333333332</v>
      </c>
      <c r="O633" s="129">
        <v>5686.7180967741942</v>
      </c>
      <c r="P633" s="129">
        <v>5009.6251333333339</v>
      </c>
      <c r="Q633" s="129">
        <v>5008.81529032258</v>
      </c>
    </row>
    <row r="634" spans="1:19" ht="46.8" x14ac:dyDescent="0.25">
      <c r="A634" s="17" t="s">
        <v>125</v>
      </c>
      <c r="B634" s="17" t="s">
        <v>119</v>
      </c>
      <c r="C634" s="17" t="s">
        <v>126</v>
      </c>
      <c r="D634" s="35" t="s">
        <v>339</v>
      </c>
      <c r="E634" s="131">
        <f>AVERAGE(F634:Q634)</f>
        <v>1.5364126447081119E-5</v>
      </c>
      <c r="F634" s="131">
        <f>'Baseline Emissions 2021'!F615</f>
        <v>1.543172043010753E-5</v>
      </c>
      <c r="G634" s="131">
        <f>'Baseline Emissions 2021'!G615</f>
        <v>1.5704166666666661E-5</v>
      </c>
      <c r="H634" s="131">
        <f>'Baseline Emissions 2021'!H615</f>
        <v>1.5425537634408603E-5</v>
      </c>
      <c r="I634" s="131">
        <f>'Baseline Emissions 2021'!I615</f>
        <v>1.5575574712643678E-5</v>
      </c>
      <c r="J634" s="131">
        <f>'Baseline Emissions 2021'!J615</f>
        <v>1.5526344086021506E-5</v>
      </c>
      <c r="K634" s="131">
        <f>'Baseline Emissions 2021'!K615</f>
        <v>1.5454722222222228E-5</v>
      </c>
      <c r="L634" s="131">
        <f>'Baseline Emissions 2021'!L615</f>
        <v>1.4877419354838711E-5</v>
      </c>
      <c r="M634" s="131">
        <f>'Baseline Emissions 2021'!M615</f>
        <v>1.5184677419354839E-5</v>
      </c>
      <c r="N634" s="131">
        <f>'Baseline Emissions 2021'!N615</f>
        <v>1.5035277777777775E-5</v>
      </c>
      <c r="O634" s="131">
        <f>'Baseline Emissions 2021'!O615</f>
        <v>1.5288172043010755E-5</v>
      </c>
      <c r="P634" s="131">
        <f>'Baseline Emissions 2021'!P615</f>
        <v>1.5559722222222224E-5</v>
      </c>
      <c r="Q634" s="131">
        <f>'Baseline Emissions 2021'!Q615</f>
        <v>1.5306182795698929E-5</v>
      </c>
    </row>
    <row r="635" spans="1:19" ht="31.2" x14ac:dyDescent="0.25">
      <c r="A635" s="17" t="s">
        <v>127</v>
      </c>
      <c r="B635" s="17" t="s">
        <v>128</v>
      </c>
      <c r="C635" s="17" t="s">
        <v>17</v>
      </c>
      <c r="D635" s="17" t="s">
        <v>129</v>
      </c>
      <c r="E635" s="176">
        <v>28</v>
      </c>
      <c r="F635" s="176"/>
      <c r="G635" s="176"/>
      <c r="H635" s="176"/>
      <c r="I635" s="176"/>
      <c r="J635" s="176"/>
      <c r="K635" s="176"/>
      <c r="L635" s="176"/>
      <c r="M635" s="176"/>
      <c r="N635" s="176"/>
      <c r="O635" s="176"/>
      <c r="P635" s="176"/>
      <c r="Q635" s="176"/>
    </row>
    <row r="636" spans="1:19" ht="64.8" x14ac:dyDescent="0.25">
      <c r="A636" s="17" t="s">
        <v>130</v>
      </c>
      <c r="B636" s="17" t="s">
        <v>19</v>
      </c>
      <c r="C636" s="17" t="s">
        <v>131</v>
      </c>
      <c r="D636" s="17" t="s">
        <v>394</v>
      </c>
      <c r="E636" s="176">
        <v>0.21</v>
      </c>
      <c r="F636" s="176"/>
      <c r="G636" s="176"/>
      <c r="H636" s="176"/>
      <c r="I636" s="176"/>
      <c r="J636" s="176"/>
      <c r="K636" s="176"/>
      <c r="L636" s="176"/>
      <c r="M636" s="176"/>
      <c r="N636" s="176"/>
      <c r="O636" s="176"/>
      <c r="P636" s="176"/>
      <c r="Q636" s="176"/>
    </row>
    <row r="637" spans="1:19" ht="46.8" x14ac:dyDescent="0.25">
      <c r="A637" s="17" t="s">
        <v>132</v>
      </c>
      <c r="B637" s="17" t="s">
        <v>103</v>
      </c>
      <c r="C637" s="17" t="s">
        <v>133</v>
      </c>
      <c r="D637" s="17" t="s">
        <v>385</v>
      </c>
      <c r="E637" s="19">
        <f>SUM(F637:Q637)</f>
        <v>0</v>
      </c>
      <c r="F637" s="19">
        <f>$E$635*$E$636*F638*F632*F625</f>
        <v>0</v>
      </c>
      <c r="G637" s="19">
        <f t="shared" ref="G637:Q637" si="81">$E$635*$E$636*G638*G632*G625</f>
        <v>0</v>
      </c>
      <c r="H637" s="19">
        <f t="shared" si="81"/>
        <v>0</v>
      </c>
      <c r="I637" s="19">
        <f t="shared" si="81"/>
        <v>0</v>
      </c>
      <c r="J637" s="19">
        <f t="shared" si="81"/>
        <v>0</v>
      </c>
      <c r="K637" s="19">
        <f t="shared" si="81"/>
        <v>0</v>
      </c>
      <c r="L637" s="19">
        <f t="shared" si="81"/>
        <v>0</v>
      </c>
      <c r="M637" s="19">
        <f t="shared" si="81"/>
        <v>0</v>
      </c>
      <c r="N637" s="19">
        <f t="shared" si="81"/>
        <v>0</v>
      </c>
      <c r="O637" s="19">
        <f t="shared" si="81"/>
        <v>0</v>
      </c>
      <c r="P637" s="19">
        <f t="shared" si="81"/>
        <v>0</v>
      </c>
      <c r="Q637" s="19">
        <f t="shared" si="81"/>
        <v>0</v>
      </c>
    </row>
    <row r="638" spans="1:19" ht="18" x14ac:dyDescent="0.25">
      <c r="A638" s="17" t="s">
        <v>134</v>
      </c>
      <c r="B638" s="17" t="s">
        <v>37</v>
      </c>
      <c r="C638" s="17" t="s">
        <v>135</v>
      </c>
      <c r="D638" s="17" t="s">
        <v>386</v>
      </c>
      <c r="E638" s="26">
        <f>AVERAGE(F638:Q638)</f>
        <v>0</v>
      </c>
      <c r="F638" s="26">
        <f>F639*$E$640*0.89</f>
        <v>0</v>
      </c>
      <c r="G638" s="26">
        <f t="shared" ref="G638:Q638" si="82">G639*$E$640*0.89</f>
        <v>0</v>
      </c>
      <c r="H638" s="26">
        <f t="shared" si="82"/>
        <v>0</v>
      </c>
      <c r="I638" s="26">
        <f t="shared" si="82"/>
        <v>0</v>
      </c>
      <c r="J638" s="26">
        <f t="shared" si="82"/>
        <v>0</v>
      </c>
      <c r="K638" s="26">
        <f t="shared" si="82"/>
        <v>0</v>
      </c>
      <c r="L638" s="26">
        <f t="shared" si="82"/>
        <v>0</v>
      </c>
      <c r="M638" s="26">
        <f t="shared" si="82"/>
        <v>0</v>
      </c>
      <c r="N638" s="26">
        <f t="shared" si="82"/>
        <v>0</v>
      </c>
      <c r="O638" s="26">
        <f t="shared" si="82"/>
        <v>0</v>
      </c>
      <c r="P638" s="26">
        <f t="shared" si="82"/>
        <v>0</v>
      </c>
      <c r="Q638" s="26">
        <f t="shared" si="82"/>
        <v>0</v>
      </c>
    </row>
    <row r="639" spans="1:19" ht="31.2" x14ac:dyDescent="0.25">
      <c r="A639" s="17" t="s">
        <v>136</v>
      </c>
      <c r="B639" s="17" t="s">
        <v>37</v>
      </c>
      <c r="C639" s="17" t="s">
        <v>46</v>
      </c>
      <c r="D639" s="17" t="s">
        <v>387</v>
      </c>
      <c r="E639" s="25">
        <v>0</v>
      </c>
      <c r="F639" s="25">
        <v>0</v>
      </c>
      <c r="G639" s="25">
        <v>0</v>
      </c>
      <c r="H639" s="25">
        <v>0</v>
      </c>
      <c r="I639" s="25">
        <v>0</v>
      </c>
      <c r="J639" s="25">
        <v>0</v>
      </c>
      <c r="K639" s="25">
        <v>0</v>
      </c>
      <c r="L639" s="25">
        <v>0</v>
      </c>
      <c r="M639" s="25">
        <v>0</v>
      </c>
      <c r="N639" s="25">
        <v>0</v>
      </c>
      <c r="O639" s="25">
        <v>0</v>
      </c>
      <c r="P639" s="25">
        <v>0</v>
      </c>
      <c r="Q639" s="25">
        <v>0</v>
      </c>
    </row>
    <row r="640" spans="1:19" ht="31.2" x14ac:dyDescent="0.25">
      <c r="A640" s="17" t="s">
        <v>137</v>
      </c>
      <c r="B640" s="17" t="s">
        <v>201</v>
      </c>
      <c r="C640" s="17" t="s">
        <v>138</v>
      </c>
      <c r="D640" s="17" t="s">
        <v>388</v>
      </c>
      <c r="E640" s="196">
        <f>(F641*F646+G641*G646+H641*H646+I641*I646+J641*J646+K641*K646+L641*L646+M641*M646+N641*N646+O641*O646+P641*P646+Q641*Q646)/(F633*F634*F625+G634*G633*G625+H633*H634*H625+I634*I633*I625+J634*J633*J625+K634*K633*K625+L634*L633*L625+M634*M633*M625+N634*N633*N625+O633*O634*O625+P634*P633*P625+Q634*Q633*Q625)</f>
        <v>0.62041480915651182</v>
      </c>
      <c r="F640" s="196"/>
      <c r="G640" s="196"/>
      <c r="H640" s="196"/>
      <c r="I640" s="196"/>
      <c r="J640" s="196"/>
      <c r="K640" s="196"/>
      <c r="L640" s="196"/>
      <c r="M640" s="196"/>
      <c r="N640" s="196"/>
      <c r="O640" s="196"/>
      <c r="P640" s="196"/>
      <c r="Q640" s="196"/>
    </row>
    <row r="641" spans="1:17" ht="31.2" x14ac:dyDescent="0.25">
      <c r="A641" s="17" t="s">
        <v>139</v>
      </c>
      <c r="B641" s="17" t="s">
        <v>37</v>
      </c>
      <c r="C641" s="17" t="s">
        <v>140</v>
      </c>
      <c r="D641" s="17" t="s">
        <v>375</v>
      </c>
      <c r="E641" s="27">
        <f>AVERAGE(F641:Q641)</f>
        <v>0.60592893399371917</v>
      </c>
      <c r="F641" s="27">
        <f>IF(F645&lt;283,0,IF(F645&gt;303,1,EXP(($E$642*(F645-$E$643))/($E$644*$E$643*F645))))</f>
        <v>0.21347704492026076</v>
      </c>
      <c r="G641" s="27">
        <f t="shared" ref="G641:Q641" si="83">IF(G645&lt;283,0,IF(G645&gt;303,1,EXP(($E$642*(G645-$E$643))/($E$644*$E$643*G645))))</f>
        <v>0.37002059672690846</v>
      </c>
      <c r="H641" s="27">
        <f t="shared" si="83"/>
        <v>0.40465607403307924</v>
      </c>
      <c r="I641" s="27">
        <f t="shared" si="83"/>
        <v>0.52733825786216582</v>
      </c>
      <c r="J641" s="27">
        <f t="shared" si="83"/>
        <v>0.77675425208684001</v>
      </c>
      <c r="K641" s="27">
        <f t="shared" si="83"/>
        <v>0.88152221926734242</v>
      </c>
      <c r="L641" s="27">
        <f t="shared" si="83"/>
        <v>1</v>
      </c>
      <c r="M641" s="27">
        <f t="shared" si="83"/>
        <v>0.95843738031531212</v>
      </c>
      <c r="N641" s="27">
        <f t="shared" si="83"/>
        <v>1</v>
      </c>
      <c r="O641" s="27">
        <f t="shared" si="83"/>
        <v>0.55084569341606926</v>
      </c>
      <c r="P641" s="27">
        <f t="shared" si="83"/>
        <v>0.35374940126825682</v>
      </c>
      <c r="Q641" s="27">
        <f t="shared" si="83"/>
        <v>0.23434628802839541</v>
      </c>
    </row>
    <row r="642" spans="1:17" x14ac:dyDescent="0.25">
      <c r="A642" s="17" t="s">
        <v>51</v>
      </c>
      <c r="B642" s="17" t="s">
        <v>52</v>
      </c>
      <c r="C642" s="17" t="s">
        <v>53</v>
      </c>
      <c r="D642" s="17" t="s">
        <v>389</v>
      </c>
      <c r="E642" s="176">
        <v>15175</v>
      </c>
      <c r="F642" s="176"/>
      <c r="G642" s="176"/>
      <c r="H642" s="176"/>
      <c r="I642" s="176"/>
      <c r="J642" s="176"/>
      <c r="K642" s="176"/>
      <c r="L642" s="176"/>
      <c r="M642" s="176"/>
      <c r="N642" s="176"/>
      <c r="O642" s="176"/>
      <c r="P642" s="176"/>
      <c r="Q642" s="176"/>
    </row>
    <row r="643" spans="1:17" ht="18" x14ac:dyDescent="0.25">
      <c r="A643" s="17" t="s">
        <v>141</v>
      </c>
      <c r="B643" s="17" t="s">
        <v>55</v>
      </c>
      <c r="C643" s="17" t="s">
        <v>56</v>
      </c>
      <c r="D643" s="17" t="s">
        <v>389</v>
      </c>
      <c r="E643" s="176">
        <v>303.16000000000003</v>
      </c>
      <c r="F643" s="176"/>
      <c r="G643" s="176"/>
      <c r="H643" s="176"/>
      <c r="I643" s="176"/>
      <c r="J643" s="176"/>
      <c r="K643" s="176"/>
      <c r="L643" s="176"/>
      <c r="M643" s="176"/>
      <c r="N643" s="176"/>
      <c r="O643" s="176"/>
      <c r="P643" s="176"/>
      <c r="Q643" s="176"/>
    </row>
    <row r="644" spans="1:17" x14ac:dyDescent="0.25">
      <c r="A644" s="17" t="s">
        <v>57</v>
      </c>
      <c r="B644" s="17" t="s">
        <v>58</v>
      </c>
      <c r="C644" s="17" t="s">
        <v>59</v>
      </c>
      <c r="D644" s="17" t="s">
        <v>389</v>
      </c>
      <c r="E644" s="176">
        <v>1.9870000000000001</v>
      </c>
      <c r="F644" s="176"/>
      <c r="G644" s="176"/>
      <c r="H644" s="176"/>
      <c r="I644" s="176"/>
      <c r="J644" s="176"/>
      <c r="K644" s="176"/>
      <c r="L644" s="176"/>
      <c r="M644" s="176"/>
      <c r="N644" s="176"/>
      <c r="O644" s="176"/>
      <c r="P644" s="176"/>
      <c r="Q644" s="176"/>
    </row>
    <row r="645" spans="1:17" ht="18" x14ac:dyDescent="0.25">
      <c r="A645" s="17" t="s">
        <v>142</v>
      </c>
      <c r="B645" s="17" t="s">
        <v>55</v>
      </c>
      <c r="C645" s="17" t="s">
        <v>143</v>
      </c>
      <c r="D645" s="144" t="s">
        <v>363</v>
      </c>
      <c r="E645" s="28">
        <f>AVERAGE(F645:Q645)</f>
        <v>295.85833333333341</v>
      </c>
      <c r="F645" s="25">
        <v>285.64999999999998</v>
      </c>
      <c r="G645" s="25">
        <v>291.64999999999998</v>
      </c>
      <c r="H645" s="25">
        <v>292.64999999999998</v>
      </c>
      <c r="I645" s="25">
        <v>295.64999999999998</v>
      </c>
      <c r="J645" s="25">
        <v>300.14999999999998</v>
      </c>
      <c r="K645" s="25">
        <v>301.64999999999998</v>
      </c>
      <c r="L645" s="25">
        <v>303.14999999999998</v>
      </c>
      <c r="M645" s="25">
        <v>302.64999999999998</v>
      </c>
      <c r="N645" s="25">
        <v>303.14999999999998</v>
      </c>
      <c r="O645" s="25">
        <v>296.14999999999998</v>
      </c>
      <c r="P645" s="25">
        <v>291.14999999999998</v>
      </c>
      <c r="Q645" s="25">
        <v>286.64999999999998</v>
      </c>
    </row>
    <row r="646" spans="1:17" ht="46.8" x14ac:dyDescent="0.25">
      <c r="A646" s="17" t="s">
        <v>144</v>
      </c>
      <c r="B646" s="17" t="s">
        <v>24</v>
      </c>
      <c r="C646" s="17" t="s">
        <v>145</v>
      </c>
      <c r="D646" s="17" t="s">
        <v>390</v>
      </c>
      <c r="E646" s="29">
        <f>SUM(F646:Q646)</f>
        <v>29.989277666248054</v>
      </c>
      <c r="F646" s="29">
        <f>F633*F634*'Project Emissions 2021'!F625+(1-F641)*0</f>
        <v>2.3981201874161298</v>
      </c>
      <c r="G646" s="29">
        <f>G633*G634*'Project Emissions 2021'!G625+(1-G641)*0</f>
        <v>2.2030786824499993</v>
      </c>
      <c r="H646" s="29">
        <f>H633*H634*'Project Emissions 2021'!H625+(1-H641)*0</f>
        <v>2.3962492773163993</v>
      </c>
      <c r="I646" s="29">
        <f>I633*I634*'Project Emissions 2021'!I625+(1-I641)*0</f>
        <v>2.3408016307132185</v>
      </c>
      <c r="J646" s="29">
        <f>J633*J634*'Project Emissions 2021'!J625+(1-J641)*0</f>
        <v>2.7377931685376344</v>
      </c>
      <c r="K646" s="29">
        <f>K633*K634*'Project Emissions 2021'!K625+(1-K641)*0</f>
        <v>2.6369201277788901</v>
      </c>
      <c r="L646" s="29">
        <f>L633*L634*'Project Emissions 2021'!L625+(1-L641)*0</f>
        <v>2.6221516627225805</v>
      </c>
      <c r="M646" s="29">
        <f>M633*M634*'Project Emissions 2021'!M625+(1-M641)*0</f>
        <v>2.6793599276338713</v>
      </c>
      <c r="N646" s="29">
        <f>N633*N634*'Project Emissions 2021'!N625+(1-N641)*0</f>
        <v>2.5645853578536104</v>
      </c>
      <c r="O646" s="29">
        <f>O633*O634*'Project Emissions 2021'!O625+(1-O641)*0</f>
        <v>2.6951252633311835</v>
      </c>
      <c r="P646" s="29">
        <f>P633*P634*'Project Emissions 2021'!P625+(1-P641)*0</f>
        <v>2.3384512653638891</v>
      </c>
      <c r="Q646" s="29">
        <f>Q633*Q634*'Project Emissions 2021'!Q625+(1-Q641)*0</f>
        <v>2.3766411151306452</v>
      </c>
    </row>
    <row r="647" spans="1:17" x14ac:dyDescent="0.3">
      <c r="A647" s="30"/>
      <c r="E647" s="31"/>
      <c r="F647" s="31"/>
      <c r="G647" s="31"/>
      <c r="H647" s="31"/>
      <c r="I647" s="31"/>
      <c r="J647" s="31"/>
      <c r="K647" s="31"/>
      <c r="L647" s="31"/>
      <c r="M647" s="31"/>
      <c r="N647" s="31"/>
      <c r="O647" s="31"/>
      <c r="P647" s="31"/>
      <c r="Q647" s="31"/>
    </row>
    <row r="648" spans="1:17" x14ac:dyDescent="0.25">
      <c r="A648" s="174" t="s">
        <v>146</v>
      </c>
      <c r="B648" s="174"/>
      <c r="C648" s="175"/>
      <c r="D648" s="175"/>
      <c r="E648" s="195"/>
      <c r="F648" s="32"/>
      <c r="G648" s="32"/>
      <c r="H648" s="32"/>
      <c r="I648" s="32"/>
      <c r="J648" s="32"/>
      <c r="K648" s="32"/>
      <c r="L648" s="32"/>
      <c r="M648" s="32"/>
      <c r="N648" s="32"/>
      <c r="O648" s="32"/>
      <c r="P648" s="32"/>
      <c r="Q648" s="32"/>
    </row>
    <row r="649" spans="1:17" x14ac:dyDescent="0.25">
      <c r="A649" s="33" t="s">
        <v>8</v>
      </c>
      <c r="B649" s="33" t="s">
        <v>9</v>
      </c>
      <c r="C649" s="34" t="s">
        <v>10</v>
      </c>
      <c r="D649" s="34" t="s">
        <v>340</v>
      </c>
      <c r="E649" s="16" t="s">
        <v>65</v>
      </c>
      <c r="F649" s="32"/>
      <c r="G649" s="32"/>
      <c r="H649" s="32"/>
      <c r="I649" s="32"/>
      <c r="J649" s="32"/>
      <c r="K649" s="32"/>
      <c r="L649" s="32"/>
      <c r="M649" s="32"/>
      <c r="N649" s="32"/>
      <c r="O649" s="32"/>
      <c r="P649" s="32"/>
      <c r="Q649" s="32"/>
    </row>
    <row r="650" spans="1:17" ht="46.8" x14ac:dyDescent="0.25">
      <c r="A650" s="15" t="s">
        <v>147</v>
      </c>
      <c r="B650" s="17" t="s">
        <v>95</v>
      </c>
      <c r="C650" s="35" t="s">
        <v>148</v>
      </c>
      <c r="D650" s="35" t="s">
        <v>68</v>
      </c>
      <c r="E650" s="16">
        <v>0</v>
      </c>
      <c r="F650" s="32"/>
      <c r="G650" s="32"/>
      <c r="H650" s="32"/>
      <c r="I650" s="32"/>
      <c r="J650" s="32"/>
      <c r="K650" s="32"/>
      <c r="L650" s="32"/>
      <c r="M650" s="32"/>
      <c r="N650" s="32"/>
      <c r="O650" s="32"/>
      <c r="P650" s="32"/>
      <c r="Q650" s="32"/>
    </row>
    <row r="651" spans="1:17" x14ac:dyDescent="0.25">
      <c r="A651" s="36"/>
      <c r="B651" s="36"/>
      <c r="C651" s="37"/>
      <c r="D651" s="37"/>
      <c r="E651" s="32"/>
      <c r="F651" s="32"/>
      <c r="G651" s="32"/>
      <c r="H651" s="32"/>
      <c r="I651" s="32"/>
      <c r="J651" s="32"/>
      <c r="K651" s="32"/>
      <c r="L651" s="32"/>
      <c r="M651" s="32"/>
      <c r="N651" s="32"/>
      <c r="O651" s="32"/>
      <c r="P651" s="32"/>
      <c r="Q651" s="32"/>
    </row>
    <row r="652" spans="1:17" x14ac:dyDescent="0.25">
      <c r="A652" s="174" t="s">
        <v>149</v>
      </c>
      <c r="B652" s="174"/>
      <c r="C652" s="175"/>
      <c r="D652" s="175"/>
      <c r="E652" s="195"/>
      <c r="F652" s="32"/>
      <c r="G652" s="32"/>
      <c r="H652" s="32"/>
      <c r="I652" s="32"/>
      <c r="J652" s="32"/>
      <c r="K652" s="32"/>
      <c r="L652" s="32"/>
      <c r="M652" s="32"/>
      <c r="N652" s="32"/>
      <c r="O652" s="32"/>
      <c r="P652" s="32"/>
      <c r="Q652" s="32"/>
    </row>
    <row r="653" spans="1:17" x14ac:dyDescent="0.25">
      <c r="A653" s="33" t="s">
        <v>8</v>
      </c>
      <c r="B653" s="33" t="s">
        <v>9</v>
      </c>
      <c r="C653" s="34" t="s">
        <v>10</v>
      </c>
      <c r="D653" s="34" t="s">
        <v>340</v>
      </c>
      <c r="E653" s="16" t="s">
        <v>65</v>
      </c>
      <c r="F653" s="32"/>
      <c r="G653" s="32"/>
      <c r="H653" s="32"/>
      <c r="I653" s="32"/>
      <c r="J653" s="32"/>
      <c r="K653" s="32"/>
      <c r="L653" s="32"/>
      <c r="M653" s="32"/>
      <c r="N653" s="32"/>
      <c r="O653" s="32"/>
      <c r="P653" s="32"/>
      <c r="Q653" s="32"/>
    </row>
    <row r="654" spans="1:17" ht="46.8" x14ac:dyDescent="0.25">
      <c r="A654" s="15" t="s">
        <v>150</v>
      </c>
      <c r="B654" s="17" t="s">
        <v>95</v>
      </c>
      <c r="C654" s="35" t="s">
        <v>151</v>
      </c>
      <c r="D654" s="35" t="s">
        <v>68</v>
      </c>
      <c r="E654" s="16">
        <v>0</v>
      </c>
      <c r="F654" s="32"/>
      <c r="G654" s="32"/>
      <c r="H654" s="32"/>
      <c r="I654" s="32"/>
      <c r="J654" s="32"/>
      <c r="K654" s="32"/>
      <c r="L654" s="32"/>
      <c r="M654" s="32"/>
      <c r="N654" s="32"/>
      <c r="O654" s="32"/>
      <c r="P654" s="32"/>
      <c r="Q654" s="32"/>
    </row>
    <row r="655" spans="1:17" x14ac:dyDescent="0.25">
      <c r="F655" s="32"/>
      <c r="G655" s="32"/>
      <c r="H655" s="32"/>
      <c r="I655" s="32"/>
      <c r="J655" s="32"/>
      <c r="K655" s="32"/>
      <c r="L655" s="32"/>
      <c r="M655" s="32"/>
      <c r="N655" s="32"/>
      <c r="O655" s="32"/>
      <c r="P655" s="32"/>
      <c r="Q655" s="32"/>
    </row>
    <row r="656" spans="1:17" x14ac:dyDescent="0.25">
      <c r="A656" s="174" t="s">
        <v>152</v>
      </c>
      <c r="B656" s="174"/>
      <c r="C656" s="175"/>
      <c r="D656" s="175"/>
      <c r="E656" s="195"/>
      <c r="F656" s="32"/>
      <c r="G656" s="32"/>
      <c r="H656" s="32"/>
      <c r="I656" s="32"/>
      <c r="J656" s="32"/>
      <c r="K656" s="32"/>
      <c r="L656" s="32"/>
      <c r="M656" s="32"/>
      <c r="N656" s="32"/>
      <c r="O656" s="32"/>
      <c r="P656" s="32"/>
      <c r="Q656" s="32"/>
    </row>
    <row r="657" spans="1:19" s="10" customFormat="1" x14ac:dyDescent="0.25">
      <c r="A657" s="15" t="s">
        <v>8</v>
      </c>
      <c r="B657" s="15" t="s">
        <v>9</v>
      </c>
      <c r="C657" s="38" t="s">
        <v>10</v>
      </c>
      <c r="D657" s="38" t="s">
        <v>340</v>
      </c>
      <c r="E657" s="16" t="s">
        <v>65</v>
      </c>
      <c r="F657" s="32"/>
      <c r="G657" s="32"/>
      <c r="H657" s="39"/>
      <c r="I657" s="39"/>
      <c r="J657" s="39"/>
      <c r="K657" s="39"/>
      <c r="L657" s="39"/>
      <c r="M657" s="39"/>
      <c r="N657" s="39"/>
      <c r="O657" s="39"/>
      <c r="P657" s="39"/>
      <c r="Q657" s="39"/>
    </row>
    <row r="658" spans="1:19" s="10" customFormat="1" ht="18" x14ac:dyDescent="0.4">
      <c r="A658" s="40" t="s">
        <v>153</v>
      </c>
      <c r="B658" s="17" t="s">
        <v>103</v>
      </c>
      <c r="C658" s="35" t="s">
        <v>154</v>
      </c>
      <c r="D658" s="35" t="s">
        <v>155</v>
      </c>
      <c r="E658" s="41">
        <f>E659*E661*(1+E660)</f>
        <v>454.13006215199999</v>
      </c>
      <c r="F658" s="32"/>
      <c r="G658" s="32"/>
      <c r="H658" s="39"/>
      <c r="I658" s="39"/>
      <c r="J658" s="39"/>
      <c r="K658" s="39"/>
      <c r="L658" s="39"/>
      <c r="M658" s="39"/>
      <c r="N658" s="39"/>
      <c r="O658" s="39"/>
      <c r="P658" s="39"/>
      <c r="Q658" s="39"/>
    </row>
    <row r="659" spans="1:19" ht="31.2" x14ac:dyDescent="0.25">
      <c r="A659" s="17" t="s">
        <v>156</v>
      </c>
      <c r="B659" s="17" t="s">
        <v>157</v>
      </c>
      <c r="C659" s="35" t="s">
        <v>158</v>
      </c>
      <c r="D659" s="35" t="s">
        <v>343</v>
      </c>
      <c r="E659" s="20">
        <f>743719.6/1000</f>
        <v>743.71960000000001</v>
      </c>
      <c r="G659" s="42"/>
      <c r="H659" s="43"/>
      <c r="I659" s="43"/>
      <c r="J659" s="43"/>
      <c r="K659" s="43"/>
      <c r="L659" s="43"/>
      <c r="M659" s="43"/>
      <c r="N659" s="43"/>
      <c r="O659" s="43"/>
      <c r="P659" s="43"/>
      <c r="Q659" s="43"/>
      <c r="R659" s="9"/>
      <c r="S659" s="9"/>
    </row>
    <row r="660" spans="1:19" ht="31.2" x14ac:dyDescent="0.25">
      <c r="A660" s="17" t="s">
        <v>159</v>
      </c>
      <c r="B660" s="17" t="s">
        <v>160</v>
      </c>
      <c r="C660" s="35" t="s">
        <v>161</v>
      </c>
      <c r="D660" s="35" t="s">
        <v>162</v>
      </c>
      <c r="E660" s="44">
        <v>0.2</v>
      </c>
      <c r="H660" s="43"/>
      <c r="I660" s="43"/>
      <c r="J660" s="43"/>
      <c r="K660" s="43"/>
      <c r="L660" s="43"/>
      <c r="M660" s="43"/>
      <c r="N660" s="43"/>
      <c r="O660" s="43"/>
      <c r="P660" s="43"/>
      <c r="Q660" s="43"/>
      <c r="R660" s="9"/>
      <c r="S660" s="9"/>
    </row>
    <row r="661" spans="1:19" ht="46.8" x14ac:dyDescent="0.25">
      <c r="A661" s="17" t="s">
        <v>163</v>
      </c>
      <c r="B661" s="17" t="s">
        <v>164</v>
      </c>
      <c r="C661" s="35" t="s">
        <v>165</v>
      </c>
      <c r="D661" s="35" t="s">
        <v>166</v>
      </c>
      <c r="E661" s="45">
        <f>0.5*0.8042+0.5*0.2135</f>
        <v>0.50885000000000002</v>
      </c>
      <c r="F661" s="46"/>
      <c r="G661" s="46"/>
      <c r="H661" s="46"/>
      <c r="I661" s="46"/>
      <c r="J661" s="46"/>
      <c r="K661" s="46"/>
      <c r="L661" s="46"/>
      <c r="M661" s="46"/>
      <c r="N661" s="46"/>
      <c r="O661" s="46"/>
      <c r="P661" s="46"/>
      <c r="Q661" s="46"/>
    </row>
    <row r="662" spans="1:19" ht="31.2" x14ac:dyDescent="0.4">
      <c r="A662" s="40" t="s">
        <v>167</v>
      </c>
      <c r="B662" s="17" t="s">
        <v>103</v>
      </c>
      <c r="C662" s="35" t="s">
        <v>168</v>
      </c>
      <c r="D662" s="35" t="s">
        <v>169</v>
      </c>
      <c r="E662" s="47">
        <v>0</v>
      </c>
      <c r="H662" s="43"/>
      <c r="I662" s="43"/>
      <c r="J662" s="43"/>
      <c r="K662" s="43"/>
      <c r="L662" s="43"/>
      <c r="M662" s="43"/>
      <c r="N662" s="43"/>
      <c r="O662" s="43"/>
      <c r="P662" s="43"/>
      <c r="Q662" s="43"/>
      <c r="R662" s="9"/>
      <c r="S662" s="9"/>
    </row>
    <row r="663" spans="1:19" x14ac:dyDescent="0.3">
      <c r="A663" s="48"/>
      <c r="E663" s="49"/>
      <c r="H663" s="43"/>
      <c r="I663" s="43"/>
      <c r="J663" s="43"/>
      <c r="K663" s="43"/>
      <c r="L663" s="43"/>
      <c r="M663" s="43"/>
      <c r="N663" s="43"/>
      <c r="O663" s="43"/>
      <c r="P663" s="43"/>
      <c r="Q663" s="43"/>
      <c r="R663" s="9"/>
      <c r="S663" s="9"/>
    </row>
    <row r="664" spans="1:19" x14ac:dyDescent="0.25">
      <c r="A664" s="174" t="s">
        <v>170</v>
      </c>
      <c r="B664" s="174"/>
      <c r="C664" s="175"/>
      <c r="D664" s="175"/>
      <c r="E664" s="195"/>
      <c r="F664" s="32"/>
      <c r="G664" s="32"/>
      <c r="H664" s="32"/>
      <c r="I664" s="32"/>
      <c r="J664" s="32"/>
      <c r="K664" s="32"/>
      <c r="L664" s="32"/>
      <c r="M664" s="32"/>
      <c r="N664" s="32"/>
      <c r="O664" s="32"/>
      <c r="P664" s="32"/>
      <c r="Q664" s="32"/>
    </row>
    <row r="665" spans="1:19" x14ac:dyDescent="0.25">
      <c r="A665" s="15" t="s">
        <v>8</v>
      </c>
      <c r="B665" s="15" t="s">
        <v>9</v>
      </c>
      <c r="C665" s="38" t="s">
        <v>10</v>
      </c>
      <c r="D665" s="38" t="s">
        <v>340</v>
      </c>
      <c r="E665" s="16" t="s">
        <v>65</v>
      </c>
      <c r="H665" s="43"/>
      <c r="I665" s="43"/>
      <c r="J665" s="43"/>
      <c r="K665" s="43"/>
      <c r="L665" s="43"/>
      <c r="M665" s="43"/>
      <c r="N665" s="43"/>
      <c r="O665" s="43"/>
      <c r="P665" s="43"/>
      <c r="Q665" s="43"/>
      <c r="R665" s="9"/>
      <c r="S665" s="9"/>
    </row>
    <row r="666" spans="1:19" ht="33.6" x14ac:dyDescent="0.4">
      <c r="A666" s="40" t="s">
        <v>171</v>
      </c>
      <c r="B666" s="17" t="s">
        <v>74</v>
      </c>
      <c r="C666" s="35" t="s">
        <v>172</v>
      </c>
      <c r="D666" s="35" t="s">
        <v>391</v>
      </c>
      <c r="E666" s="50">
        <f>E667*E670*E671*E672*E673*E674</f>
        <v>13.267644230229477</v>
      </c>
      <c r="H666" s="43"/>
      <c r="I666" s="43"/>
      <c r="J666" s="43"/>
      <c r="K666" s="43"/>
      <c r="L666" s="43"/>
      <c r="M666" s="43"/>
      <c r="N666" s="43"/>
      <c r="O666" s="43"/>
      <c r="P666" s="43"/>
      <c r="Q666" s="43"/>
      <c r="R666" s="9"/>
      <c r="S666" s="9"/>
    </row>
    <row r="667" spans="1:19" ht="46.8" x14ac:dyDescent="0.4">
      <c r="A667" s="51" t="s">
        <v>173</v>
      </c>
      <c r="B667" s="17" t="s">
        <v>76</v>
      </c>
      <c r="C667" s="35" t="s">
        <v>174</v>
      </c>
      <c r="D667" s="35" t="s">
        <v>392</v>
      </c>
      <c r="E667" s="69">
        <f>ROUNDUP(E668/E669,0)</f>
        <v>235</v>
      </c>
      <c r="H667" s="43"/>
      <c r="I667" s="43"/>
      <c r="J667" s="43"/>
      <c r="K667" s="43"/>
      <c r="L667" s="43"/>
      <c r="M667" s="43"/>
      <c r="N667" s="43"/>
      <c r="O667" s="43"/>
      <c r="P667" s="43"/>
      <c r="Q667" s="43"/>
      <c r="R667" s="9"/>
      <c r="S667" s="9"/>
    </row>
    <row r="668" spans="1:19" ht="62.4" x14ac:dyDescent="0.25">
      <c r="A668" s="17" t="s">
        <v>175</v>
      </c>
      <c r="B668" s="17" t="s">
        <v>78</v>
      </c>
      <c r="C668" s="35" t="s">
        <v>176</v>
      </c>
      <c r="D668" s="35" t="s">
        <v>346</v>
      </c>
      <c r="E668" s="52">
        <v>1173.998</v>
      </c>
      <c r="H668" s="43"/>
      <c r="I668" s="43"/>
      <c r="J668" s="43"/>
      <c r="K668" s="43"/>
      <c r="L668" s="43"/>
      <c r="M668" s="43"/>
      <c r="N668" s="43"/>
      <c r="O668" s="43"/>
      <c r="P668" s="43"/>
      <c r="Q668" s="43"/>
      <c r="R668" s="9"/>
      <c r="S668" s="9"/>
    </row>
    <row r="669" spans="1:19" ht="62.4" x14ac:dyDescent="0.25">
      <c r="A669" s="17" t="s">
        <v>177</v>
      </c>
      <c r="B669" s="17" t="s">
        <v>80</v>
      </c>
      <c r="C669" s="35" t="s">
        <v>81</v>
      </c>
      <c r="D669" s="35" t="s">
        <v>345</v>
      </c>
      <c r="E669" s="25">
        <f>5</f>
        <v>5</v>
      </c>
      <c r="H669" s="43"/>
      <c r="I669" s="43"/>
      <c r="J669" s="43"/>
      <c r="K669" s="43"/>
      <c r="L669" s="43"/>
      <c r="M669" s="43"/>
      <c r="N669" s="43"/>
      <c r="O669" s="43"/>
      <c r="P669" s="43"/>
      <c r="Q669" s="43"/>
      <c r="R669" s="9"/>
      <c r="S669" s="9"/>
    </row>
    <row r="670" spans="1:19" ht="202.8" x14ac:dyDescent="0.25">
      <c r="A670" s="17" t="s">
        <v>178</v>
      </c>
      <c r="B670" s="17" t="s">
        <v>82</v>
      </c>
      <c r="C670" s="35" t="s">
        <v>179</v>
      </c>
      <c r="D670" s="35" t="s">
        <v>367</v>
      </c>
      <c r="E670" s="25">
        <v>83.4</v>
      </c>
      <c r="H670" s="43"/>
      <c r="I670" s="43"/>
      <c r="J670" s="43"/>
      <c r="K670" s="43"/>
      <c r="L670" s="43"/>
      <c r="M670" s="43"/>
      <c r="N670" s="43"/>
      <c r="O670" s="43"/>
      <c r="P670" s="43"/>
      <c r="Q670" s="43"/>
      <c r="R670" s="9"/>
      <c r="S670" s="9"/>
    </row>
    <row r="671" spans="1:19" ht="156" x14ac:dyDescent="0.25">
      <c r="A671" s="17" t="s">
        <v>180</v>
      </c>
      <c r="B671" s="17" t="s">
        <v>84</v>
      </c>
      <c r="C671" s="35" t="s">
        <v>85</v>
      </c>
      <c r="D671" s="35" t="s">
        <v>365</v>
      </c>
      <c r="E671" s="25">
        <f>25.1/100</f>
        <v>0.251</v>
      </c>
      <c r="H671" s="43"/>
      <c r="I671" s="43"/>
      <c r="J671" s="43"/>
      <c r="K671" s="43"/>
      <c r="L671" s="43"/>
      <c r="M671" s="43"/>
      <c r="N671" s="43"/>
      <c r="O671" s="43"/>
      <c r="P671" s="43"/>
      <c r="Q671" s="43"/>
      <c r="R671" s="9"/>
      <c r="S671" s="9"/>
    </row>
    <row r="672" spans="1:19" ht="62.4" x14ac:dyDescent="0.25">
      <c r="A672" s="17" t="s">
        <v>86</v>
      </c>
      <c r="B672" s="17" t="s">
        <v>87</v>
      </c>
      <c r="C672" s="35" t="s">
        <v>86</v>
      </c>
      <c r="D672" s="35" t="s">
        <v>215</v>
      </c>
      <c r="E672" s="25">
        <f>0.84/1000</f>
        <v>8.3999999999999993E-4</v>
      </c>
      <c r="H672" s="43"/>
      <c r="I672" s="43"/>
      <c r="J672" s="43"/>
      <c r="K672" s="43"/>
      <c r="L672" s="43"/>
      <c r="M672" s="43"/>
      <c r="N672" s="43"/>
      <c r="O672" s="43"/>
      <c r="P672" s="43"/>
      <c r="Q672" s="43"/>
      <c r="R672" s="9"/>
      <c r="S672" s="9"/>
    </row>
    <row r="673" spans="1:133" ht="124.8" x14ac:dyDescent="0.25">
      <c r="A673" s="17" t="s">
        <v>181</v>
      </c>
      <c r="B673" s="17" t="s">
        <v>88</v>
      </c>
      <c r="C673" s="35" t="s">
        <v>89</v>
      </c>
      <c r="D673" s="35" t="s">
        <v>360</v>
      </c>
      <c r="E673" s="25">
        <f>43.33/1000</f>
        <v>4.333E-2</v>
      </c>
      <c r="H673" s="43"/>
      <c r="I673" s="43"/>
      <c r="J673" s="43"/>
      <c r="K673" s="43"/>
      <c r="L673" s="43"/>
      <c r="M673" s="43"/>
      <c r="N673" s="43"/>
      <c r="O673" s="43"/>
      <c r="P673" s="43"/>
      <c r="Q673" s="43"/>
      <c r="R673" s="9"/>
      <c r="S673" s="9"/>
    </row>
    <row r="674" spans="1:133" ht="33.6" x14ac:dyDescent="0.25">
      <c r="A674" s="17" t="s">
        <v>182</v>
      </c>
      <c r="B674" s="17" t="s">
        <v>90</v>
      </c>
      <c r="C674" s="35" t="s">
        <v>91</v>
      </c>
      <c r="D674" s="35" t="s">
        <v>92</v>
      </c>
      <c r="E674" s="25">
        <v>74.099999999999994</v>
      </c>
      <c r="H674" s="43"/>
      <c r="I674" s="43"/>
      <c r="J674" s="43"/>
      <c r="K674" s="43"/>
      <c r="L674" s="43"/>
      <c r="M674" s="43"/>
      <c r="N674" s="43"/>
      <c r="O674" s="43"/>
      <c r="P674" s="43"/>
      <c r="Q674" s="43"/>
      <c r="R674" s="9"/>
      <c r="S674" s="9"/>
    </row>
    <row r="676" spans="1:133" x14ac:dyDescent="0.25">
      <c r="A676" s="33" t="s">
        <v>8</v>
      </c>
      <c r="B676" s="33" t="s">
        <v>9</v>
      </c>
      <c r="C676" s="34" t="s">
        <v>10</v>
      </c>
      <c r="D676" s="34" t="s">
        <v>340</v>
      </c>
      <c r="E676" s="16" t="s">
        <v>65</v>
      </c>
    </row>
    <row r="677" spans="1:133" ht="18" x14ac:dyDescent="0.25">
      <c r="A677" s="15" t="s">
        <v>183</v>
      </c>
      <c r="B677" s="17" t="s">
        <v>103</v>
      </c>
      <c r="C677" s="35" t="s">
        <v>184</v>
      </c>
      <c r="D677" s="53" t="s">
        <v>393</v>
      </c>
      <c r="E677" s="18">
        <f>ROUNDUP(E626+E650+E654+E658+E666,0)</f>
        <v>468</v>
      </c>
    </row>
    <row r="678" spans="1:133" s="200" customFormat="1" ht="43.2" customHeight="1" x14ac:dyDescent="0.25">
      <c r="A678" s="197" t="s">
        <v>232</v>
      </c>
      <c r="B678" s="198"/>
      <c r="C678" s="198"/>
      <c r="D678" s="198"/>
      <c r="E678" s="198"/>
      <c r="F678" s="198"/>
      <c r="G678" s="198"/>
      <c r="H678" s="198"/>
      <c r="I678" s="198"/>
      <c r="J678" s="198"/>
      <c r="K678" s="198"/>
      <c r="L678" s="198"/>
      <c r="M678" s="198"/>
      <c r="N678" s="198"/>
      <c r="O678" s="198"/>
      <c r="P678" s="198"/>
      <c r="Q678" s="198"/>
      <c r="R678" s="198"/>
      <c r="S678" s="198"/>
      <c r="T678" s="198"/>
      <c r="U678" s="198"/>
      <c r="V678" s="198"/>
      <c r="W678" s="198"/>
      <c r="X678" s="198"/>
      <c r="Y678" s="198"/>
      <c r="Z678" s="198"/>
      <c r="AA678" s="198"/>
      <c r="AB678" s="198"/>
      <c r="AC678" s="198"/>
      <c r="AD678" s="198"/>
      <c r="AE678" s="198"/>
      <c r="AF678" s="198"/>
      <c r="AG678" s="198"/>
      <c r="AH678" s="198"/>
      <c r="AI678" s="198"/>
      <c r="AJ678" s="198"/>
      <c r="AK678" s="198"/>
      <c r="AL678" s="198"/>
      <c r="AM678" s="198"/>
      <c r="AN678" s="198"/>
      <c r="AO678" s="198"/>
      <c r="AP678" s="198"/>
      <c r="AQ678" s="198"/>
      <c r="AR678" s="198"/>
      <c r="AS678" s="198"/>
      <c r="AT678" s="198"/>
      <c r="AU678" s="198"/>
      <c r="AV678" s="198"/>
      <c r="AW678" s="198"/>
      <c r="AX678" s="198"/>
      <c r="AY678" s="198"/>
      <c r="AZ678" s="198"/>
      <c r="BA678" s="198"/>
      <c r="BB678" s="198"/>
      <c r="BC678" s="198"/>
      <c r="BD678" s="198"/>
      <c r="BE678" s="198"/>
      <c r="BF678" s="198"/>
      <c r="BG678" s="198"/>
      <c r="BH678" s="198"/>
      <c r="BI678" s="198"/>
      <c r="BJ678" s="198"/>
      <c r="BK678" s="198"/>
      <c r="BL678" s="198"/>
      <c r="BM678" s="198"/>
      <c r="BN678" s="198"/>
      <c r="BO678" s="198"/>
      <c r="BP678" s="198"/>
      <c r="BQ678" s="198"/>
      <c r="BR678" s="198"/>
      <c r="BS678" s="198"/>
      <c r="BT678" s="198"/>
      <c r="BU678" s="198"/>
      <c r="BV678" s="198"/>
      <c r="BW678" s="198"/>
      <c r="BX678" s="198"/>
      <c r="BY678" s="198"/>
      <c r="BZ678" s="198"/>
      <c r="CA678" s="198"/>
      <c r="CB678" s="198"/>
      <c r="CC678" s="198"/>
      <c r="CD678" s="198"/>
      <c r="CE678" s="198"/>
      <c r="CF678" s="198"/>
      <c r="CG678" s="198"/>
      <c r="CH678" s="198"/>
      <c r="CI678" s="198"/>
      <c r="CJ678" s="198"/>
      <c r="CK678" s="198"/>
      <c r="CL678" s="198"/>
      <c r="CM678" s="198"/>
      <c r="CN678" s="198"/>
      <c r="CO678" s="198"/>
      <c r="CP678" s="198"/>
      <c r="CQ678" s="198"/>
      <c r="CR678" s="198"/>
      <c r="CS678" s="198"/>
      <c r="CT678" s="198"/>
      <c r="CU678" s="198"/>
      <c r="CV678" s="198"/>
      <c r="CW678" s="198"/>
      <c r="CX678" s="198"/>
      <c r="CY678" s="198"/>
      <c r="CZ678" s="198"/>
      <c r="DA678" s="198"/>
      <c r="DB678" s="198"/>
      <c r="DC678" s="198"/>
      <c r="DD678" s="198"/>
      <c r="DE678" s="198"/>
      <c r="DF678" s="198"/>
      <c r="DG678" s="198"/>
      <c r="DH678" s="198"/>
      <c r="DI678" s="198"/>
      <c r="DJ678" s="198"/>
      <c r="DK678" s="198"/>
      <c r="DL678" s="198"/>
      <c r="DM678" s="198"/>
      <c r="DN678" s="198"/>
      <c r="DO678" s="198"/>
      <c r="DP678" s="198"/>
      <c r="DQ678" s="198"/>
      <c r="DR678" s="198"/>
      <c r="DS678" s="198"/>
      <c r="DT678" s="198"/>
      <c r="DU678" s="198"/>
      <c r="DV678" s="198"/>
      <c r="DW678" s="198"/>
      <c r="DX678" s="198"/>
      <c r="DY678" s="198"/>
      <c r="DZ678" s="198"/>
      <c r="EA678" s="198"/>
      <c r="EB678" s="198"/>
      <c r="EC678" s="199"/>
    </row>
    <row r="679" spans="1:133" ht="23.4" customHeight="1" x14ac:dyDescent="0.25">
      <c r="A679" s="201" t="s">
        <v>105</v>
      </c>
      <c r="B679" s="201"/>
      <c r="C679" s="201"/>
      <c r="D679" s="201"/>
      <c r="E679" s="201"/>
      <c r="F679" s="201"/>
      <c r="G679" s="201"/>
      <c r="H679" s="201"/>
      <c r="I679" s="201"/>
      <c r="J679" s="201"/>
      <c r="K679" s="201"/>
      <c r="L679" s="201"/>
      <c r="M679" s="201"/>
      <c r="N679" s="201"/>
      <c r="O679" s="201"/>
      <c r="P679" s="201"/>
      <c r="Q679" s="202"/>
    </row>
    <row r="680" spans="1:133" s="10" customFormat="1" ht="31.2" x14ac:dyDescent="0.25">
      <c r="A680" s="15" t="s">
        <v>8</v>
      </c>
      <c r="B680" s="15" t="s">
        <v>9</v>
      </c>
      <c r="C680" s="15" t="s">
        <v>10</v>
      </c>
      <c r="D680" s="15" t="s">
        <v>340</v>
      </c>
      <c r="E680" s="16" t="s">
        <v>11</v>
      </c>
      <c r="F680" s="16" t="s">
        <v>312</v>
      </c>
      <c r="G680" s="16" t="s">
        <v>313</v>
      </c>
      <c r="H680" s="16" t="s">
        <v>314</v>
      </c>
      <c r="I680" s="16" t="s">
        <v>315</v>
      </c>
      <c r="J680" s="16" t="s">
        <v>316</v>
      </c>
      <c r="K680" s="16" t="s">
        <v>317</v>
      </c>
      <c r="L680" s="16" t="s">
        <v>318</v>
      </c>
      <c r="M680" s="16" t="s">
        <v>319</v>
      </c>
      <c r="N680" s="16" t="s">
        <v>320</v>
      </c>
      <c r="O680" s="16" t="s">
        <v>293</v>
      </c>
      <c r="P680" s="16" t="s">
        <v>294</v>
      </c>
      <c r="Q680" s="16" t="s">
        <v>295</v>
      </c>
      <c r="R680" s="54"/>
      <c r="S680" s="54"/>
    </row>
    <row r="681" spans="1:133" s="10" customFormat="1" x14ac:dyDescent="0.25">
      <c r="A681" s="203" t="s">
        <v>106</v>
      </c>
      <c r="B681" s="203"/>
      <c r="C681" s="203"/>
      <c r="D681" s="203"/>
      <c r="E681" s="204"/>
      <c r="F681" s="16">
        <v>31</v>
      </c>
      <c r="G681" s="16">
        <v>28</v>
      </c>
      <c r="H681" s="16">
        <v>31</v>
      </c>
      <c r="I681" s="16">
        <v>30</v>
      </c>
      <c r="J681" s="16">
        <v>31</v>
      </c>
      <c r="K681" s="16">
        <v>30</v>
      </c>
      <c r="L681" s="16">
        <v>31</v>
      </c>
      <c r="M681" s="16">
        <v>31</v>
      </c>
      <c r="N681" s="16">
        <v>30</v>
      </c>
      <c r="O681" s="16">
        <v>31</v>
      </c>
      <c r="P681" s="16">
        <v>30</v>
      </c>
      <c r="Q681" s="16">
        <v>31</v>
      </c>
      <c r="R681" s="54"/>
      <c r="S681" s="54"/>
    </row>
    <row r="682" spans="1:133" s="10" customFormat="1" ht="31.2" x14ac:dyDescent="0.25">
      <c r="A682" s="15" t="s">
        <v>107</v>
      </c>
      <c r="B682" s="17" t="s">
        <v>103</v>
      </c>
      <c r="C682" s="17" t="s">
        <v>108</v>
      </c>
      <c r="D682" s="17" t="s">
        <v>381</v>
      </c>
      <c r="E682" s="18">
        <f>E683+E693</f>
        <v>0</v>
      </c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54"/>
      <c r="S682" s="54"/>
    </row>
    <row r="683" spans="1:133" ht="46.8" x14ac:dyDescent="0.25">
      <c r="A683" s="17" t="s">
        <v>109</v>
      </c>
      <c r="B683" s="17" t="s">
        <v>103</v>
      </c>
      <c r="C683" s="17" t="s">
        <v>110</v>
      </c>
      <c r="D683" s="17" t="s">
        <v>382</v>
      </c>
      <c r="E683" s="19">
        <f>SUM(F683:Q683)</f>
        <v>0</v>
      </c>
      <c r="F683" s="19">
        <f>IF(F684&gt;=0.8,0,$E$691*$E$692*0.4*(F685-F688)*F681)</f>
        <v>0</v>
      </c>
      <c r="G683" s="19">
        <f t="shared" ref="G683:Q683" si="84">IF(G684&gt;=0.8,0,$E$691*$E$692*0.4*(G685-G688)*G681)</f>
        <v>0</v>
      </c>
      <c r="H683" s="19">
        <f t="shared" si="84"/>
        <v>0</v>
      </c>
      <c r="I683" s="19">
        <f t="shared" si="84"/>
        <v>0</v>
      </c>
      <c r="J683" s="19">
        <f t="shared" si="84"/>
        <v>0</v>
      </c>
      <c r="K683" s="19">
        <f t="shared" si="84"/>
        <v>0</v>
      </c>
      <c r="L683" s="19">
        <f t="shared" si="84"/>
        <v>0</v>
      </c>
      <c r="M683" s="19">
        <f t="shared" si="84"/>
        <v>0</v>
      </c>
      <c r="N683" s="19">
        <f t="shared" si="84"/>
        <v>0</v>
      </c>
      <c r="O683" s="19">
        <f t="shared" si="84"/>
        <v>0</v>
      </c>
      <c r="P683" s="19">
        <f t="shared" si="84"/>
        <v>0</v>
      </c>
      <c r="Q683" s="19">
        <f t="shared" si="84"/>
        <v>0</v>
      </c>
    </row>
    <row r="684" spans="1:133" ht="62.4" x14ac:dyDescent="0.25">
      <c r="A684" s="17" t="s">
        <v>111</v>
      </c>
      <c r="B684" s="17" t="s">
        <v>37</v>
      </c>
      <c r="C684" s="17" t="s">
        <v>112</v>
      </c>
      <c r="D684" s="17" t="s">
        <v>383</v>
      </c>
      <c r="E684" s="20">
        <f>AVERAGE(F684:Q684)</f>
        <v>0.96097428238460159</v>
      </c>
      <c r="F684" s="20">
        <f>(F685-F688)/F685</f>
        <v>0.96126941127660637</v>
      </c>
      <c r="G684" s="20">
        <f t="shared" ref="G684:Q684" si="85">(G685-G688)/G685</f>
        <v>0.9619053384492614</v>
      </c>
      <c r="H684" s="20">
        <f t="shared" si="85"/>
        <v>0.9619406918369513</v>
      </c>
      <c r="I684" s="20">
        <f t="shared" si="85"/>
        <v>0.96175331305573286</v>
      </c>
      <c r="J684" s="20">
        <f t="shared" si="85"/>
        <v>0.96203566835484933</v>
      </c>
      <c r="K684" s="20">
        <f t="shared" si="85"/>
        <v>0.95847425598712521</v>
      </c>
      <c r="L684" s="20">
        <f t="shared" si="85"/>
        <v>0.95711670240659263</v>
      </c>
      <c r="M684" s="20">
        <f t="shared" si="85"/>
        <v>0.95838164810223725</v>
      </c>
      <c r="N684" s="20">
        <f t="shared" si="85"/>
        <v>0.96307380885840266</v>
      </c>
      <c r="O684" s="20">
        <f t="shared" si="85"/>
        <v>0.96115345880192926</v>
      </c>
      <c r="P684" s="20">
        <f t="shared" si="85"/>
        <v>0.96236937054801697</v>
      </c>
      <c r="Q684" s="20">
        <f t="shared" si="85"/>
        <v>0.96221772093751368</v>
      </c>
    </row>
    <row r="685" spans="1:133" ht="46.8" x14ac:dyDescent="0.25">
      <c r="A685" s="17" t="s">
        <v>113</v>
      </c>
      <c r="B685" s="17" t="s">
        <v>24</v>
      </c>
      <c r="C685" s="17" t="s">
        <v>114</v>
      </c>
      <c r="D685" s="17" t="s">
        <v>384</v>
      </c>
      <c r="E685" s="20">
        <f>SUM(F685:Q685)</f>
        <v>37.786660741897961</v>
      </c>
      <c r="F685" s="20">
        <f>F686*F687</f>
        <v>3.062015168022199</v>
      </c>
      <c r="G685" s="20">
        <f t="shared" ref="G685:Q685" si="86">G686*G687</f>
        <v>3.0609987109501482</v>
      </c>
      <c r="H685" s="20">
        <f t="shared" si="86"/>
        <v>3.0629358057979967</v>
      </c>
      <c r="I685" s="20">
        <f t="shared" si="86"/>
        <v>3.0600470569320679</v>
      </c>
      <c r="J685" s="20">
        <f t="shared" si="86"/>
        <v>3.4284135245352063</v>
      </c>
      <c r="K685" s="20">
        <f t="shared" si="86"/>
        <v>3.0435162164198335</v>
      </c>
      <c r="L685" s="20">
        <f t="shared" si="86"/>
        <v>3.0431511791287726</v>
      </c>
      <c r="M685" s="20">
        <f t="shared" si="86"/>
        <v>3.0370653824320697</v>
      </c>
      <c r="N685" s="20">
        <f t="shared" si="86"/>
        <v>3.4310250780323615</v>
      </c>
      <c r="O685" s="20">
        <f t="shared" si="86"/>
        <v>3.433196931550329</v>
      </c>
      <c r="P685" s="20">
        <f t="shared" si="86"/>
        <v>3.062645375277778</v>
      </c>
      <c r="Q685" s="20">
        <f t="shared" si="86"/>
        <v>3.0616503128191987</v>
      </c>
    </row>
    <row r="686" spans="1:133" ht="62.4" x14ac:dyDescent="0.25">
      <c r="A686" s="17" t="s">
        <v>115</v>
      </c>
      <c r="B686" s="17" t="s">
        <v>116</v>
      </c>
      <c r="C686" s="17" t="s">
        <v>117</v>
      </c>
      <c r="D686" s="17" t="s">
        <v>337</v>
      </c>
      <c r="E686" s="129">
        <f>SUM(F686:Q686)</f>
        <v>75585.572656989229</v>
      </c>
      <c r="F686" s="129">
        <f>'Baseline Emissions 2021'!F664</f>
        <v>5940.0670967741944</v>
      </c>
      <c r="G686" s="129">
        <f>'Baseline Emissions 2021'!G664</f>
        <v>5939.7564999999986</v>
      </c>
      <c r="H686" s="129">
        <f>'Baseline Emissions 2021'!H664</f>
        <v>5940.7037096774193</v>
      </c>
      <c r="I686" s="129">
        <f>'Baseline Emissions 2021'!I664</f>
        <v>5940.5163999999986</v>
      </c>
      <c r="J686" s="129">
        <f>'Baseline Emissions 2021'!J664</f>
        <v>6658.1701612903225</v>
      </c>
      <c r="K686" s="129">
        <f>'Baseline Emissions 2021'!K664</f>
        <v>6658.0488999999998</v>
      </c>
      <c r="L686" s="129">
        <f>'Baseline Emissions 2021'!L664</f>
        <v>6657.5095161290328</v>
      </c>
      <c r="M686" s="129">
        <f>'Baseline Emissions 2021'!M664</f>
        <v>6656.203032258064</v>
      </c>
      <c r="N686" s="129">
        <f>'Baseline Emissions 2021'!N664</f>
        <v>6656.3145666666669</v>
      </c>
      <c r="O686" s="129">
        <f>'Baseline Emissions 2021'!O664</f>
        <v>6656.9192258064522</v>
      </c>
      <c r="P686" s="129">
        <f>'Baseline Emissions 2021'!P664</f>
        <v>5940.7000000000007</v>
      </c>
      <c r="Q686" s="129">
        <f>'Baseline Emissions 2021'!Q664</f>
        <v>5940.6635483870969</v>
      </c>
    </row>
    <row r="687" spans="1:133" ht="46.8" x14ac:dyDescent="0.25">
      <c r="A687" s="17" t="s">
        <v>118</v>
      </c>
      <c r="B687" s="17" t="s">
        <v>119</v>
      </c>
      <c r="C687" s="17" t="s">
        <v>120</v>
      </c>
      <c r="D687" s="35" t="s">
        <v>338</v>
      </c>
      <c r="E687" s="120">
        <f>AVERAGE(F687:Q687)</f>
        <v>5.0075281753137748E-4</v>
      </c>
      <c r="F687" s="130">
        <f>'Baseline Emissions 2021'!F668</f>
        <v>5.1548494623655902E-4</v>
      </c>
      <c r="G687" s="130">
        <f>'Baseline Emissions 2021'!G668</f>
        <v>5.1534077380952382E-4</v>
      </c>
      <c r="H687" s="130">
        <f>'Baseline Emissions 2021'!H668</f>
        <v>5.155846774193548E-4</v>
      </c>
      <c r="I687" s="130">
        <f>'Baseline Emissions 2021'!I668</f>
        <v>5.1511465517241372E-4</v>
      </c>
      <c r="J687" s="130">
        <f>'Baseline Emissions 2021'!J668</f>
        <v>5.1491827956989247E-4</v>
      </c>
      <c r="K687" s="130">
        <f>'Baseline Emissions 2021'!K668</f>
        <v>4.5711833333333338E-4</v>
      </c>
      <c r="L687" s="130">
        <f>'Baseline Emissions 2021'!L668</f>
        <v>4.5710053763440867E-4</v>
      </c>
      <c r="M687" s="130">
        <f>'Baseline Emissions 2021'!M668</f>
        <v>4.5627595307917902E-4</v>
      </c>
      <c r="N687" s="130">
        <f>'Baseline Emissions 2021'!N668</f>
        <v>5.1545416666666673E-4</v>
      </c>
      <c r="O687" s="130">
        <f>'Baseline Emissions 2021'!O668</f>
        <v>5.1573360215053754E-4</v>
      </c>
      <c r="P687" s="130">
        <f>'Baseline Emissions 2021'!P668</f>
        <v>5.1553611111111112E-4</v>
      </c>
      <c r="Q687" s="130">
        <f>'Baseline Emissions 2021'!Q668</f>
        <v>5.1537177419354839E-4</v>
      </c>
    </row>
    <row r="688" spans="1:133" ht="46.8" x14ac:dyDescent="0.25">
      <c r="A688" s="17" t="s">
        <v>121</v>
      </c>
      <c r="B688" s="17" t="s">
        <v>24</v>
      </c>
      <c r="C688" s="17" t="s">
        <v>122</v>
      </c>
      <c r="D688" s="17" t="s">
        <v>384</v>
      </c>
      <c r="E688" s="20">
        <f>SUM(F688:Q688)</f>
        <v>1.4732388700553873</v>
      </c>
      <c r="F688" s="20">
        <f>SUM(F689*F690)</f>
        <v>0.11859365013746098</v>
      </c>
      <c r="G688" s="20">
        <f t="shared" ref="G688:Q688" si="87">SUM(G689*G690)</f>
        <v>0.11660770990089286</v>
      </c>
      <c r="H688" s="20">
        <f t="shared" si="87"/>
        <v>0.11657321771650191</v>
      </c>
      <c r="I688" s="20">
        <f t="shared" si="87"/>
        <v>0.11703666182120687</v>
      </c>
      <c r="J688" s="20">
        <f t="shared" si="87"/>
        <v>0.13015742806217481</v>
      </c>
      <c r="K688" s="20">
        <f t="shared" si="87"/>
        <v>0.12638427530208335</v>
      </c>
      <c r="L688" s="20">
        <f t="shared" si="87"/>
        <v>0.13050035763630771</v>
      </c>
      <c r="M688" s="20">
        <f t="shared" si="87"/>
        <v>0.12639765582257118</v>
      </c>
      <c r="N688" s="20">
        <f t="shared" si="87"/>
        <v>0.12669468784303703</v>
      </c>
      <c r="O688" s="20">
        <f t="shared" si="87"/>
        <v>0.13336782604255989</v>
      </c>
      <c r="P688" s="20">
        <f t="shared" si="87"/>
        <v>0.11524927325990739</v>
      </c>
      <c r="Q688" s="20">
        <f t="shared" si="87"/>
        <v>0.11567612651068333</v>
      </c>
    </row>
    <row r="689" spans="1:17" ht="62.4" x14ac:dyDescent="0.25">
      <c r="A689" s="17" t="s">
        <v>123</v>
      </c>
      <c r="B689" s="17" t="s">
        <v>116</v>
      </c>
      <c r="C689" s="17" t="s">
        <v>124</v>
      </c>
      <c r="D689" s="17" t="s">
        <v>337</v>
      </c>
      <c r="E689" s="129">
        <f>SUM(F689:Q689)</f>
        <v>73433.315180491554</v>
      </c>
      <c r="F689" s="129">
        <v>5750.5198064516126</v>
      </c>
      <c r="G689" s="129">
        <v>5750.7141428571431</v>
      </c>
      <c r="H689" s="129">
        <v>5752.1968709677431</v>
      </c>
      <c r="I689" s="129">
        <v>5753.1370333333325</v>
      </c>
      <c r="J689" s="129">
        <v>6486.4243548387094</v>
      </c>
      <c r="K689" s="129">
        <v>6488.1767</v>
      </c>
      <c r="L689" s="129">
        <v>6486.7426129032274</v>
      </c>
      <c r="M689" s="129">
        <v>6487.4921935483881</v>
      </c>
      <c r="N689" s="129">
        <v>6487.275466666666</v>
      </c>
      <c r="O689" s="129">
        <v>6487.3726774193547</v>
      </c>
      <c r="P689" s="129">
        <v>5752.0779666666667</v>
      </c>
      <c r="Q689" s="129">
        <v>5751.1853548387098</v>
      </c>
    </row>
    <row r="690" spans="1:17" ht="46.8" x14ac:dyDescent="0.25">
      <c r="A690" s="17" t="s">
        <v>125</v>
      </c>
      <c r="B690" s="17" t="s">
        <v>119</v>
      </c>
      <c r="C690" s="17" t="s">
        <v>126</v>
      </c>
      <c r="D690" s="35" t="s">
        <v>339</v>
      </c>
      <c r="E690" s="131">
        <f>AVERAGE(F690:Q690)</f>
        <v>2.0074424574583429E-5</v>
      </c>
      <c r="F690" s="131">
        <f>'Baseline Emissions 2021'!F669</f>
        <v>2.0623118279569894E-5</v>
      </c>
      <c r="G690" s="131">
        <f>'Baseline Emissions 2021'!G669</f>
        <v>2.0277083333333333E-5</v>
      </c>
      <c r="H690" s="131">
        <f>'Baseline Emissions 2021'!H669</f>
        <v>2.026586021505376E-5</v>
      </c>
      <c r="I690" s="131">
        <f>'Baseline Emissions 2021'!I669</f>
        <v>2.034310344827586E-5</v>
      </c>
      <c r="J690" s="131">
        <f>'Baseline Emissions 2021'!J669</f>
        <v>2.0066129032258064E-5</v>
      </c>
      <c r="K690" s="131">
        <f>'Baseline Emissions 2021'!K669</f>
        <v>1.9479166666666668E-5</v>
      </c>
      <c r="L690" s="131">
        <f>'Baseline Emissions 2021'!L669</f>
        <v>2.0118010752688175E-5</v>
      </c>
      <c r="M690" s="131">
        <f>'Baseline Emissions 2021'!M669</f>
        <v>1.9483284457478002E-5</v>
      </c>
      <c r="N690" s="131">
        <f>'Baseline Emissions 2021'!N669</f>
        <v>1.9529722222222225E-5</v>
      </c>
      <c r="O690" s="131">
        <f>'Baseline Emissions 2021'!O669</f>
        <v>2.0558064516129041E-5</v>
      </c>
      <c r="P690" s="131">
        <f>'Baseline Emissions 2021'!P669</f>
        <v>2.0036111111111108E-5</v>
      </c>
      <c r="Q690" s="131">
        <f>'Baseline Emissions 2021'!Q669</f>
        <v>2.0113440860215056E-5</v>
      </c>
    </row>
    <row r="691" spans="1:17" ht="31.2" x14ac:dyDescent="0.25">
      <c r="A691" s="17" t="s">
        <v>127</v>
      </c>
      <c r="B691" s="17" t="s">
        <v>128</v>
      </c>
      <c r="C691" s="17" t="s">
        <v>17</v>
      </c>
      <c r="D691" s="17" t="s">
        <v>129</v>
      </c>
      <c r="E691" s="176">
        <v>28</v>
      </c>
      <c r="F691" s="176"/>
      <c r="G691" s="176"/>
      <c r="H691" s="176"/>
      <c r="I691" s="176"/>
      <c r="J691" s="176"/>
      <c r="K691" s="176"/>
      <c r="L691" s="176"/>
      <c r="M691" s="176"/>
      <c r="N691" s="176"/>
      <c r="O691" s="176"/>
      <c r="P691" s="176"/>
      <c r="Q691" s="176"/>
    </row>
    <row r="692" spans="1:17" ht="64.8" x14ac:dyDescent="0.25">
      <c r="A692" s="17" t="s">
        <v>130</v>
      </c>
      <c r="B692" s="17" t="s">
        <v>19</v>
      </c>
      <c r="C692" s="17" t="s">
        <v>131</v>
      </c>
      <c r="D692" s="17" t="s">
        <v>394</v>
      </c>
      <c r="E692" s="176">
        <v>0.21</v>
      </c>
      <c r="F692" s="176"/>
      <c r="G692" s="176"/>
      <c r="H692" s="176"/>
      <c r="I692" s="176"/>
      <c r="J692" s="176"/>
      <c r="K692" s="176"/>
      <c r="L692" s="176"/>
      <c r="M692" s="176"/>
      <c r="N692" s="176"/>
      <c r="O692" s="176"/>
      <c r="P692" s="176"/>
      <c r="Q692" s="176"/>
    </row>
    <row r="693" spans="1:17" ht="46.8" x14ac:dyDescent="0.25">
      <c r="A693" s="17" t="s">
        <v>132</v>
      </c>
      <c r="B693" s="17" t="s">
        <v>103</v>
      </c>
      <c r="C693" s="17" t="s">
        <v>133</v>
      </c>
      <c r="D693" s="17" t="s">
        <v>385</v>
      </c>
      <c r="E693" s="19">
        <f>SUM(F693:Q693)</f>
        <v>0</v>
      </c>
      <c r="F693" s="19">
        <f>$E$691*$E$692*F694*F688*F681</f>
        <v>0</v>
      </c>
      <c r="G693" s="19">
        <f t="shared" ref="G693:Q693" si="88">$E$691*$E$692*G694*G688*G681</f>
        <v>0</v>
      </c>
      <c r="H693" s="19">
        <f t="shared" si="88"/>
        <v>0</v>
      </c>
      <c r="I693" s="19">
        <f t="shared" si="88"/>
        <v>0</v>
      </c>
      <c r="J693" s="19">
        <f t="shared" si="88"/>
        <v>0</v>
      </c>
      <c r="K693" s="19">
        <f t="shared" si="88"/>
        <v>0</v>
      </c>
      <c r="L693" s="19">
        <f t="shared" si="88"/>
        <v>0</v>
      </c>
      <c r="M693" s="19">
        <f t="shared" si="88"/>
        <v>0</v>
      </c>
      <c r="N693" s="19">
        <f t="shared" si="88"/>
        <v>0</v>
      </c>
      <c r="O693" s="19">
        <f t="shared" si="88"/>
        <v>0</v>
      </c>
      <c r="P693" s="19">
        <f t="shared" si="88"/>
        <v>0</v>
      </c>
      <c r="Q693" s="19">
        <f t="shared" si="88"/>
        <v>0</v>
      </c>
    </row>
    <row r="694" spans="1:17" ht="18" x14ac:dyDescent="0.25">
      <c r="A694" s="17" t="s">
        <v>134</v>
      </c>
      <c r="B694" s="17" t="s">
        <v>37</v>
      </c>
      <c r="C694" s="17" t="s">
        <v>135</v>
      </c>
      <c r="D694" s="17" t="s">
        <v>386</v>
      </c>
      <c r="E694" s="26">
        <f>AVERAGE(F694:Q694)</f>
        <v>0</v>
      </c>
      <c r="F694" s="26">
        <f>F695*$E$696*0.89</f>
        <v>0</v>
      </c>
      <c r="G694" s="26">
        <f t="shared" ref="G694:Q694" si="89">G695*$E$696*0.89</f>
        <v>0</v>
      </c>
      <c r="H694" s="26">
        <f t="shared" si="89"/>
        <v>0</v>
      </c>
      <c r="I694" s="26">
        <f t="shared" si="89"/>
        <v>0</v>
      </c>
      <c r="J694" s="26">
        <f t="shared" si="89"/>
        <v>0</v>
      </c>
      <c r="K694" s="26">
        <f t="shared" si="89"/>
        <v>0</v>
      </c>
      <c r="L694" s="26">
        <f t="shared" si="89"/>
        <v>0</v>
      </c>
      <c r="M694" s="26">
        <f t="shared" si="89"/>
        <v>0</v>
      </c>
      <c r="N694" s="26">
        <f t="shared" si="89"/>
        <v>0</v>
      </c>
      <c r="O694" s="26">
        <f t="shared" si="89"/>
        <v>0</v>
      </c>
      <c r="P694" s="26">
        <f t="shared" si="89"/>
        <v>0</v>
      </c>
      <c r="Q694" s="26">
        <f t="shared" si="89"/>
        <v>0</v>
      </c>
    </row>
    <row r="695" spans="1:17" ht="31.2" x14ac:dyDescent="0.25">
      <c r="A695" s="17" t="s">
        <v>136</v>
      </c>
      <c r="B695" s="17" t="s">
        <v>37</v>
      </c>
      <c r="C695" s="17" t="s">
        <v>46</v>
      </c>
      <c r="D695" s="17" t="s">
        <v>387</v>
      </c>
      <c r="E695" s="25">
        <v>0</v>
      </c>
      <c r="F695" s="25">
        <v>0</v>
      </c>
      <c r="G695" s="25">
        <v>0</v>
      </c>
      <c r="H695" s="25">
        <v>0</v>
      </c>
      <c r="I695" s="25">
        <v>0</v>
      </c>
      <c r="J695" s="25">
        <v>0</v>
      </c>
      <c r="K695" s="25">
        <v>0</v>
      </c>
      <c r="L695" s="25">
        <v>0</v>
      </c>
      <c r="M695" s="25">
        <v>0</v>
      </c>
      <c r="N695" s="25">
        <v>0</v>
      </c>
      <c r="O695" s="25">
        <v>0</v>
      </c>
      <c r="P695" s="25">
        <v>0</v>
      </c>
      <c r="Q695" s="25">
        <v>0</v>
      </c>
    </row>
    <row r="696" spans="1:17" ht="31.2" x14ac:dyDescent="0.25">
      <c r="A696" s="17" t="s">
        <v>137</v>
      </c>
      <c r="B696" s="17" t="s">
        <v>201</v>
      </c>
      <c r="C696" s="17" t="s">
        <v>138</v>
      </c>
      <c r="D696" s="17" t="s">
        <v>388</v>
      </c>
      <c r="E696" s="196">
        <f>(F697*F702+G697*G702+H697*H702+I697*I702+J697*J702+K697*K702+L697*L702+M697*M702+N697*N702+O697*O702+P697*P702+Q697*Q702)/(F689*F690*F681+G690*G689*G681+H689*H690*H681+I690*I689*I681+J690*J689*J681+K690*K689*K681+L690*L689*L681+M690*M689*M681+N690*N689*N681+O689*O690*O681+P690*P689*P681+Q690*Q689*Q681)</f>
        <v>0.61839618228433679</v>
      </c>
      <c r="F696" s="196"/>
      <c r="G696" s="196"/>
      <c r="H696" s="196"/>
      <c r="I696" s="196"/>
      <c r="J696" s="196"/>
      <c r="K696" s="196"/>
      <c r="L696" s="196"/>
      <c r="M696" s="196"/>
      <c r="N696" s="196"/>
      <c r="O696" s="196"/>
      <c r="P696" s="196"/>
      <c r="Q696" s="196"/>
    </row>
    <row r="697" spans="1:17" ht="31.2" x14ac:dyDescent="0.25">
      <c r="A697" s="17" t="s">
        <v>139</v>
      </c>
      <c r="B697" s="17" t="s">
        <v>37</v>
      </c>
      <c r="C697" s="17" t="s">
        <v>140</v>
      </c>
      <c r="D697" s="17" t="s">
        <v>375</v>
      </c>
      <c r="E697" s="27">
        <f>AVERAGE(F697:Q697)</f>
        <v>0.60592893399371917</v>
      </c>
      <c r="F697" s="27">
        <f>IF(F701&lt;283,0,IF(F701&gt;303,1,EXP(($E$698*(F701-$E$699))/($E$700*$E$699*F701))))</f>
        <v>0.21347704492026076</v>
      </c>
      <c r="G697" s="27">
        <f t="shared" ref="G697:Q697" si="90">IF(G701&lt;283,0,IF(G701&gt;303,1,EXP(($E$698*(G701-$E$699))/($E$700*$E$699*G701))))</f>
        <v>0.37002059672690846</v>
      </c>
      <c r="H697" s="27">
        <f t="shared" si="90"/>
        <v>0.40465607403307924</v>
      </c>
      <c r="I697" s="27">
        <f t="shared" si="90"/>
        <v>0.52733825786216582</v>
      </c>
      <c r="J697" s="27">
        <f t="shared" si="90"/>
        <v>0.77675425208684001</v>
      </c>
      <c r="K697" s="27">
        <f t="shared" si="90"/>
        <v>0.88152221926734242</v>
      </c>
      <c r="L697" s="27">
        <f t="shared" si="90"/>
        <v>1</v>
      </c>
      <c r="M697" s="27">
        <f t="shared" si="90"/>
        <v>0.95843738031531212</v>
      </c>
      <c r="N697" s="27">
        <f t="shared" si="90"/>
        <v>1</v>
      </c>
      <c r="O697" s="27">
        <f t="shared" si="90"/>
        <v>0.55084569341606926</v>
      </c>
      <c r="P697" s="27">
        <f t="shared" si="90"/>
        <v>0.35374940126825682</v>
      </c>
      <c r="Q697" s="27">
        <f t="shared" si="90"/>
        <v>0.23434628802839541</v>
      </c>
    </row>
    <row r="698" spans="1:17" x14ac:dyDescent="0.25">
      <c r="A698" s="17" t="s">
        <v>51</v>
      </c>
      <c r="B698" s="17" t="s">
        <v>52</v>
      </c>
      <c r="C698" s="17" t="s">
        <v>53</v>
      </c>
      <c r="D698" s="17" t="s">
        <v>389</v>
      </c>
      <c r="E698" s="176">
        <v>15175</v>
      </c>
      <c r="F698" s="176"/>
      <c r="G698" s="176"/>
      <c r="H698" s="176"/>
      <c r="I698" s="176"/>
      <c r="J698" s="176"/>
      <c r="K698" s="176"/>
      <c r="L698" s="176"/>
      <c r="M698" s="176"/>
      <c r="N698" s="176"/>
      <c r="O698" s="176"/>
      <c r="P698" s="176"/>
      <c r="Q698" s="176"/>
    </row>
    <row r="699" spans="1:17" ht="18" x14ac:dyDescent="0.25">
      <c r="A699" s="17" t="s">
        <v>141</v>
      </c>
      <c r="B699" s="17" t="s">
        <v>55</v>
      </c>
      <c r="C699" s="17" t="s">
        <v>56</v>
      </c>
      <c r="D699" s="17" t="s">
        <v>389</v>
      </c>
      <c r="E699" s="176">
        <v>303.16000000000003</v>
      </c>
      <c r="F699" s="176"/>
      <c r="G699" s="176"/>
      <c r="H699" s="176"/>
      <c r="I699" s="176"/>
      <c r="J699" s="176"/>
      <c r="K699" s="176"/>
      <c r="L699" s="176"/>
      <c r="M699" s="176"/>
      <c r="N699" s="176"/>
      <c r="O699" s="176"/>
      <c r="P699" s="176"/>
      <c r="Q699" s="176"/>
    </row>
    <row r="700" spans="1:17" x14ac:dyDescent="0.25">
      <c r="A700" s="17" t="s">
        <v>57</v>
      </c>
      <c r="B700" s="17" t="s">
        <v>58</v>
      </c>
      <c r="C700" s="17" t="s">
        <v>59</v>
      </c>
      <c r="D700" s="17" t="s">
        <v>389</v>
      </c>
      <c r="E700" s="176">
        <v>1.9870000000000001</v>
      </c>
      <c r="F700" s="176"/>
      <c r="G700" s="176"/>
      <c r="H700" s="176"/>
      <c r="I700" s="176"/>
      <c r="J700" s="176"/>
      <c r="K700" s="176"/>
      <c r="L700" s="176"/>
      <c r="M700" s="176"/>
      <c r="N700" s="176"/>
      <c r="O700" s="176"/>
      <c r="P700" s="176"/>
      <c r="Q700" s="176"/>
    </row>
    <row r="701" spans="1:17" ht="18" x14ac:dyDescent="0.25">
      <c r="A701" s="17" t="s">
        <v>142</v>
      </c>
      <c r="B701" s="17" t="s">
        <v>55</v>
      </c>
      <c r="C701" s="17" t="s">
        <v>143</v>
      </c>
      <c r="D701" s="144" t="s">
        <v>363</v>
      </c>
      <c r="E701" s="28">
        <f>AVERAGE(F701:Q701)</f>
        <v>295.85833333333341</v>
      </c>
      <c r="F701" s="25">
        <v>285.64999999999998</v>
      </c>
      <c r="G701" s="25">
        <v>291.64999999999998</v>
      </c>
      <c r="H701" s="25">
        <v>292.64999999999998</v>
      </c>
      <c r="I701" s="25">
        <v>295.64999999999998</v>
      </c>
      <c r="J701" s="25">
        <v>300.14999999999998</v>
      </c>
      <c r="K701" s="25">
        <v>301.64999999999998</v>
      </c>
      <c r="L701" s="25">
        <v>303.14999999999998</v>
      </c>
      <c r="M701" s="25">
        <v>302.64999999999998</v>
      </c>
      <c r="N701" s="25">
        <v>303.14999999999998</v>
      </c>
      <c r="O701" s="25">
        <v>296.14999999999998</v>
      </c>
      <c r="P701" s="25">
        <v>291.14999999999998</v>
      </c>
      <c r="Q701" s="25">
        <v>286.64999999999998</v>
      </c>
    </row>
    <row r="702" spans="1:17" ht="46.8" x14ac:dyDescent="0.25">
      <c r="A702" s="17" t="s">
        <v>144</v>
      </c>
      <c r="B702" s="17" t="s">
        <v>24</v>
      </c>
      <c r="C702" s="17" t="s">
        <v>145</v>
      </c>
      <c r="D702" s="17" t="s">
        <v>390</v>
      </c>
      <c r="E702" s="29">
        <f>SUM(F702:Q702)</f>
        <v>44.835216943788097</v>
      </c>
      <c r="F702" s="29">
        <f>F689*F690*'Project Emissions 2021'!F681+(1-F697)*0</f>
        <v>3.6764031542612905</v>
      </c>
      <c r="G702" s="29">
        <f>G689*G690*'Project Emissions 2021'!G681+(1-G697)*0</f>
        <v>3.2650158772250002</v>
      </c>
      <c r="H702" s="29">
        <f>H689*H690*'Project Emissions 2021'!H681+(1-H697)*0</f>
        <v>3.613769749211559</v>
      </c>
      <c r="I702" s="29">
        <f>I689*I690*'Project Emissions 2021'!I681+(1-I697)*0</f>
        <v>3.511099854636206</v>
      </c>
      <c r="J702" s="29">
        <f>J689*J690*'Project Emissions 2021'!J681+(1-J697)*0</f>
        <v>4.0348802699274193</v>
      </c>
      <c r="K702" s="29">
        <f>K689*K690*'Project Emissions 2021'!K681+(1-K697)*0</f>
        <v>3.7915282590625004</v>
      </c>
      <c r="L702" s="29">
        <f>L689*L690*'Project Emissions 2021'!L681+(1-L697)*0</f>
        <v>4.0455110867255391</v>
      </c>
      <c r="M702" s="29">
        <f>M689*M690*'Project Emissions 2021'!M681+(1-M697)*0</f>
        <v>3.9183273304997064</v>
      </c>
      <c r="N702" s="29">
        <f>N689*N690*'Project Emissions 2021'!N681+(1-N697)*0</f>
        <v>3.8008406352911108</v>
      </c>
      <c r="O702" s="29">
        <f>O689*O690*'Project Emissions 2021'!O681+(1-O697)*0</f>
        <v>4.1344026073193572</v>
      </c>
      <c r="P702" s="29">
        <f>P689*P690*'Project Emissions 2021'!P681+(1-P697)*0</f>
        <v>3.4574781977972218</v>
      </c>
      <c r="Q702" s="29">
        <f>Q689*Q690*'Project Emissions 2021'!Q681+(1-Q697)*0</f>
        <v>3.5859599218311833</v>
      </c>
    </row>
    <row r="703" spans="1:17" x14ac:dyDescent="0.3">
      <c r="A703" s="30"/>
      <c r="E703" s="31"/>
      <c r="F703" s="31"/>
      <c r="G703" s="31"/>
      <c r="H703" s="31"/>
      <c r="I703" s="31"/>
      <c r="J703" s="31"/>
      <c r="K703" s="31"/>
      <c r="L703" s="31"/>
      <c r="M703" s="31"/>
      <c r="N703" s="31"/>
      <c r="O703" s="31"/>
      <c r="P703" s="31"/>
      <c r="Q703" s="31"/>
    </row>
    <row r="704" spans="1:17" x14ac:dyDescent="0.25">
      <c r="A704" s="174" t="s">
        <v>146</v>
      </c>
      <c r="B704" s="174"/>
      <c r="C704" s="175"/>
      <c r="D704" s="175"/>
      <c r="E704" s="195"/>
      <c r="F704" s="32"/>
      <c r="G704" s="32"/>
      <c r="H704" s="32"/>
      <c r="I704" s="32"/>
      <c r="J704" s="32"/>
      <c r="K704" s="32"/>
      <c r="L704" s="32"/>
      <c r="M704" s="32"/>
      <c r="N704" s="32"/>
      <c r="O704" s="32"/>
      <c r="P704" s="32"/>
      <c r="Q704" s="32"/>
    </row>
    <row r="705" spans="1:19" x14ac:dyDescent="0.25">
      <c r="A705" s="33" t="s">
        <v>8</v>
      </c>
      <c r="B705" s="33" t="s">
        <v>9</v>
      </c>
      <c r="C705" s="34" t="s">
        <v>10</v>
      </c>
      <c r="D705" s="34" t="s">
        <v>340</v>
      </c>
      <c r="E705" s="16" t="s">
        <v>65</v>
      </c>
      <c r="F705" s="32"/>
      <c r="G705" s="32"/>
      <c r="H705" s="32"/>
      <c r="I705" s="32"/>
      <c r="J705" s="32"/>
      <c r="K705" s="32"/>
      <c r="L705" s="32"/>
      <c r="M705" s="32"/>
      <c r="N705" s="32"/>
      <c r="O705" s="32"/>
      <c r="P705" s="32"/>
      <c r="Q705" s="32"/>
    </row>
    <row r="706" spans="1:19" ht="46.8" x14ac:dyDescent="0.25">
      <c r="A706" s="15" t="s">
        <v>147</v>
      </c>
      <c r="B706" s="17" t="s">
        <v>95</v>
      </c>
      <c r="C706" s="35" t="s">
        <v>148</v>
      </c>
      <c r="D706" s="35" t="s">
        <v>68</v>
      </c>
      <c r="E706" s="16">
        <v>0</v>
      </c>
      <c r="F706" s="32"/>
      <c r="G706" s="32"/>
      <c r="H706" s="32"/>
      <c r="I706" s="32"/>
      <c r="J706" s="32"/>
      <c r="K706" s="32"/>
      <c r="L706" s="32"/>
      <c r="M706" s="32"/>
      <c r="N706" s="32"/>
      <c r="O706" s="32"/>
      <c r="P706" s="32"/>
      <c r="Q706" s="32"/>
    </row>
    <row r="707" spans="1:19" x14ac:dyDescent="0.25">
      <c r="A707" s="36"/>
      <c r="B707" s="36"/>
      <c r="C707" s="37"/>
      <c r="D707" s="37"/>
      <c r="E707" s="32"/>
      <c r="F707" s="32"/>
      <c r="G707" s="32"/>
      <c r="H707" s="32"/>
      <c r="I707" s="32"/>
      <c r="J707" s="32"/>
      <c r="K707" s="32"/>
      <c r="L707" s="32"/>
      <c r="M707" s="32"/>
      <c r="N707" s="32"/>
      <c r="O707" s="32"/>
      <c r="P707" s="32"/>
      <c r="Q707" s="32"/>
    </row>
    <row r="708" spans="1:19" x14ac:dyDescent="0.25">
      <c r="A708" s="174" t="s">
        <v>149</v>
      </c>
      <c r="B708" s="174"/>
      <c r="C708" s="175"/>
      <c r="D708" s="175"/>
      <c r="E708" s="195"/>
      <c r="F708" s="32"/>
      <c r="G708" s="32"/>
      <c r="H708" s="32"/>
      <c r="I708" s="32"/>
      <c r="J708" s="32"/>
      <c r="K708" s="32"/>
      <c r="L708" s="32"/>
      <c r="M708" s="32"/>
      <c r="N708" s="32"/>
      <c r="O708" s="32"/>
      <c r="P708" s="32"/>
      <c r="Q708" s="32"/>
    </row>
    <row r="709" spans="1:19" x14ac:dyDescent="0.25">
      <c r="A709" s="33" t="s">
        <v>8</v>
      </c>
      <c r="B709" s="33" t="s">
        <v>9</v>
      </c>
      <c r="C709" s="34" t="s">
        <v>10</v>
      </c>
      <c r="D709" s="34" t="s">
        <v>340</v>
      </c>
      <c r="E709" s="16" t="s">
        <v>65</v>
      </c>
      <c r="F709" s="32"/>
      <c r="G709" s="32"/>
      <c r="H709" s="32"/>
      <c r="I709" s="32"/>
      <c r="J709" s="32"/>
      <c r="K709" s="32"/>
      <c r="L709" s="32"/>
      <c r="M709" s="32"/>
      <c r="N709" s="32"/>
      <c r="O709" s="32"/>
      <c r="P709" s="32"/>
      <c r="Q709" s="32"/>
    </row>
    <row r="710" spans="1:19" ht="46.8" x14ac:dyDescent="0.25">
      <c r="A710" s="15" t="s">
        <v>150</v>
      </c>
      <c r="B710" s="17" t="s">
        <v>95</v>
      </c>
      <c r="C710" s="35" t="s">
        <v>151</v>
      </c>
      <c r="D710" s="35" t="s">
        <v>68</v>
      </c>
      <c r="E710" s="16">
        <v>0</v>
      </c>
      <c r="F710" s="32"/>
      <c r="G710" s="32"/>
      <c r="H710" s="32"/>
      <c r="I710" s="32"/>
      <c r="J710" s="32"/>
      <c r="K710" s="32"/>
      <c r="L710" s="32"/>
      <c r="M710" s="32"/>
      <c r="N710" s="32"/>
      <c r="O710" s="32"/>
      <c r="P710" s="32"/>
      <c r="Q710" s="32"/>
    </row>
    <row r="711" spans="1:19" x14ac:dyDescent="0.25">
      <c r="F711" s="32"/>
      <c r="G711" s="32"/>
      <c r="H711" s="32"/>
      <c r="I711" s="32"/>
      <c r="J711" s="32"/>
      <c r="K711" s="32"/>
      <c r="L711" s="32"/>
      <c r="M711" s="32"/>
      <c r="N711" s="32"/>
      <c r="O711" s="32"/>
      <c r="P711" s="32"/>
      <c r="Q711" s="32"/>
    </row>
    <row r="712" spans="1:19" x14ac:dyDescent="0.25">
      <c r="A712" s="174" t="s">
        <v>152</v>
      </c>
      <c r="B712" s="174"/>
      <c r="C712" s="175"/>
      <c r="D712" s="175"/>
      <c r="E712" s="195"/>
      <c r="F712" s="32"/>
      <c r="G712" s="32"/>
      <c r="H712" s="32"/>
      <c r="I712" s="32"/>
      <c r="J712" s="32"/>
      <c r="K712" s="32"/>
      <c r="L712" s="32"/>
      <c r="M712" s="32"/>
      <c r="N712" s="32"/>
      <c r="O712" s="32"/>
      <c r="P712" s="32"/>
      <c r="Q712" s="32"/>
    </row>
    <row r="713" spans="1:19" s="10" customFormat="1" x14ac:dyDescent="0.25">
      <c r="A713" s="15" t="s">
        <v>8</v>
      </c>
      <c r="B713" s="15" t="s">
        <v>9</v>
      </c>
      <c r="C713" s="38" t="s">
        <v>10</v>
      </c>
      <c r="D713" s="38" t="s">
        <v>340</v>
      </c>
      <c r="E713" s="16" t="s">
        <v>65</v>
      </c>
      <c r="F713" s="32"/>
      <c r="G713" s="32"/>
      <c r="H713" s="39"/>
      <c r="I713" s="39"/>
      <c r="J713" s="39"/>
      <c r="K713" s="39"/>
      <c r="L713" s="39"/>
      <c r="M713" s="39"/>
      <c r="N713" s="39"/>
      <c r="O713" s="39"/>
      <c r="P713" s="39"/>
      <c r="Q713" s="39"/>
    </row>
    <row r="714" spans="1:19" s="10" customFormat="1" ht="18" x14ac:dyDescent="0.4">
      <c r="A714" s="40" t="s">
        <v>153</v>
      </c>
      <c r="B714" s="17" t="s">
        <v>103</v>
      </c>
      <c r="C714" s="35" t="s">
        <v>154</v>
      </c>
      <c r="D714" s="35" t="s">
        <v>155</v>
      </c>
      <c r="E714" s="41">
        <f>E715*E717*(1+E716)</f>
        <v>551.68699990440007</v>
      </c>
      <c r="F714" s="32"/>
      <c r="G714" s="32"/>
      <c r="H714" s="39"/>
      <c r="I714" s="39"/>
      <c r="J714" s="39"/>
      <c r="K714" s="39"/>
      <c r="L714" s="39"/>
      <c r="M714" s="39"/>
      <c r="N714" s="39"/>
      <c r="O714" s="39"/>
      <c r="P714" s="39"/>
      <c r="Q714" s="39"/>
    </row>
    <row r="715" spans="1:19" ht="31.2" x14ac:dyDescent="0.25">
      <c r="A715" s="17" t="s">
        <v>156</v>
      </c>
      <c r="B715" s="17" t="s">
        <v>157</v>
      </c>
      <c r="C715" s="35" t="s">
        <v>158</v>
      </c>
      <c r="D715" s="35" t="s">
        <v>343</v>
      </c>
      <c r="E715" s="20">
        <f>903486.62/1000</f>
        <v>903.48662000000002</v>
      </c>
      <c r="G715" s="42"/>
      <c r="H715" s="43"/>
      <c r="I715" s="43"/>
      <c r="J715" s="43"/>
      <c r="K715" s="43"/>
      <c r="L715" s="43"/>
      <c r="M715" s="43"/>
      <c r="N715" s="43"/>
      <c r="O715" s="43"/>
      <c r="P715" s="43"/>
      <c r="Q715" s="43"/>
      <c r="R715" s="9"/>
      <c r="S715" s="9"/>
    </row>
    <row r="716" spans="1:19" ht="31.2" x14ac:dyDescent="0.25">
      <c r="A716" s="17" t="s">
        <v>159</v>
      </c>
      <c r="B716" s="17" t="s">
        <v>160</v>
      </c>
      <c r="C716" s="35" t="s">
        <v>161</v>
      </c>
      <c r="D716" s="35" t="s">
        <v>162</v>
      </c>
      <c r="E716" s="44">
        <v>0.2</v>
      </c>
      <c r="H716" s="43"/>
      <c r="I716" s="43"/>
      <c r="J716" s="43"/>
      <c r="K716" s="43"/>
      <c r="L716" s="43"/>
      <c r="M716" s="43"/>
      <c r="N716" s="43"/>
      <c r="O716" s="43"/>
      <c r="P716" s="43"/>
      <c r="Q716" s="43"/>
      <c r="R716" s="9"/>
      <c r="S716" s="9"/>
    </row>
    <row r="717" spans="1:19" ht="46.8" x14ac:dyDescent="0.25">
      <c r="A717" s="17" t="s">
        <v>163</v>
      </c>
      <c r="B717" s="17" t="s">
        <v>164</v>
      </c>
      <c r="C717" s="35" t="s">
        <v>165</v>
      </c>
      <c r="D717" s="35" t="s">
        <v>166</v>
      </c>
      <c r="E717" s="45">
        <f>0.5*0.8042+0.5*0.2135</f>
        <v>0.50885000000000002</v>
      </c>
      <c r="F717" s="46"/>
      <c r="G717" s="46"/>
      <c r="H717" s="46"/>
      <c r="I717" s="46"/>
      <c r="J717" s="46"/>
      <c r="K717" s="46"/>
      <c r="L717" s="46"/>
      <c r="M717" s="46"/>
      <c r="N717" s="46"/>
      <c r="O717" s="46"/>
      <c r="P717" s="46"/>
      <c r="Q717" s="46"/>
    </row>
    <row r="718" spans="1:19" ht="31.2" x14ac:dyDescent="0.4">
      <c r="A718" s="40" t="s">
        <v>167</v>
      </c>
      <c r="B718" s="17" t="s">
        <v>103</v>
      </c>
      <c r="C718" s="35" t="s">
        <v>168</v>
      </c>
      <c r="D718" s="35" t="s">
        <v>169</v>
      </c>
      <c r="E718" s="47">
        <v>0</v>
      </c>
      <c r="H718" s="43"/>
      <c r="I718" s="43"/>
      <c r="J718" s="43"/>
      <c r="K718" s="43"/>
      <c r="L718" s="43"/>
      <c r="M718" s="43"/>
      <c r="N718" s="43"/>
      <c r="O718" s="43"/>
      <c r="P718" s="43"/>
      <c r="Q718" s="43"/>
      <c r="R718" s="9"/>
      <c r="S718" s="9"/>
    </row>
    <row r="719" spans="1:19" x14ac:dyDescent="0.3">
      <c r="A719" s="48"/>
      <c r="E719" s="49"/>
      <c r="H719" s="43"/>
      <c r="I719" s="43"/>
      <c r="J719" s="43"/>
      <c r="K719" s="43"/>
      <c r="L719" s="43"/>
      <c r="M719" s="43"/>
      <c r="N719" s="43"/>
      <c r="O719" s="43"/>
      <c r="P719" s="43"/>
      <c r="Q719" s="43"/>
      <c r="R719" s="9"/>
      <c r="S719" s="9"/>
    </row>
    <row r="720" spans="1:19" x14ac:dyDescent="0.25">
      <c r="A720" s="174" t="s">
        <v>170</v>
      </c>
      <c r="B720" s="174"/>
      <c r="C720" s="175"/>
      <c r="D720" s="175"/>
      <c r="E720" s="195"/>
      <c r="F720" s="32"/>
      <c r="G720" s="32"/>
      <c r="H720" s="32"/>
      <c r="I720" s="32"/>
      <c r="J720" s="32"/>
      <c r="K720" s="32"/>
      <c r="L720" s="32"/>
      <c r="M720" s="32"/>
      <c r="N720" s="32"/>
      <c r="O720" s="32"/>
      <c r="P720" s="32"/>
      <c r="Q720" s="32"/>
    </row>
    <row r="721" spans="1:133" x14ac:dyDescent="0.25">
      <c r="A721" s="15" t="s">
        <v>8</v>
      </c>
      <c r="B721" s="15" t="s">
        <v>9</v>
      </c>
      <c r="C721" s="38" t="s">
        <v>10</v>
      </c>
      <c r="D721" s="38" t="s">
        <v>340</v>
      </c>
      <c r="E721" s="16" t="s">
        <v>65</v>
      </c>
      <c r="H721" s="43"/>
      <c r="I721" s="43"/>
      <c r="J721" s="43"/>
      <c r="K721" s="43"/>
      <c r="L721" s="43"/>
      <c r="M721" s="43"/>
      <c r="N721" s="43"/>
      <c r="O721" s="43"/>
      <c r="P721" s="43"/>
      <c r="Q721" s="43"/>
      <c r="R721" s="9"/>
      <c r="S721" s="9"/>
    </row>
    <row r="722" spans="1:133" ht="33.6" x14ac:dyDescent="0.4">
      <c r="A722" s="40" t="s">
        <v>171</v>
      </c>
      <c r="B722" s="17" t="s">
        <v>74</v>
      </c>
      <c r="C722" s="35" t="s">
        <v>172</v>
      </c>
      <c r="D722" s="35" t="s">
        <v>391</v>
      </c>
      <c r="E722" s="50">
        <f>E723*E726*E727*E728*E729*E730</f>
        <v>17.789840106895578</v>
      </c>
      <c r="H722" s="43"/>
      <c r="I722" s="43"/>
      <c r="J722" s="43"/>
      <c r="K722" s="43"/>
      <c r="L722" s="43"/>
      <c r="M722" s="43"/>
      <c r="N722" s="43"/>
      <c r="O722" s="43"/>
      <c r="P722" s="43"/>
      <c r="Q722" s="43"/>
      <c r="R722" s="9"/>
      <c r="S722" s="9"/>
    </row>
    <row r="723" spans="1:133" ht="46.8" x14ac:dyDescent="0.4">
      <c r="A723" s="51" t="s">
        <v>173</v>
      </c>
      <c r="B723" s="17" t="s">
        <v>76</v>
      </c>
      <c r="C723" s="35" t="s">
        <v>174</v>
      </c>
      <c r="D723" s="35" t="s">
        <v>392</v>
      </c>
      <c r="E723" s="69">
        <f>ROUNDUP(E724/E725,0)</f>
        <v>307</v>
      </c>
      <c r="H723" s="43"/>
      <c r="I723" s="43"/>
      <c r="J723" s="43"/>
      <c r="K723" s="43"/>
      <c r="L723" s="43"/>
      <c r="M723" s="43"/>
      <c r="N723" s="43"/>
      <c r="O723" s="43"/>
      <c r="P723" s="43"/>
      <c r="Q723" s="43"/>
      <c r="R723" s="9"/>
      <c r="S723" s="9"/>
    </row>
    <row r="724" spans="1:133" ht="62.4" x14ac:dyDescent="0.25">
      <c r="A724" s="17" t="s">
        <v>175</v>
      </c>
      <c r="B724" s="17" t="s">
        <v>78</v>
      </c>
      <c r="C724" s="35" t="s">
        <v>176</v>
      </c>
      <c r="D724" s="35" t="s">
        <v>346</v>
      </c>
      <c r="E724" s="52">
        <v>1533.1709999999998</v>
      </c>
      <c r="H724" s="43"/>
      <c r="I724" s="43"/>
      <c r="J724" s="43"/>
      <c r="K724" s="43"/>
      <c r="L724" s="43"/>
      <c r="M724" s="43"/>
      <c r="N724" s="43"/>
      <c r="O724" s="43"/>
      <c r="P724" s="43"/>
      <c r="Q724" s="43"/>
      <c r="R724" s="9"/>
      <c r="S724" s="9"/>
    </row>
    <row r="725" spans="1:133" ht="62.4" x14ac:dyDescent="0.25">
      <c r="A725" s="17" t="s">
        <v>177</v>
      </c>
      <c r="B725" s="17" t="s">
        <v>80</v>
      </c>
      <c r="C725" s="35" t="s">
        <v>81</v>
      </c>
      <c r="D725" s="35" t="s">
        <v>345</v>
      </c>
      <c r="E725" s="25">
        <f>5</f>
        <v>5</v>
      </c>
      <c r="H725" s="43"/>
      <c r="I725" s="43"/>
      <c r="J725" s="43"/>
      <c r="K725" s="43"/>
      <c r="L725" s="43"/>
      <c r="M725" s="43"/>
      <c r="N725" s="43"/>
      <c r="O725" s="43"/>
      <c r="P725" s="43"/>
      <c r="Q725" s="43"/>
      <c r="R725" s="9"/>
      <c r="S725" s="9"/>
    </row>
    <row r="726" spans="1:133" ht="202.8" x14ac:dyDescent="0.25">
      <c r="A726" s="17" t="s">
        <v>178</v>
      </c>
      <c r="B726" s="17" t="s">
        <v>82</v>
      </c>
      <c r="C726" s="35" t="s">
        <v>179</v>
      </c>
      <c r="D726" s="35" t="s">
        <v>367</v>
      </c>
      <c r="E726" s="25">
        <f>42.8*2</f>
        <v>85.6</v>
      </c>
      <c r="H726" s="43"/>
      <c r="I726" s="43"/>
      <c r="J726" s="43"/>
      <c r="K726" s="43"/>
      <c r="L726" s="43"/>
      <c r="M726" s="43"/>
      <c r="N726" s="43"/>
      <c r="O726" s="43"/>
      <c r="P726" s="43"/>
      <c r="Q726" s="43"/>
      <c r="R726" s="9"/>
      <c r="S726" s="9"/>
    </row>
    <row r="727" spans="1:133" ht="156" x14ac:dyDescent="0.25">
      <c r="A727" s="17" t="s">
        <v>180</v>
      </c>
      <c r="B727" s="17" t="s">
        <v>84</v>
      </c>
      <c r="C727" s="35" t="s">
        <v>85</v>
      </c>
      <c r="D727" s="35" t="s">
        <v>365</v>
      </c>
      <c r="E727" s="25">
        <f>25.1/100</f>
        <v>0.251</v>
      </c>
      <c r="H727" s="43"/>
      <c r="I727" s="43"/>
      <c r="J727" s="43"/>
      <c r="K727" s="43"/>
      <c r="L727" s="43"/>
      <c r="M727" s="43"/>
      <c r="N727" s="43"/>
      <c r="O727" s="43"/>
      <c r="P727" s="43"/>
      <c r="Q727" s="43"/>
      <c r="R727" s="9"/>
      <c r="S727" s="9"/>
    </row>
    <row r="728" spans="1:133" ht="62.4" x14ac:dyDescent="0.25">
      <c r="A728" s="17" t="s">
        <v>86</v>
      </c>
      <c r="B728" s="17" t="s">
        <v>87</v>
      </c>
      <c r="C728" s="35" t="s">
        <v>86</v>
      </c>
      <c r="D728" s="35" t="s">
        <v>215</v>
      </c>
      <c r="E728" s="25">
        <f>0.84/1000</f>
        <v>8.3999999999999993E-4</v>
      </c>
      <c r="H728" s="43"/>
      <c r="I728" s="43"/>
      <c r="J728" s="43"/>
      <c r="K728" s="43"/>
      <c r="L728" s="43"/>
      <c r="M728" s="43"/>
      <c r="N728" s="43"/>
      <c r="O728" s="43"/>
      <c r="P728" s="43"/>
      <c r="Q728" s="43"/>
      <c r="R728" s="9"/>
      <c r="S728" s="9"/>
    </row>
    <row r="729" spans="1:133" ht="124.8" x14ac:dyDescent="0.25">
      <c r="A729" s="17" t="s">
        <v>181</v>
      </c>
      <c r="B729" s="17" t="s">
        <v>88</v>
      </c>
      <c r="C729" s="35" t="s">
        <v>89</v>
      </c>
      <c r="D729" s="35" t="s">
        <v>360</v>
      </c>
      <c r="E729" s="25">
        <f>43.33/1000</f>
        <v>4.333E-2</v>
      </c>
      <c r="H729" s="43"/>
      <c r="I729" s="43"/>
      <c r="J729" s="43"/>
      <c r="K729" s="43"/>
      <c r="L729" s="43"/>
      <c r="M729" s="43"/>
      <c r="N729" s="43"/>
      <c r="O729" s="43"/>
      <c r="P729" s="43"/>
      <c r="Q729" s="43"/>
      <c r="R729" s="9"/>
      <c r="S729" s="9"/>
    </row>
    <row r="730" spans="1:133" ht="33.6" x14ac:dyDescent="0.25">
      <c r="A730" s="17" t="s">
        <v>182</v>
      </c>
      <c r="B730" s="17" t="s">
        <v>90</v>
      </c>
      <c r="C730" s="35" t="s">
        <v>91</v>
      </c>
      <c r="D730" s="35" t="s">
        <v>92</v>
      </c>
      <c r="E730" s="25">
        <v>74.099999999999994</v>
      </c>
      <c r="H730" s="43"/>
      <c r="I730" s="43"/>
      <c r="J730" s="43"/>
      <c r="K730" s="43"/>
      <c r="L730" s="43"/>
      <c r="M730" s="43"/>
      <c r="N730" s="43"/>
      <c r="O730" s="43"/>
      <c r="P730" s="43"/>
      <c r="Q730" s="43"/>
      <c r="R730" s="9"/>
      <c r="S730" s="9"/>
    </row>
    <row r="732" spans="1:133" x14ac:dyDescent="0.25">
      <c r="A732" s="33" t="s">
        <v>8</v>
      </c>
      <c r="B732" s="33" t="s">
        <v>9</v>
      </c>
      <c r="C732" s="34" t="s">
        <v>10</v>
      </c>
      <c r="D732" s="34" t="s">
        <v>340</v>
      </c>
      <c r="E732" s="16" t="s">
        <v>65</v>
      </c>
    </row>
    <row r="733" spans="1:133" ht="18" x14ac:dyDescent="0.25">
      <c r="A733" s="15" t="s">
        <v>183</v>
      </c>
      <c r="B733" s="17" t="s">
        <v>103</v>
      </c>
      <c r="C733" s="35" t="s">
        <v>184</v>
      </c>
      <c r="D733" s="53" t="s">
        <v>393</v>
      </c>
      <c r="E733" s="18">
        <f>ROUNDUP(E682+E706+E710+E714+E722,0)</f>
        <v>570</v>
      </c>
    </row>
    <row r="734" spans="1:133" s="208" customFormat="1" ht="38.4" customHeight="1" x14ac:dyDescent="0.25">
      <c r="A734" s="205" t="s">
        <v>233</v>
      </c>
      <c r="B734" s="206"/>
      <c r="C734" s="206"/>
      <c r="D734" s="206"/>
      <c r="E734" s="206"/>
      <c r="F734" s="206"/>
      <c r="G734" s="206"/>
      <c r="H734" s="206"/>
      <c r="I734" s="206"/>
      <c r="J734" s="206"/>
      <c r="K734" s="206"/>
      <c r="L734" s="206"/>
      <c r="M734" s="206"/>
      <c r="N734" s="206"/>
      <c r="O734" s="206"/>
      <c r="P734" s="206"/>
      <c r="Q734" s="206"/>
      <c r="R734" s="206"/>
      <c r="S734" s="206"/>
      <c r="T734" s="206"/>
      <c r="U734" s="206"/>
      <c r="V734" s="206"/>
      <c r="W734" s="206"/>
      <c r="X734" s="206"/>
      <c r="Y734" s="206"/>
      <c r="Z734" s="206"/>
      <c r="AA734" s="206"/>
      <c r="AB734" s="206"/>
      <c r="AC734" s="206"/>
      <c r="AD734" s="206"/>
      <c r="AE734" s="206"/>
      <c r="AF734" s="206"/>
      <c r="AG734" s="206"/>
      <c r="AH734" s="206"/>
      <c r="AI734" s="206"/>
      <c r="AJ734" s="206"/>
      <c r="AK734" s="206"/>
      <c r="AL734" s="206"/>
      <c r="AM734" s="206"/>
      <c r="AN734" s="206"/>
      <c r="AO734" s="206"/>
      <c r="AP734" s="206"/>
      <c r="AQ734" s="206"/>
      <c r="AR734" s="206"/>
      <c r="AS734" s="206"/>
      <c r="AT734" s="206"/>
      <c r="AU734" s="206"/>
      <c r="AV734" s="206"/>
      <c r="AW734" s="206"/>
      <c r="AX734" s="206"/>
      <c r="AY734" s="206"/>
      <c r="AZ734" s="206"/>
      <c r="BA734" s="206"/>
      <c r="BB734" s="206"/>
      <c r="BC734" s="206"/>
      <c r="BD734" s="206"/>
      <c r="BE734" s="206"/>
      <c r="BF734" s="206"/>
      <c r="BG734" s="206"/>
      <c r="BH734" s="206"/>
      <c r="BI734" s="206"/>
      <c r="BJ734" s="206"/>
      <c r="BK734" s="206"/>
      <c r="BL734" s="206"/>
      <c r="BM734" s="206"/>
      <c r="BN734" s="206"/>
      <c r="BO734" s="206"/>
      <c r="BP734" s="206"/>
      <c r="BQ734" s="206"/>
      <c r="BR734" s="206"/>
      <c r="BS734" s="206"/>
      <c r="BT734" s="206"/>
      <c r="BU734" s="206"/>
      <c r="BV734" s="206"/>
      <c r="BW734" s="206"/>
      <c r="BX734" s="206"/>
      <c r="BY734" s="206"/>
      <c r="BZ734" s="206"/>
      <c r="CA734" s="206"/>
      <c r="CB734" s="206"/>
      <c r="CC734" s="206"/>
      <c r="CD734" s="206"/>
      <c r="CE734" s="206"/>
      <c r="CF734" s="206"/>
      <c r="CG734" s="206"/>
      <c r="CH734" s="206"/>
      <c r="CI734" s="206"/>
      <c r="CJ734" s="206"/>
      <c r="CK734" s="206"/>
      <c r="CL734" s="206"/>
      <c r="CM734" s="206"/>
      <c r="CN734" s="206"/>
      <c r="CO734" s="206"/>
      <c r="CP734" s="206"/>
      <c r="CQ734" s="206"/>
      <c r="CR734" s="206"/>
      <c r="CS734" s="206"/>
      <c r="CT734" s="206"/>
      <c r="CU734" s="206"/>
      <c r="CV734" s="206"/>
      <c r="CW734" s="206"/>
      <c r="CX734" s="206"/>
      <c r="CY734" s="206"/>
      <c r="CZ734" s="206"/>
      <c r="DA734" s="206"/>
      <c r="DB734" s="206"/>
      <c r="DC734" s="206"/>
      <c r="DD734" s="206"/>
      <c r="DE734" s="206"/>
      <c r="DF734" s="206"/>
      <c r="DG734" s="206"/>
      <c r="DH734" s="206"/>
      <c r="DI734" s="206"/>
      <c r="DJ734" s="206"/>
      <c r="DK734" s="206"/>
      <c r="DL734" s="206"/>
      <c r="DM734" s="206"/>
      <c r="DN734" s="206"/>
      <c r="DO734" s="206"/>
      <c r="DP734" s="206"/>
      <c r="DQ734" s="206"/>
      <c r="DR734" s="206"/>
      <c r="DS734" s="206"/>
      <c r="DT734" s="206"/>
      <c r="DU734" s="206"/>
      <c r="DV734" s="206"/>
      <c r="DW734" s="206"/>
      <c r="DX734" s="206"/>
      <c r="DY734" s="206"/>
      <c r="DZ734" s="206"/>
      <c r="EA734" s="206"/>
      <c r="EB734" s="206"/>
      <c r="EC734" s="207"/>
    </row>
    <row r="735" spans="1:133" s="200" customFormat="1" ht="43.2" customHeight="1" x14ac:dyDescent="0.25">
      <c r="A735" s="197" t="s">
        <v>234</v>
      </c>
      <c r="B735" s="198"/>
      <c r="C735" s="198"/>
      <c r="D735" s="198"/>
      <c r="E735" s="198"/>
      <c r="F735" s="198"/>
      <c r="G735" s="198"/>
      <c r="H735" s="198"/>
      <c r="I735" s="198"/>
      <c r="J735" s="198"/>
      <c r="K735" s="198"/>
      <c r="L735" s="198"/>
      <c r="M735" s="198"/>
      <c r="N735" s="198"/>
      <c r="O735" s="198"/>
      <c r="P735" s="198"/>
      <c r="Q735" s="198"/>
      <c r="R735" s="198"/>
      <c r="S735" s="198"/>
      <c r="T735" s="198"/>
      <c r="U735" s="198"/>
      <c r="V735" s="198"/>
      <c r="W735" s="198"/>
      <c r="X735" s="198"/>
      <c r="Y735" s="198"/>
      <c r="Z735" s="198"/>
      <c r="AA735" s="198"/>
      <c r="AB735" s="198"/>
      <c r="AC735" s="198"/>
      <c r="AD735" s="198"/>
      <c r="AE735" s="198"/>
      <c r="AF735" s="198"/>
      <c r="AG735" s="198"/>
      <c r="AH735" s="198"/>
      <c r="AI735" s="198"/>
      <c r="AJ735" s="198"/>
      <c r="AK735" s="198"/>
      <c r="AL735" s="198"/>
      <c r="AM735" s="198"/>
      <c r="AN735" s="198"/>
      <c r="AO735" s="198"/>
      <c r="AP735" s="198"/>
      <c r="AQ735" s="198"/>
      <c r="AR735" s="198"/>
      <c r="AS735" s="198"/>
      <c r="AT735" s="198"/>
      <c r="AU735" s="198"/>
      <c r="AV735" s="198"/>
      <c r="AW735" s="198"/>
      <c r="AX735" s="198"/>
      <c r="AY735" s="198"/>
      <c r="AZ735" s="198"/>
      <c r="BA735" s="198"/>
      <c r="BB735" s="198"/>
      <c r="BC735" s="198"/>
      <c r="BD735" s="198"/>
      <c r="BE735" s="198"/>
      <c r="BF735" s="198"/>
      <c r="BG735" s="198"/>
      <c r="BH735" s="198"/>
      <c r="BI735" s="198"/>
      <c r="BJ735" s="198"/>
      <c r="BK735" s="198"/>
      <c r="BL735" s="198"/>
      <c r="BM735" s="198"/>
      <c r="BN735" s="198"/>
      <c r="BO735" s="198"/>
      <c r="BP735" s="198"/>
      <c r="BQ735" s="198"/>
      <c r="BR735" s="198"/>
      <c r="BS735" s="198"/>
      <c r="BT735" s="198"/>
      <c r="BU735" s="198"/>
      <c r="BV735" s="198"/>
      <c r="BW735" s="198"/>
      <c r="BX735" s="198"/>
      <c r="BY735" s="198"/>
      <c r="BZ735" s="198"/>
      <c r="CA735" s="198"/>
      <c r="CB735" s="198"/>
      <c r="CC735" s="198"/>
      <c r="CD735" s="198"/>
      <c r="CE735" s="198"/>
      <c r="CF735" s="198"/>
      <c r="CG735" s="198"/>
      <c r="CH735" s="198"/>
      <c r="CI735" s="198"/>
      <c r="CJ735" s="198"/>
      <c r="CK735" s="198"/>
      <c r="CL735" s="198"/>
      <c r="CM735" s="198"/>
      <c r="CN735" s="198"/>
      <c r="CO735" s="198"/>
      <c r="CP735" s="198"/>
      <c r="CQ735" s="198"/>
      <c r="CR735" s="198"/>
      <c r="CS735" s="198"/>
      <c r="CT735" s="198"/>
      <c r="CU735" s="198"/>
      <c r="CV735" s="198"/>
      <c r="CW735" s="198"/>
      <c r="CX735" s="198"/>
      <c r="CY735" s="198"/>
      <c r="CZ735" s="198"/>
      <c r="DA735" s="198"/>
      <c r="DB735" s="198"/>
      <c r="DC735" s="198"/>
      <c r="DD735" s="198"/>
      <c r="DE735" s="198"/>
      <c r="DF735" s="198"/>
      <c r="DG735" s="198"/>
      <c r="DH735" s="198"/>
      <c r="DI735" s="198"/>
      <c r="DJ735" s="198"/>
      <c r="DK735" s="198"/>
      <c r="DL735" s="198"/>
      <c r="DM735" s="198"/>
      <c r="DN735" s="198"/>
      <c r="DO735" s="198"/>
      <c r="DP735" s="198"/>
      <c r="DQ735" s="198"/>
      <c r="DR735" s="198"/>
      <c r="DS735" s="198"/>
      <c r="DT735" s="198"/>
      <c r="DU735" s="198"/>
      <c r="DV735" s="198"/>
      <c r="DW735" s="198"/>
      <c r="DX735" s="198"/>
      <c r="DY735" s="198"/>
      <c r="DZ735" s="198"/>
      <c r="EA735" s="198"/>
      <c r="EB735" s="198"/>
      <c r="EC735" s="199"/>
    </row>
    <row r="736" spans="1:133" ht="23.4" customHeight="1" x14ac:dyDescent="0.25">
      <c r="A736" s="201" t="s">
        <v>105</v>
      </c>
      <c r="B736" s="201"/>
      <c r="C736" s="201"/>
      <c r="D736" s="201"/>
      <c r="E736" s="201"/>
      <c r="F736" s="201"/>
      <c r="G736" s="201"/>
      <c r="H736" s="201"/>
      <c r="I736" s="201"/>
      <c r="J736" s="201"/>
      <c r="K736" s="201"/>
      <c r="L736" s="201"/>
      <c r="M736" s="201"/>
      <c r="N736" s="201"/>
      <c r="O736" s="201"/>
      <c r="P736" s="201"/>
      <c r="Q736" s="202"/>
    </row>
    <row r="737" spans="1:19" s="10" customFormat="1" ht="31.2" x14ac:dyDescent="0.25">
      <c r="A737" s="15" t="s">
        <v>8</v>
      </c>
      <c r="B737" s="15" t="s">
        <v>9</v>
      </c>
      <c r="C737" s="15" t="s">
        <v>10</v>
      </c>
      <c r="D737" s="15" t="s">
        <v>340</v>
      </c>
      <c r="E737" s="16" t="s">
        <v>11</v>
      </c>
      <c r="F737" s="16" t="s">
        <v>312</v>
      </c>
      <c r="G737" s="16" t="s">
        <v>313</v>
      </c>
      <c r="H737" s="16" t="s">
        <v>314</v>
      </c>
      <c r="I737" s="16" t="s">
        <v>315</v>
      </c>
      <c r="J737" s="16" t="s">
        <v>316</v>
      </c>
      <c r="K737" s="16" t="s">
        <v>317</v>
      </c>
      <c r="L737" s="16" t="s">
        <v>318</v>
      </c>
      <c r="M737" s="16" t="s">
        <v>319</v>
      </c>
      <c r="N737" s="16" t="s">
        <v>320</v>
      </c>
      <c r="O737" s="16" t="s">
        <v>293</v>
      </c>
      <c r="P737" s="16" t="s">
        <v>294</v>
      </c>
      <c r="Q737" s="16" t="s">
        <v>295</v>
      </c>
      <c r="R737" s="54"/>
      <c r="S737" s="54"/>
    </row>
    <row r="738" spans="1:19" s="10" customFormat="1" x14ac:dyDescent="0.25">
      <c r="A738" s="203" t="s">
        <v>106</v>
      </c>
      <c r="B738" s="203"/>
      <c r="C738" s="203"/>
      <c r="D738" s="203"/>
      <c r="E738" s="204"/>
      <c r="F738" s="16">
        <v>31</v>
      </c>
      <c r="G738" s="16">
        <v>28</v>
      </c>
      <c r="H738" s="16">
        <v>31</v>
      </c>
      <c r="I738" s="16">
        <v>30</v>
      </c>
      <c r="J738" s="16">
        <v>31</v>
      </c>
      <c r="K738" s="16">
        <v>30</v>
      </c>
      <c r="L738" s="16">
        <v>31</v>
      </c>
      <c r="M738" s="16">
        <v>31</v>
      </c>
      <c r="N738" s="16">
        <v>30</v>
      </c>
      <c r="O738" s="16">
        <v>31</v>
      </c>
      <c r="P738" s="16">
        <v>30</v>
      </c>
      <c r="Q738" s="16">
        <v>31</v>
      </c>
      <c r="R738" s="54"/>
      <c r="S738" s="54"/>
    </row>
    <row r="739" spans="1:19" s="10" customFormat="1" ht="31.2" x14ac:dyDescent="0.25">
      <c r="A739" s="15" t="s">
        <v>107</v>
      </c>
      <c r="B739" s="17" t="s">
        <v>103</v>
      </c>
      <c r="C739" s="17" t="s">
        <v>108</v>
      </c>
      <c r="D739" s="17" t="s">
        <v>381</v>
      </c>
      <c r="E739" s="18">
        <f>E740+E750</f>
        <v>0</v>
      </c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54"/>
      <c r="S739" s="54"/>
    </row>
    <row r="740" spans="1:19" ht="46.8" x14ac:dyDescent="0.25">
      <c r="A740" s="17" t="s">
        <v>109</v>
      </c>
      <c r="B740" s="17" t="s">
        <v>103</v>
      </c>
      <c r="C740" s="17" t="s">
        <v>110</v>
      </c>
      <c r="D740" s="17" t="s">
        <v>382</v>
      </c>
      <c r="E740" s="19">
        <f>SUM(F740:Q740)</f>
        <v>0</v>
      </c>
      <c r="F740" s="19">
        <f>IF(F741&gt;=0.8,0,$E$748*$E$749*0.4*(F742-F745)*F738)</f>
        <v>0</v>
      </c>
      <c r="G740" s="19">
        <f t="shared" ref="G740:Q740" si="91">IF(G741&gt;=0.8,0,$E$748*$E$749*0.4*(G742-G745)*G738)</f>
        <v>0</v>
      </c>
      <c r="H740" s="19">
        <f t="shared" si="91"/>
        <v>0</v>
      </c>
      <c r="I740" s="19">
        <f t="shared" si="91"/>
        <v>0</v>
      </c>
      <c r="J740" s="19">
        <f t="shared" si="91"/>
        <v>0</v>
      </c>
      <c r="K740" s="19">
        <f t="shared" si="91"/>
        <v>0</v>
      </c>
      <c r="L740" s="19">
        <f t="shared" si="91"/>
        <v>0</v>
      </c>
      <c r="M740" s="19">
        <f t="shared" si="91"/>
        <v>0</v>
      </c>
      <c r="N740" s="19">
        <f t="shared" si="91"/>
        <v>0</v>
      </c>
      <c r="O740" s="19">
        <f t="shared" si="91"/>
        <v>0</v>
      </c>
      <c r="P740" s="19">
        <f t="shared" si="91"/>
        <v>0</v>
      </c>
      <c r="Q740" s="19">
        <f t="shared" si="91"/>
        <v>0</v>
      </c>
    </row>
    <row r="741" spans="1:19" ht="62.4" x14ac:dyDescent="0.25">
      <c r="A741" s="17" t="s">
        <v>111</v>
      </c>
      <c r="B741" s="17" t="s">
        <v>37</v>
      </c>
      <c r="C741" s="17" t="s">
        <v>112</v>
      </c>
      <c r="D741" s="17" t="s">
        <v>383</v>
      </c>
      <c r="E741" s="20">
        <f>AVERAGE(F741:Q741)</f>
        <v>0.96008730831357469</v>
      </c>
      <c r="F741" s="20">
        <f>(F742-F745)/F742</f>
        <v>0.96045941801462165</v>
      </c>
      <c r="G741" s="20">
        <f t="shared" ref="G741:Q741" si="92">(G742-G745)/G742</f>
        <v>0.96097572510767759</v>
      </c>
      <c r="H741" s="20">
        <f t="shared" si="92"/>
        <v>0.96107659094813547</v>
      </c>
      <c r="I741" s="20">
        <f t="shared" si="92"/>
        <v>0.96147364085219933</v>
      </c>
      <c r="J741" s="20">
        <f t="shared" si="92"/>
        <v>0.96135909733246316</v>
      </c>
      <c r="K741" s="20">
        <f t="shared" si="92"/>
        <v>0.95737842542779872</v>
      </c>
      <c r="L741" s="20">
        <f t="shared" si="92"/>
        <v>0.95616413014277757</v>
      </c>
      <c r="M741" s="20">
        <f t="shared" si="92"/>
        <v>0.95763723312498872</v>
      </c>
      <c r="N741" s="20">
        <f t="shared" si="92"/>
        <v>0.96057867251611628</v>
      </c>
      <c r="O741" s="20">
        <f t="shared" si="92"/>
        <v>0.96082773352996353</v>
      </c>
      <c r="P741" s="20">
        <f t="shared" si="92"/>
        <v>0.9611103381201539</v>
      </c>
      <c r="Q741" s="20">
        <f t="shared" si="92"/>
        <v>0.96200669464600053</v>
      </c>
    </row>
    <row r="742" spans="1:19" ht="46.8" x14ac:dyDescent="0.25">
      <c r="A742" s="17" t="s">
        <v>113</v>
      </c>
      <c r="B742" s="17" t="s">
        <v>24</v>
      </c>
      <c r="C742" s="17" t="s">
        <v>114</v>
      </c>
      <c r="D742" s="17" t="s">
        <v>384</v>
      </c>
      <c r="E742" s="20">
        <f>SUM(F742:Q742)</f>
        <v>116.64474071571613</v>
      </c>
      <c r="F742" s="20">
        <f>F743*F744</f>
        <v>9.7632758971455971</v>
      </c>
      <c r="G742" s="20">
        <f t="shared" ref="G742:Q742" si="93">G743*G744</f>
        <v>9.7618985654158141</v>
      </c>
      <c r="H742" s="20">
        <f t="shared" si="93"/>
        <v>9.7564248498155077</v>
      </c>
      <c r="I742" s="20">
        <f t="shared" si="93"/>
        <v>9.7489638594038333</v>
      </c>
      <c r="J742" s="20">
        <f t="shared" si="93"/>
        <v>10.261536030613414</v>
      </c>
      <c r="K742" s="20">
        <f t="shared" si="93"/>
        <v>9.0970804145565367</v>
      </c>
      <c r="L742" s="20">
        <f t="shared" si="93"/>
        <v>9.10176274168772</v>
      </c>
      <c r="M742" s="20">
        <f t="shared" si="93"/>
        <v>9.1013089331532768</v>
      </c>
      <c r="N742" s="20">
        <f t="shared" si="93"/>
        <v>10.263702036867594</v>
      </c>
      <c r="O742" s="20">
        <f t="shared" si="93"/>
        <v>10.270382969453918</v>
      </c>
      <c r="P742" s="20">
        <f t="shared" si="93"/>
        <v>9.7551262106010395</v>
      </c>
      <c r="Q742" s="20">
        <f t="shared" si="93"/>
        <v>9.7632782070018713</v>
      </c>
    </row>
    <row r="743" spans="1:19" ht="64.8" customHeight="1" x14ac:dyDescent="0.25">
      <c r="A743" s="17" t="s">
        <v>115</v>
      </c>
      <c r="B743" s="17" t="s">
        <v>116</v>
      </c>
      <c r="C743" s="17" t="s">
        <v>117</v>
      </c>
      <c r="D743" s="17" t="s">
        <v>337</v>
      </c>
      <c r="E743" s="129">
        <f>SUM(F743:Q743)</f>
        <v>233059.14237327187</v>
      </c>
      <c r="F743" s="129">
        <f>'Baseline Emissions 2021'!F719</f>
        <v>18929.459645161292</v>
      </c>
      <c r="G743" s="129">
        <f>'Baseline Emissions 2021'!G719</f>
        <v>18928.506857142856</v>
      </c>
      <c r="H743" s="129">
        <f>'Baseline Emissions 2021'!H719</f>
        <v>18933.119612903225</v>
      </c>
      <c r="I743" s="129">
        <f>'Baseline Emissions 2021'!I719</f>
        <v>18926.341333333337</v>
      </c>
      <c r="J743" s="129">
        <f>'Baseline Emissions 2021'!J719</f>
        <v>19913.889064516123</v>
      </c>
      <c r="K743" s="129">
        <f>'Baseline Emissions 2021'!K719</f>
        <v>19914.629966666667</v>
      </c>
      <c r="L743" s="129">
        <f>'Baseline Emissions 2021'!L719</f>
        <v>19919.56377419355</v>
      </c>
      <c r="M743" s="129">
        <f>'Baseline Emissions 2021'!M719</f>
        <v>19913.626645161286</v>
      </c>
      <c r="N743" s="129">
        <f>'Baseline Emissions 2021'!N719</f>
        <v>19909.115433333332</v>
      </c>
      <c r="O743" s="129">
        <f>'Baseline Emissions 2021'!O719</f>
        <v>19913.003161290319</v>
      </c>
      <c r="P743" s="129">
        <f>'Baseline Emissions 2021'!P719</f>
        <v>18928.67926666667</v>
      </c>
      <c r="Q743" s="129">
        <f>'Baseline Emissions 2021'!Q719</f>
        <v>18929.207612903221</v>
      </c>
    </row>
    <row r="744" spans="1:19" ht="46.8" x14ac:dyDescent="0.25">
      <c r="A744" s="17" t="s">
        <v>118</v>
      </c>
      <c r="B744" s="17" t="s">
        <v>119</v>
      </c>
      <c r="C744" s="17" t="s">
        <v>120</v>
      </c>
      <c r="D744" s="35" t="s">
        <v>338</v>
      </c>
      <c r="E744" s="120">
        <f>AVERAGE(F744:Q744)</f>
        <v>5.0086682859519103E-4</v>
      </c>
      <c r="F744" s="130">
        <f>'Baseline Emissions 2021'!F723</f>
        <v>5.1577150537634412E-4</v>
      </c>
      <c r="G744" s="130">
        <f>'Baseline Emissions 2021'!G723</f>
        <v>5.1572470238095229E-4</v>
      </c>
      <c r="H744" s="130">
        <f>'Baseline Emissions 2021'!H723</f>
        <v>5.153099462365593E-4</v>
      </c>
      <c r="I744" s="130">
        <f>'Baseline Emissions 2021'!I723</f>
        <v>5.1510028735632179E-4</v>
      </c>
      <c r="J744" s="130">
        <f>'Baseline Emissions 2021'!J723</f>
        <v>5.1529543010752699E-4</v>
      </c>
      <c r="K744" s="130">
        <f>'Baseline Emissions 2021'!K723</f>
        <v>4.5680388888888886E-4</v>
      </c>
      <c r="L744" s="130">
        <f>'Baseline Emissions 2021'!L723</f>
        <v>4.569258064516128E-4</v>
      </c>
      <c r="M744" s="130">
        <f>'Baseline Emissions 2021'!M723</f>
        <v>4.5703924731182798E-4</v>
      </c>
      <c r="N744" s="130">
        <f>'Baseline Emissions 2021'!N723</f>
        <v>5.1552777777777784E-4</v>
      </c>
      <c r="O744" s="130">
        <f>'Baseline Emissions 2021'!O723</f>
        <v>5.1576263440860216E-4</v>
      </c>
      <c r="P744" s="130">
        <f>'Baseline Emissions 2021'!P723</f>
        <v>5.1536222222222229E-4</v>
      </c>
      <c r="Q744" s="130">
        <f>'Baseline Emissions 2021'!Q723</f>
        <v>5.1577849462365599E-4</v>
      </c>
    </row>
    <row r="745" spans="1:19" ht="46.8" x14ac:dyDescent="0.25">
      <c r="A745" s="17" t="s">
        <v>121</v>
      </c>
      <c r="B745" s="17" t="s">
        <v>24</v>
      </c>
      <c r="C745" s="17" t="s">
        <v>122</v>
      </c>
      <c r="D745" s="17" t="s">
        <v>384</v>
      </c>
      <c r="E745" s="20">
        <f>SUM(F745:Q745)</f>
        <v>4.6483649520107377</v>
      </c>
      <c r="F745" s="20">
        <f>SUM(F746*F747)</f>
        <v>0.38604561105695445</v>
      </c>
      <c r="G745" s="20">
        <f t="shared" ref="G745:Q745" si="94">SUM(G746*G747)</f>
        <v>0.38095101308775486</v>
      </c>
      <c r="H745" s="20">
        <f t="shared" si="94"/>
        <v>0.37975331531314604</v>
      </c>
      <c r="I745" s="20">
        <f t="shared" si="94"/>
        <v>0.37559208296632191</v>
      </c>
      <c r="J745" s="20">
        <f t="shared" si="94"/>
        <v>0.39651501497835601</v>
      </c>
      <c r="K745" s="20">
        <f t="shared" si="94"/>
        <v>0.38773189127833335</v>
      </c>
      <c r="L745" s="20">
        <f t="shared" si="94"/>
        <v>0.39898368701593828</v>
      </c>
      <c r="M745" s="20">
        <f t="shared" si="94"/>
        <v>0.38555662859262929</v>
      </c>
      <c r="N745" s="20">
        <f t="shared" si="94"/>
        <v>0.40460875919236122</v>
      </c>
      <c r="O745" s="20">
        <f t="shared" si="94"/>
        <v>0.40231417842877215</v>
      </c>
      <c r="P745" s="20">
        <f t="shared" si="94"/>
        <v>0.37937355992549993</v>
      </c>
      <c r="Q745" s="20">
        <f t="shared" si="94"/>
        <v>0.37093921017467041</v>
      </c>
    </row>
    <row r="746" spans="1:19" ht="62.4" x14ac:dyDescent="0.25">
      <c r="A746" s="17" t="s">
        <v>123</v>
      </c>
      <c r="B746" s="17" t="s">
        <v>116</v>
      </c>
      <c r="C746" s="17" t="s">
        <v>124</v>
      </c>
      <c r="D746" s="17" t="s">
        <v>337</v>
      </c>
      <c r="E746" s="129">
        <f>SUM(F746:Q746)</f>
        <v>230005.71341766516</v>
      </c>
      <c r="F746" s="129">
        <v>18673.31122580645</v>
      </c>
      <c r="G746" s="129">
        <v>18670.800571428568</v>
      </c>
      <c r="H746" s="129">
        <v>18672.442806451611</v>
      </c>
      <c r="I746" s="129">
        <v>18673.092400000001</v>
      </c>
      <c r="J746" s="129">
        <v>19661.639483870971</v>
      </c>
      <c r="K746" s="129">
        <v>19660.199000000001</v>
      </c>
      <c r="L746" s="129">
        <v>19663.221903225811</v>
      </c>
      <c r="M746" s="129">
        <v>19658.853838709678</v>
      </c>
      <c r="N746" s="129">
        <v>19663.7399</v>
      </c>
      <c r="O746" s="129">
        <v>19661.434645161295</v>
      </c>
      <c r="P746" s="129">
        <v>18672.255933333334</v>
      </c>
      <c r="Q746" s="129">
        <v>18674.721709677418</v>
      </c>
    </row>
    <row r="747" spans="1:19" ht="46.8" x14ac:dyDescent="0.25">
      <c r="A747" s="17" t="s">
        <v>125</v>
      </c>
      <c r="B747" s="17" t="s">
        <v>119</v>
      </c>
      <c r="C747" s="17" t="s">
        <v>126</v>
      </c>
      <c r="D747" s="35" t="s">
        <v>339</v>
      </c>
      <c r="E747" s="131">
        <f>AVERAGE(F747:Q747)</f>
        <v>2.0211660656167051E-5</v>
      </c>
      <c r="F747" s="131">
        <f>'Baseline Emissions 2021'!F724</f>
        <v>2.067365591397849E-5</v>
      </c>
      <c r="G747" s="131">
        <f>'Baseline Emissions 2021'!G724</f>
        <v>2.040357142857142E-5</v>
      </c>
      <c r="H747" s="131">
        <f>'Baseline Emissions 2021'!H724</f>
        <v>2.0337634408602154E-5</v>
      </c>
      <c r="I747" s="131">
        <f>'Baseline Emissions 2021'!I724</f>
        <v>2.0114080459770117E-5</v>
      </c>
      <c r="J747" s="131">
        <f>'Baseline Emissions 2021'!J724</f>
        <v>2.016693548387097E-5</v>
      </c>
      <c r="K747" s="131">
        <f>'Baseline Emissions 2021'!K724</f>
        <v>1.9721666666666668E-5</v>
      </c>
      <c r="L747" s="131">
        <f>'Baseline Emissions 2021'!L724</f>
        <v>2.0290860215053761E-5</v>
      </c>
      <c r="M747" s="131">
        <f>'Baseline Emissions 2021'!M724</f>
        <v>1.9612365591397855E-5</v>
      </c>
      <c r="N747" s="131">
        <f>'Baseline Emissions 2021'!N724</f>
        <v>2.0576388888888893E-5</v>
      </c>
      <c r="O747" s="131">
        <f>'Baseline Emissions 2021'!O724</f>
        <v>2.0462096774193546E-5</v>
      </c>
      <c r="P747" s="131">
        <f>'Baseline Emissions 2021'!P724</f>
        <v>2.0317499999999996E-5</v>
      </c>
      <c r="Q747" s="131">
        <f>'Baseline Emissions 2021'!Q724</f>
        <v>1.9863172043010751E-5</v>
      </c>
    </row>
    <row r="748" spans="1:19" ht="31.2" x14ac:dyDescent="0.25">
      <c r="A748" s="17" t="s">
        <v>127</v>
      </c>
      <c r="B748" s="17" t="s">
        <v>128</v>
      </c>
      <c r="C748" s="17" t="s">
        <v>17</v>
      </c>
      <c r="D748" s="17" t="s">
        <v>129</v>
      </c>
      <c r="E748" s="176">
        <v>28</v>
      </c>
      <c r="F748" s="176"/>
      <c r="G748" s="176"/>
      <c r="H748" s="176"/>
      <c r="I748" s="176"/>
      <c r="J748" s="176"/>
      <c r="K748" s="176"/>
      <c r="L748" s="176"/>
      <c r="M748" s="176"/>
      <c r="N748" s="176"/>
      <c r="O748" s="176"/>
      <c r="P748" s="176"/>
      <c r="Q748" s="176"/>
    </row>
    <row r="749" spans="1:19" ht="64.8" x14ac:dyDescent="0.25">
      <c r="A749" s="17" t="s">
        <v>130</v>
      </c>
      <c r="B749" s="17" t="s">
        <v>19</v>
      </c>
      <c r="C749" s="17" t="s">
        <v>131</v>
      </c>
      <c r="D749" s="17" t="s">
        <v>394</v>
      </c>
      <c r="E749" s="176">
        <v>0.21</v>
      </c>
      <c r="F749" s="176"/>
      <c r="G749" s="176"/>
      <c r="H749" s="176"/>
      <c r="I749" s="176"/>
      <c r="J749" s="176"/>
      <c r="K749" s="176"/>
      <c r="L749" s="176"/>
      <c r="M749" s="176"/>
      <c r="N749" s="176"/>
      <c r="O749" s="176"/>
      <c r="P749" s="176"/>
      <c r="Q749" s="176"/>
    </row>
    <row r="750" spans="1:19" ht="46.8" x14ac:dyDescent="0.25">
      <c r="A750" s="17" t="s">
        <v>132</v>
      </c>
      <c r="B750" s="17" t="s">
        <v>103</v>
      </c>
      <c r="C750" s="17" t="s">
        <v>133</v>
      </c>
      <c r="D750" s="17" t="s">
        <v>385</v>
      </c>
      <c r="E750" s="19">
        <f>SUM(F750:Q750)</f>
        <v>0</v>
      </c>
      <c r="F750" s="19">
        <f>$E$748*$E$749*F751*F745*F738</f>
        <v>0</v>
      </c>
      <c r="G750" s="19">
        <f t="shared" ref="G750:Q750" si="95">$E$748*$E$749*G751*G745*G738</f>
        <v>0</v>
      </c>
      <c r="H750" s="19">
        <f t="shared" si="95"/>
        <v>0</v>
      </c>
      <c r="I750" s="19">
        <f t="shared" si="95"/>
        <v>0</v>
      </c>
      <c r="J750" s="19">
        <f t="shared" si="95"/>
        <v>0</v>
      </c>
      <c r="K750" s="19">
        <f t="shared" si="95"/>
        <v>0</v>
      </c>
      <c r="L750" s="19">
        <f t="shared" si="95"/>
        <v>0</v>
      </c>
      <c r="M750" s="19">
        <f t="shared" si="95"/>
        <v>0</v>
      </c>
      <c r="N750" s="19">
        <f t="shared" si="95"/>
        <v>0</v>
      </c>
      <c r="O750" s="19">
        <f t="shared" si="95"/>
        <v>0</v>
      </c>
      <c r="P750" s="19">
        <f t="shared" si="95"/>
        <v>0</v>
      </c>
      <c r="Q750" s="19">
        <f t="shared" si="95"/>
        <v>0</v>
      </c>
    </row>
    <row r="751" spans="1:19" ht="18" x14ac:dyDescent="0.25">
      <c r="A751" s="17" t="s">
        <v>134</v>
      </c>
      <c r="B751" s="17" t="s">
        <v>37</v>
      </c>
      <c r="C751" s="17" t="s">
        <v>135</v>
      </c>
      <c r="D751" s="17" t="s">
        <v>386</v>
      </c>
      <c r="E751" s="26">
        <f>AVERAGE(F751:Q751)</f>
        <v>0</v>
      </c>
      <c r="F751" s="26">
        <f>F752*$E$753*0.89</f>
        <v>0</v>
      </c>
      <c r="G751" s="26">
        <f t="shared" ref="G751:Q751" si="96">G752*$E$753*0.89</f>
        <v>0</v>
      </c>
      <c r="H751" s="26">
        <f t="shared" si="96"/>
        <v>0</v>
      </c>
      <c r="I751" s="26">
        <f t="shared" si="96"/>
        <v>0</v>
      </c>
      <c r="J751" s="26">
        <f t="shared" si="96"/>
        <v>0</v>
      </c>
      <c r="K751" s="26">
        <f t="shared" si="96"/>
        <v>0</v>
      </c>
      <c r="L751" s="26">
        <f t="shared" si="96"/>
        <v>0</v>
      </c>
      <c r="M751" s="26">
        <f t="shared" si="96"/>
        <v>0</v>
      </c>
      <c r="N751" s="26">
        <f t="shared" si="96"/>
        <v>0</v>
      </c>
      <c r="O751" s="26">
        <f t="shared" si="96"/>
        <v>0</v>
      </c>
      <c r="P751" s="26">
        <f t="shared" si="96"/>
        <v>0</v>
      </c>
      <c r="Q751" s="26">
        <f t="shared" si="96"/>
        <v>0</v>
      </c>
    </row>
    <row r="752" spans="1:19" ht="31.2" x14ac:dyDescent="0.25">
      <c r="A752" s="17" t="s">
        <v>136</v>
      </c>
      <c r="B752" s="17" t="s">
        <v>37</v>
      </c>
      <c r="C752" s="17" t="s">
        <v>46</v>
      </c>
      <c r="D752" s="17" t="s">
        <v>387</v>
      </c>
      <c r="E752" s="25">
        <v>0</v>
      </c>
      <c r="F752" s="25">
        <v>0</v>
      </c>
      <c r="G752" s="25">
        <v>0</v>
      </c>
      <c r="H752" s="25">
        <v>0</v>
      </c>
      <c r="I752" s="25">
        <v>0</v>
      </c>
      <c r="J752" s="25">
        <v>0</v>
      </c>
      <c r="K752" s="25">
        <v>0</v>
      </c>
      <c r="L752" s="25">
        <v>0</v>
      </c>
      <c r="M752" s="25">
        <v>0</v>
      </c>
      <c r="N752" s="25">
        <v>0</v>
      </c>
      <c r="O752" s="25">
        <v>0</v>
      </c>
      <c r="P752" s="25">
        <v>0</v>
      </c>
      <c r="Q752" s="25">
        <v>0</v>
      </c>
    </row>
    <row r="753" spans="1:17" ht="31.2" x14ac:dyDescent="0.25">
      <c r="A753" s="17" t="s">
        <v>137</v>
      </c>
      <c r="B753" s="17" t="s">
        <v>201</v>
      </c>
      <c r="C753" s="17" t="s">
        <v>138</v>
      </c>
      <c r="D753" s="17" t="s">
        <v>388</v>
      </c>
      <c r="E753" s="196">
        <f>(F754*F759+G754*G759+H754*H759+I754*I759+J754*J759+K754*K759+L754*L759+M754*M759+N754*N759+O754*O759+P754*P759+Q754*Q759)/(F746*F747*F738+G747*G746*G738+H746*H747*H738+I747*I746*I738+J747*J746*J738+K747*K746*K738+L747*L746*L738+M747*M746*M738+N747*N746*N738+O746*O747*O738+P747*P746*P738+Q747*Q746*Q738)</f>
        <v>0.64638891965919032</v>
      </c>
      <c r="F753" s="196"/>
      <c r="G753" s="196"/>
      <c r="H753" s="196"/>
      <c r="I753" s="196"/>
      <c r="J753" s="196"/>
      <c r="K753" s="196"/>
      <c r="L753" s="196"/>
      <c r="M753" s="196"/>
      <c r="N753" s="196"/>
      <c r="O753" s="196"/>
      <c r="P753" s="196"/>
      <c r="Q753" s="196"/>
    </row>
    <row r="754" spans="1:17" ht="31.2" x14ac:dyDescent="0.25">
      <c r="A754" s="17" t="s">
        <v>139</v>
      </c>
      <c r="B754" s="17" t="s">
        <v>37</v>
      </c>
      <c r="C754" s="17" t="s">
        <v>140</v>
      </c>
      <c r="D754" s="17" t="s">
        <v>375</v>
      </c>
      <c r="E754" s="27">
        <f>AVERAGE(F754:Q754)</f>
        <v>0.6404944159004976</v>
      </c>
      <c r="F754" s="27">
        <f>IF(F758&lt;283,0,IF(F758&gt;303,1,EXP(($E$755*(F758-$E$756))/($E$757*$E$756*F758))))</f>
        <v>0.26921004737855481</v>
      </c>
      <c r="G754" s="27">
        <f>IF(G758&lt;283,0,IF(G758&gt;303,1,EXP(($E$755*(G758-$E$756))/($E$757*$E$756*G758))))</f>
        <v>0.38698063689870399</v>
      </c>
      <c r="H754" s="27">
        <f t="shared" ref="H754:Q754" si="97">IF(H758&lt;283,0,IF(H758&gt;303,1,EXP(($E$755*(H758-$E$756))/($E$757*$E$756*H758))))</f>
        <v>0.48307557293036196</v>
      </c>
      <c r="I754" s="27">
        <f t="shared" si="97"/>
        <v>0.57531644493802248</v>
      </c>
      <c r="J754" s="27">
        <f t="shared" si="97"/>
        <v>0.84523513966163832</v>
      </c>
      <c r="K754" s="27">
        <f t="shared" si="97"/>
        <v>0.84523513966163832</v>
      </c>
      <c r="L754" s="27">
        <f t="shared" si="97"/>
        <v>0.91923925774048054</v>
      </c>
      <c r="M754" s="27">
        <f t="shared" si="97"/>
        <v>0.91923925774048054</v>
      </c>
      <c r="N754" s="27">
        <f t="shared" si="97"/>
        <v>0.95843738031531212</v>
      </c>
      <c r="O754" s="27">
        <f t="shared" si="97"/>
        <v>0.6835684899717327</v>
      </c>
      <c r="P754" s="27">
        <f t="shared" si="97"/>
        <v>0.46225423409862509</v>
      </c>
      <c r="Q754" s="27">
        <f t="shared" si="97"/>
        <v>0.33814138947042022</v>
      </c>
    </row>
    <row r="755" spans="1:17" x14ac:dyDescent="0.25">
      <c r="A755" s="17" t="s">
        <v>51</v>
      </c>
      <c r="B755" s="17" t="s">
        <v>52</v>
      </c>
      <c r="C755" s="17" t="s">
        <v>53</v>
      </c>
      <c r="D755" s="17" t="s">
        <v>389</v>
      </c>
      <c r="E755" s="176">
        <v>15175</v>
      </c>
      <c r="F755" s="176"/>
      <c r="G755" s="176"/>
      <c r="H755" s="176"/>
      <c r="I755" s="176"/>
      <c r="J755" s="176"/>
      <c r="K755" s="176"/>
      <c r="L755" s="176"/>
      <c r="M755" s="176"/>
      <c r="N755" s="176"/>
      <c r="O755" s="176"/>
      <c r="P755" s="176"/>
      <c r="Q755" s="176"/>
    </row>
    <row r="756" spans="1:17" ht="18" x14ac:dyDescent="0.25">
      <c r="A756" s="17" t="s">
        <v>141</v>
      </c>
      <c r="B756" s="17" t="s">
        <v>55</v>
      </c>
      <c r="C756" s="17" t="s">
        <v>56</v>
      </c>
      <c r="D756" s="17" t="s">
        <v>389</v>
      </c>
      <c r="E756" s="176">
        <v>303.16000000000003</v>
      </c>
      <c r="F756" s="176"/>
      <c r="G756" s="176"/>
      <c r="H756" s="176"/>
      <c r="I756" s="176"/>
      <c r="J756" s="176"/>
      <c r="K756" s="176"/>
      <c r="L756" s="176"/>
      <c r="M756" s="176"/>
      <c r="N756" s="176"/>
      <c r="O756" s="176"/>
      <c r="P756" s="176"/>
      <c r="Q756" s="176"/>
    </row>
    <row r="757" spans="1:17" x14ac:dyDescent="0.25">
      <c r="A757" s="17" t="s">
        <v>57</v>
      </c>
      <c r="B757" s="17" t="s">
        <v>58</v>
      </c>
      <c r="C757" s="17" t="s">
        <v>59</v>
      </c>
      <c r="D757" s="17" t="s">
        <v>389</v>
      </c>
      <c r="E757" s="176">
        <v>1.9870000000000001</v>
      </c>
      <c r="F757" s="176"/>
      <c r="G757" s="176"/>
      <c r="H757" s="176"/>
      <c r="I757" s="176"/>
      <c r="J757" s="176"/>
      <c r="K757" s="176"/>
      <c r="L757" s="176"/>
      <c r="M757" s="176"/>
      <c r="N757" s="176"/>
      <c r="O757" s="176"/>
      <c r="P757" s="176"/>
      <c r="Q757" s="176"/>
    </row>
    <row r="758" spans="1:17" ht="18" x14ac:dyDescent="0.25">
      <c r="A758" s="17" t="s">
        <v>142</v>
      </c>
      <c r="B758" s="17" t="s">
        <v>55</v>
      </c>
      <c r="C758" s="17" t="s">
        <v>143</v>
      </c>
      <c r="D758" s="144" t="s">
        <v>362</v>
      </c>
      <c r="E758" s="28">
        <f>AVERAGE(F758:Q758)</f>
        <v>297.02500000000003</v>
      </c>
      <c r="F758" s="25">
        <v>288.14999999999998</v>
      </c>
      <c r="G758" s="25">
        <v>292.14999999999998</v>
      </c>
      <c r="H758" s="25">
        <v>294.64999999999998</v>
      </c>
      <c r="I758" s="25">
        <v>296.64999999999998</v>
      </c>
      <c r="J758" s="25">
        <v>301.14999999999998</v>
      </c>
      <c r="K758" s="25">
        <v>301.14999999999998</v>
      </c>
      <c r="L758" s="25">
        <v>302.14999999999998</v>
      </c>
      <c r="M758" s="25">
        <v>302.14999999999998</v>
      </c>
      <c r="N758" s="25">
        <v>302.64999999999998</v>
      </c>
      <c r="O758" s="25">
        <v>298.64999999999998</v>
      </c>
      <c r="P758" s="25">
        <v>294.14999999999998</v>
      </c>
      <c r="Q758" s="25">
        <v>290.64999999999998</v>
      </c>
    </row>
    <row r="759" spans="1:17" ht="46.8" x14ac:dyDescent="0.25">
      <c r="A759" s="17" t="s">
        <v>144</v>
      </c>
      <c r="B759" s="17" t="s">
        <v>24</v>
      </c>
      <c r="C759" s="17" t="s">
        <v>145</v>
      </c>
      <c r="D759" s="17" t="s">
        <v>390</v>
      </c>
      <c r="E759" s="29">
        <f>SUM(F759:Q759)</f>
        <v>141.40915417970709</v>
      </c>
      <c r="F759" s="29">
        <f>F746*F747*'Project Emissions 2021'!F738+(1-F754)*0</f>
        <v>11.967413942765589</v>
      </c>
      <c r="G759" s="29">
        <f>G746*G747*'Project Emissions 2021'!G738+(1-G754)*0</f>
        <v>10.666628366457136</v>
      </c>
      <c r="H759" s="29">
        <f>H746*H747*'Project Emissions 2021'!H738+(1-H754)*0</f>
        <v>11.772352774707528</v>
      </c>
      <c r="I759" s="29">
        <f>I746*I747*'Project Emissions 2021'!I738+(1-I754)*0</f>
        <v>11.267762488989657</v>
      </c>
      <c r="J759" s="29">
        <f>J746*J747*'Project Emissions 2021'!J738+(1-J754)*0</f>
        <v>12.291965464329037</v>
      </c>
      <c r="K759" s="29">
        <f>K746*K747*'Project Emissions 2021'!K738+(1-K754)*0</f>
        <v>11.63195673835</v>
      </c>
      <c r="L759" s="29">
        <f>L746*L747*'Project Emissions 2021'!L738+(1-L754)*0</f>
        <v>12.368494297494086</v>
      </c>
      <c r="M759" s="29">
        <f>M746*M747*'Project Emissions 2021'!M738+(1-M754)*0</f>
        <v>11.952255486371508</v>
      </c>
      <c r="N759" s="29">
        <f>N746*N747*'Project Emissions 2021'!N738+(1-N754)*0</f>
        <v>12.138262775770837</v>
      </c>
      <c r="O759" s="29">
        <f>O746*O747*'Project Emissions 2021'!O738+(1-O754)*0</f>
        <v>12.471739531291936</v>
      </c>
      <c r="P759" s="29">
        <f>P746*P747*'Project Emissions 2021'!P738+(1-P754)*0</f>
        <v>11.381206797764998</v>
      </c>
      <c r="Q759" s="29">
        <f>Q746*Q747*'Project Emissions 2021'!Q738+(1-Q754)*0</f>
        <v>11.499115515414783</v>
      </c>
    </row>
    <row r="760" spans="1:17" x14ac:dyDescent="0.3">
      <c r="A760" s="30"/>
      <c r="E760" s="31"/>
      <c r="F760" s="31"/>
      <c r="G760" s="31"/>
      <c r="H760" s="31"/>
      <c r="I760" s="31"/>
      <c r="J760" s="31"/>
      <c r="K760" s="31"/>
      <c r="L760" s="31"/>
      <c r="M760" s="31"/>
      <c r="N760" s="31"/>
      <c r="O760" s="31"/>
      <c r="P760" s="31"/>
      <c r="Q760" s="31"/>
    </row>
    <row r="761" spans="1:17" x14ac:dyDescent="0.25">
      <c r="A761" s="174" t="s">
        <v>146</v>
      </c>
      <c r="B761" s="174"/>
      <c r="C761" s="175"/>
      <c r="D761" s="175"/>
      <c r="E761" s="195"/>
      <c r="F761" s="32"/>
      <c r="G761" s="32"/>
      <c r="H761" s="32"/>
      <c r="I761" s="32"/>
      <c r="J761" s="32"/>
      <c r="K761" s="32"/>
      <c r="L761" s="32"/>
      <c r="M761" s="32"/>
      <c r="N761" s="32"/>
      <c r="O761" s="32"/>
      <c r="P761" s="32"/>
      <c r="Q761" s="32"/>
    </row>
    <row r="762" spans="1:17" x14ac:dyDescent="0.25">
      <c r="A762" s="33" t="s">
        <v>8</v>
      </c>
      <c r="B762" s="33" t="s">
        <v>9</v>
      </c>
      <c r="C762" s="34" t="s">
        <v>10</v>
      </c>
      <c r="D762" s="34" t="s">
        <v>340</v>
      </c>
      <c r="E762" s="16" t="s">
        <v>65</v>
      </c>
      <c r="F762" s="32"/>
      <c r="G762" s="32"/>
      <c r="H762" s="32"/>
      <c r="I762" s="32"/>
      <c r="J762" s="32"/>
      <c r="K762" s="32"/>
      <c r="L762" s="32"/>
      <c r="M762" s="32"/>
      <c r="N762" s="32"/>
      <c r="O762" s="32"/>
      <c r="P762" s="32"/>
      <c r="Q762" s="32"/>
    </row>
    <row r="763" spans="1:17" ht="46.8" x14ac:dyDescent="0.25">
      <c r="A763" s="15" t="s">
        <v>147</v>
      </c>
      <c r="B763" s="17" t="s">
        <v>95</v>
      </c>
      <c r="C763" s="35" t="s">
        <v>148</v>
      </c>
      <c r="D763" s="35" t="s">
        <v>68</v>
      </c>
      <c r="E763" s="16">
        <v>0</v>
      </c>
      <c r="F763" s="32"/>
      <c r="G763" s="32"/>
      <c r="H763" s="32"/>
      <c r="I763" s="32"/>
      <c r="J763" s="32"/>
      <c r="K763" s="32"/>
      <c r="L763" s="32"/>
      <c r="M763" s="32"/>
      <c r="N763" s="32"/>
      <c r="O763" s="32"/>
      <c r="P763" s="32"/>
      <c r="Q763" s="32"/>
    </row>
    <row r="764" spans="1:17" x14ac:dyDescent="0.25">
      <c r="A764" s="36"/>
      <c r="B764" s="36"/>
      <c r="C764" s="37"/>
      <c r="D764" s="37"/>
      <c r="E764" s="32"/>
      <c r="F764" s="32"/>
      <c r="G764" s="32"/>
      <c r="H764" s="32"/>
      <c r="I764" s="32"/>
      <c r="J764" s="32"/>
      <c r="K764" s="32"/>
      <c r="L764" s="32"/>
      <c r="M764" s="32"/>
      <c r="N764" s="32"/>
      <c r="O764" s="32"/>
      <c r="P764" s="32"/>
      <c r="Q764" s="32"/>
    </row>
    <row r="765" spans="1:17" x14ac:dyDescent="0.25">
      <c r="A765" s="174" t="s">
        <v>149</v>
      </c>
      <c r="B765" s="174"/>
      <c r="C765" s="175"/>
      <c r="D765" s="175"/>
      <c r="E765" s="195"/>
      <c r="F765" s="32"/>
      <c r="G765" s="32"/>
      <c r="H765" s="32"/>
      <c r="I765" s="32"/>
      <c r="J765" s="32"/>
      <c r="K765" s="32"/>
      <c r="L765" s="32"/>
      <c r="M765" s="32"/>
      <c r="N765" s="32"/>
      <c r="O765" s="32"/>
      <c r="P765" s="32"/>
      <c r="Q765" s="32"/>
    </row>
    <row r="766" spans="1:17" x14ac:dyDescent="0.25">
      <c r="A766" s="33" t="s">
        <v>8</v>
      </c>
      <c r="B766" s="33" t="s">
        <v>9</v>
      </c>
      <c r="C766" s="34" t="s">
        <v>10</v>
      </c>
      <c r="D766" s="34" t="s">
        <v>340</v>
      </c>
      <c r="E766" s="16" t="s">
        <v>65</v>
      </c>
      <c r="F766" s="32"/>
      <c r="G766" s="32"/>
      <c r="H766" s="32"/>
      <c r="I766" s="32"/>
      <c r="J766" s="32"/>
      <c r="K766" s="32"/>
      <c r="L766" s="32"/>
      <c r="M766" s="32"/>
      <c r="N766" s="32"/>
      <c r="O766" s="32"/>
      <c r="P766" s="32"/>
      <c r="Q766" s="32"/>
    </row>
    <row r="767" spans="1:17" ht="46.8" x14ac:dyDescent="0.25">
      <c r="A767" s="15" t="s">
        <v>150</v>
      </c>
      <c r="B767" s="17" t="s">
        <v>95</v>
      </c>
      <c r="C767" s="35" t="s">
        <v>151</v>
      </c>
      <c r="D767" s="35" t="s">
        <v>68</v>
      </c>
      <c r="E767" s="16">
        <v>0</v>
      </c>
      <c r="F767" s="32"/>
      <c r="G767" s="32"/>
      <c r="H767" s="32"/>
      <c r="I767" s="32"/>
      <c r="J767" s="32"/>
      <c r="K767" s="32"/>
      <c r="L767" s="32"/>
      <c r="M767" s="32"/>
      <c r="N767" s="32"/>
      <c r="O767" s="32"/>
      <c r="P767" s="32"/>
      <c r="Q767" s="32"/>
    </row>
    <row r="768" spans="1:17" x14ac:dyDescent="0.25">
      <c r="F768" s="32"/>
      <c r="G768" s="32"/>
      <c r="H768" s="32"/>
      <c r="I768" s="32"/>
      <c r="J768" s="32"/>
      <c r="K768" s="32"/>
      <c r="L768" s="32"/>
      <c r="M768" s="32"/>
      <c r="N768" s="32"/>
      <c r="O768" s="32"/>
      <c r="P768" s="32"/>
      <c r="Q768" s="32"/>
    </row>
    <row r="769" spans="1:19" x14ac:dyDescent="0.25">
      <c r="A769" s="174" t="s">
        <v>152</v>
      </c>
      <c r="B769" s="174"/>
      <c r="C769" s="175"/>
      <c r="D769" s="175"/>
      <c r="E769" s="195"/>
      <c r="F769" s="32"/>
      <c r="G769" s="32"/>
      <c r="H769" s="32"/>
      <c r="I769" s="32"/>
      <c r="J769" s="32"/>
      <c r="K769" s="32"/>
      <c r="L769" s="32"/>
      <c r="M769" s="32"/>
      <c r="N769" s="32"/>
      <c r="O769" s="32"/>
      <c r="P769" s="32"/>
      <c r="Q769" s="32"/>
    </row>
    <row r="770" spans="1:19" s="10" customFormat="1" x14ac:dyDescent="0.25">
      <c r="A770" s="15" t="s">
        <v>8</v>
      </c>
      <c r="B770" s="15" t="s">
        <v>9</v>
      </c>
      <c r="C770" s="38" t="s">
        <v>10</v>
      </c>
      <c r="D770" s="38" t="s">
        <v>340</v>
      </c>
      <c r="E770" s="16" t="s">
        <v>65</v>
      </c>
      <c r="F770" s="32"/>
      <c r="G770" s="32"/>
      <c r="H770" s="39"/>
      <c r="I770" s="39"/>
      <c r="J770" s="39"/>
      <c r="K770" s="39"/>
      <c r="L770" s="39"/>
      <c r="M770" s="39"/>
      <c r="N770" s="39"/>
      <c r="O770" s="39"/>
      <c r="P770" s="39"/>
      <c r="Q770" s="39"/>
    </row>
    <row r="771" spans="1:19" s="10" customFormat="1" ht="18" x14ac:dyDescent="0.4">
      <c r="A771" s="40" t="s">
        <v>153</v>
      </c>
      <c r="B771" s="17" t="s">
        <v>103</v>
      </c>
      <c r="C771" s="35" t="s">
        <v>154</v>
      </c>
      <c r="D771" s="35" t="s">
        <v>155</v>
      </c>
      <c r="E771" s="41">
        <f>E772*E774*(1+E773)</f>
        <v>1726.0612310099998</v>
      </c>
      <c r="F771" s="32"/>
      <c r="G771" s="32"/>
      <c r="H771" s="39"/>
      <c r="I771" s="39"/>
      <c r="J771" s="39"/>
      <c r="K771" s="39"/>
      <c r="L771" s="39"/>
      <c r="M771" s="39"/>
      <c r="N771" s="39"/>
      <c r="O771" s="39"/>
      <c r="P771" s="39"/>
      <c r="Q771" s="39"/>
    </row>
    <row r="772" spans="1:19" ht="31.2" x14ac:dyDescent="0.25">
      <c r="A772" s="17" t="s">
        <v>156</v>
      </c>
      <c r="B772" s="17" t="s">
        <v>157</v>
      </c>
      <c r="C772" s="35" t="s">
        <v>158</v>
      </c>
      <c r="D772" s="35" t="s">
        <v>343</v>
      </c>
      <c r="E772" s="20">
        <f>2826735.5/1000</f>
        <v>2826.7354999999998</v>
      </c>
      <c r="G772" s="42"/>
      <c r="H772" s="43"/>
      <c r="I772" s="43"/>
      <c r="J772" s="43"/>
      <c r="K772" s="43"/>
      <c r="L772" s="43"/>
      <c r="M772" s="43"/>
      <c r="N772" s="43"/>
      <c r="O772" s="43"/>
      <c r="P772" s="43"/>
      <c r="Q772" s="43"/>
      <c r="R772" s="9"/>
      <c r="S772" s="9"/>
    </row>
    <row r="773" spans="1:19" ht="31.2" x14ac:dyDescent="0.25">
      <c r="A773" s="17" t="s">
        <v>159</v>
      </c>
      <c r="B773" s="17" t="s">
        <v>160</v>
      </c>
      <c r="C773" s="35" t="s">
        <v>161</v>
      </c>
      <c r="D773" s="35" t="s">
        <v>162</v>
      </c>
      <c r="E773" s="44">
        <v>0.2</v>
      </c>
      <c r="H773" s="43"/>
      <c r="I773" s="43"/>
      <c r="J773" s="43"/>
      <c r="K773" s="43"/>
      <c r="L773" s="43"/>
      <c r="M773" s="43"/>
      <c r="N773" s="43"/>
      <c r="O773" s="43"/>
      <c r="P773" s="43"/>
      <c r="Q773" s="43"/>
      <c r="R773" s="9"/>
      <c r="S773" s="9"/>
    </row>
    <row r="774" spans="1:19" ht="46.8" x14ac:dyDescent="0.25">
      <c r="A774" s="17" t="s">
        <v>163</v>
      </c>
      <c r="B774" s="17" t="s">
        <v>164</v>
      </c>
      <c r="C774" s="35" t="s">
        <v>165</v>
      </c>
      <c r="D774" s="35" t="s">
        <v>166</v>
      </c>
      <c r="E774" s="45">
        <f>0.5*0.8042+0.5*0.2135</f>
        <v>0.50885000000000002</v>
      </c>
      <c r="F774" s="46"/>
      <c r="G774" s="46"/>
      <c r="H774" s="46"/>
      <c r="I774" s="46"/>
      <c r="J774" s="46"/>
      <c r="K774" s="46"/>
      <c r="L774" s="46"/>
      <c r="M774" s="46"/>
      <c r="N774" s="46"/>
      <c r="O774" s="46"/>
      <c r="P774" s="46"/>
      <c r="Q774" s="46"/>
    </row>
    <row r="775" spans="1:19" ht="31.2" x14ac:dyDescent="0.4">
      <c r="A775" s="40" t="s">
        <v>167</v>
      </c>
      <c r="B775" s="17" t="s">
        <v>103</v>
      </c>
      <c r="C775" s="35" t="s">
        <v>168</v>
      </c>
      <c r="D775" s="35" t="s">
        <v>169</v>
      </c>
      <c r="E775" s="47">
        <v>0</v>
      </c>
      <c r="H775" s="43"/>
      <c r="I775" s="43"/>
      <c r="J775" s="43"/>
      <c r="K775" s="43"/>
      <c r="L775" s="43"/>
      <c r="M775" s="43"/>
      <c r="N775" s="43"/>
      <c r="O775" s="43"/>
      <c r="P775" s="43"/>
      <c r="Q775" s="43"/>
      <c r="R775" s="9"/>
      <c r="S775" s="9"/>
    </row>
    <row r="776" spans="1:19" x14ac:dyDescent="0.3">
      <c r="A776" s="48"/>
      <c r="E776" s="49"/>
      <c r="H776" s="43"/>
      <c r="I776" s="43"/>
      <c r="J776" s="43"/>
      <c r="K776" s="43"/>
      <c r="L776" s="43"/>
      <c r="M776" s="43"/>
      <c r="N776" s="43"/>
      <c r="O776" s="43"/>
      <c r="P776" s="43"/>
      <c r="Q776" s="43"/>
      <c r="R776" s="9"/>
      <c r="S776" s="9"/>
    </row>
    <row r="777" spans="1:19" x14ac:dyDescent="0.25">
      <c r="A777" s="174" t="s">
        <v>170</v>
      </c>
      <c r="B777" s="174"/>
      <c r="C777" s="175"/>
      <c r="D777" s="175"/>
      <c r="E777" s="195"/>
      <c r="F777" s="32"/>
      <c r="G777" s="32"/>
      <c r="H777" s="32"/>
      <c r="I777" s="32"/>
      <c r="J777" s="32"/>
      <c r="K777" s="32"/>
      <c r="L777" s="32"/>
      <c r="M777" s="32"/>
      <c r="N777" s="32"/>
      <c r="O777" s="32"/>
      <c r="P777" s="32"/>
      <c r="Q777" s="32"/>
    </row>
    <row r="778" spans="1:19" x14ac:dyDescent="0.25">
      <c r="A778" s="15" t="s">
        <v>8</v>
      </c>
      <c r="B778" s="15" t="s">
        <v>9</v>
      </c>
      <c r="C778" s="38" t="s">
        <v>10</v>
      </c>
      <c r="D778" s="38" t="s">
        <v>340</v>
      </c>
      <c r="E778" s="16" t="s">
        <v>65</v>
      </c>
      <c r="H778" s="43"/>
      <c r="I778" s="43"/>
      <c r="J778" s="43"/>
      <c r="K778" s="43"/>
      <c r="L778" s="43"/>
      <c r="M778" s="43"/>
      <c r="N778" s="43"/>
      <c r="O778" s="43"/>
      <c r="P778" s="43"/>
      <c r="Q778" s="43"/>
      <c r="R778" s="9"/>
      <c r="S778" s="9"/>
    </row>
    <row r="779" spans="1:19" ht="33.6" x14ac:dyDescent="0.4">
      <c r="A779" s="40" t="s">
        <v>171</v>
      </c>
      <c r="B779" s="17" t="s">
        <v>74</v>
      </c>
      <c r="C779" s="35" t="s">
        <v>172</v>
      </c>
      <c r="D779" s="35" t="s">
        <v>391</v>
      </c>
      <c r="E779" s="50">
        <f>E780*E783*E784*E785*E786*E787</f>
        <v>46.362222042409726</v>
      </c>
      <c r="H779" s="43"/>
      <c r="I779" s="43"/>
      <c r="J779" s="43"/>
      <c r="K779" s="43"/>
      <c r="L779" s="43"/>
      <c r="M779" s="43"/>
      <c r="N779" s="43"/>
      <c r="O779" s="43"/>
      <c r="P779" s="43"/>
      <c r="Q779" s="43"/>
      <c r="R779" s="9"/>
      <c r="S779" s="9"/>
    </row>
    <row r="780" spans="1:19" ht="46.8" x14ac:dyDescent="0.4">
      <c r="A780" s="51" t="s">
        <v>173</v>
      </c>
      <c r="B780" s="17" t="s">
        <v>76</v>
      </c>
      <c r="C780" s="35" t="s">
        <v>174</v>
      </c>
      <c r="D780" s="35" t="s">
        <v>392</v>
      </c>
      <c r="E780" s="69">
        <f>ROUNDUP(E781/E782,0)</f>
        <v>928</v>
      </c>
      <c r="H780" s="43"/>
      <c r="I780" s="43"/>
      <c r="J780" s="43"/>
      <c r="K780" s="43"/>
      <c r="L780" s="43"/>
      <c r="M780" s="43"/>
      <c r="N780" s="43"/>
      <c r="O780" s="43"/>
      <c r="P780" s="43"/>
      <c r="Q780" s="43"/>
      <c r="R780" s="9"/>
      <c r="S780" s="9"/>
    </row>
    <row r="781" spans="1:19" ht="62.4" x14ac:dyDescent="0.25">
      <c r="A781" s="17" t="s">
        <v>175</v>
      </c>
      <c r="B781" s="17" t="s">
        <v>78</v>
      </c>
      <c r="C781" s="35" t="s">
        <v>176</v>
      </c>
      <c r="D781" s="35" t="s">
        <v>346</v>
      </c>
      <c r="E781" s="52">
        <v>4637.0339999999997</v>
      </c>
      <c r="H781" s="43"/>
      <c r="I781" s="43"/>
      <c r="J781" s="43"/>
      <c r="K781" s="43"/>
      <c r="L781" s="43"/>
      <c r="M781" s="43"/>
      <c r="N781" s="43"/>
      <c r="O781" s="43"/>
      <c r="P781" s="43"/>
      <c r="Q781" s="43"/>
      <c r="R781" s="9"/>
      <c r="S781" s="9"/>
    </row>
    <row r="782" spans="1:19" ht="62.4" x14ac:dyDescent="0.25">
      <c r="A782" s="17" t="s">
        <v>177</v>
      </c>
      <c r="B782" s="17" t="s">
        <v>80</v>
      </c>
      <c r="C782" s="35" t="s">
        <v>81</v>
      </c>
      <c r="D782" s="35" t="s">
        <v>345</v>
      </c>
      <c r="E782" s="25">
        <f>5</f>
        <v>5</v>
      </c>
      <c r="H782" s="43"/>
      <c r="I782" s="43"/>
      <c r="J782" s="43"/>
      <c r="K782" s="43"/>
      <c r="L782" s="43"/>
      <c r="M782" s="43"/>
      <c r="N782" s="43"/>
      <c r="O782" s="43"/>
      <c r="P782" s="43"/>
      <c r="Q782" s="43"/>
      <c r="R782" s="9"/>
      <c r="S782" s="9"/>
    </row>
    <row r="783" spans="1:19" ht="202.8" x14ac:dyDescent="0.25">
      <c r="A783" s="17" t="s">
        <v>178</v>
      </c>
      <c r="B783" s="17" t="s">
        <v>82</v>
      </c>
      <c r="C783" s="35" t="s">
        <v>179</v>
      </c>
      <c r="D783" s="35" t="s">
        <v>367</v>
      </c>
      <c r="E783" s="25">
        <v>73.8</v>
      </c>
      <c r="H783" s="43"/>
      <c r="I783" s="43"/>
      <c r="J783" s="43"/>
      <c r="K783" s="43"/>
      <c r="L783" s="43"/>
      <c r="M783" s="43"/>
      <c r="N783" s="43"/>
      <c r="O783" s="43"/>
      <c r="P783" s="43"/>
      <c r="Q783" s="43"/>
      <c r="R783" s="9"/>
      <c r="S783" s="9"/>
    </row>
    <row r="784" spans="1:19" ht="156" x14ac:dyDescent="0.25">
      <c r="A784" s="17" t="s">
        <v>180</v>
      </c>
      <c r="B784" s="17" t="s">
        <v>84</v>
      </c>
      <c r="C784" s="35" t="s">
        <v>85</v>
      </c>
      <c r="D784" s="35" t="s">
        <v>365</v>
      </c>
      <c r="E784" s="25">
        <f>25.1/100</f>
        <v>0.251</v>
      </c>
      <c r="H784" s="43"/>
      <c r="I784" s="43"/>
      <c r="J784" s="43"/>
      <c r="K784" s="43"/>
      <c r="L784" s="43"/>
      <c r="M784" s="43"/>
      <c r="N784" s="43"/>
      <c r="O784" s="43"/>
      <c r="P784" s="43"/>
      <c r="Q784" s="43"/>
      <c r="R784" s="9"/>
      <c r="S784" s="9"/>
    </row>
    <row r="785" spans="1:133" ht="62.4" x14ac:dyDescent="0.25">
      <c r="A785" s="17" t="s">
        <v>86</v>
      </c>
      <c r="B785" s="17" t="s">
        <v>87</v>
      </c>
      <c r="C785" s="35" t="s">
        <v>86</v>
      </c>
      <c r="D785" s="35" t="s">
        <v>215</v>
      </c>
      <c r="E785" s="25">
        <f>0.84/1000</f>
        <v>8.3999999999999993E-4</v>
      </c>
      <c r="H785" s="43"/>
      <c r="I785" s="43"/>
      <c r="J785" s="43"/>
      <c r="K785" s="43"/>
      <c r="L785" s="43"/>
      <c r="M785" s="43"/>
      <c r="N785" s="43"/>
      <c r="O785" s="43"/>
      <c r="P785" s="43"/>
      <c r="Q785" s="43"/>
      <c r="R785" s="9"/>
      <c r="S785" s="9"/>
    </row>
    <row r="786" spans="1:133" ht="124.8" x14ac:dyDescent="0.25">
      <c r="A786" s="17" t="s">
        <v>181</v>
      </c>
      <c r="B786" s="17" t="s">
        <v>88</v>
      </c>
      <c r="C786" s="35" t="s">
        <v>89</v>
      </c>
      <c r="D786" s="35" t="s">
        <v>360</v>
      </c>
      <c r="E786" s="25">
        <f>43.33/1000</f>
        <v>4.333E-2</v>
      </c>
      <c r="H786" s="43"/>
      <c r="I786" s="43"/>
      <c r="J786" s="43"/>
      <c r="K786" s="43"/>
      <c r="L786" s="43"/>
      <c r="M786" s="43"/>
      <c r="N786" s="43"/>
      <c r="O786" s="43"/>
      <c r="P786" s="43"/>
      <c r="Q786" s="43"/>
      <c r="R786" s="9"/>
      <c r="S786" s="9"/>
    </row>
    <row r="787" spans="1:133" ht="33.6" x14ac:dyDescent="0.25">
      <c r="A787" s="17" t="s">
        <v>182</v>
      </c>
      <c r="B787" s="17" t="s">
        <v>90</v>
      </c>
      <c r="C787" s="35" t="s">
        <v>91</v>
      </c>
      <c r="D787" s="35" t="s">
        <v>92</v>
      </c>
      <c r="E787" s="25">
        <v>74.099999999999994</v>
      </c>
      <c r="H787" s="43"/>
      <c r="I787" s="43"/>
      <c r="J787" s="43"/>
      <c r="K787" s="43"/>
      <c r="L787" s="43"/>
      <c r="M787" s="43"/>
      <c r="N787" s="43"/>
      <c r="O787" s="43"/>
      <c r="P787" s="43"/>
      <c r="Q787" s="43"/>
      <c r="R787" s="9"/>
      <c r="S787" s="9"/>
    </row>
    <row r="789" spans="1:133" x14ac:dyDescent="0.25">
      <c r="A789" s="33" t="s">
        <v>8</v>
      </c>
      <c r="B789" s="33" t="s">
        <v>9</v>
      </c>
      <c r="C789" s="34" t="s">
        <v>10</v>
      </c>
      <c r="D789" s="34" t="s">
        <v>340</v>
      </c>
      <c r="E789" s="16" t="s">
        <v>65</v>
      </c>
    </row>
    <row r="790" spans="1:133" ht="18" x14ac:dyDescent="0.25">
      <c r="A790" s="15" t="s">
        <v>183</v>
      </c>
      <c r="B790" s="17" t="s">
        <v>103</v>
      </c>
      <c r="C790" s="35" t="s">
        <v>184</v>
      </c>
      <c r="D790" s="53" t="s">
        <v>393</v>
      </c>
      <c r="E790" s="18">
        <f>ROUNDUP(E739+E763+E767+E771+E779,0)</f>
        <v>1773</v>
      </c>
    </row>
    <row r="791" spans="1:133" s="200" customFormat="1" ht="43.2" customHeight="1" x14ac:dyDescent="0.25">
      <c r="A791" s="197" t="s">
        <v>256</v>
      </c>
      <c r="B791" s="198"/>
      <c r="C791" s="198"/>
      <c r="D791" s="198"/>
      <c r="E791" s="198"/>
      <c r="F791" s="198"/>
      <c r="G791" s="198"/>
      <c r="H791" s="198"/>
      <c r="I791" s="198"/>
      <c r="J791" s="198"/>
      <c r="K791" s="198"/>
      <c r="L791" s="198"/>
      <c r="M791" s="198"/>
      <c r="N791" s="198"/>
      <c r="O791" s="198"/>
      <c r="P791" s="198"/>
      <c r="Q791" s="198"/>
      <c r="R791" s="198"/>
      <c r="S791" s="198"/>
      <c r="T791" s="198"/>
      <c r="U791" s="198"/>
      <c r="V791" s="198"/>
      <c r="W791" s="198"/>
      <c r="X791" s="198"/>
      <c r="Y791" s="198"/>
      <c r="Z791" s="198"/>
      <c r="AA791" s="198"/>
      <c r="AB791" s="198"/>
      <c r="AC791" s="198"/>
      <c r="AD791" s="198"/>
      <c r="AE791" s="198"/>
      <c r="AF791" s="198"/>
      <c r="AG791" s="198"/>
      <c r="AH791" s="198"/>
      <c r="AI791" s="198"/>
      <c r="AJ791" s="198"/>
      <c r="AK791" s="198"/>
      <c r="AL791" s="198"/>
      <c r="AM791" s="198"/>
      <c r="AN791" s="198"/>
      <c r="AO791" s="198"/>
      <c r="AP791" s="198"/>
      <c r="AQ791" s="198"/>
      <c r="AR791" s="198"/>
      <c r="AS791" s="198"/>
      <c r="AT791" s="198"/>
      <c r="AU791" s="198"/>
      <c r="AV791" s="198"/>
      <c r="AW791" s="198"/>
      <c r="AX791" s="198"/>
      <c r="AY791" s="198"/>
      <c r="AZ791" s="198"/>
      <c r="BA791" s="198"/>
      <c r="BB791" s="198"/>
      <c r="BC791" s="198"/>
      <c r="BD791" s="198"/>
      <c r="BE791" s="198"/>
      <c r="BF791" s="198"/>
      <c r="BG791" s="198"/>
      <c r="BH791" s="198"/>
      <c r="BI791" s="198"/>
      <c r="BJ791" s="198"/>
      <c r="BK791" s="198"/>
      <c r="BL791" s="198"/>
      <c r="BM791" s="198"/>
      <c r="BN791" s="198"/>
      <c r="BO791" s="198"/>
      <c r="BP791" s="198"/>
      <c r="BQ791" s="198"/>
      <c r="BR791" s="198"/>
      <c r="BS791" s="198"/>
      <c r="BT791" s="198"/>
      <c r="BU791" s="198"/>
      <c r="BV791" s="198"/>
      <c r="BW791" s="198"/>
      <c r="BX791" s="198"/>
      <c r="BY791" s="198"/>
      <c r="BZ791" s="198"/>
      <c r="CA791" s="198"/>
      <c r="CB791" s="198"/>
      <c r="CC791" s="198"/>
      <c r="CD791" s="198"/>
      <c r="CE791" s="198"/>
      <c r="CF791" s="198"/>
      <c r="CG791" s="198"/>
      <c r="CH791" s="198"/>
      <c r="CI791" s="198"/>
      <c r="CJ791" s="198"/>
      <c r="CK791" s="198"/>
      <c r="CL791" s="198"/>
      <c r="CM791" s="198"/>
      <c r="CN791" s="198"/>
      <c r="CO791" s="198"/>
      <c r="CP791" s="198"/>
      <c r="CQ791" s="198"/>
      <c r="CR791" s="198"/>
      <c r="CS791" s="198"/>
      <c r="CT791" s="198"/>
      <c r="CU791" s="198"/>
      <c r="CV791" s="198"/>
      <c r="CW791" s="198"/>
      <c r="CX791" s="198"/>
      <c r="CY791" s="198"/>
      <c r="CZ791" s="198"/>
      <c r="DA791" s="198"/>
      <c r="DB791" s="198"/>
      <c r="DC791" s="198"/>
      <c r="DD791" s="198"/>
      <c r="DE791" s="198"/>
      <c r="DF791" s="198"/>
      <c r="DG791" s="198"/>
      <c r="DH791" s="198"/>
      <c r="DI791" s="198"/>
      <c r="DJ791" s="198"/>
      <c r="DK791" s="198"/>
      <c r="DL791" s="198"/>
      <c r="DM791" s="198"/>
      <c r="DN791" s="198"/>
      <c r="DO791" s="198"/>
      <c r="DP791" s="198"/>
      <c r="DQ791" s="198"/>
      <c r="DR791" s="198"/>
      <c r="DS791" s="198"/>
      <c r="DT791" s="198"/>
      <c r="DU791" s="198"/>
      <c r="DV791" s="198"/>
      <c r="DW791" s="198"/>
      <c r="DX791" s="198"/>
      <c r="DY791" s="198"/>
      <c r="DZ791" s="198"/>
      <c r="EA791" s="198"/>
      <c r="EB791" s="198"/>
      <c r="EC791" s="199"/>
    </row>
    <row r="792" spans="1:133" ht="23.4" customHeight="1" x14ac:dyDescent="0.25">
      <c r="A792" s="201" t="s">
        <v>105</v>
      </c>
      <c r="B792" s="201"/>
      <c r="C792" s="201"/>
      <c r="D792" s="201"/>
      <c r="E792" s="201"/>
      <c r="F792" s="201"/>
      <c r="G792" s="201"/>
      <c r="H792" s="201"/>
      <c r="I792" s="201"/>
      <c r="J792" s="201"/>
      <c r="K792" s="201"/>
      <c r="L792" s="201"/>
      <c r="M792" s="201"/>
      <c r="N792" s="201"/>
      <c r="O792" s="201"/>
      <c r="P792" s="201"/>
      <c r="Q792" s="202"/>
    </row>
    <row r="793" spans="1:133" s="10" customFormat="1" ht="31.2" x14ac:dyDescent="0.25">
      <c r="A793" s="15" t="s">
        <v>8</v>
      </c>
      <c r="B793" s="15" t="s">
        <v>9</v>
      </c>
      <c r="C793" s="15" t="s">
        <v>10</v>
      </c>
      <c r="D793" s="15" t="s">
        <v>340</v>
      </c>
      <c r="E793" s="16" t="s">
        <v>11</v>
      </c>
      <c r="F793" s="16" t="s">
        <v>312</v>
      </c>
      <c r="G793" s="16" t="s">
        <v>313</v>
      </c>
      <c r="H793" s="16" t="s">
        <v>314</v>
      </c>
      <c r="I793" s="16" t="s">
        <v>315</v>
      </c>
      <c r="J793" s="16" t="s">
        <v>316</v>
      </c>
      <c r="K793" s="16" t="s">
        <v>317</v>
      </c>
      <c r="L793" s="16" t="s">
        <v>318</v>
      </c>
      <c r="M793" s="16" t="s">
        <v>319</v>
      </c>
      <c r="N793" s="16" t="s">
        <v>320</v>
      </c>
      <c r="O793" s="16" t="s">
        <v>293</v>
      </c>
      <c r="P793" s="16" t="s">
        <v>294</v>
      </c>
      <c r="Q793" s="16" t="s">
        <v>295</v>
      </c>
      <c r="R793" s="54"/>
      <c r="S793" s="54"/>
    </row>
    <row r="794" spans="1:133" s="10" customFormat="1" x14ac:dyDescent="0.25">
      <c r="A794" s="203" t="s">
        <v>106</v>
      </c>
      <c r="B794" s="203"/>
      <c r="C794" s="203"/>
      <c r="D794" s="203"/>
      <c r="E794" s="204"/>
      <c r="F794" s="16">
        <v>31</v>
      </c>
      <c r="G794" s="16">
        <v>28</v>
      </c>
      <c r="H794" s="16">
        <v>31</v>
      </c>
      <c r="I794" s="16">
        <v>30</v>
      </c>
      <c r="J794" s="16">
        <v>31</v>
      </c>
      <c r="K794" s="16">
        <v>30</v>
      </c>
      <c r="L794" s="16">
        <v>31</v>
      </c>
      <c r="M794" s="16">
        <v>31</v>
      </c>
      <c r="N794" s="16">
        <v>30</v>
      </c>
      <c r="O794" s="16">
        <v>31</v>
      </c>
      <c r="P794" s="16">
        <v>30</v>
      </c>
      <c r="Q794" s="16">
        <v>31</v>
      </c>
      <c r="R794" s="54"/>
      <c r="S794" s="54"/>
    </row>
    <row r="795" spans="1:133" s="10" customFormat="1" ht="31.2" x14ac:dyDescent="0.25">
      <c r="A795" s="15" t="s">
        <v>107</v>
      </c>
      <c r="B795" s="17" t="s">
        <v>103</v>
      </c>
      <c r="C795" s="17" t="s">
        <v>108</v>
      </c>
      <c r="D795" s="17" t="s">
        <v>381</v>
      </c>
      <c r="E795" s="18">
        <f>E796+E806</f>
        <v>0</v>
      </c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54"/>
      <c r="S795" s="54"/>
    </row>
    <row r="796" spans="1:133" ht="46.8" x14ac:dyDescent="0.25">
      <c r="A796" s="17" t="s">
        <v>109</v>
      </c>
      <c r="B796" s="17" t="s">
        <v>103</v>
      </c>
      <c r="C796" s="17" t="s">
        <v>110</v>
      </c>
      <c r="D796" s="17" t="s">
        <v>382</v>
      </c>
      <c r="E796" s="19">
        <f>SUM(F796:Q796)</f>
        <v>0</v>
      </c>
      <c r="F796" s="19">
        <f>IF(F797&gt;=0.8,0,$E$804*$E$805*0.4*(F798-F801)*F794)</f>
        <v>0</v>
      </c>
      <c r="G796" s="19">
        <f t="shared" ref="G796:Q796" si="98">IF(G797&gt;=0.8,0,$E$804*$E$805*0.4*(G798-G801)*G794)</f>
        <v>0</v>
      </c>
      <c r="H796" s="19">
        <f t="shared" si="98"/>
        <v>0</v>
      </c>
      <c r="I796" s="19">
        <f t="shared" si="98"/>
        <v>0</v>
      </c>
      <c r="J796" s="19">
        <f t="shared" si="98"/>
        <v>0</v>
      </c>
      <c r="K796" s="19">
        <f t="shared" si="98"/>
        <v>0</v>
      </c>
      <c r="L796" s="19">
        <f t="shared" si="98"/>
        <v>0</v>
      </c>
      <c r="M796" s="19">
        <f t="shared" si="98"/>
        <v>0</v>
      </c>
      <c r="N796" s="19">
        <f t="shared" si="98"/>
        <v>0</v>
      </c>
      <c r="O796" s="19">
        <f t="shared" si="98"/>
        <v>0</v>
      </c>
      <c r="P796" s="19">
        <f t="shared" si="98"/>
        <v>0</v>
      </c>
      <c r="Q796" s="19">
        <f t="shared" si="98"/>
        <v>0</v>
      </c>
    </row>
    <row r="797" spans="1:133" ht="62.4" x14ac:dyDescent="0.25">
      <c r="A797" s="17" t="s">
        <v>111</v>
      </c>
      <c r="B797" s="17" t="s">
        <v>37</v>
      </c>
      <c r="C797" s="17" t="s">
        <v>112</v>
      </c>
      <c r="D797" s="17" t="s">
        <v>383</v>
      </c>
      <c r="E797" s="20">
        <f>AVERAGE(F797:Q797)</f>
        <v>0.96027350849969784</v>
      </c>
      <c r="F797" s="20">
        <f>(F798-F801)/F798</f>
        <v>0.96154662675488423</v>
      </c>
      <c r="G797" s="20">
        <f t="shared" ref="G797:Q797" si="99">(G798-G801)/G798</f>
        <v>0.96069068645283862</v>
      </c>
      <c r="H797" s="20">
        <f t="shared" si="99"/>
        <v>0.96038128768907727</v>
      </c>
      <c r="I797" s="20">
        <f t="shared" si="99"/>
        <v>0.96090019242777014</v>
      </c>
      <c r="J797" s="20">
        <f t="shared" si="99"/>
        <v>0.96126040242716204</v>
      </c>
      <c r="K797" s="20">
        <f t="shared" si="99"/>
        <v>0.95656300772125746</v>
      </c>
      <c r="L797" s="20">
        <f t="shared" si="99"/>
        <v>0.95831410047095111</v>
      </c>
      <c r="M797" s="20">
        <f t="shared" si="99"/>
        <v>0.95722104339618352</v>
      </c>
      <c r="N797" s="20">
        <f t="shared" si="99"/>
        <v>0.96178304631803824</v>
      </c>
      <c r="O797" s="20">
        <f t="shared" si="99"/>
        <v>0.96164224498738127</v>
      </c>
      <c r="P797" s="20">
        <f t="shared" si="99"/>
        <v>0.96168031753345018</v>
      </c>
      <c r="Q797" s="20">
        <f t="shared" si="99"/>
        <v>0.96129914581738019</v>
      </c>
    </row>
    <row r="798" spans="1:133" ht="46.8" x14ac:dyDescent="0.25">
      <c r="A798" s="17" t="s">
        <v>113</v>
      </c>
      <c r="B798" s="17" t="s">
        <v>24</v>
      </c>
      <c r="C798" s="17" t="s">
        <v>114</v>
      </c>
      <c r="D798" s="17" t="s">
        <v>384</v>
      </c>
      <c r="E798" s="20">
        <f>SUM(F798:Q798)</f>
        <v>123.82994835171618</v>
      </c>
      <c r="F798" s="20">
        <f>F799*F800</f>
        <v>10.440367798130632</v>
      </c>
      <c r="G798" s="20">
        <f t="shared" ref="G798:Q798" si="100">G799*G800</f>
        <v>10.440933514614656</v>
      </c>
      <c r="H798" s="20">
        <f t="shared" si="100"/>
        <v>10.439502956376602</v>
      </c>
      <c r="I798" s="20">
        <f t="shared" si="100"/>
        <v>10.442151170477228</v>
      </c>
      <c r="J798" s="20">
        <f t="shared" si="100"/>
        <v>10.810978035276067</v>
      </c>
      <c r="K798" s="20">
        <f t="shared" si="100"/>
        <v>9.5811555204788892</v>
      </c>
      <c r="L798" s="20">
        <f t="shared" si="100"/>
        <v>9.5872243111936122</v>
      </c>
      <c r="M798" s="20">
        <f t="shared" si="100"/>
        <v>9.5849995077434578</v>
      </c>
      <c r="N798" s="20">
        <f t="shared" si="100"/>
        <v>10.807895972217665</v>
      </c>
      <c r="O798" s="20">
        <f t="shared" si="100"/>
        <v>10.811978645703652</v>
      </c>
      <c r="P798" s="20">
        <f t="shared" si="100"/>
        <v>10.445084540063455</v>
      </c>
      <c r="Q798" s="20">
        <f t="shared" si="100"/>
        <v>10.437676379440296</v>
      </c>
    </row>
    <row r="799" spans="1:133" ht="71.400000000000006" customHeight="1" x14ac:dyDescent="0.25">
      <c r="A799" s="17" t="s">
        <v>115</v>
      </c>
      <c r="B799" s="17" t="s">
        <v>116</v>
      </c>
      <c r="C799" s="17" t="s">
        <v>117</v>
      </c>
      <c r="D799" s="17" t="s">
        <v>337</v>
      </c>
      <c r="E799" s="129">
        <f>SUM(F799:Q799)</f>
        <v>247420.15911313365</v>
      </c>
      <c r="F799" s="129">
        <f>'Baseline Emissions 2021'!F773</f>
        <v>20261.062967741938</v>
      </c>
      <c r="G799" s="129">
        <f>'Baseline Emissions 2021'!G773</f>
        <v>20256.531035714281</v>
      </c>
      <c r="H799" s="129">
        <f>'Baseline Emissions 2021'!H773</f>
        <v>20259.891935483869</v>
      </c>
      <c r="I799" s="129">
        <f>'Baseline Emissions 2021'!I773</f>
        <v>20260.61313333334</v>
      </c>
      <c r="J799" s="129">
        <f>'Baseline Emissions 2021'!J773</f>
        <v>20977.309806451613</v>
      </c>
      <c r="K799" s="129">
        <f>'Baseline Emissions 2021'!K773</f>
        <v>20976.039233333337</v>
      </c>
      <c r="L799" s="129">
        <f>'Baseline Emissions 2021'!L773</f>
        <v>20975.043322580648</v>
      </c>
      <c r="M799" s="129">
        <f>'Baseline Emissions 2021'!M773</f>
        <v>20978.528645161285</v>
      </c>
      <c r="N799" s="129">
        <f>'Baseline Emissions 2021'!N773</f>
        <v>20975.559600000001</v>
      </c>
      <c r="O799" s="129">
        <f>'Baseline Emissions 2021'!O773</f>
        <v>20978.375967741937</v>
      </c>
      <c r="P799" s="129">
        <f>'Baseline Emissions 2021'!P773</f>
        <v>20263.017433333334</v>
      </c>
      <c r="Q799" s="129">
        <f>'Baseline Emissions 2021'!Q773</f>
        <v>20258.186032258061</v>
      </c>
    </row>
    <row r="800" spans="1:133" ht="46.8" x14ac:dyDescent="0.25">
      <c r="A800" s="17" t="s">
        <v>118</v>
      </c>
      <c r="B800" s="17" t="s">
        <v>119</v>
      </c>
      <c r="C800" s="17" t="s">
        <v>120</v>
      </c>
      <c r="D800" s="35" t="s">
        <v>338</v>
      </c>
      <c r="E800" s="120">
        <f>AVERAGE(F800:Q800)</f>
        <v>5.007383322132617E-4</v>
      </c>
      <c r="F800" s="130">
        <f>'Baseline Emissions 2021'!F777</f>
        <v>5.1529220430107539E-4</v>
      </c>
      <c r="G800" s="130">
        <f>'Baseline Emissions 2021'!G777</f>
        <v>5.1543541666666673E-4</v>
      </c>
      <c r="H800" s="130">
        <f>'Baseline Emissions 2021'!H777</f>
        <v>5.1527930107526877E-4</v>
      </c>
      <c r="I800" s="130">
        <f>'Baseline Emissions 2021'!I777</f>
        <v>5.1539166666666678E-4</v>
      </c>
      <c r="J800" s="130">
        <f>'Baseline Emissions 2021'!J777</f>
        <v>5.1536532258064519E-4</v>
      </c>
      <c r="K800" s="130">
        <f>'Baseline Emissions 2021'!K777</f>
        <v>4.5676666666666664E-4</v>
      </c>
      <c r="L800" s="130">
        <f>'Baseline Emissions 2021'!L777</f>
        <v>4.5707768817204313E-4</v>
      </c>
      <c r="M800" s="130">
        <f>'Baseline Emissions 2021'!M777</f>
        <v>4.5689569892473116E-4</v>
      </c>
      <c r="N800" s="130">
        <f>'Baseline Emissions 2021'!N777</f>
        <v>5.152613888888888E-4</v>
      </c>
      <c r="O800" s="130">
        <f>'Baseline Emissions 2021'!O777</f>
        <v>5.1538682795698927E-4</v>
      </c>
      <c r="P800" s="130">
        <f>'Baseline Emissions 2021'!P777</f>
        <v>5.1547527777777782E-4</v>
      </c>
      <c r="Q800" s="130">
        <f>'Baseline Emissions 2021'!Q777</f>
        <v>5.1523252688172045E-4</v>
      </c>
    </row>
    <row r="801" spans="1:17" ht="46.8" x14ac:dyDescent="0.25">
      <c r="A801" s="17" t="s">
        <v>121</v>
      </c>
      <c r="B801" s="17" t="s">
        <v>24</v>
      </c>
      <c r="C801" s="17" t="s">
        <v>122</v>
      </c>
      <c r="D801" s="17" t="s">
        <v>384</v>
      </c>
      <c r="E801" s="20">
        <f>SUM(F801:Q801)</f>
        <v>4.9104243212613161</v>
      </c>
      <c r="F801" s="20">
        <f>SUM(F802*F803)</f>
        <v>0.40146735975780434</v>
      </c>
      <c r="G801" s="20">
        <f t="shared" ref="G801:Q801" si="101">SUM(G802*G803)</f>
        <v>0.41042592925105226</v>
      </c>
      <c r="H801" s="20">
        <f t="shared" si="101"/>
        <v>0.41359966429771089</v>
      </c>
      <c r="I801" s="20">
        <f t="shared" si="101"/>
        <v>0.40828610140579508</v>
      </c>
      <c r="J801" s="20">
        <f t="shared" si="101"/>
        <v>0.41881293845538509</v>
      </c>
      <c r="K801" s="20">
        <f t="shared" si="101"/>
        <v>0.41617657836447214</v>
      </c>
      <c r="L801" s="20">
        <f t="shared" si="101"/>
        <v>0.3996520693988726</v>
      </c>
      <c r="M801" s="20">
        <f t="shared" si="101"/>
        <v>0.41003627798935999</v>
      </c>
      <c r="N801" s="20">
        <f t="shared" si="101"/>
        <v>0.41304485976970384</v>
      </c>
      <c r="O801" s="20">
        <f t="shared" si="101"/>
        <v>0.41472322809356593</v>
      </c>
      <c r="P801" s="20">
        <f t="shared" si="101"/>
        <v>0.40025232291150009</v>
      </c>
      <c r="Q801" s="20">
        <f t="shared" si="101"/>
        <v>0.40394699156609426</v>
      </c>
    </row>
    <row r="802" spans="1:17" ht="62.4" x14ac:dyDescent="0.25">
      <c r="A802" s="17" t="s">
        <v>123</v>
      </c>
      <c r="B802" s="17" t="s">
        <v>116</v>
      </c>
      <c r="C802" s="17" t="s">
        <v>124</v>
      </c>
      <c r="D802" s="17" t="s">
        <v>337</v>
      </c>
      <c r="E802" s="129">
        <f>SUM(F802:Q802)</f>
        <v>243540.12714723501</v>
      </c>
      <c r="F802" s="129">
        <v>19937.503548387096</v>
      </c>
      <c r="G802" s="129">
        <v>19936.550321428575</v>
      </c>
      <c r="H802" s="129">
        <v>19939.230096774198</v>
      </c>
      <c r="I802" s="129">
        <v>19940.153433333337</v>
      </c>
      <c r="J802" s="129">
        <v>20653.33241935484</v>
      </c>
      <c r="K802" s="129">
        <v>20649.085299999995</v>
      </c>
      <c r="L802" s="129">
        <v>20652.419161290323</v>
      </c>
      <c r="M802" s="129">
        <v>20652.54416129032</v>
      </c>
      <c r="N802" s="129">
        <v>20649.088266666669</v>
      </c>
      <c r="O802" s="129">
        <v>20654.266129032265</v>
      </c>
      <c r="P802" s="129">
        <v>19935.366600000001</v>
      </c>
      <c r="Q802" s="129">
        <v>19940.587709677413</v>
      </c>
    </row>
    <row r="803" spans="1:17" ht="46.8" x14ac:dyDescent="0.25">
      <c r="A803" s="17" t="s">
        <v>125</v>
      </c>
      <c r="B803" s="17" t="s">
        <v>119</v>
      </c>
      <c r="C803" s="17" t="s">
        <v>126</v>
      </c>
      <c r="D803" s="35" t="s">
        <v>339</v>
      </c>
      <c r="E803" s="131">
        <f>AVERAGE(F803:Q803)</f>
        <v>2.0166432568006194E-5</v>
      </c>
      <c r="F803" s="131">
        <f>'Baseline Emissions 2021'!F778</f>
        <v>2.0136290322580645E-5</v>
      </c>
      <c r="G803" s="131">
        <f>'Baseline Emissions 2021'!G778</f>
        <v>2.0586607142857137E-5</v>
      </c>
      <c r="H803" s="131">
        <f>'Baseline Emissions 2021'!H778</f>
        <v>2.0743010752688176E-5</v>
      </c>
      <c r="I803" s="131">
        <f>'Baseline Emissions 2021'!I778</f>
        <v>2.0475574712643679E-5</v>
      </c>
      <c r="J803" s="131">
        <f>'Baseline Emissions 2021'!J778</f>
        <v>2.0278225806451616E-5</v>
      </c>
      <c r="K803" s="131">
        <f>'Baseline Emissions 2021'!K778</f>
        <v>2.0154722222222223E-5</v>
      </c>
      <c r="L803" s="131">
        <f>'Baseline Emissions 2021'!L778</f>
        <v>1.9351344086021501E-5</v>
      </c>
      <c r="M803" s="131">
        <f>'Baseline Emissions 2021'!M778</f>
        <v>1.9854032258064516E-5</v>
      </c>
      <c r="N803" s="131">
        <f>'Baseline Emissions 2021'!N778</f>
        <v>2.0003055555555559E-5</v>
      </c>
      <c r="O803" s="131">
        <f>'Baseline Emissions 2021'!O778</f>
        <v>2.007930107526882E-5</v>
      </c>
      <c r="P803" s="131">
        <f>'Baseline Emissions 2021'!P778</f>
        <v>2.0077500000000002E-5</v>
      </c>
      <c r="Q803" s="131">
        <f>'Baseline Emissions 2021'!Q778</f>
        <v>2.0257526881720432E-5</v>
      </c>
    </row>
    <row r="804" spans="1:17" ht="31.2" x14ac:dyDescent="0.25">
      <c r="A804" s="17" t="s">
        <v>127</v>
      </c>
      <c r="B804" s="17" t="s">
        <v>128</v>
      </c>
      <c r="C804" s="17" t="s">
        <v>17</v>
      </c>
      <c r="D804" s="17" t="s">
        <v>129</v>
      </c>
      <c r="E804" s="176">
        <v>28</v>
      </c>
      <c r="F804" s="176"/>
      <c r="G804" s="176"/>
      <c r="H804" s="176"/>
      <c r="I804" s="176"/>
      <c r="J804" s="176"/>
      <c r="K804" s="176"/>
      <c r="L804" s="176"/>
      <c r="M804" s="176"/>
      <c r="N804" s="176"/>
      <c r="O804" s="176"/>
      <c r="P804" s="176"/>
      <c r="Q804" s="176"/>
    </row>
    <row r="805" spans="1:17" ht="64.8" x14ac:dyDescent="0.25">
      <c r="A805" s="17" t="s">
        <v>130</v>
      </c>
      <c r="B805" s="17" t="s">
        <v>19</v>
      </c>
      <c r="C805" s="17" t="s">
        <v>131</v>
      </c>
      <c r="D805" s="17" t="s">
        <v>394</v>
      </c>
      <c r="E805" s="176">
        <v>0.21</v>
      </c>
      <c r="F805" s="176"/>
      <c r="G805" s="176"/>
      <c r="H805" s="176"/>
      <c r="I805" s="176"/>
      <c r="J805" s="176"/>
      <c r="K805" s="176"/>
      <c r="L805" s="176"/>
      <c r="M805" s="176"/>
      <c r="N805" s="176"/>
      <c r="O805" s="176"/>
      <c r="P805" s="176"/>
      <c r="Q805" s="176"/>
    </row>
    <row r="806" spans="1:17" ht="46.8" x14ac:dyDescent="0.25">
      <c r="A806" s="17" t="s">
        <v>132</v>
      </c>
      <c r="B806" s="17" t="s">
        <v>103</v>
      </c>
      <c r="C806" s="17" t="s">
        <v>133</v>
      </c>
      <c r="D806" s="17" t="s">
        <v>385</v>
      </c>
      <c r="E806" s="19">
        <f>SUM(F806:Q806)</f>
        <v>0</v>
      </c>
      <c r="F806" s="19">
        <f>$E$804*$E$805*F807*F801*F794</f>
        <v>0</v>
      </c>
      <c r="G806" s="19">
        <f t="shared" ref="G806:Q806" si="102">$E$804*$E$805*G807*G801*G794</f>
        <v>0</v>
      </c>
      <c r="H806" s="19">
        <f t="shared" si="102"/>
        <v>0</v>
      </c>
      <c r="I806" s="19">
        <f t="shared" si="102"/>
        <v>0</v>
      </c>
      <c r="J806" s="19">
        <f t="shared" si="102"/>
        <v>0</v>
      </c>
      <c r="K806" s="19">
        <f t="shared" si="102"/>
        <v>0</v>
      </c>
      <c r="L806" s="19">
        <f t="shared" si="102"/>
        <v>0</v>
      </c>
      <c r="M806" s="19">
        <f t="shared" si="102"/>
        <v>0</v>
      </c>
      <c r="N806" s="19">
        <f t="shared" si="102"/>
        <v>0</v>
      </c>
      <c r="O806" s="19">
        <f t="shared" si="102"/>
        <v>0</v>
      </c>
      <c r="P806" s="19">
        <f t="shared" si="102"/>
        <v>0</v>
      </c>
      <c r="Q806" s="19">
        <f t="shared" si="102"/>
        <v>0</v>
      </c>
    </row>
    <row r="807" spans="1:17" ht="18" x14ac:dyDescent="0.25">
      <c r="A807" s="17" t="s">
        <v>134</v>
      </c>
      <c r="B807" s="17" t="s">
        <v>37</v>
      </c>
      <c r="C807" s="17" t="s">
        <v>135</v>
      </c>
      <c r="D807" s="17" t="s">
        <v>386</v>
      </c>
      <c r="E807" s="26">
        <f>AVERAGE(F807:Q807)</f>
        <v>0</v>
      </c>
      <c r="F807" s="26">
        <f>F808*$E$809*0.89</f>
        <v>0</v>
      </c>
      <c r="G807" s="26">
        <f t="shared" ref="G807:Q807" si="103">G808*$E$809*0.89</f>
        <v>0</v>
      </c>
      <c r="H807" s="26">
        <f t="shared" si="103"/>
        <v>0</v>
      </c>
      <c r="I807" s="26">
        <f t="shared" si="103"/>
        <v>0</v>
      </c>
      <c r="J807" s="26">
        <f t="shared" si="103"/>
        <v>0</v>
      </c>
      <c r="K807" s="26">
        <f t="shared" si="103"/>
        <v>0</v>
      </c>
      <c r="L807" s="26">
        <f t="shared" si="103"/>
        <v>0</v>
      </c>
      <c r="M807" s="26">
        <f t="shared" si="103"/>
        <v>0</v>
      </c>
      <c r="N807" s="26">
        <f t="shared" si="103"/>
        <v>0</v>
      </c>
      <c r="O807" s="26">
        <f t="shared" si="103"/>
        <v>0</v>
      </c>
      <c r="P807" s="26">
        <f t="shared" si="103"/>
        <v>0</v>
      </c>
      <c r="Q807" s="26">
        <f t="shared" si="103"/>
        <v>0</v>
      </c>
    </row>
    <row r="808" spans="1:17" ht="31.2" x14ac:dyDescent="0.25">
      <c r="A808" s="17" t="s">
        <v>136</v>
      </c>
      <c r="B808" s="17" t="s">
        <v>37</v>
      </c>
      <c r="C808" s="17" t="s">
        <v>46</v>
      </c>
      <c r="D808" s="17" t="s">
        <v>387</v>
      </c>
      <c r="E808" s="25">
        <v>0</v>
      </c>
      <c r="F808" s="25">
        <v>0</v>
      </c>
      <c r="G808" s="25">
        <v>0</v>
      </c>
      <c r="H808" s="25">
        <v>0</v>
      </c>
      <c r="I808" s="25">
        <v>0</v>
      </c>
      <c r="J808" s="25">
        <v>0</v>
      </c>
      <c r="K808" s="25">
        <v>0</v>
      </c>
      <c r="L808" s="25">
        <v>0</v>
      </c>
      <c r="M808" s="25">
        <v>0</v>
      </c>
      <c r="N808" s="25">
        <v>0</v>
      </c>
      <c r="O808" s="25">
        <v>0</v>
      </c>
      <c r="P808" s="25">
        <v>0</v>
      </c>
      <c r="Q808" s="25">
        <v>0</v>
      </c>
    </row>
    <row r="809" spans="1:17" ht="31.2" x14ac:dyDescent="0.25">
      <c r="A809" s="17" t="s">
        <v>137</v>
      </c>
      <c r="B809" s="17" t="s">
        <v>201</v>
      </c>
      <c r="C809" s="17" t="s">
        <v>138</v>
      </c>
      <c r="D809" s="17" t="s">
        <v>388</v>
      </c>
      <c r="E809" s="196">
        <f>(F810*F815+G810*G815+H810*H815+I810*I815+J810*J815+K810*K815+L810*L815+M810*M815+N810*N815+O810*O815+P810*P815+Q810*Q815)/(F802*F803*F794+G803*G802*G794+H802*H803*H794+I803*I802*I794+J803*J802*J794+K803*K802*K794+L803*L802*L794+M803*M802*M794+N803*N802*N794+O802*O803*O794+P803*P802*P794+Q803*Q802*Q794)</f>
        <v>0.64335520157395665</v>
      </c>
      <c r="F809" s="196"/>
      <c r="G809" s="196"/>
      <c r="H809" s="196"/>
      <c r="I809" s="196"/>
      <c r="J809" s="196"/>
      <c r="K809" s="196"/>
      <c r="L809" s="196"/>
      <c r="M809" s="196"/>
      <c r="N809" s="196"/>
      <c r="O809" s="196"/>
      <c r="P809" s="196"/>
      <c r="Q809" s="196"/>
    </row>
    <row r="810" spans="1:17" ht="31.2" x14ac:dyDescent="0.25">
      <c r="A810" s="17" t="s">
        <v>139</v>
      </c>
      <c r="B810" s="17" t="s">
        <v>37</v>
      </c>
      <c r="C810" s="17" t="s">
        <v>140</v>
      </c>
      <c r="D810" s="17" t="s">
        <v>375</v>
      </c>
      <c r="E810" s="27">
        <f>AVERAGE(F810:Q810)</f>
        <v>0.6404944159004976</v>
      </c>
      <c r="F810" s="27">
        <f>IF(F814&lt;283,0,IF(F814&gt;303,1,EXP(($E$811*(F814-$E$812))/($E$813*$E$812*F814))))</f>
        <v>0.26921004737855481</v>
      </c>
      <c r="G810" s="27">
        <f t="shared" ref="G810:Q810" si="104">IF(G814&lt;283,0,IF(G814&gt;303,1,EXP(($E$811*(G814-$E$812))/($E$813*$E$812*G814))))</f>
        <v>0.38698063689870399</v>
      </c>
      <c r="H810" s="27">
        <f t="shared" si="104"/>
        <v>0.48307557293036196</v>
      </c>
      <c r="I810" s="27">
        <f t="shared" si="104"/>
        <v>0.57531644493802248</v>
      </c>
      <c r="J810" s="27">
        <f t="shared" si="104"/>
        <v>0.84523513966163832</v>
      </c>
      <c r="K810" s="27">
        <f t="shared" si="104"/>
        <v>0.84523513966163832</v>
      </c>
      <c r="L810" s="27">
        <f t="shared" si="104"/>
        <v>0.91923925774048054</v>
      </c>
      <c r="M810" s="27">
        <f t="shared" si="104"/>
        <v>0.91923925774048054</v>
      </c>
      <c r="N810" s="27">
        <f t="shared" si="104"/>
        <v>0.95843738031531212</v>
      </c>
      <c r="O810" s="27">
        <f t="shared" si="104"/>
        <v>0.6835684899717327</v>
      </c>
      <c r="P810" s="27">
        <f t="shared" si="104"/>
        <v>0.46225423409862509</v>
      </c>
      <c r="Q810" s="27">
        <f t="shared" si="104"/>
        <v>0.33814138947042022</v>
      </c>
    </row>
    <row r="811" spans="1:17" x14ac:dyDescent="0.25">
      <c r="A811" s="17" t="s">
        <v>51</v>
      </c>
      <c r="B811" s="17" t="s">
        <v>52</v>
      </c>
      <c r="C811" s="17" t="s">
        <v>53</v>
      </c>
      <c r="D811" s="17" t="s">
        <v>389</v>
      </c>
      <c r="E811" s="176">
        <v>15175</v>
      </c>
      <c r="F811" s="176"/>
      <c r="G811" s="176"/>
      <c r="H811" s="176"/>
      <c r="I811" s="176"/>
      <c r="J811" s="176"/>
      <c r="K811" s="176"/>
      <c r="L811" s="176"/>
      <c r="M811" s="176"/>
      <c r="N811" s="176"/>
      <c r="O811" s="176"/>
      <c r="P811" s="176"/>
      <c r="Q811" s="176"/>
    </row>
    <row r="812" spans="1:17" ht="18" x14ac:dyDescent="0.25">
      <c r="A812" s="17" t="s">
        <v>141</v>
      </c>
      <c r="B812" s="17" t="s">
        <v>55</v>
      </c>
      <c r="C812" s="17" t="s">
        <v>56</v>
      </c>
      <c r="D812" s="17" t="s">
        <v>389</v>
      </c>
      <c r="E812" s="176">
        <v>303.16000000000003</v>
      </c>
      <c r="F812" s="176"/>
      <c r="G812" s="176"/>
      <c r="H812" s="176"/>
      <c r="I812" s="176"/>
      <c r="J812" s="176"/>
      <c r="K812" s="176"/>
      <c r="L812" s="176"/>
      <c r="M812" s="176"/>
      <c r="N812" s="176"/>
      <c r="O812" s="176"/>
      <c r="P812" s="176"/>
      <c r="Q812" s="176"/>
    </row>
    <row r="813" spans="1:17" x14ac:dyDescent="0.25">
      <c r="A813" s="17" t="s">
        <v>57</v>
      </c>
      <c r="B813" s="17" t="s">
        <v>58</v>
      </c>
      <c r="C813" s="17" t="s">
        <v>59</v>
      </c>
      <c r="D813" s="17" t="s">
        <v>389</v>
      </c>
      <c r="E813" s="176">
        <v>1.9870000000000001</v>
      </c>
      <c r="F813" s="176"/>
      <c r="G813" s="176"/>
      <c r="H813" s="176"/>
      <c r="I813" s="176"/>
      <c r="J813" s="176"/>
      <c r="K813" s="176"/>
      <c r="L813" s="176"/>
      <c r="M813" s="176"/>
      <c r="N813" s="176"/>
      <c r="O813" s="176"/>
      <c r="P813" s="176"/>
      <c r="Q813" s="176"/>
    </row>
    <row r="814" spans="1:17" ht="18" x14ac:dyDescent="0.25">
      <c r="A814" s="17" t="s">
        <v>142</v>
      </c>
      <c r="B814" s="17" t="s">
        <v>55</v>
      </c>
      <c r="C814" s="17" t="s">
        <v>143</v>
      </c>
      <c r="D814" s="144" t="s">
        <v>363</v>
      </c>
      <c r="E814" s="28">
        <f>AVERAGE(F814:Q814)</f>
        <v>297.02500000000003</v>
      </c>
      <c r="F814" s="25">
        <v>288.14999999999998</v>
      </c>
      <c r="G814" s="25">
        <v>292.14999999999998</v>
      </c>
      <c r="H814" s="25">
        <v>294.64999999999998</v>
      </c>
      <c r="I814" s="25">
        <v>296.64999999999998</v>
      </c>
      <c r="J814" s="25">
        <v>301.14999999999998</v>
      </c>
      <c r="K814" s="25">
        <v>301.14999999999998</v>
      </c>
      <c r="L814" s="25">
        <v>302.14999999999998</v>
      </c>
      <c r="M814" s="25">
        <v>302.14999999999998</v>
      </c>
      <c r="N814" s="25">
        <v>302.64999999999998</v>
      </c>
      <c r="O814" s="25">
        <v>298.64999999999998</v>
      </c>
      <c r="P814" s="25">
        <v>294.14999999999998</v>
      </c>
      <c r="Q814" s="25">
        <v>290.64999999999998</v>
      </c>
    </row>
    <row r="815" spans="1:17" ht="46.8" x14ac:dyDescent="0.25">
      <c r="A815" s="17" t="s">
        <v>144</v>
      </c>
      <c r="B815" s="17" t="s">
        <v>24</v>
      </c>
      <c r="C815" s="17" t="s">
        <v>145</v>
      </c>
      <c r="D815" s="17" t="s">
        <v>390</v>
      </c>
      <c r="E815" s="29">
        <f>SUM(F815:Q815)</f>
        <v>149.35411630889618</v>
      </c>
      <c r="F815" s="29">
        <f>F802*F803*'Project Emissions 2021'!F794+(1-F810)*0</f>
        <v>12.445488152491935</v>
      </c>
      <c r="G815" s="29">
        <f>G802*G803*'Project Emissions 2021'!G794+(1-G810)*0</f>
        <v>11.491926019029464</v>
      </c>
      <c r="H815" s="29">
        <f>H802*H803*'Project Emissions 2021'!H794+(1-H810)*0</f>
        <v>12.821589593229037</v>
      </c>
      <c r="I815" s="29">
        <f>I802*I803*'Project Emissions 2021'!I794+(1-I810)*0</f>
        <v>12.248583042173852</v>
      </c>
      <c r="J815" s="29">
        <f>J802*J803*'Project Emissions 2021'!J794+(1-J810)*0</f>
        <v>12.983201092116937</v>
      </c>
      <c r="K815" s="29">
        <f>K802*K803*'Project Emissions 2021'!K794+(1-K810)*0</f>
        <v>12.485297350934164</v>
      </c>
      <c r="L815" s="29">
        <f>L802*L803*'Project Emissions 2021'!L794+(1-L810)*0</f>
        <v>12.389214151365051</v>
      </c>
      <c r="M815" s="29">
        <f>M802*M803*'Project Emissions 2021'!M794+(1-M810)*0</f>
        <v>12.71112461767016</v>
      </c>
      <c r="N815" s="29">
        <f>N802*N803*'Project Emissions 2021'!N794+(1-N810)*0</f>
        <v>12.391345793091116</v>
      </c>
      <c r="O815" s="29">
        <f>O802*O803*'Project Emissions 2021'!O794+(1-O810)*0</f>
        <v>12.856420070900544</v>
      </c>
      <c r="P815" s="29">
        <f>P802*P803*'Project Emissions 2021'!P794+(1-P810)*0</f>
        <v>12.007569687345002</v>
      </c>
      <c r="Q815" s="29">
        <f>Q802*Q803*'Project Emissions 2021'!Q794+(1-Q810)*0</f>
        <v>12.522356738548922</v>
      </c>
    </row>
    <row r="816" spans="1:17" x14ac:dyDescent="0.3">
      <c r="A816" s="30"/>
      <c r="E816" s="31"/>
      <c r="F816" s="31"/>
      <c r="G816" s="31"/>
      <c r="H816" s="31"/>
      <c r="I816" s="31"/>
      <c r="J816" s="31"/>
      <c r="K816" s="31"/>
      <c r="L816" s="31"/>
      <c r="M816" s="31"/>
      <c r="N816" s="31"/>
      <c r="O816" s="31"/>
      <c r="P816" s="31"/>
      <c r="Q816" s="31"/>
    </row>
    <row r="817" spans="1:19" x14ac:dyDescent="0.25">
      <c r="A817" s="174" t="s">
        <v>146</v>
      </c>
      <c r="B817" s="174"/>
      <c r="C817" s="175"/>
      <c r="D817" s="175"/>
      <c r="E817" s="195"/>
      <c r="F817" s="32"/>
      <c r="G817" s="32"/>
      <c r="H817" s="32"/>
      <c r="I817" s="32"/>
      <c r="J817" s="32"/>
      <c r="K817" s="32"/>
      <c r="L817" s="32"/>
      <c r="M817" s="32"/>
      <c r="N817" s="32"/>
      <c r="O817" s="32"/>
      <c r="P817" s="32"/>
      <c r="Q817" s="32"/>
    </row>
    <row r="818" spans="1:19" x14ac:dyDescent="0.25">
      <c r="A818" s="33" t="s">
        <v>8</v>
      </c>
      <c r="B818" s="33" t="s">
        <v>9</v>
      </c>
      <c r="C818" s="34" t="s">
        <v>10</v>
      </c>
      <c r="D818" s="34" t="s">
        <v>340</v>
      </c>
      <c r="E818" s="16" t="s">
        <v>65</v>
      </c>
      <c r="F818" s="32"/>
      <c r="G818" s="32"/>
      <c r="H818" s="32"/>
      <c r="I818" s="32"/>
      <c r="J818" s="32"/>
      <c r="K818" s="32"/>
      <c r="L818" s="32"/>
      <c r="M818" s="32"/>
      <c r="N818" s="32"/>
      <c r="O818" s="32"/>
      <c r="P818" s="32"/>
      <c r="Q818" s="32"/>
    </row>
    <row r="819" spans="1:19" ht="46.8" x14ac:dyDescent="0.25">
      <c r="A819" s="15" t="s">
        <v>147</v>
      </c>
      <c r="B819" s="17" t="s">
        <v>95</v>
      </c>
      <c r="C819" s="35" t="s">
        <v>148</v>
      </c>
      <c r="D819" s="35" t="s">
        <v>68</v>
      </c>
      <c r="E819" s="16">
        <v>0</v>
      </c>
      <c r="F819" s="32"/>
      <c r="G819" s="32"/>
      <c r="H819" s="32"/>
      <c r="I819" s="32"/>
      <c r="J819" s="32"/>
      <c r="K819" s="32"/>
      <c r="L819" s="32"/>
      <c r="M819" s="32"/>
      <c r="N819" s="32"/>
      <c r="O819" s="32"/>
      <c r="P819" s="32"/>
      <c r="Q819" s="32"/>
    </row>
    <row r="820" spans="1:19" x14ac:dyDescent="0.25">
      <c r="A820" s="36"/>
      <c r="B820" s="36"/>
      <c r="C820" s="37"/>
      <c r="D820" s="37"/>
      <c r="E820" s="32"/>
      <c r="F820" s="32"/>
      <c r="G820" s="32"/>
      <c r="H820" s="32"/>
      <c r="I820" s="32"/>
      <c r="J820" s="32"/>
      <c r="K820" s="32"/>
      <c r="L820" s="32"/>
      <c r="M820" s="32"/>
      <c r="N820" s="32"/>
      <c r="O820" s="32"/>
      <c r="P820" s="32"/>
      <c r="Q820" s="32"/>
    </row>
    <row r="821" spans="1:19" x14ac:dyDescent="0.25">
      <c r="A821" s="174" t="s">
        <v>149</v>
      </c>
      <c r="B821" s="174"/>
      <c r="C821" s="175"/>
      <c r="D821" s="175"/>
      <c r="E821" s="195"/>
      <c r="F821" s="32"/>
      <c r="G821" s="32"/>
      <c r="H821" s="32"/>
      <c r="I821" s="32"/>
      <c r="J821" s="32"/>
      <c r="K821" s="32"/>
      <c r="L821" s="32"/>
      <c r="M821" s="32"/>
      <c r="N821" s="32"/>
      <c r="O821" s="32"/>
      <c r="P821" s="32"/>
      <c r="Q821" s="32"/>
    </row>
    <row r="822" spans="1:19" x14ac:dyDescent="0.25">
      <c r="A822" s="33" t="s">
        <v>8</v>
      </c>
      <c r="B822" s="33" t="s">
        <v>9</v>
      </c>
      <c r="C822" s="34" t="s">
        <v>10</v>
      </c>
      <c r="D822" s="34" t="s">
        <v>340</v>
      </c>
      <c r="E822" s="16" t="s">
        <v>65</v>
      </c>
      <c r="F822" s="32"/>
      <c r="G822" s="32"/>
      <c r="H822" s="32"/>
      <c r="I822" s="32"/>
      <c r="J822" s="32"/>
      <c r="K822" s="32"/>
      <c r="L822" s="32"/>
      <c r="M822" s="32"/>
      <c r="N822" s="32"/>
      <c r="O822" s="32"/>
      <c r="P822" s="32"/>
      <c r="Q822" s="32"/>
    </row>
    <row r="823" spans="1:19" ht="46.8" x14ac:dyDescent="0.25">
      <c r="A823" s="15" t="s">
        <v>150</v>
      </c>
      <c r="B823" s="17" t="s">
        <v>95</v>
      </c>
      <c r="C823" s="35" t="s">
        <v>151</v>
      </c>
      <c r="D823" s="35" t="s">
        <v>68</v>
      </c>
      <c r="E823" s="16">
        <v>0</v>
      </c>
      <c r="F823" s="32"/>
      <c r="G823" s="32"/>
      <c r="H823" s="32"/>
      <c r="I823" s="32"/>
      <c r="J823" s="32"/>
      <c r="K823" s="32"/>
      <c r="L823" s="32"/>
      <c r="M823" s="32"/>
      <c r="N823" s="32"/>
      <c r="O823" s="32"/>
      <c r="P823" s="32"/>
      <c r="Q823" s="32"/>
    </row>
    <row r="824" spans="1:19" x14ac:dyDescent="0.25">
      <c r="F824" s="32"/>
      <c r="G824" s="32"/>
      <c r="H824" s="32"/>
      <c r="I824" s="32"/>
      <c r="J824" s="32"/>
      <c r="K824" s="32"/>
      <c r="L824" s="32"/>
      <c r="M824" s="32"/>
      <c r="N824" s="32"/>
      <c r="O824" s="32"/>
      <c r="P824" s="32"/>
      <c r="Q824" s="32"/>
    </row>
    <row r="825" spans="1:19" x14ac:dyDescent="0.25">
      <c r="A825" s="174" t="s">
        <v>152</v>
      </c>
      <c r="B825" s="174"/>
      <c r="C825" s="175"/>
      <c r="D825" s="175"/>
      <c r="E825" s="195"/>
      <c r="F825" s="32"/>
      <c r="G825" s="32"/>
      <c r="H825" s="32"/>
      <c r="I825" s="32"/>
      <c r="J825" s="32"/>
      <c r="K825" s="32"/>
      <c r="L825" s="32"/>
      <c r="M825" s="32"/>
      <c r="N825" s="32"/>
      <c r="O825" s="32"/>
      <c r="P825" s="32"/>
      <c r="Q825" s="32"/>
    </row>
    <row r="826" spans="1:19" s="10" customFormat="1" x14ac:dyDescent="0.25">
      <c r="A826" s="15" t="s">
        <v>8</v>
      </c>
      <c r="B826" s="15" t="s">
        <v>9</v>
      </c>
      <c r="C826" s="38" t="s">
        <v>10</v>
      </c>
      <c r="D826" s="38" t="s">
        <v>340</v>
      </c>
      <c r="E826" s="16" t="s">
        <v>65</v>
      </c>
      <c r="F826" s="32"/>
      <c r="G826" s="32"/>
      <c r="H826" s="39"/>
      <c r="I826" s="39"/>
      <c r="J826" s="39"/>
      <c r="K826" s="39"/>
      <c r="L826" s="39"/>
      <c r="M826" s="39"/>
      <c r="N826" s="39"/>
      <c r="O826" s="39"/>
      <c r="P826" s="39"/>
      <c r="Q826" s="39"/>
    </row>
    <row r="827" spans="1:19" s="10" customFormat="1" ht="18" x14ac:dyDescent="0.4">
      <c r="A827" s="40" t="s">
        <v>153</v>
      </c>
      <c r="B827" s="17" t="s">
        <v>103</v>
      </c>
      <c r="C827" s="35" t="s">
        <v>154</v>
      </c>
      <c r="D827" s="35" t="s">
        <v>155</v>
      </c>
      <c r="E827" s="41">
        <f>E828*E830*(1+E829)</f>
        <v>1748.9264403618001</v>
      </c>
      <c r="F827" s="32"/>
      <c r="G827" s="32"/>
      <c r="H827" s="39"/>
      <c r="I827" s="39"/>
      <c r="J827" s="39"/>
      <c r="K827" s="39"/>
      <c r="L827" s="39"/>
      <c r="M827" s="39"/>
      <c r="N827" s="39"/>
      <c r="O827" s="39"/>
      <c r="P827" s="39"/>
      <c r="Q827" s="39"/>
    </row>
    <row r="828" spans="1:19" ht="31.2" x14ac:dyDescent="0.25">
      <c r="A828" s="17" t="s">
        <v>156</v>
      </c>
      <c r="B828" s="17" t="s">
        <v>157</v>
      </c>
      <c r="C828" s="35" t="s">
        <v>158</v>
      </c>
      <c r="D828" s="35" t="s">
        <v>343</v>
      </c>
      <c r="E828" s="20">
        <f>2864181.39/1000</f>
        <v>2864.1813900000002</v>
      </c>
      <c r="G828" s="42"/>
      <c r="H828" s="43"/>
      <c r="I828" s="43"/>
      <c r="J828" s="43"/>
      <c r="K828" s="43"/>
      <c r="L828" s="43"/>
      <c r="M828" s="43"/>
      <c r="N828" s="43"/>
      <c r="O828" s="43"/>
      <c r="P828" s="43"/>
      <c r="Q828" s="43"/>
      <c r="R828" s="9"/>
      <c r="S828" s="9"/>
    </row>
    <row r="829" spans="1:19" ht="31.2" x14ac:dyDescent="0.25">
      <c r="A829" s="17" t="s">
        <v>159</v>
      </c>
      <c r="B829" s="17" t="s">
        <v>160</v>
      </c>
      <c r="C829" s="35" t="s">
        <v>161</v>
      </c>
      <c r="D829" s="35" t="s">
        <v>162</v>
      </c>
      <c r="E829" s="44">
        <v>0.2</v>
      </c>
      <c r="H829" s="43"/>
      <c r="I829" s="43"/>
      <c r="J829" s="43"/>
      <c r="K829" s="43"/>
      <c r="L829" s="43"/>
      <c r="M829" s="43"/>
      <c r="N829" s="43"/>
      <c r="O829" s="43"/>
      <c r="P829" s="43"/>
      <c r="Q829" s="43"/>
      <c r="R829" s="9"/>
      <c r="S829" s="9"/>
    </row>
    <row r="830" spans="1:19" ht="46.8" x14ac:dyDescent="0.25">
      <c r="A830" s="17" t="s">
        <v>163</v>
      </c>
      <c r="B830" s="17" t="s">
        <v>164</v>
      </c>
      <c r="C830" s="35" t="s">
        <v>165</v>
      </c>
      <c r="D830" s="35" t="s">
        <v>166</v>
      </c>
      <c r="E830" s="45">
        <f>0.5*0.8042+0.5*0.2135</f>
        <v>0.50885000000000002</v>
      </c>
      <c r="F830" s="46"/>
      <c r="G830" s="46"/>
      <c r="H830" s="46"/>
      <c r="I830" s="46"/>
      <c r="J830" s="46"/>
      <c r="K830" s="46"/>
      <c r="L830" s="46"/>
      <c r="M830" s="46"/>
      <c r="N830" s="46"/>
      <c r="O830" s="46"/>
      <c r="P830" s="46"/>
      <c r="Q830" s="46"/>
    </row>
    <row r="831" spans="1:19" ht="31.2" x14ac:dyDescent="0.4">
      <c r="A831" s="40" t="s">
        <v>167</v>
      </c>
      <c r="B831" s="17" t="s">
        <v>103</v>
      </c>
      <c r="C831" s="35" t="s">
        <v>168</v>
      </c>
      <c r="D831" s="35" t="s">
        <v>169</v>
      </c>
      <c r="E831" s="47">
        <v>0</v>
      </c>
      <c r="H831" s="43"/>
      <c r="I831" s="43"/>
      <c r="J831" s="43"/>
      <c r="K831" s="43"/>
      <c r="L831" s="43"/>
      <c r="M831" s="43"/>
      <c r="N831" s="43"/>
      <c r="O831" s="43"/>
      <c r="P831" s="43"/>
      <c r="Q831" s="43"/>
      <c r="R831" s="9"/>
      <c r="S831" s="9"/>
    </row>
    <row r="832" spans="1:19" x14ac:dyDescent="0.3">
      <c r="A832" s="48"/>
      <c r="E832" s="49"/>
      <c r="H832" s="43"/>
      <c r="I832" s="43"/>
      <c r="J832" s="43"/>
      <c r="K832" s="43"/>
      <c r="L832" s="43"/>
      <c r="M832" s="43"/>
      <c r="N832" s="43"/>
      <c r="O832" s="43"/>
      <c r="P832" s="43"/>
      <c r="Q832" s="43"/>
      <c r="R832" s="9"/>
      <c r="S832" s="9"/>
    </row>
    <row r="833" spans="1:133" x14ac:dyDescent="0.25">
      <c r="A833" s="174" t="s">
        <v>170</v>
      </c>
      <c r="B833" s="174"/>
      <c r="C833" s="175"/>
      <c r="D833" s="175"/>
      <c r="E833" s="195"/>
      <c r="F833" s="32"/>
      <c r="G833" s="32"/>
      <c r="H833" s="32"/>
      <c r="I833" s="32"/>
      <c r="J833" s="32"/>
      <c r="K833" s="32"/>
      <c r="L833" s="32"/>
      <c r="M833" s="32"/>
      <c r="N833" s="32"/>
      <c r="O833" s="32"/>
      <c r="P833" s="32"/>
      <c r="Q833" s="32"/>
    </row>
    <row r="834" spans="1:133" x14ac:dyDescent="0.25">
      <c r="A834" s="15" t="s">
        <v>8</v>
      </c>
      <c r="B834" s="15" t="s">
        <v>9</v>
      </c>
      <c r="C834" s="38" t="s">
        <v>10</v>
      </c>
      <c r="D834" s="38" t="s">
        <v>340</v>
      </c>
      <c r="E834" s="16" t="s">
        <v>65</v>
      </c>
      <c r="H834" s="43"/>
      <c r="I834" s="43"/>
      <c r="J834" s="43"/>
      <c r="K834" s="43"/>
      <c r="L834" s="43"/>
      <c r="M834" s="43"/>
      <c r="N834" s="43"/>
      <c r="O834" s="43"/>
      <c r="P834" s="43"/>
      <c r="Q834" s="43"/>
      <c r="R834" s="9"/>
      <c r="S834" s="9"/>
    </row>
    <row r="835" spans="1:133" ht="33.6" x14ac:dyDescent="0.4">
      <c r="A835" s="40" t="s">
        <v>171</v>
      </c>
      <c r="B835" s="17" t="s">
        <v>74</v>
      </c>
      <c r="C835" s="35" t="s">
        <v>172</v>
      </c>
      <c r="D835" s="35" t="s">
        <v>391</v>
      </c>
      <c r="E835" s="50">
        <f>E836*E839*E840*E841*E842*E843</f>
        <v>27.813109025231704</v>
      </c>
      <c r="H835" s="43"/>
      <c r="I835" s="43"/>
      <c r="J835" s="43"/>
      <c r="K835" s="43"/>
      <c r="L835" s="43"/>
      <c r="M835" s="43"/>
      <c r="N835" s="43"/>
      <c r="O835" s="43"/>
      <c r="P835" s="43"/>
      <c r="Q835" s="43"/>
      <c r="R835" s="9"/>
      <c r="S835" s="9"/>
    </row>
    <row r="836" spans="1:133" ht="46.8" x14ac:dyDescent="0.4">
      <c r="A836" s="51" t="s">
        <v>173</v>
      </c>
      <c r="B836" s="17" t="s">
        <v>76</v>
      </c>
      <c r="C836" s="35" t="s">
        <v>174</v>
      </c>
      <c r="D836" s="35" t="s">
        <v>392</v>
      </c>
      <c r="E836" s="69">
        <f>ROUNDUP(E837/E838,0)</f>
        <v>901</v>
      </c>
      <c r="H836" s="43"/>
      <c r="I836" s="43"/>
      <c r="J836" s="43"/>
      <c r="K836" s="43"/>
      <c r="L836" s="43"/>
      <c r="M836" s="43"/>
      <c r="N836" s="43"/>
      <c r="O836" s="43"/>
      <c r="P836" s="43"/>
      <c r="Q836" s="43"/>
      <c r="R836" s="9"/>
      <c r="S836" s="9"/>
    </row>
    <row r="837" spans="1:133" ht="62.4" x14ac:dyDescent="0.25">
      <c r="A837" s="17" t="s">
        <v>175</v>
      </c>
      <c r="B837" s="17" t="s">
        <v>78</v>
      </c>
      <c r="C837" s="35" t="s">
        <v>176</v>
      </c>
      <c r="D837" s="35" t="s">
        <v>346</v>
      </c>
      <c r="E837" s="52">
        <v>4503.3950000000004</v>
      </c>
      <c r="H837" s="43"/>
      <c r="I837" s="43"/>
      <c r="J837" s="43"/>
      <c r="K837" s="43"/>
      <c r="L837" s="43"/>
      <c r="M837" s="43"/>
      <c r="N837" s="43"/>
      <c r="O837" s="43"/>
      <c r="P837" s="43"/>
      <c r="Q837" s="43"/>
      <c r="R837" s="9"/>
      <c r="S837" s="9"/>
    </row>
    <row r="838" spans="1:133" ht="62.4" x14ac:dyDescent="0.25">
      <c r="A838" s="17" t="s">
        <v>177</v>
      </c>
      <c r="B838" s="17" t="s">
        <v>80</v>
      </c>
      <c r="C838" s="35" t="s">
        <v>81</v>
      </c>
      <c r="D838" s="35" t="s">
        <v>345</v>
      </c>
      <c r="E838" s="25">
        <f>5</f>
        <v>5</v>
      </c>
      <c r="H838" s="43"/>
      <c r="I838" s="43"/>
      <c r="J838" s="43"/>
      <c r="K838" s="43"/>
      <c r="L838" s="43"/>
      <c r="M838" s="43"/>
      <c r="N838" s="43"/>
      <c r="O838" s="43"/>
      <c r="P838" s="43"/>
      <c r="Q838" s="43"/>
      <c r="R838" s="9"/>
      <c r="S838" s="9"/>
    </row>
    <row r="839" spans="1:133" ht="202.8" x14ac:dyDescent="0.25">
      <c r="A839" s="17" t="s">
        <v>178</v>
      </c>
      <c r="B839" s="17" t="s">
        <v>82</v>
      </c>
      <c r="C839" s="35" t="s">
        <v>179</v>
      </c>
      <c r="D839" s="35" t="s">
        <v>367</v>
      </c>
      <c r="E839" s="25">
        <v>45.6</v>
      </c>
      <c r="H839" s="43"/>
      <c r="I839" s="43"/>
      <c r="J839" s="43"/>
      <c r="K839" s="43"/>
      <c r="L839" s="43"/>
      <c r="M839" s="43"/>
      <c r="N839" s="43"/>
      <c r="O839" s="43"/>
      <c r="P839" s="43"/>
      <c r="Q839" s="43"/>
      <c r="R839" s="9"/>
      <c r="S839" s="9"/>
    </row>
    <row r="840" spans="1:133" ht="156" x14ac:dyDescent="0.25">
      <c r="A840" s="17" t="s">
        <v>180</v>
      </c>
      <c r="B840" s="17" t="s">
        <v>84</v>
      </c>
      <c r="C840" s="35" t="s">
        <v>85</v>
      </c>
      <c r="D840" s="35" t="s">
        <v>365</v>
      </c>
      <c r="E840" s="25">
        <f>25.1/100</f>
        <v>0.251</v>
      </c>
      <c r="H840" s="43"/>
      <c r="I840" s="43"/>
      <c r="J840" s="43"/>
      <c r="K840" s="43"/>
      <c r="L840" s="43"/>
      <c r="M840" s="43"/>
      <c r="N840" s="43"/>
      <c r="O840" s="43"/>
      <c r="P840" s="43"/>
      <c r="Q840" s="43"/>
      <c r="R840" s="9"/>
      <c r="S840" s="9"/>
    </row>
    <row r="841" spans="1:133" ht="62.4" x14ac:dyDescent="0.25">
      <c r="A841" s="17" t="s">
        <v>86</v>
      </c>
      <c r="B841" s="17" t="s">
        <v>87</v>
      </c>
      <c r="C841" s="35" t="s">
        <v>86</v>
      </c>
      <c r="D841" s="35" t="s">
        <v>215</v>
      </c>
      <c r="E841" s="25">
        <f>0.84/1000</f>
        <v>8.3999999999999993E-4</v>
      </c>
      <c r="H841" s="43"/>
      <c r="I841" s="43"/>
      <c r="J841" s="43"/>
      <c r="K841" s="43"/>
      <c r="L841" s="43"/>
      <c r="M841" s="43"/>
      <c r="N841" s="43"/>
      <c r="O841" s="43"/>
      <c r="P841" s="43"/>
      <c r="Q841" s="43"/>
      <c r="R841" s="9"/>
      <c r="S841" s="9"/>
    </row>
    <row r="842" spans="1:133" ht="124.8" x14ac:dyDescent="0.25">
      <c r="A842" s="17" t="s">
        <v>181</v>
      </c>
      <c r="B842" s="17" t="s">
        <v>88</v>
      </c>
      <c r="C842" s="35" t="s">
        <v>89</v>
      </c>
      <c r="D842" s="35" t="s">
        <v>360</v>
      </c>
      <c r="E842" s="25">
        <f>43.33/1000</f>
        <v>4.333E-2</v>
      </c>
      <c r="H842" s="43"/>
      <c r="I842" s="43"/>
      <c r="J842" s="43"/>
      <c r="K842" s="43"/>
      <c r="L842" s="43"/>
      <c r="M842" s="43"/>
      <c r="N842" s="43"/>
      <c r="O842" s="43"/>
      <c r="P842" s="43"/>
      <c r="Q842" s="43"/>
      <c r="R842" s="9"/>
      <c r="S842" s="9"/>
    </row>
    <row r="843" spans="1:133" ht="33.6" x14ac:dyDescent="0.25">
      <c r="A843" s="17" t="s">
        <v>182</v>
      </c>
      <c r="B843" s="17" t="s">
        <v>90</v>
      </c>
      <c r="C843" s="35" t="s">
        <v>91</v>
      </c>
      <c r="D843" s="35" t="s">
        <v>92</v>
      </c>
      <c r="E843" s="25">
        <v>74.099999999999994</v>
      </c>
      <c r="H843" s="43"/>
      <c r="I843" s="43"/>
      <c r="J843" s="43"/>
      <c r="K843" s="43"/>
      <c r="L843" s="43"/>
      <c r="M843" s="43"/>
      <c r="N843" s="43"/>
      <c r="O843" s="43"/>
      <c r="P843" s="43"/>
      <c r="Q843" s="43"/>
      <c r="R843" s="9"/>
      <c r="S843" s="9"/>
    </row>
    <row r="845" spans="1:133" x14ac:dyDescent="0.25">
      <c r="A845" s="33" t="s">
        <v>8</v>
      </c>
      <c r="B845" s="33" t="s">
        <v>9</v>
      </c>
      <c r="C845" s="34" t="s">
        <v>10</v>
      </c>
      <c r="D845" s="34" t="s">
        <v>340</v>
      </c>
      <c r="E845" s="16" t="s">
        <v>65</v>
      </c>
    </row>
    <row r="846" spans="1:133" ht="18" x14ac:dyDescent="0.25">
      <c r="A846" s="15" t="s">
        <v>183</v>
      </c>
      <c r="B846" s="17" t="s">
        <v>103</v>
      </c>
      <c r="C846" s="35" t="s">
        <v>184</v>
      </c>
      <c r="D846" s="53" t="s">
        <v>393</v>
      </c>
      <c r="E846" s="18">
        <f>ROUNDUP(E795+E819+E823+E827+E835,0)</f>
        <v>1777</v>
      </c>
    </row>
    <row r="847" spans="1:133" s="200" customFormat="1" ht="43.2" customHeight="1" x14ac:dyDescent="0.25">
      <c r="A847" s="197" t="s">
        <v>238</v>
      </c>
      <c r="B847" s="198"/>
      <c r="C847" s="198"/>
      <c r="D847" s="198"/>
      <c r="E847" s="198"/>
      <c r="F847" s="198"/>
      <c r="G847" s="198"/>
      <c r="H847" s="198"/>
      <c r="I847" s="198"/>
      <c r="J847" s="198"/>
      <c r="K847" s="198"/>
      <c r="L847" s="198"/>
      <c r="M847" s="198"/>
      <c r="N847" s="198"/>
      <c r="O847" s="198"/>
      <c r="P847" s="198"/>
      <c r="Q847" s="198"/>
      <c r="R847" s="198"/>
      <c r="S847" s="198"/>
      <c r="T847" s="198"/>
      <c r="U847" s="198"/>
      <c r="V847" s="198"/>
      <c r="W847" s="198"/>
      <c r="X847" s="198"/>
      <c r="Y847" s="198"/>
      <c r="Z847" s="198"/>
      <c r="AA847" s="198"/>
      <c r="AB847" s="198"/>
      <c r="AC847" s="198"/>
      <c r="AD847" s="198"/>
      <c r="AE847" s="198"/>
      <c r="AF847" s="198"/>
      <c r="AG847" s="198"/>
      <c r="AH847" s="198"/>
      <c r="AI847" s="198"/>
      <c r="AJ847" s="198"/>
      <c r="AK847" s="198"/>
      <c r="AL847" s="198"/>
      <c r="AM847" s="198"/>
      <c r="AN847" s="198"/>
      <c r="AO847" s="198"/>
      <c r="AP847" s="198"/>
      <c r="AQ847" s="198"/>
      <c r="AR847" s="198"/>
      <c r="AS847" s="198"/>
      <c r="AT847" s="198"/>
      <c r="AU847" s="198"/>
      <c r="AV847" s="198"/>
      <c r="AW847" s="198"/>
      <c r="AX847" s="198"/>
      <c r="AY847" s="198"/>
      <c r="AZ847" s="198"/>
      <c r="BA847" s="198"/>
      <c r="BB847" s="198"/>
      <c r="BC847" s="198"/>
      <c r="BD847" s="198"/>
      <c r="BE847" s="198"/>
      <c r="BF847" s="198"/>
      <c r="BG847" s="198"/>
      <c r="BH847" s="198"/>
      <c r="BI847" s="198"/>
      <c r="BJ847" s="198"/>
      <c r="BK847" s="198"/>
      <c r="BL847" s="198"/>
      <c r="BM847" s="198"/>
      <c r="BN847" s="198"/>
      <c r="BO847" s="198"/>
      <c r="BP847" s="198"/>
      <c r="BQ847" s="198"/>
      <c r="BR847" s="198"/>
      <c r="BS847" s="198"/>
      <c r="BT847" s="198"/>
      <c r="BU847" s="198"/>
      <c r="BV847" s="198"/>
      <c r="BW847" s="198"/>
      <c r="BX847" s="198"/>
      <c r="BY847" s="198"/>
      <c r="BZ847" s="198"/>
      <c r="CA847" s="198"/>
      <c r="CB847" s="198"/>
      <c r="CC847" s="198"/>
      <c r="CD847" s="198"/>
      <c r="CE847" s="198"/>
      <c r="CF847" s="198"/>
      <c r="CG847" s="198"/>
      <c r="CH847" s="198"/>
      <c r="CI847" s="198"/>
      <c r="CJ847" s="198"/>
      <c r="CK847" s="198"/>
      <c r="CL847" s="198"/>
      <c r="CM847" s="198"/>
      <c r="CN847" s="198"/>
      <c r="CO847" s="198"/>
      <c r="CP847" s="198"/>
      <c r="CQ847" s="198"/>
      <c r="CR847" s="198"/>
      <c r="CS847" s="198"/>
      <c r="CT847" s="198"/>
      <c r="CU847" s="198"/>
      <c r="CV847" s="198"/>
      <c r="CW847" s="198"/>
      <c r="CX847" s="198"/>
      <c r="CY847" s="198"/>
      <c r="CZ847" s="198"/>
      <c r="DA847" s="198"/>
      <c r="DB847" s="198"/>
      <c r="DC847" s="198"/>
      <c r="DD847" s="198"/>
      <c r="DE847" s="198"/>
      <c r="DF847" s="198"/>
      <c r="DG847" s="198"/>
      <c r="DH847" s="198"/>
      <c r="DI847" s="198"/>
      <c r="DJ847" s="198"/>
      <c r="DK847" s="198"/>
      <c r="DL847" s="198"/>
      <c r="DM847" s="198"/>
      <c r="DN847" s="198"/>
      <c r="DO847" s="198"/>
      <c r="DP847" s="198"/>
      <c r="DQ847" s="198"/>
      <c r="DR847" s="198"/>
      <c r="DS847" s="198"/>
      <c r="DT847" s="198"/>
      <c r="DU847" s="198"/>
      <c r="DV847" s="198"/>
      <c r="DW847" s="198"/>
      <c r="DX847" s="198"/>
      <c r="DY847" s="198"/>
      <c r="DZ847" s="198"/>
      <c r="EA847" s="198"/>
      <c r="EB847" s="198"/>
      <c r="EC847" s="199"/>
    </row>
    <row r="848" spans="1:133" ht="23.4" customHeight="1" x14ac:dyDescent="0.25">
      <c r="A848" s="201" t="s">
        <v>105</v>
      </c>
      <c r="B848" s="201"/>
      <c r="C848" s="201"/>
      <c r="D848" s="201"/>
      <c r="E848" s="201"/>
      <c r="F848" s="201"/>
      <c r="G848" s="201"/>
      <c r="H848" s="201"/>
      <c r="I848" s="201"/>
      <c r="J848" s="201"/>
      <c r="K848" s="201"/>
      <c r="L848" s="201"/>
      <c r="M848" s="201"/>
      <c r="N848" s="201"/>
      <c r="O848" s="201"/>
      <c r="P848" s="201"/>
      <c r="Q848" s="202"/>
    </row>
    <row r="849" spans="1:19" s="10" customFormat="1" ht="31.2" x14ac:dyDescent="0.25">
      <c r="A849" s="15" t="s">
        <v>8</v>
      </c>
      <c r="B849" s="15" t="s">
        <v>9</v>
      </c>
      <c r="C849" s="15" t="s">
        <v>10</v>
      </c>
      <c r="D849" s="15" t="s">
        <v>340</v>
      </c>
      <c r="E849" s="16" t="s">
        <v>11</v>
      </c>
      <c r="F849" s="16" t="s">
        <v>312</v>
      </c>
      <c r="G849" s="16" t="s">
        <v>313</v>
      </c>
      <c r="H849" s="16" t="s">
        <v>314</v>
      </c>
      <c r="I849" s="16" t="s">
        <v>315</v>
      </c>
      <c r="J849" s="16" t="s">
        <v>316</v>
      </c>
      <c r="K849" s="16" t="s">
        <v>317</v>
      </c>
      <c r="L849" s="16" t="s">
        <v>318</v>
      </c>
      <c r="M849" s="16" t="s">
        <v>319</v>
      </c>
      <c r="N849" s="16" t="s">
        <v>320</v>
      </c>
      <c r="O849" s="16" t="s">
        <v>293</v>
      </c>
      <c r="P849" s="16" t="s">
        <v>294</v>
      </c>
      <c r="Q849" s="16" t="s">
        <v>295</v>
      </c>
      <c r="R849" s="54"/>
      <c r="S849" s="54"/>
    </row>
    <row r="850" spans="1:19" s="10" customFormat="1" x14ac:dyDescent="0.25">
      <c r="A850" s="203" t="s">
        <v>106</v>
      </c>
      <c r="B850" s="203"/>
      <c r="C850" s="203"/>
      <c r="D850" s="203"/>
      <c r="E850" s="204"/>
      <c r="F850" s="16">
        <v>31</v>
      </c>
      <c r="G850" s="16">
        <v>28</v>
      </c>
      <c r="H850" s="16">
        <v>31</v>
      </c>
      <c r="I850" s="16">
        <v>30</v>
      </c>
      <c r="J850" s="16">
        <v>31</v>
      </c>
      <c r="K850" s="16">
        <v>30</v>
      </c>
      <c r="L850" s="16">
        <v>31</v>
      </c>
      <c r="M850" s="16">
        <v>31</v>
      </c>
      <c r="N850" s="16">
        <v>30</v>
      </c>
      <c r="O850" s="16">
        <v>31</v>
      </c>
      <c r="P850" s="16">
        <v>30</v>
      </c>
      <c r="Q850" s="16">
        <v>31</v>
      </c>
      <c r="R850" s="54"/>
      <c r="S850" s="54"/>
    </row>
    <row r="851" spans="1:19" s="10" customFormat="1" ht="31.2" x14ac:dyDescent="0.25">
      <c r="A851" s="15" t="s">
        <v>107</v>
      </c>
      <c r="B851" s="17" t="s">
        <v>103</v>
      </c>
      <c r="C851" s="17" t="s">
        <v>108</v>
      </c>
      <c r="D851" s="17" t="s">
        <v>381</v>
      </c>
      <c r="E851" s="18">
        <f>E852+E862</f>
        <v>0</v>
      </c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54"/>
      <c r="S851" s="54"/>
    </row>
    <row r="852" spans="1:19" ht="46.8" x14ac:dyDescent="0.25">
      <c r="A852" s="17" t="s">
        <v>109</v>
      </c>
      <c r="B852" s="17" t="s">
        <v>103</v>
      </c>
      <c r="C852" s="17" t="s">
        <v>110</v>
      </c>
      <c r="D852" s="17" t="s">
        <v>382</v>
      </c>
      <c r="E852" s="19">
        <f>SUM(F852:Q852)</f>
        <v>0</v>
      </c>
      <c r="F852" s="19">
        <f>IF(F853&gt;=0.8,0,$E$860*$E$861*0.4*(F854-F857)*F850)</f>
        <v>0</v>
      </c>
      <c r="G852" s="19">
        <f t="shared" ref="G852:Q852" si="105">IF(G853&gt;=0.8,0,$E$860*$E$861*0.4*(G854-G857)*G850)</f>
        <v>0</v>
      </c>
      <c r="H852" s="19">
        <f t="shared" si="105"/>
        <v>0</v>
      </c>
      <c r="I852" s="19">
        <f t="shared" si="105"/>
        <v>0</v>
      </c>
      <c r="J852" s="19">
        <f t="shared" si="105"/>
        <v>0</v>
      </c>
      <c r="K852" s="19">
        <f t="shared" si="105"/>
        <v>0</v>
      </c>
      <c r="L852" s="19">
        <f t="shared" si="105"/>
        <v>0</v>
      </c>
      <c r="M852" s="19">
        <f t="shared" si="105"/>
        <v>0</v>
      </c>
      <c r="N852" s="19">
        <f t="shared" si="105"/>
        <v>0</v>
      </c>
      <c r="O852" s="19">
        <f t="shared" si="105"/>
        <v>0</v>
      </c>
      <c r="P852" s="19">
        <f t="shared" si="105"/>
        <v>0</v>
      </c>
      <c r="Q852" s="19">
        <f t="shared" si="105"/>
        <v>0</v>
      </c>
    </row>
    <row r="853" spans="1:19" ht="62.4" x14ac:dyDescent="0.25">
      <c r="A853" s="17" t="s">
        <v>111</v>
      </c>
      <c r="B853" s="17" t="s">
        <v>37</v>
      </c>
      <c r="C853" s="17" t="s">
        <v>112</v>
      </c>
      <c r="D853" s="17" t="s">
        <v>383</v>
      </c>
      <c r="E853" s="20">
        <f>AVERAGE(F853:Q853)</f>
        <v>0.95382900626974576</v>
      </c>
      <c r="F853" s="20">
        <f>(F854-F857)/F854</f>
        <v>0.95403713917749078</v>
      </c>
      <c r="G853" s="20">
        <f t="shared" ref="G853:Q853" si="106">(G854-G857)/G854</f>
        <v>0.9541749277851721</v>
      </c>
      <c r="H853" s="20">
        <f t="shared" si="106"/>
        <v>0.9543450406529167</v>
      </c>
      <c r="I853" s="20">
        <f t="shared" si="106"/>
        <v>0.95438620355758752</v>
      </c>
      <c r="J853" s="20">
        <f t="shared" si="106"/>
        <v>0.95335195278352192</v>
      </c>
      <c r="K853" s="20">
        <f t="shared" si="106"/>
        <v>0.95207901972903097</v>
      </c>
      <c r="L853" s="20">
        <f t="shared" si="106"/>
        <v>0.95264400395164783</v>
      </c>
      <c r="M853" s="20">
        <f t="shared" si="106"/>
        <v>0.95131965341678992</v>
      </c>
      <c r="N853" s="20">
        <f t="shared" si="106"/>
        <v>0.95446234202683244</v>
      </c>
      <c r="O853" s="20">
        <f t="shared" si="106"/>
        <v>0.9546749588654696</v>
      </c>
      <c r="P853" s="20">
        <f t="shared" si="106"/>
        <v>0.95525421832398005</v>
      </c>
      <c r="Q853" s="20">
        <f t="shared" si="106"/>
        <v>0.95521861496650928</v>
      </c>
    </row>
    <row r="854" spans="1:19" ht="46.8" x14ac:dyDescent="0.25">
      <c r="A854" s="17" t="s">
        <v>113</v>
      </c>
      <c r="B854" s="17" t="s">
        <v>24</v>
      </c>
      <c r="C854" s="17" t="s">
        <v>114</v>
      </c>
      <c r="D854" s="17" t="s">
        <v>384</v>
      </c>
      <c r="E854" s="20">
        <f>SUM(F854:Q854)</f>
        <v>25.70693711984833</v>
      </c>
      <c r="F854" s="20">
        <f>F855*F856</f>
        <v>2.0658356861674125</v>
      </c>
      <c r="G854" s="20">
        <f t="shared" ref="G854:Q854" si="107">G855*G856</f>
        <v>2.0671637786914951</v>
      </c>
      <c r="H854" s="20">
        <f t="shared" si="107"/>
        <v>2.0668649280007796</v>
      </c>
      <c r="I854" s="20">
        <f t="shared" si="107"/>
        <v>2.064320764913409</v>
      </c>
      <c r="J854" s="20">
        <f t="shared" si="107"/>
        <v>2.2666848249385017</v>
      </c>
      <c r="K854" s="20">
        <f t="shared" si="107"/>
        <v>2.1693250463847038</v>
      </c>
      <c r="L854" s="20">
        <f t="shared" si="107"/>
        <v>2.1707445454593128</v>
      </c>
      <c r="M854" s="20">
        <f t="shared" si="107"/>
        <v>2.168184563877956</v>
      </c>
      <c r="N854" s="20">
        <f t="shared" si="107"/>
        <v>2.2690234302228709</v>
      </c>
      <c r="O854" s="20">
        <f t="shared" si="107"/>
        <v>2.2675822725675339</v>
      </c>
      <c r="P854" s="20">
        <f t="shared" si="107"/>
        <v>2.0651035390077035</v>
      </c>
      <c r="Q854" s="20">
        <f t="shared" si="107"/>
        <v>2.0661037396166497</v>
      </c>
    </row>
    <row r="855" spans="1:19" ht="67.8" customHeight="1" x14ac:dyDescent="0.25">
      <c r="A855" s="17" t="s">
        <v>115</v>
      </c>
      <c r="B855" s="17" t="s">
        <v>116</v>
      </c>
      <c r="C855" s="17" t="s">
        <v>117</v>
      </c>
      <c r="D855" s="17" t="s">
        <v>337</v>
      </c>
      <c r="E855" s="129">
        <f>SUM(F855:Q855)</f>
        <v>61041.309531336403</v>
      </c>
      <c r="F855" s="129">
        <f>'Baseline Emissions 2021'!F827</f>
        <v>4850.5212258064512</v>
      </c>
      <c r="G855" s="129">
        <f>'Baseline Emissions 2021'!G827</f>
        <v>4848.2868571428553</v>
      </c>
      <c r="H855" s="129">
        <f>'Baseline Emissions 2021'!H827</f>
        <v>4849.5004838709674</v>
      </c>
      <c r="I855" s="129">
        <f>'Baseline Emissions 2021'!I827</f>
        <v>4851.2686666666659</v>
      </c>
      <c r="J855" s="129">
        <f>'Baseline Emissions 2021'!J827</f>
        <v>5324.7675161290326</v>
      </c>
      <c r="K855" s="129">
        <f>'Baseline Emissions 2021'!K827</f>
        <v>5322.9600333333337</v>
      </c>
      <c r="L855" s="129">
        <f>'Baseline Emissions 2021'!L827</f>
        <v>5323.510838709677</v>
      </c>
      <c r="M855" s="129">
        <f>'Baseline Emissions 2021'!M827</f>
        <v>5324.8362258064499</v>
      </c>
      <c r="N855" s="129">
        <f>'Baseline Emissions 2021'!N827</f>
        <v>5323.4649666666683</v>
      </c>
      <c r="O855" s="129">
        <f>'Baseline Emissions 2021'!O827</f>
        <v>5321.9018709677421</v>
      </c>
      <c r="P855" s="129">
        <f>'Baseline Emissions 2021'!P827</f>
        <v>4849.8872333333338</v>
      </c>
      <c r="Q855" s="129">
        <f>'Baseline Emissions 2021'!Q827</f>
        <v>4850.4036129032265</v>
      </c>
    </row>
    <row r="856" spans="1:19" ht="46.8" x14ac:dyDescent="0.25">
      <c r="A856" s="17" t="s">
        <v>118</v>
      </c>
      <c r="B856" s="17" t="s">
        <v>119</v>
      </c>
      <c r="C856" s="17" t="s">
        <v>120</v>
      </c>
      <c r="D856" s="35" t="s">
        <v>338</v>
      </c>
      <c r="E856" s="120">
        <f>AVERAGE(F856:Q856)</f>
        <v>4.2135462708969688E-4</v>
      </c>
      <c r="F856" s="130">
        <f>'Baseline Emissions 2021'!F831</f>
        <v>4.2589973118279572E-4</v>
      </c>
      <c r="G856" s="130">
        <f>'Baseline Emissions 2021'!G831</f>
        <v>4.2636994047619037E-4</v>
      </c>
      <c r="H856" s="130">
        <f>'Baseline Emissions 2021'!H831</f>
        <v>4.262016129032257E-4</v>
      </c>
      <c r="I856" s="130">
        <f>'Baseline Emissions 2021'!I831</f>
        <v>4.2552183908045968E-4</v>
      </c>
      <c r="J856" s="130">
        <f>'Baseline Emissions 2021'!J831</f>
        <v>4.2568709677419354E-4</v>
      </c>
      <c r="K856" s="130">
        <f>'Baseline Emissions 2021'!K831</f>
        <v>4.0754111111111107E-4</v>
      </c>
      <c r="L856" s="130">
        <f>'Baseline Emissions 2021'!L831</f>
        <v>4.077655913978494E-4</v>
      </c>
      <c r="M856" s="130">
        <f>'Baseline Emissions 2021'!M831</f>
        <v>4.0718333333333325E-4</v>
      </c>
      <c r="N856" s="130">
        <f>'Baseline Emissions 2021'!N831</f>
        <v>4.2623055555555554E-4</v>
      </c>
      <c r="O856" s="130">
        <f>'Baseline Emissions 2021'!O831</f>
        <v>4.2608494623655913E-4</v>
      </c>
      <c r="P856" s="130">
        <f>'Baseline Emissions 2021'!P831</f>
        <v>4.2580444444444436E-4</v>
      </c>
      <c r="Q856" s="130">
        <f>'Baseline Emissions 2021'!Q831</f>
        <v>4.2596532258064518E-4</v>
      </c>
    </row>
    <row r="857" spans="1:19" ht="46.8" x14ac:dyDescent="0.25">
      <c r="A857" s="17" t="s">
        <v>121</v>
      </c>
      <c r="B857" s="17" t="s">
        <v>24</v>
      </c>
      <c r="C857" s="17" t="s">
        <v>122</v>
      </c>
      <c r="D857" s="17" t="s">
        <v>384</v>
      </c>
      <c r="E857" s="20">
        <f>SUM(F857:Q857)</f>
        <v>1.1872740704770886</v>
      </c>
      <c r="F857" s="20">
        <f>SUM(F858*F859)</f>
        <v>9.4951718125485612E-2</v>
      </c>
      <c r="G857" s="20">
        <f t="shared" ref="G857:Q857" si="108">SUM(G858*G859)</f>
        <v>9.4727929438414168E-2</v>
      </c>
      <c r="H857" s="20">
        <f t="shared" si="108"/>
        <v>9.4362634263787701E-2</v>
      </c>
      <c r="I857" s="20">
        <f t="shared" si="108"/>
        <v>9.4161507162605407E-2</v>
      </c>
      <c r="J857" s="20">
        <f t="shared" si="108"/>
        <v>0.10573642073860559</v>
      </c>
      <c r="K857" s="20">
        <f t="shared" si="108"/>
        <v>0.10395618274912029</v>
      </c>
      <c r="L857" s="20">
        <f t="shared" si="108"/>
        <v>0.10279777011675342</v>
      </c>
      <c r="M857" s="20">
        <f t="shared" si="108"/>
        <v>0.10554797602594515</v>
      </c>
      <c r="N857" s="20">
        <f t="shared" si="108"/>
        <v>0.1033260128985926</v>
      </c>
      <c r="O857" s="20">
        <f t="shared" si="108"/>
        <v>0.10277825978005546</v>
      </c>
      <c r="P857" s="20">
        <f t="shared" si="108"/>
        <v>9.2404672094814816E-2</v>
      </c>
      <c r="Q857" s="20">
        <f t="shared" si="108"/>
        <v>9.2522987082908389E-2</v>
      </c>
    </row>
    <row r="858" spans="1:19" ht="62.4" x14ac:dyDescent="0.25">
      <c r="A858" s="17" t="s">
        <v>123</v>
      </c>
      <c r="B858" s="17" t="s">
        <v>116</v>
      </c>
      <c r="C858" s="17" t="s">
        <v>124</v>
      </c>
      <c r="D858" s="17" t="s">
        <v>337</v>
      </c>
      <c r="E858" s="129">
        <f>SUM(F858:Q858)</f>
        <v>59616.613756682025</v>
      </c>
      <c r="F858" s="129">
        <v>4740.6406129032266</v>
      </c>
      <c r="G858" s="129">
        <v>4740.6997857142869</v>
      </c>
      <c r="H858" s="129">
        <v>4739.2161290322574</v>
      </c>
      <c r="I858" s="129">
        <v>4736.9325333333345</v>
      </c>
      <c r="J858" s="129">
        <v>5196.5107096774191</v>
      </c>
      <c r="K858" s="129">
        <v>5196.5821666666652</v>
      </c>
      <c r="L858" s="129">
        <v>5197.7342580645181</v>
      </c>
      <c r="M858" s="129">
        <v>5196.8614193548383</v>
      </c>
      <c r="N858" s="129">
        <v>5197.7760666666663</v>
      </c>
      <c r="O858" s="129">
        <v>5197.7368387096758</v>
      </c>
      <c r="P858" s="129">
        <v>4737.6213333333335</v>
      </c>
      <c r="Q858" s="129">
        <v>4738.3019032258062</v>
      </c>
    </row>
    <row r="859" spans="1:19" ht="46.8" x14ac:dyDescent="0.25">
      <c r="A859" s="17" t="s">
        <v>125</v>
      </c>
      <c r="B859" s="17" t="s">
        <v>119</v>
      </c>
      <c r="C859" s="17" t="s">
        <v>126</v>
      </c>
      <c r="D859" s="35" t="s">
        <v>339</v>
      </c>
      <c r="E859" s="131">
        <f>AVERAGE(F859:Q859)</f>
        <v>1.9910299945633304E-5</v>
      </c>
      <c r="F859" s="131">
        <f>'Baseline Emissions 2021'!F832</f>
        <v>2.0029301075268816E-5</v>
      </c>
      <c r="G859" s="131">
        <f>'Baseline Emissions 2021'!G832</f>
        <v>1.9981845238095244E-5</v>
      </c>
      <c r="H859" s="131">
        <f>'Baseline Emissions 2021'!H832</f>
        <v>1.9911021505376344E-5</v>
      </c>
      <c r="I859" s="131">
        <f>'Baseline Emissions 2021'!I832</f>
        <v>1.9878160919540234E-5</v>
      </c>
      <c r="J859" s="131">
        <f>'Baseline Emissions 2021'!J832</f>
        <v>2.0347580645161286E-5</v>
      </c>
      <c r="K859" s="131">
        <f>'Baseline Emissions 2021'!K832</f>
        <v>2.0004722222222213E-5</v>
      </c>
      <c r="L859" s="131">
        <f>'Baseline Emissions 2021'!L832</f>
        <v>1.977741935483871E-5</v>
      </c>
      <c r="M859" s="131">
        <f>'Baseline Emissions 2021'!M832</f>
        <v>2.0309946236559134E-5</v>
      </c>
      <c r="N859" s="131">
        <f>'Baseline Emissions 2021'!N832</f>
        <v>1.9878888888888891E-5</v>
      </c>
      <c r="O859" s="131">
        <f>'Baseline Emissions 2021'!O832</f>
        <v>1.9773655913978495E-5</v>
      </c>
      <c r="P859" s="131">
        <f>'Baseline Emissions 2021'!P832</f>
        <v>1.9504444444444445E-5</v>
      </c>
      <c r="Q859" s="131">
        <f>'Baseline Emissions 2021'!Q832</f>
        <v>1.9526612903225801E-5</v>
      </c>
    </row>
    <row r="860" spans="1:19" ht="31.2" x14ac:dyDescent="0.25">
      <c r="A860" s="17" t="s">
        <v>127</v>
      </c>
      <c r="B860" s="17" t="s">
        <v>128</v>
      </c>
      <c r="C860" s="17" t="s">
        <v>17</v>
      </c>
      <c r="D860" s="17" t="s">
        <v>129</v>
      </c>
      <c r="E860" s="176">
        <v>28</v>
      </c>
      <c r="F860" s="176"/>
      <c r="G860" s="176"/>
      <c r="H860" s="176"/>
      <c r="I860" s="176"/>
      <c r="J860" s="176"/>
      <c r="K860" s="176"/>
      <c r="L860" s="176"/>
      <c r="M860" s="176"/>
      <c r="N860" s="176"/>
      <c r="O860" s="176"/>
      <c r="P860" s="176"/>
      <c r="Q860" s="176"/>
    </row>
    <row r="861" spans="1:19" ht="64.8" x14ac:dyDescent="0.25">
      <c r="A861" s="17" t="s">
        <v>130</v>
      </c>
      <c r="B861" s="17" t="s">
        <v>19</v>
      </c>
      <c r="C861" s="17" t="s">
        <v>131</v>
      </c>
      <c r="D861" s="17" t="s">
        <v>394</v>
      </c>
      <c r="E861" s="176">
        <v>0.21</v>
      </c>
      <c r="F861" s="176"/>
      <c r="G861" s="176"/>
      <c r="H861" s="176"/>
      <c r="I861" s="176"/>
      <c r="J861" s="176"/>
      <c r="K861" s="176"/>
      <c r="L861" s="176"/>
      <c r="M861" s="176"/>
      <c r="N861" s="176"/>
      <c r="O861" s="176"/>
      <c r="P861" s="176"/>
      <c r="Q861" s="176"/>
    </row>
    <row r="862" spans="1:19" ht="46.8" x14ac:dyDescent="0.25">
      <c r="A862" s="17" t="s">
        <v>132</v>
      </c>
      <c r="B862" s="17" t="s">
        <v>103</v>
      </c>
      <c r="C862" s="17" t="s">
        <v>133</v>
      </c>
      <c r="D862" s="17" t="s">
        <v>385</v>
      </c>
      <c r="E862" s="19">
        <f>SUM(F862:Q862)</f>
        <v>0</v>
      </c>
      <c r="F862" s="19">
        <f>$E$860*$E$861*F863*F857*F850</f>
        <v>0</v>
      </c>
      <c r="G862" s="19">
        <f t="shared" ref="G862:Q862" si="109">$E$860*$E$861*G863*G857*G850</f>
        <v>0</v>
      </c>
      <c r="H862" s="19">
        <f t="shared" si="109"/>
        <v>0</v>
      </c>
      <c r="I862" s="19">
        <f t="shared" si="109"/>
        <v>0</v>
      </c>
      <c r="J862" s="19">
        <f t="shared" si="109"/>
        <v>0</v>
      </c>
      <c r="K862" s="19">
        <f t="shared" si="109"/>
        <v>0</v>
      </c>
      <c r="L862" s="19">
        <f t="shared" si="109"/>
        <v>0</v>
      </c>
      <c r="M862" s="19">
        <f t="shared" si="109"/>
        <v>0</v>
      </c>
      <c r="N862" s="19">
        <f t="shared" si="109"/>
        <v>0</v>
      </c>
      <c r="O862" s="19">
        <f t="shared" si="109"/>
        <v>0</v>
      </c>
      <c r="P862" s="19">
        <f t="shared" si="109"/>
        <v>0</v>
      </c>
      <c r="Q862" s="19">
        <f t="shared" si="109"/>
        <v>0</v>
      </c>
    </row>
    <row r="863" spans="1:19" ht="18" x14ac:dyDescent="0.25">
      <c r="A863" s="17" t="s">
        <v>134</v>
      </c>
      <c r="B863" s="17" t="s">
        <v>37</v>
      </c>
      <c r="C863" s="17" t="s">
        <v>135</v>
      </c>
      <c r="D863" s="17" t="s">
        <v>386</v>
      </c>
      <c r="E863" s="26">
        <f>AVERAGE(F863:Q863)</f>
        <v>0</v>
      </c>
      <c r="F863" s="26">
        <f>F864*$E$865*0.89</f>
        <v>0</v>
      </c>
      <c r="G863" s="26">
        <f t="shared" ref="G863:Q863" si="110">G864*$E$865*0.89</f>
        <v>0</v>
      </c>
      <c r="H863" s="26">
        <f t="shared" si="110"/>
        <v>0</v>
      </c>
      <c r="I863" s="26">
        <f t="shared" si="110"/>
        <v>0</v>
      </c>
      <c r="J863" s="26">
        <f t="shared" si="110"/>
        <v>0</v>
      </c>
      <c r="K863" s="26">
        <f t="shared" si="110"/>
        <v>0</v>
      </c>
      <c r="L863" s="26">
        <f t="shared" si="110"/>
        <v>0</v>
      </c>
      <c r="M863" s="26">
        <f t="shared" si="110"/>
        <v>0</v>
      </c>
      <c r="N863" s="26">
        <f t="shared" si="110"/>
        <v>0</v>
      </c>
      <c r="O863" s="26">
        <f t="shared" si="110"/>
        <v>0</v>
      </c>
      <c r="P863" s="26">
        <f t="shared" si="110"/>
        <v>0</v>
      </c>
      <c r="Q863" s="26">
        <f t="shared" si="110"/>
        <v>0</v>
      </c>
    </row>
    <row r="864" spans="1:19" ht="31.2" x14ac:dyDescent="0.25">
      <c r="A864" s="17" t="s">
        <v>136</v>
      </c>
      <c r="B864" s="17" t="s">
        <v>37</v>
      </c>
      <c r="C864" s="17" t="s">
        <v>46</v>
      </c>
      <c r="D864" s="17" t="s">
        <v>387</v>
      </c>
      <c r="E864" s="25">
        <v>0</v>
      </c>
      <c r="F864" s="25">
        <v>0</v>
      </c>
      <c r="G864" s="25">
        <v>0</v>
      </c>
      <c r="H864" s="25">
        <v>0</v>
      </c>
      <c r="I864" s="25">
        <v>0</v>
      </c>
      <c r="J864" s="25">
        <v>0</v>
      </c>
      <c r="K864" s="25">
        <v>0</v>
      </c>
      <c r="L864" s="25">
        <v>0</v>
      </c>
      <c r="M864" s="25">
        <v>0</v>
      </c>
      <c r="N864" s="25">
        <v>0</v>
      </c>
      <c r="O864" s="25">
        <v>0</v>
      </c>
      <c r="P864" s="25">
        <v>0</v>
      </c>
      <c r="Q864" s="25">
        <v>0</v>
      </c>
    </row>
    <row r="865" spans="1:17" ht="31.2" x14ac:dyDescent="0.25">
      <c r="A865" s="17" t="s">
        <v>137</v>
      </c>
      <c r="B865" s="17" t="s">
        <v>201</v>
      </c>
      <c r="C865" s="17" t="s">
        <v>138</v>
      </c>
      <c r="D865" s="17" t="s">
        <v>388</v>
      </c>
      <c r="E865" s="196">
        <f>(F866*F871+G866*G871+H866*H871+I866*I871+J866*J871+K866*K871+L866*L871+M866*M871+N866*N871+O866*O871+P866*P871+Q866*Q871)/(F858*F859*F850+G859*G858*G850+H858*H859*H850+I859*I858*I850+J859*J858*J850+K859*K858*K850+L859*L858*L850+M859*M858*M850+N859*N858*N850+O858*O859*O850+P859*P858*P850+Q859*Q858*Q850)</f>
        <v>0.65326964606554982</v>
      </c>
      <c r="F865" s="196"/>
      <c r="G865" s="196"/>
      <c r="H865" s="196"/>
      <c r="I865" s="196"/>
      <c r="J865" s="196"/>
      <c r="K865" s="196"/>
      <c r="L865" s="196"/>
      <c r="M865" s="196"/>
      <c r="N865" s="196"/>
      <c r="O865" s="196"/>
      <c r="P865" s="196"/>
      <c r="Q865" s="196"/>
    </row>
    <row r="866" spans="1:17" ht="31.2" x14ac:dyDescent="0.25">
      <c r="A866" s="17" t="s">
        <v>139</v>
      </c>
      <c r="B866" s="17" t="s">
        <v>37</v>
      </c>
      <c r="C866" s="17" t="s">
        <v>140</v>
      </c>
      <c r="D866" s="17" t="s">
        <v>375</v>
      </c>
      <c r="E866" s="27">
        <f>AVERAGE(F866:Q866)</f>
        <v>0.6404944159004976</v>
      </c>
      <c r="F866" s="27">
        <f>IF(F870&lt;283,0,IF(F870&gt;303,1,EXP(($E$867*(F870-$E$868))/($E$869*$E$868*F870))))</f>
        <v>0.26921004737855481</v>
      </c>
      <c r="G866" s="27">
        <f>IF(G870&lt;283,0,IF(G870&gt;303,1,EXP(($E$867*(G870-$E$868))/($E$869*$E$868*G870))))</f>
        <v>0.38698063689870399</v>
      </c>
      <c r="H866" s="27">
        <f t="shared" ref="H866:Q866" si="111">IF(H870&lt;283,0,IF(H870&gt;303,1,EXP(($E$867*(H870-$E$868))/($E$869*$E$868*H870))))</f>
        <v>0.48307557293036196</v>
      </c>
      <c r="I866" s="27">
        <f t="shared" si="111"/>
        <v>0.57531644493802248</v>
      </c>
      <c r="J866" s="27">
        <f t="shared" si="111"/>
        <v>0.84523513966163832</v>
      </c>
      <c r="K866" s="27">
        <f t="shared" si="111"/>
        <v>0.84523513966163832</v>
      </c>
      <c r="L866" s="27">
        <f t="shared" si="111"/>
        <v>0.91923925774048054</v>
      </c>
      <c r="M866" s="27">
        <f t="shared" si="111"/>
        <v>0.91923925774048054</v>
      </c>
      <c r="N866" s="27">
        <f t="shared" si="111"/>
        <v>0.95843738031531212</v>
      </c>
      <c r="O866" s="27">
        <f t="shared" si="111"/>
        <v>0.6835684899717327</v>
      </c>
      <c r="P866" s="27">
        <f t="shared" si="111"/>
        <v>0.46225423409862509</v>
      </c>
      <c r="Q866" s="27">
        <f t="shared" si="111"/>
        <v>0.33814138947042022</v>
      </c>
    </row>
    <row r="867" spans="1:17" x14ac:dyDescent="0.25">
      <c r="A867" s="17" t="s">
        <v>51</v>
      </c>
      <c r="B867" s="17" t="s">
        <v>52</v>
      </c>
      <c r="C867" s="17" t="s">
        <v>53</v>
      </c>
      <c r="D867" s="17" t="s">
        <v>389</v>
      </c>
      <c r="E867" s="176">
        <v>15175</v>
      </c>
      <c r="F867" s="176"/>
      <c r="G867" s="176"/>
      <c r="H867" s="176"/>
      <c r="I867" s="176"/>
      <c r="J867" s="176"/>
      <c r="K867" s="176"/>
      <c r="L867" s="176"/>
      <c r="M867" s="176"/>
      <c r="N867" s="176"/>
      <c r="O867" s="176"/>
      <c r="P867" s="176"/>
      <c r="Q867" s="176"/>
    </row>
    <row r="868" spans="1:17" ht="18" x14ac:dyDescent="0.25">
      <c r="A868" s="17" t="s">
        <v>141</v>
      </c>
      <c r="B868" s="17" t="s">
        <v>55</v>
      </c>
      <c r="C868" s="17" t="s">
        <v>56</v>
      </c>
      <c r="D868" s="17" t="s">
        <v>389</v>
      </c>
      <c r="E868" s="176">
        <v>303.16000000000003</v>
      </c>
      <c r="F868" s="176"/>
      <c r="G868" s="176"/>
      <c r="H868" s="176"/>
      <c r="I868" s="176"/>
      <c r="J868" s="176"/>
      <c r="K868" s="176"/>
      <c r="L868" s="176"/>
      <c r="M868" s="176"/>
      <c r="N868" s="176"/>
      <c r="O868" s="176"/>
      <c r="P868" s="176"/>
      <c r="Q868" s="176"/>
    </row>
    <row r="869" spans="1:17" x14ac:dyDescent="0.25">
      <c r="A869" s="17" t="s">
        <v>57</v>
      </c>
      <c r="B869" s="17" t="s">
        <v>58</v>
      </c>
      <c r="C869" s="17" t="s">
        <v>59</v>
      </c>
      <c r="D869" s="17" t="s">
        <v>389</v>
      </c>
      <c r="E869" s="176">
        <v>1.9870000000000001</v>
      </c>
      <c r="F869" s="176"/>
      <c r="G869" s="176"/>
      <c r="H869" s="176"/>
      <c r="I869" s="176"/>
      <c r="J869" s="176"/>
      <c r="K869" s="176"/>
      <c r="L869" s="176"/>
      <c r="M869" s="176"/>
      <c r="N869" s="176"/>
      <c r="O869" s="176"/>
      <c r="P869" s="176"/>
      <c r="Q869" s="176"/>
    </row>
    <row r="870" spans="1:17" ht="18" x14ac:dyDescent="0.25">
      <c r="A870" s="17" t="s">
        <v>142</v>
      </c>
      <c r="B870" s="17" t="s">
        <v>55</v>
      </c>
      <c r="C870" s="17" t="s">
        <v>143</v>
      </c>
      <c r="D870" s="144" t="s">
        <v>363</v>
      </c>
      <c r="E870" s="28">
        <f>AVERAGE(F870:Q870)</f>
        <v>297.02500000000003</v>
      </c>
      <c r="F870" s="25">
        <v>288.14999999999998</v>
      </c>
      <c r="G870" s="25">
        <v>292.14999999999998</v>
      </c>
      <c r="H870" s="25">
        <v>294.64999999999998</v>
      </c>
      <c r="I870" s="25">
        <v>296.64999999999998</v>
      </c>
      <c r="J870" s="25">
        <v>301.14999999999998</v>
      </c>
      <c r="K870" s="25">
        <v>301.14999999999998</v>
      </c>
      <c r="L870" s="25">
        <v>302.14999999999998</v>
      </c>
      <c r="M870" s="25">
        <v>302.14999999999998</v>
      </c>
      <c r="N870" s="25">
        <v>302.64999999999998</v>
      </c>
      <c r="O870" s="25">
        <v>298.64999999999998</v>
      </c>
      <c r="P870" s="25">
        <v>294.14999999999998</v>
      </c>
      <c r="Q870" s="25">
        <v>290.64999999999998</v>
      </c>
    </row>
    <row r="871" spans="1:17" ht="46.8" x14ac:dyDescent="0.25">
      <c r="A871" s="17" t="s">
        <v>144</v>
      </c>
      <c r="B871" s="17" t="s">
        <v>24</v>
      </c>
      <c r="C871" s="17" t="s">
        <v>145</v>
      </c>
      <c r="D871" s="17" t="s">
        <v>390</v>
      </c>
      <c r="E871" s="29">
        <f>SUM(F871:Q871)</f>
        <v>36.127464021569367</v>
      </c>
      <c r="F871" s="29">
        <f>F858*F859*'Project Emissions 2021'!F850+(1-F866)*0</f>
        <v>2.9435032618900538</v>
      </c>
      <c r="G871" s="29">
        <f>G858*G859*'Project Emissions 2021'!G850+(1-G866)*0</f>
        <v>2.6523820242755969</v>
      </c>
      <c r="H871" s="29">
        <f>H858*H859*'Project Emissions 2021'!H850+(1-H866)*0</f>
        <v>2.9252416621774189</v>
      </c>
      <c r="I871" s="29">
        <f>I858*I859*'Project Emissions 2021'!I850+(1-I866)*0</f>
        <v>2.8248452148781622</v>
      </c>
      <c r="J871" s="29">
        <f>J858*J859*'Project Emissions 2021'!J850+(1-J866)*0</f>
        <v>3.2778290428967733</v>
      </c>
      <c r="K871" s="29">
        <f>K858*K859*'Project Emissions 2021'!K850+(1-K866)*0</f>
        <v>3.1186854824736088</v>
      </c>
      <c r="L871" s="29">
        <f>L858*L859*'Project Emissions 2021'!L850+(1-L866)*0</f>
        <v>3.1867308736193563</v>
      </c>
      <c r="M871" s="29">
        <f>M858*M859*'Project Emissions 2021'!M850+(1-M866)*0</f>
        <v>3.2719872568042998</v>
      </c>
      <c r="N871" s="29">
        <f>N858*N859*'Project Emissions 2021'!N850+(1-N866)*0</f>
        <v>3.0997803869577778</v>
      </c>
      <c r="O871" s="29">
        <f>O858*O859*'Project Emissions 2021'!O850+(1-O866)*0</f>
        <v>3.1861260531817193</v>
      </c>
      <c r="P871" s="29">
        <f>P858*P859*'Project Emissions 2021'!P850+(1-P866)*0</f>
        <v>2.7721401628444444</v>
      </c>
      <c r="Q871" s="29">
        <f>Q858*Q859*'Project Emissions 2021'!Q850+(1-Q866)*0</f>
        <v>2.8682125995701599</v>
      </c>
    </row>
    <row r="872" spans="1:17" x14ac:dyDescent="0.3">
      <c r="A872" s="30"/>
      <c r="E872" s="31"/>
      <c r="F872" s="31"/>
      <c r="G872" s="31"/>
      <c r="H872" s="31"/>
      <c r="I872" s="31"/>
      <c r="J872" s="31"/>
      <c r="K872" s="31"/>
      <c r="L872" s="31"/>
      <c r="M872" s="31"/>
      <c r="N872" s="31"/>
      <c r="O872" s="31"/>
      <c r="P872" s="31"/>
      <c r="Q872" s="31"/>
    </row>
    <row r="873" spans="1:17" x14ac:dyDescent="0.25">
      <c r="A873" s="174" t="s">
        <v>146</v>
      </c>
      <c r="B873" s="174"/>
      <c r="C873" s="175"/>
      <c r="D873" s="175"/>
      <c r="E873" s="195"/>
      <c r="F873" s="32"/>
      <c r="G873" s="32"/>
      <c r="H873" s="32"/>
      <c r="I873" s="32"/>
      <c r="J873" s="32"/>
      <c r="K873" s="32"/>
      <c r="L873" s="32"/>
      <c r="M873" s="32"/>
      <c r="N873" s="32"/>
      <c r="O873" s="32"/>
      <c r="P873" s="32"/>
      <c r="Q873" s="32"/>
    </row>
    <row r="874" spans="1:17" x14ac:dyDescent="0.25">
      <c r="A874" s="33" t="s">
        <v>8</v>
      </c>
      <c r="B874" s="33" t="s">
        <v>9</v>
      </c>
      <c r="C874" s="34" t="s">
        <v>10</v>
      </c>
      <c r="D874" s="34" t="s">
        <v>340</v>
      </c>
      <c r="E874" s="16" t="s">
        <v>65</v>
      </c>
      <c r="F874" s="32"/>
      <c r="G874" s="32"/>
      <c r="H874" s="32"/>
      <c r="I874" s="32"/>
      <c r="J874" s="32"/>
      <c r="K874" s="32"/>
      <c r="L874" s="32"/>
      <c r="M874" s="32"/>
      <c r="N874" s="32"/>
      <c r="O874" s="32"/>
      <c r="P874" s="32"/>
      <c r="Q874" s="32"/>
    </row>
    <row r="875" spans="1:17" ht="46.8" x14ac:dyDescent="0.25">
      <c r="A875" s="15" t="s">
        <v>147</v>
      </c>
      <c r="B875" s="17" t="s">
        <v>95</v>
      </c>
      <c r="C875" s="35" t="s">
        <v>148</v>
      </c>
      <c r="D875" s="35" t="s">
        <v>68</v>
      </c>
      <c r="E875" s="16">
        <v>0</v>
      </c>
      <c r="F875" s="32"/>
      <c r="G875" s="32"/>
      <c r="H875" s="32"/>
      <c r="I875" s="32"/>
      <c r="J875" s="32"/>
      <c r="K875" s="32"/>
      <c r="L875" s="32"/>
      <c r="M875" s="32"/>
      <c r="N875" s="32"/>
      <c r="O875" s="32"/>
      <c r="P875" s="32"/>
      <c r="Q875" s="32"/>
    </row>
    <row r="876" spans="1:17" x14ac:dyDescent="0.25">
      <c r="A876" s="36"/>
      <c r="B876" s="36"/>
      <c r="C876" s="37"/>
      <c r="D876" s="37"/>
      <c r="E876" s="32"/>
      <c r="F876" s="32"/>
      <c r="G876" s="32"/>
      <c r="H876" s="32"/>
      <c r="I876" s="32"/>
      <c r="J876" s="32"/>
      <c r="K876" s="32"/>
      <c r="L876" s="32"/>
      <c r="M876" s="32"/>
      <c r="N876" s="32"/>
      <c r="O876" s="32"/>
      <c r="P876" s="32"/>
      <c r="Q876" s="32"/>
    </row>
    <row r="877" spans="1:17" x14ac:dyDescent="0.25">
      <c r="A877" s="174" t="s">
        <v>149</v>
      </c>
      <c r="B877" s="174"/>
      <c r="C877" s="175"/>
      <c r="D877" s="175"/>
      <c r="E877" s="195"/>
      <c r="F877" s="32"/>
      <c r="G877" s="32"/>
      <c r="H877" s="32"/>
      <c r="I877" s="32"/>
      <c r="J877" s="32"/>
      <c r="K877" s="32"/>
      <c r="L877" s="32"/>
      <c r="M877" s="32"/>
      <c r="N877" s="32"/>
      <c r="O877" s="32"/>
      <c r="P877" s="32"/>
      <c r="Q877" s="32"/>
    </row>
    <row r="878" spans="1:17" x14ac:dyDescent="0.25">
      <c r="A878" s="33" t="s">
        <v>8</v>
      </c>
      <c r="B878" s="33" t="s">
        <v>9</v>
      </c>
      <c r="C878" s="34" t="s">
        <v>10</v>
      </c>
      <c r="D878" s="34" t="s">
        <v>340</v>
      </c>
      <c r="E878" s="16" t="s">
        <v>65</v>
      </c>
      <c r="F878" s="32"/>
      <c r="G878" s="32"/>
      <c r="H878" s="32"/>
      <c r="I878" s="32"/>
      <c r="J878" s="32"/>
      <c r="K878" s="32"/>
      <c r="L878" s="32"/>
      <c r="M878" s="32"/>
      <c r="N878" s="32"/>
      <c r="O878" s="32"/>
      <c r="P878" s="32"/>
      <c r="Q878" s="32"/>
    </row>
    <row r="879" spans="1:17" ht="46.8" x14ac:dyDescent="0.25">
      <c r="A879" s="15" t="s">
        <v>150</v>
      </c>
      <c r="B879" s="17" t="s">
        <v>95</v>
      </c>
      <c r="C879" s="35" t="s">
        <v>151</v>
      </c>
      <c r="D879" s="35" t="s">
        <v>68</v>
      </c>
      <c r="E879" s="16">
        <v>0</v>
      </c>
      <c r="F879" s="32"/>
      <c r="G879" s="32"/>
      <c r="H879" s="32"/>
      <c r="I879" s="32"/>
      <c r="J879" s="32"/>
      <c r="K879" s="32"/>
      <c r="L879" s="32"/>
      <c r="M879" s="32"/>
      <c r="N879" s="32"/>
      <c r="O879" s="32"/>
      <c r="P879" s="32"/>
      <c r="Q879" s="32"/>
    </row>
    <row r="880" spans="1:17" x14ac:dyDescent="0.25">
      <c r="F880" s="32"/>
      <c r="G880" s="32"/>
      <c r="H880" s="32"/>
      <c r="I880" s="32"/>
      <c r="J880" s="32"/>
      <c r="K880" s="32"/>
      <c r="L880" s="32"/>
      <c r="M880" s="32"/>
      <c r="N880" s="32"/>
      <c r="O880" s="32"/>
      <c r="P880" s="32"/>
      <c r="Q880" s="32"/>
    </row>
    <row r="881" spans="1:19" x14ac:dyDescent="0.25">
      <c r="A881" s="174" t="s">
        <v>152</v>
      </c>
      <c r="B881" s="174"/>
      <c r="C881" s="175"/>
      <c r="D881" s="175"/>
      <c r="E881" s="195"/>
      <c r="F881" s="32"/>
      <c r="G881" s="32"/>
      <c r="H881" s="32"/>
      <c r="I881" s="32"/>
      <c r="J881" s="32"/>
      <c r="K881" s="32"/>
      <c r="L881" s="32"/>
      <c r="M881" s="32"/>
      <c r="N881" s="32"/>
      <c r="O881" s="32"/>
      <c r="P881" s="32"/>
      <c r="Q881" s="32"/>
    </row>
    <row r="882" spans="1:19" s="10" customFormat="1" x14ac:dyDescent="0.25">
      <c r="A882" s="15" t="s">
        <v>8</v>
      </c>
      <c r="B882" s="15" t="s">
        <v>9</v>
      </c>
      <c r="C882" s="38" t="s">
        <v>10</v>
      </c>
      <c r="D882" s="38" t="s">
        <v>340</v>
      </c>
      <c r="E882" s="16" t="s">
        <v>65</v>
      </c>
      <c r="F882" s="32"/>
      <c r="G882" s="32"/>
      <c r="H882" s="39"/>
      <c r="I882" s="39"/>
      <c r="J882" s="39"/>
      <c r="K882" s="39"/>
      <c r="L882" s="39"/>
      <c r="M882" s="39"/>
      <c r="N882" s="39"/>
      <c r="O882" s="39"/>
      <c r="P882" s="39"/>
      <c r="Q882" s="39"/>
    </row>
    <row r="883" spans="1:19" s="10" customFormat="1" ht="18" x14ac:dyDescent="0.4">
      <c r="A883" s="40" t="s">
        <v>153</v>
      </c>
      <c r="B883" s="17" t="s">
        <v>103</v>
      </c>
      <c r="C883" s="35" t="s">
        <v>154</v>
      </c>
      <c r="D883" s="35" t="s">
        <v>155</v>
      </c>
      <c r="E883" s="41">
        <f>E884*E886*(1+E885)</f>
        <v>378.36490653479996</v>
      </c>
      <c r="F883" s="32"/>
      <c r="G883" s="32"/>
      <c r="H883" s="39"/>
      <c r="I883" s="39"/>
      <c r="J883" s="39"/>
      <c r="K883" s="39"/>
      <c r="L883" s="39"/>
      <c r="M883" s="39"/>
      <c r="N883" s="39"/>
      <c r="O883" s="39"/>
      <c r="P883" s="39"/>
      <c r="Q883" s="39"/>
    </row>
    <row r="884" spans="1:19" ht="31.2" x14ac:dyDescent="0.25">
      <c r="A884" s="17" t="s">
        <v>156</v>
      </c>
      <c r="B884" s="17" t="s">
        <v>157</v>
      </c>
      <c r="C884" s="35" t="s">
        <v>158</v>
      </c>
      <c r="D884" s="35" t="s">
        <v>343</v>
      </c>
      <c r="E884" s="20">
        <f>619640.54/1000</f>
        <v>619.64053999999999</v>
      </c>
      <c r="G884" s="42"/>
      <c r="H884" s="43"/>
      <c r="I884" s="43"/>
      <c r="J884" s="43"/>
      <c r="K884" s="43"/>
      <c r="L884" s="43"/>
      <c r="M884" s="43"/>
      <c r="N884" s="43"/>
      <c r="O884" s="43"/>
      <c r="P884" s="43"/>
      <c r="Q884" s="43"/>
      <c r="R884" s="9"/>
      <c r="S884" s="9"/>
    </row>
    <row r="885" spans="1:19" ht="31.2" x14ac:dyDescent="0.25">
      <c r="A885" s="17" t="s">
        <v>159</v>
      </c>
      <c r="B885" s="17" t="s">
        <v>160</v>
      </c>
      <c r="C885" s="35" t="s">
        <v>161</v>
      </c>
      <c r="D885" s="35" t="s">
        <v>162</v>
      </c>
      <c r="E885" s="44">
        <v>0.2</v>
      </c>
      <c r="H885" s="43"/>
      <c r="I885" s="43"/>
      <c r="J885" s="43"/>
      <c r="K885" s="43"/>
      <c r="L885" s="43"/>
      <c r="M885" s="43"/>
      <c r="N885" s="43"/>
      <c r="O885" s="43"/>
      <c r="P885" s="43"/>
      <c r="Q885" s="43"/>
      <c r="R885" s="9"/>
      <c r="S885" s="9"/>
    </row>
    <row r="886" spans="1:19" ht="46.8" x14ac:dyDescent="0.25">
      <c r="A886" s="17" t="s">
        <v>163</v>
      </c>
      <c r="B886" s="17" t="s">
        <v>164</v>
      </c>
      <c r="C886" s="35" t="s">
        <v>165</v>
      </c>
      <c r="D886" s="35" t="s">
        <v>166</v>
      </c>
      <c r="E886" s="45">
        <f>0.5*0.8042+0.5*0.2135</f>
        <v>0.50885000000000002</v>
      </c>
      <c r="F886" s="46"/>
      <c r="G886" s="46"/>
      <c r="H886" s="46"/>
      <c r="I886" s="46"/>
      <c r="J886" s="46"/>
      <c r="K886" s="46"/>
      <c r="L886" s="46"/>
      <c r="M886" s="46"/>
      <c r="N886" s="46"/>
      <c r="O886" s="46"/>
      <c r="P886" s="46"/>
      <c r="Q886" s="46"/>
    </row>
    <row r="887" spans="1:19" ht="31.2" x14ac:dyDescent="0.4">
      <c r="A887" s="40" t="s">
        <v>167</v>
      </c>
      <c r="B887" s="17" t="s">
        <v>103</v>
      </c>
      <c r="C887" s="35" t="s">
        <v>168</v>
      </c>
      <c r="D887" s="35" t="s">
        <v>169</v>
      </c>
      <c r="E887" s="47">
        <v>0</v>
      </c>
      <c r="H887" s="43"/>
      <c r="I887" s="43"/>
      <c r="J887" s="43"/>
      <c r="K887" s="43"/>
      <c r="L887" s="43"/>
      <c r="M887" s="43"/>
      <c r="N887" s="43"/>
      <c r="O887" s="43"/>
      <c r="P887" s="43"/>
      <c r="Q887" s="43"/>
      <c r="R887" s="9"/>
      <c r="S887" s="9"/>
    </row>
    <row r="888" spans="1:19" x14ac:dyDescent="0.3">
      <c r="A888" s="48"/>
      <c r="E888" s="49"/>
      <c r="H888" s="43"/>
      <c r="I888" s="43"/>
      <c r="J888" s="43"/>
      <c r="K888" s="43"/>
      <c r="L888" s="43"/>
      <c r="M888" s="43"/>
      <c r="N888" s="43"/>
      <c r="O888" s="43"/>
      <c r="P888" s="43"/>
      <c r="Q888" s="43"/>
      <c r="R888" s="9"/>
      <c r="S888" s="9"/>
    </row>
    <row r="889" spans="1:19" x14ac:dyDescent="0.25">
      <c r="A889" s="174" t="s">
        <v>170</v>
      </c>
      <c r="B889" s="174"/>
      <c r="C889" s="175"/>
      <c r="D889" s="175"/>
      <c r="E889" s="195"/>
      <c r="F889" s="32"/>
      <c r="G889" s="32"/>
      <c r="H889" s="32"/>
      <c r="I889" s="32"/>
      <c r="J889" s="32"/>
      <c r="K889" s="32"/>
      <c r="L889" s="32"/>
      <c r="M889" s="32"/>
      <c r="N889" s="32"/>
      <c r="O889" s="32"/>
      <c r="P889" s="32"/>
      <c r="Q889" s="32"/>
    </row>
    <row r="890" spans="1:19" x14ac:dyDescent="0.25">
      <c r="A890" s="15" t="s">
        <v>8</v>
      </c>
      <c r="B890" s="15" t="s">
        <v>9</v>
      </c>
      <c r="C890" s="38" t="s">
        <v>10</v>
      </c>
      <c r="D890" s="38" t="s">
        <v>340</v>
      </c>
      <c r="E890" s="16" t="s">
        <v>65</v>
      </c>
      <c r="H890" s="43"/>
      <c r="I890" s="43"/>
      <c r="J890" s="43"/>
      <c r="K890" s="43"/>
      <c r="L890" s="43"/>
      <c r="M890" s="43"/>
      <c r="N890" s="43"/>
      <c r="O890" s="43"/>
      <c r="P890" s="43"/>
      <c r="Q890" s="43"/>
      <c r="R890" s="9"/>
      <c r="S890" s="9"/>
    </row>
    <row r="891" spans="1:19" ht="33.6" x14ac:dyDescent="0.4">
      <c r="A891" s="40" t="s">
        <v>171</v>
      </c>
      <c r="B891" s="17" t="s">
        <v>74</v>
      </c>
      <c r="C891" s="35" t="s">
        <v>172</v>
      </c>
      <c r="D891" s="35" t="s">
        <v>391</v>
      </c>
      <c r="E891" s="50">
        <f>E892*E895*E896*E897*E898*E899</f>
        <v>5.574319590254686</v>
      </c>
      <c r="H891" s="43"/>
      <c r="I891" s="43"/>
      <c r="J891" s="43"/>
      <c r="K891" s="43"/>
      <c r="L891" s="43"/>
      <c r="M891" s="43"/>
      <c r="N891" s="43"/>
      <c r="O891" s="43"/>
      <c r="P891" s="43"/>
      <c r="Q891" s="43"/>
      <c r="R891" s="9"/>
      <c r="S891" s="9"/>
    </row>
    <row r="892" spans="1:19" ht="46.8" x14ac:dyDescent="0.4">
      <c r="A892" s="51" t="s">
        <v>173</v>
      </c>
      <c r="B892" s="17" t="s">
        <v>76</v>
      </c>
      <c r="C892" s="35" t="s">
        <v>174</v>
      </c>
      <c r="D892" s="35" t="s">
        <v>392</v>
      </c>
      <c r="E892" s="69">
        <f>ROUNDUP(E893/E894,0)</f>
        <v>219</v>
      </c>
      <c r="H892" s="43"/>
      <c r="I892" s="43"/>
      <c r="J892" s="43"/>
      <c r="K892" s="43"/>
      <c r="L892" s="43"/>
      <c r="M892" s="43"/>
      <c r="N892" s="43"/>
      <c r="O892" s="43"/>
      <c r="P892" s="43"/>
      <c r="Q892" s="43"/>
      <c r="R892" s="9"/>
      <c r="S892" s="9"/>
    </row>
    <row r="893" spans="1:19" ht="62.4" x14ac:dyDescent="0.25">
      <c r="A893" s="17" t="s">
        <v>175</v>
      </c>
      <c r="B893" s="17" t="s">
        <v>78</v>
      </c>
      <c r="C893" s="35" t="s">
        <v>176</v>
      </c>
      <c r="D893" s="35" t="s">
        <v>346</v>
      </c>
      <c r="E893" s="52">
        <v>1094.1919999999998</v>
      </c>
      <c r="H893" s="43"/>
      <c r="I893" s="43"/>
      <c r="J893" s="43"/>
      <c r="K893" s="43"/>
      <c r="L893" s="43"/>
      <c r="M893" s="43"/>
      <c r="N893" s="43"/>
      <c r="O893" s="43"/>
      <c r="P893" s="43"/>
      <c r="Q893" s="43"/>
      <c r="R893" s="9"/>
      <c r="S893" s="9"/>
    </row>
    <row r="894" spans="1:19" ht="62.4" x14ac:dyDescent="0.25">
      <c r="A894" s="17" t="s">
        <v>177</v>
      </c>
      <c r="B894" s="17" t="s">
        <v>80</v>
      </c>
      <c r="C894" s="35" t="s">
        <v>81</v>
      </c>
      <c r="D894" s="35" t="s">
        <v>345</v>
      </c>
      <c r="E894" s="25">
        <f>5</f>
        <v>5</v>
      </c>
      <c r="H894" s="43"/>
      <c r="I894" s="43"/>
      <c r="J894" s="43"/>
      <c r="K894" s="43"/>
      <c r="L894" s="43"/>
      <c r="M894" s="43"/>
      <c r="N894" s="43"/>
      <c r="O894" s="43"/>
      <c r="P894" s="43"/>
      <c r="Q894" s="43"/>
      <c r="R894" s="9"/>
      <c r="S894" s="9"/>
    </row>
    <row r="895" spans="1:19" ht="202.8" x14ac:dyDescent="0.25">
      <c r="A895" s="17" t="s">
        <v>178</v>
      </c>
      <c r="B895" s="17" t="s">
        <v>82</v>
      </c>
      <c r="C895" s="35" t="s">
        <v>179</v>
      </c>
      <c r="D895" s="35" t="s">
        <v>367</v>
      </c>
      <c r="E895" s="25">
        <v>37.6</v>
      </c>
      <c r="H895" s="43"/>
      <c r="I895" s="43"/>
      <c r="J895" s="43"/>
      <c r="K895" s="43"/>
      <c r="L895" s="43"/>
      <c r="M895" s="43"/>
      <c r="N895" s="43"/>
      <c r="O895" s="43"/>
      <c r="P895" s="43"/>
      <c r="Q895" s="43"/>
      <c r="R895" s="9"/>
      <c r="S895" s="9"/>
    </row>
    <row r="896" spans="1:19" ht="156" x14ac:dyDescent="0.25">
      <c r="A896" s="17" t="s">
        <v>180</v>
      </c>
      <c r="B896" s="17" t="s">
        <v>84</v>
      </c>
      <c r="C896" s="35" t="s">
        <v>85</v>
      </c>
      <c r="D896" s="35" t="s">
        <v>365</v>
      </c>
      <c r="E896" s="25">
        <f>25.1/100</f>
        <v>0.251</v>
      </c>
      <c r="H896" s="43"/>
      <c r="I896" s="43"/>
      <c r="J896" s="43"/>
      <c r="K896" s="43"/>
      <c r="L896" s="43"/>
      <c r="M896" s="43"/>
      <c r="N896" s="43"/>
      <c r="O896" s="43"/>
      <c r="P896" s="43"/>
      <c r="Q896" s="43"/>
      <c r="R896" s="9"/>
      <c r="S896" s="9"/>
    </row>
    <row r="897" spans="1:19" ht="62.4" x14ac:dyDescent="0.25">
      <c r="A897" s="17" t="s">
        <v>86</v>
      </c>
      <c r="B897" s="17" t="s">
        <v>87</v>
      </c>
      <c r="C897" s="35" t="s">
        <v>86</v>
      </c>
      <c r="D897" s="35" t="s">
        <v>215</v>
      </c>
      <c r="E897" s="25">
        <f>0.84/1000</f>
        <v>8.3999999999999993E-4</v>
      </c>
      <c r="H897" s="43"/>
      <c r="I897" s="43"/>
      <c r="J897" s="43"/>
      <c r="K897" s="43"/>
      <c r="L897" s="43"/>
      <c r="M897" s="43"/>
      <c r="N897" s="43"/>
      <c r="O897" s="43"/>
      <c r="P897" s="43"/>
      <c r="Q897" s="43"/>
      <c r="R897" s="9"/>
      <c r="S897" s="9"/>
    </row>
    <row r="898" spans="1:19" ht="124.8" x14ac:dyDescent="0.25">
      <c r="A898" s="17" t="s">
        <v>181</v>
      </c>
      <c r="B898" s="17" t="s">
        <v>88</v>
      </c>
      <c r="C898" s="35" t="s">
        <v>89</v>
      </c>
      <c r="D898" s="35" t="s">
        <v>360</v>
      </c>
      <c r="E898" s="25">
        <f>43.33/1000</f>
        <v>4.333E-2</v>
      </c>
      <c r="H898" s="43"/>
      <c r="I898" s="43"/>
      <c r="J898" s="43"/>
      <c r="K898" s="43"/>
      <c r="L898" s="43"/>
      <c r="M898" s="43"/>
      <c r="N898" s="43"/>
      <c r="O898" s="43"/>
      <c r="P898" s="43"/>
      <c r="Q898" s="43"/>
      <c r="R898" s="9"/>
      <c r="S898" s="9"/>
    </row>
    <row r="899" spans="1:19" ht="33.6" x14ac:dyDescent="0.25">
      <c r="A899" s="17" t="s">
        <v>182</v>
      </c>
      <c r="B899" s="17" t="s">
        <v>90</v>
      </c>
      <c r="C899" s="35" t="s">
        <v>91</v>
      </c>
      <c r="D899" s="35" t="s">
        <v>92</v>
      </c>
      <c r="E899" s="25">
        <v>74.099999999999994</v>
      </c>
      <c r="H899" s="43"/>
      <c r="I899" s="43"/>
      <c r="J899" s="43"/>
      <c r="K899" s="43"/>
      <c r="L899" s="43"/>
      <c r="M899" s="43"/>
      <c r="N899" s="43"/>
      <c r="O899" s="43"/>
      <c r="P899" s="43"/>
      <c r="Q899" s="43"/>
      <c r="R899" s="9"/>
      <c r="S899" s="9"/>
    </row>
    <row r="901" spans="1:19" x14ac:dyDescent="0.25">
      <c r="A901" s="33" t="s">
        <v>8</v>
      </c>
      <c r="B901" s="33" t="s">
        <v>9</v>
      </c>
      <c r="C901" s="34" t="s">
        <v>10</v>
      </c>
      <c r="D901" s="34" t="s">
        <v>340</v>
      </c>
      <c r="E901" s="16" t="s">
        <v>65</v>
      </c>
    </row>
    <row r="902" spans="1:19" ht="18" x14ac:dyDescent="0.25">
      <c r="A902" s="15" t="s">
        <v>183</v>
      </c>
      <c r="B902" s="17" t="s">
        <v>103</v>
      </c>
      <c r="C902" s="35" t="s">
        <v>184</v>
      </c>
      <c r="D902" s="53" t="s">
        <v>393</v>
      </c>
      <c r="E902" s="18">
        <f>ROUNDUP(E851+E875+E879+E883+E891,0)</f>
        <v>384</v>
      </c>
    </row>
    <row r="905" spans="1:19" x14ac:dyDescent="0.25">
      <c r="D905" s="13"/>
    </row>
    <row r="906" spans="1:19" x14ac:dyDescent="0.25">
      <c r="D906" s="32"/>
      <c r="E906" s="100"/>
    </row>
  </sheetData>
  <mergeCells count="214">
    <mergeCell ref="E869:Q869"/>
    <mergeCell ref="A873:E873"/>
    <mergeCell ref="A877:E877"/>
    <mergeCell ref="A881:E881"/>
    <mergeCell ref="A889:E889"/>
    <mergeCell ref="A850:E850"/>
    <mergeCell ref="E860:Q860"/>
    <mergeCell ref="E861:Q861"/>
    <mergeCell ref="E865:Q865"/>
    <mergeCell ref="E867:Q867"/>
    <mergeCell ref="E868:Q868"/>
    <mergeCell ref="A817:E817"/>
    <mergeCell ref="A821:E821"/>
    <mergeCell ref="A825:E825"/>
    <mergeCell ref="A833:E833"/>
    <mergeCell ref="A847:XFD847"/>
    <mergeCell ref="A848:Q848"/>
    <mergeCell ref="E804:Q804"/>
    <mergeCell ref="E805:Q805"/>
    <mergeCell ref="E809:Q809"/>
    <mergeCell ref="E811:Q811"/>
    <mergeCell ref="E812:Q812"/>
    <mergeCell ref="E813:Q813"/>
    <mergeCell ref="A765:E765"/>
    <mergeCell ref="A769:E769"/>
    <mergeCell ref="A777:E777"/>
    <mergeCell ref="A791:XFD791"/>
    <mergeCell ref="A792:Q792"/>
    <mergeCell ref="A794:E794"/>
    <mergeCell ref="E749:Q749"/>
    <mergeCell ref="E753:Q753"/>
    <mergeCell ref="E755:Q755"/>
    <mergeCell ref="E756:Q756"/>
    <mergeCell ref="E757:Q757"/>
    <mergeCell ref="A761:E761"/>
    <mergeCell ref="A720:E720"/>
    <mergeCell ref="A734:XFD734"/>
    <mergeCell ref="A735:XFD735"/>
    <mergeCell ref="A736:Q736"/>
    <mergeCell ref="A738:E738"/>
    <mergeCell ref="E748:Q748"/>
    <mergeCell ref="E698:Q698"/>
    <mergeCell ref="E699:Q699"/>
    <mergeCell ref="E700:Q700"/>
    <mergeCell ref="A704:E704"/>
    <mergeCell ref="A708:E708"/>
    <mergeCell ref="A712:E712"/>
    <mergeCell ref="A678:XFD678"/>
    <mergeCell ref="A679:Q679"/>
    <mergeCell ref="A681:E681"/>
    <mergeCell ref="E691:Q691"/>
    <mergeCell ref="E692:Q692"/>
    <mergeCell ref="E696:Q696"/>
    <mergeCell ref="E643:Q643"/>
    <mergeCell ref="E644:Q644"/>
    <mergeCell ref="A648:E648"/>
    <mergeCell ref="A652:E652"/>
    <mergeCell ref="A656:E656"/>
    <mergeCell ref="A664:E664"/>
    <mergeCell ref="A623:Q623"/>
    <mergeCell ref="A625:E625"/>
    <mergeCell ref="E635:Q635"/>
    <mergeCell ref="E636:Q636"/>
    <mergeCell ref="E640:Q640"/>
    <mergeCell ref="E642:Q642"/>
    <mergeCell ref="A591:E591"/>
    <mergeCell ref="A595:E595"/>
    <mergeCell ref="A599:E599"/>
    <mergeCell ref="A607:E607"/>
    <mergeCell ref="A621:XFD621"/>
    <mergeCell ref="A622:XFD622"/>
    <mergeCell ref="E578:Q578"/>
    <mergeCell ref="E579:Q579"/>
    <mergeCell ref="E583:Q583"/>
    <mergeCell ref="E585:Q585"/>
    <mergeCell ref="E586:Q586"/>
    <mergeCell ref="E587:Q587"/>
    <mergeCell ref="A539:E539"/>
    <mergeCell ref="A543:E543"/>
    <mergeCell ref="A551:E551"/>
    <mergeCell ref="A565:XFD565"/>
    <mergeCell ref="A566:Q566"/>
    <mergeCell ref="A568:E568"/>
    <mergeCell ref="E523:Q523"/>
    <mergeCell ref="E527:Q527"/>
    <mergeCell ref="E529:Q529"/>
    <mergeCell ref="E530:Q530"/>
    <mergeCell ref="E531:Q531"/>
    <mergeCell ref="A535:E535"/>
    <mergeCell ref="A494:E494"/>
    <mergeCell ref="A508:XFD508"/>
    <mergeCell ref="A509:XFD509"/>
    <mergeCell ref="A510:Q510"/>
    <mergeCell ref="A512:E512"/>
    <mergeCell ref="E522:Q522"/>
    <mergeCell ref="E472:Q472"/>
    <mergeCell ref="E473:Q473"/>
    <mergeCell ref="E474:Q474"/>
    <mergeCell ref="A478:E478"/>
    <mergeCell ref="A482:E482"/>
    <mergeCell ref="A486:E486"/>
    <mergeCell ref="A452:XFD452"/>
    <mergeCell ref="A453:Q453"/>
    <mergeCell ref="A455:E455"/>
    <mergeCell ref="E465:Q465"/>
    <mergeCell ref="E466:Q466"/>
    <mergeCell ref="E470:Q470"/>
    <mergeCell ref="E417:Q417"/>
    <mergeCell ref="E418:Q418"/>
    <mergeCell ref="A422:E422"/>
    <mergeCell ref="A426:E426"/>
    <mergeCell ref="A430:E430"/>
    <mergeCell ref="A438:E438"/>
    <mergeCell ref="A397:Q397"/>
    <mergeCell ref="A399:E399"/>
    <mergeCell ref="E409:Q409"/>
    <mergeCell ref="E410:Q410"/>
    <mergeCell ref="E414:Q414"/>
    <mergeCell ref="E416:Q416"/>
    <mergeCell ref="E362:Q362"/>
    <mergeCell ref="A366:E366"/>
    <mergeCell ref="A370:E370"/>
    <mergeCell ref="A374:E374"/>
    <mergeCell ref="A382:E382"/>
    <mergeCell ref="A396:XFD396"/>
    <mergeCell ref="A343:E343"/>
    <mergeCell ref="E353:Q353"/>
    <mergeCell ref="E354:Q354"/>
    <mergeCell ref="E358:Q358"/>
    <mergeCell ref="E360:Q360"/>
    <mergeCell ref="E361:Q361"/>
    <mergeCell ref="A310:E310"/>
    <mergeCell ref="A314:E314"/>
    <mergeCell ref="A318:E318"/>
    <mergeCell ref="A326:E326"/>
    <mergeCell ref="A340:XFD340"/>
    <mergeCell ref="A341:Q341"/>
    <mergeCell ref="E297:Q297"/>
    <mergeCell ref="E298:Q298"/>
    <mergeCell ref="E302:Q302"/>
    <mergeCell ref="E304:Q304"/>
    <mergeCell ref="E305:Q305"/>
    <mergeCell ref="E306:Q306"/>
    <mergeCell ref="A258:E258"/>
    <mergeCell ref="A262:E262"/>
    <mergeCell ref="A270:E270"/>
    <mergeCell ref="A284:XFD284"/>
    <mergeCell ref="A285:Q285"/>
    <mergeCell ref="A287:E287"/>
    <mergeCell ref="E242:Q242"/>
    <mergeCell ref="E246:Q246"/>
    <mergeCell ref="E248:Q248"/>
    <mergeCell ref="E249:Q249"/>
    <mergeCell ref="E250:Q250"/>
    <mergeCell ref="A254:E254"/>
    <mergeCell ref="A213:E213"/>
    <mergeCell ref="A227:XFD227"/>
    <mergeCell ref="A228:XFD228"/>
    <mergeCell ref="A229:Q229"/>
    <mergeCell ref="A231:E231"/>
    <mergeCell ref="E241:Q241"/>
    <mergeCell ref="E191:Q191"/>
    <mergeCell ref="E192:Q192"/>
    <mergeCell ref="E193:Q193"/>
    <mergeCell ref="A197:E197"/>
    <mergeCell ref="A201:E201"/>
    <mergeCell ref="A205:E205"/>
    <mergeCell ref="A171:XFD171"/>
    <mergeCell ref="A172:Q172"/>
    <mergeCell ref="A174:E174"/>
    <mergeCell ref="E184:Q184"/>
    <mergeCell ref="E185:Q185"/>
    <mergeCell ref="E189:Q189"/>
    <mergeCell ref="E136:Q136"/>
    <mergeCell ref="E137:Q137"/>
    <mergeCell ref="A141:E141"/>
    <mergeCell ref="A145:E145"/>
    <mergeCell ref="A149:E149"/>
    <mergeCell ref="A157:E157"/>
    <mergeCell ref="A116:Q116"/>
    <mergeCell ref="A118:E118"/>
    <mergeCell ref="E128:Q128"/>
    <mergeCell ref="E129:Q129"/>
    <mergeCell ref="E133:Q133"/>
    <mergeCell ref="E135:Q135"/>
    <mergeCell ref="A84:E84"/>
    <mergeCell ref="A88:E88"/>
    <mergeCell ref="A92:E92"/>
    <mergeCell ref="A100:E100"/>
    <mergeCell ref="A114:XFD114"/>
    <mergeCell ref="A115:XFD115"/>
    <mergeCell ref="E71:Q71"/>
    <mergeCell ref="E72:Q72"/>
    <mergeCell ref="E76:Q76"/>
    <mergeCell ref="E78:Q78"/>
    <mergeCell ref="E79:Q79"/>
    <mergeCell ref="E80:Q80"/>
    <mergeCell ref="A32:E32"/>
    <mergeCell ref="A36:E36"/>
    <mergeCell ref="A44:E44"/>
    <mergeCell ref="A58:XFD58"/>
    <mergeCell ref="A59:Q59"/>
    <mergeCell ref="A61:E61"/>
    <mergeCell ref="E16:Q16"/>
    <mergeCell ref="E20:Q20"/>
    <mergeCell ref="E22:Q22"/>
    <mergeCell ref="E23:Q23"/>
    <mergeCell ref="E24:Q24"/>
    <mergeCell ref="A28:E28"/>
    <mergeCell ref="A1:XFD1"/>
    <mergeCell ref="A2:Q2"/>
    <mergeCell ref="A3:Q3"/>
    <mergeCell ref="A5:E5"/>
    <mergeCell ref="E15:Q15"/>
  </mergeCells>
  <phoneticPr fontId="24" type="noConversion"/>
  <hyperlinks>
    <hyperlink ref="D41" r:id="rId1" xr:uid="{6A831793-2813-4765-9CBA-B3D6997317B7}"/>
    <hyperlink ref="D81" r:id="rId2" xr:uid="{83E46D42-77BD-4989-A5BB-CB7A88CFA7A7}"/>
    <hyperlink ref="D97" r:id="rId3" xr:uid="{DD238056-B5F2-4C29-B61A-0D6E7B3EC660}"/>
    <hyperlink ref="D138" r:id="rId4" xr:uid="{24EE264B-E480-42E1-BA75-CD644EB78611}"/>
    <hyperlink ref="D154" r:id="rId5" xr:uid="{88F743A5-49B3-407A-A8FD-7E9A23AB108D}"/>
    <hyperlink ref="D194" r:id="rId6" xr:uid="{FD075E26-D121-4DDC-BC23-87013AFEF5D6}"/>
    <hyperlink ref="D210" r:id="rId7" xr:uid="{CD7A9411-D6D9-4608-9C72-6A50FBFC4D1D}"/>
    <hyperlink ref="D251" r:id="rId8" xr:uid="{12076926-7BA1-4033-81D8-5D5E9DE8263B}"/>
    <hyperlink ref="D267" r:id="rId9" xr:uid="{A08ACB02-92B9-42A9-946C-2EE16AD8DDAE}"/>
    <hyperlink ref="D307" r:id="rId10" xr:uid="{5ADA82C2-45F0-4CDC-BB75-C79256314F84}"/>
    <hyperlink ref="D323" r:id="rId11" xr:uid="{2CA5D19D-6345-441E-9840-885CB3E947F0}"/>
    <hyperlink ref="D363" r:id="rId12" xr:uid="{8BEAEC2A-3967-44D4-8C8C-0C332B431E1C}"/>
    <hyperlink ref="D379" r:id="rId13" xr:uid="{BF4B5F5E-2FE5-44E2-A465-E888867FF81A}"/>
    <hyperlink ref="D419" r:id="rId14" xr:uid="{8F9403BA-B03A-4F60-BF7A-D32E24D1BA00}"/>
    <hyperlink ref="D435" r:id="rId15" xr:uid="{79852274-46E4-4415-88C2-C79070644B4A}"/>
    <hyperlink ref="D475" r:id="rId16" xr:uid="{D81E506C-50C3-4ADB-98E8-48C22DBED5CB}"/>
    <hyperlink ref="D491" r:id="rId17" xr:uid="{961D79C3-2D40-4901-9664-394086FBE24A}"/>
    <hyperlink ref="D532" r:id="rId18" xr:uid="{4E942214-5E01-43F6-9425-02348CCA0527}"/>
    <hyperlink ref="D548" r:id="rId19" xr:uid="{95FF0EF8-D1FD-4983-A810-AB8AC1F40FD6}"/>
    <hyperlink ref="D588" r:id="rId20" xr:uid="{6D9FC796-6C0B-4326-8420-AA6E695A1B83}"/>
    <hyperlink ref="D604" r:id="rId21" xr:uid="{75034BAE-E8C9-4516-BB42-7CDA925174A8}"/>
    <hyperlink ref="D645" r:id="rId22" xr:uid="{D12E3DD2-3404-48C6-B1CE-588481477046}"/>
    <hyperlink ref="D661" r:id="rId23" xr:uid="{64BBB939-F592-4BA1-A3ED-6A78EC2B2D81}"/>
    <hyperlink ref="D701" r:id="rId24" xr:uid="{89B3E7BF-F1F0-40B9-B942-70F8EDAB76C4}"/>
    <hyperlink ref="D717" r:id="rId25" xr:uid="{D4402472-1D8F-42BA-B03C-03822119714A}"/>
    <hyperlink ref="D758" r:id="rId26" xr:uid="{038FC809-5A20-466D-B6B1-02ACD66A3318}"/>
    <hyperlink ref="D774" r:id="rId27" xr:uid="{152C7CA4-12DE-4F0A-8A90-41570276FB8E}"/>
    <hyperlink ref="D814" r:id="rId28" xr:uid="{2A8ACB83-9B35-41F0-B996-B750174C874C}"/>
    <hyperlink ref="D830" r:id="rId29" xr:uid="{ADF9FB94-C73C-42BA-A291-1DFEC5976FF1}"/>
    <hyperlink ref="D870" r:id="rId30" xr:uid="{BD613F43-E8DC-42A4-823F-6D58EAC9779B}"/>
    <hyperlink ref="D886" r:id="rId31" xr:uid="{A0315AB7-8DE3-4DA1-AE8F-FCB597A5A0A6}"/>
    <hyperlink ref="D52" r:id="rId32" display="https://baike.baidu.com/item/%E6%9F%B4%E6%B2%B9%E5%AF%86%E5%BA%A6/298487" xr:uid="{D75F61DA-1B30-4870-BA1C-A77996732120}"/>
    <hyperlink ref="D108" r:id="rId33" display="https://baike.baidu.com/item/%E6%9F%B4%E6%B2%B9%E5%AF%86%E5%BA%A6/298487" xr:uid="{FB71315A-A4CF-47BF-B71F-A7AAA8C24595}"/>
    <hyperlink ref="D165" r:id="rId34" display="https://baike.baidu.com/item/%E6%9F%B4%E6%B2%B9%E5%AF%86%E5%BA%A6/298487" xr:uid="{56D4F789-F1F6-4001-8A04-0D91FAD9DD9A}"/>
    <hyperlink ref="D221" r:id="rId35" display="https://baike.baidu.com/item/%E6%9F%B4%E6%B2%B9%E5%AF%86%E5%BA%A6/298487" xr:uid="{7E0AC5B0-FD4D-45D7-9C14-0521FC2A853F}"/>
    <hyperlink ref="D278" r:id="rId36" display="https://baike.baidu.com/item/%E6%9F%B4%E6%B2%B9%E5%AF%86%E5%BA%A6/298487" xr:uid="{D51B8574-A574-4349-AF73-AB7C23DC5C08}"/>
    <hyperlink ref="D334" r:id="rId37" display="https://baike.baidu.com/item/%E6%9F%B4%E6%B2%B9%E5%AF%86%E5%BA%A6/298487" xr:uid="{5BB68205-CBF9-4C92-BC71-7284C493BDFD}"/>
    <hyperlink ref="D390" r:id="rId38" display="https://baike.baidu.com/item/%E6%9F%B4%E6%B2%B9%E5%AF%86%E5%BA%A6/298487" xr:uid="{41566DF4-35A9-4291-A377-5F38EE1D00B9}"/>
    <hyperlink ref="D446" r:id="rId39" display="https://baike.baidu.com/item/%E6%9F%B4%E6%B2%B9%E5%AF%86%E5%BA%A6/298487" xr:uid="{536F8D72-F7B9-4D31-BB06-BFC3926B41BF}"/>
    <hyperlink ref="D502" r:id="rId40" display="https://baike.baidu.com/item/%E6%9F%B4%E6%B2%B9%E5%AF%86%E5%BA%A6/298487" xr:uid="{099F97B5-CDEA-4EB7-955A-5F28500921FF}"/>
    <hyperlink ref="D559" r:id="rId41" display="https://baike.baidu.com/item/%E6%9F%B4%E6%B2%B9%E5%AF%86%E5%BA%A6/298487" xr:uid="{441E5A1B-B1D3-400F-8777-9472AE47EDAC}"/>
    <hyperlink ref="D615" r:id="rId42" display="https://baike.baidu.com/item/%E6%9F%B4%E6%B2%B9%E5%AF%86%E5%BA%A6/298487" xr:uid="{14F90D9B-BC52-45F7-BB67-C48E09CF6870}"/>
    <hyperlink ref="D672" r:id="rId43" display="https://baike.baidu.com/item/%E6%9F%B4%E6%B2%B9%E5%AF%86%E5%BA%A6/298487" xr:uid="{966589B9-48FF-4FE9-8CF4-0502AD5D0A67}"/>
    <hyperlink ref="D728" r:id="rId44" display="https://baike.baidu.com/item/%E6%9F%B4%E6%B2%B9%E5%AF%86%E5%BA%A6/298487" xr:uid="{89369D7C-0974-4762-B968-92CD39657956}"/>
    <hyperlink ref="D785" r:id="rId45" display="https://baike.baidu.com/item/%E6%9F%B4%E6%B2%B9%E5%AF%86%E5%BA%A6/298487" xr:uid="{9B42708F-9F66-4198-BD9F-F358DC0F7B9F}"/>
    <hyperlink ref="D841" r:id="rId46" display="https://baike.baidu.com/item/%E6%9F%B4%E6%B2%B9%E5%AF%86%E5%BA%A6/298487" xr:uid="{69C49255-7657-4180-84F5-C76F84F13CDA}"/>
    <hyperlink ref="D897" r:id="rId47" display="https://baike.baidu.com/item/%E6%9F%B4%E6%B2%B9%E5%AF%86%E5%BA%A6/298487" xr:uid="{50FFC6AA-3B25-4D71-81DC-1F897D0705E3}"/>
    <hyperlink ref="D25" r:id="rId48" xr:uid="{DA1E88C7-D0DA-40F6-8209-81E727810438}"/>
  </hyperlinks>
  <pageMargins left="0.7" right="0.7" top="0.75" bottom="0.75" header="0.3" footer="0.3"/>
  <pageSetup paperSize="9" orientation="portrait" horizontalDpi="300" verticalDpi="300" r:id="rId49"/>
  <ignoredErrors>
    <ignoredError sqref="E11 E67 E124:F124 E121 E177 E180 E237 E293:Q293 E346 E349 E461:Q461 E458 E518:Q518 E574:Q574 E687:Q687 E744:Q744 E800:Q800 E856:Q856 E8 E64 E234 E290 E402 E515:Q515 E575 E571 E631:Q631 E628 E684 E741 E797 E853" formula="1"/>
    <ignoredError sqref="E401:F401 E457 F627 F796 F852" evalError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2E6C2-4DBE-4C4E-8A05-21B2B60ECB98}">
  <dimension ref="A1:EC906"/>
  <sheetViews>
    <sheetView zoomScale="90" zoomScaleNormal="90" workbookViewId="0">
      <selection activeCell="F10" sqref="F10"/>
    </sheetView>
  </sheetViews>
  <sheetFormatPr defaultColWidth="11.44140625" defaultRowHeight="15.6" x14ac:dyDescent="0.25"/>
  <cols>
    <col min="1" max="1" width="16.33203125" style="11" customWidth="1"/>
    <col min="2" max="2" width="11.77734375" style="11" customWidth="1"/>
    <col min="3" max="3" width="53.5546875" style="12" customWidth="1"/>
    <col min="4" max="4" width="33.6640625" style="12" customWidth="1"/>
    <col min="5" max="5" width="18" style="13" customWidth="1"/>
    <col min="6" max="7" width="13.77734375" style="13" customWidth="1"/>
    <col min="8" max="8" width="14.33203125" style="13" customWidth="1"/>
    <col min="9" max="9" width="14" style="13" customWidth="1"/>
    <col min="10" max="10" width="13.6640625" style="13" customWidth="1"/>
    <col min="11" max="11" width="15" style="13" customWidth="1"/>
    <col min="12" max="12" width="14.21875" style="13" customWidth="1"/>
    <col min="13" max="13" width="16.44140625" style="13" customWidth="1"/>
    <col min="14" max="14" width="16.21875" style="13" customWidth="1"/>
    <col min="15" max="15" width="15.33203125" style="13" customWidth="1"/>
    <col min="16" max="16" width="14" style="13" customWidth="1"/>
    <col min="17" max="17" width="15.109375" style="13" customWidth="1"/>
    <col min="18" max="18" width="8.77734375" style="14" customWidth="1"/>
    <col min="19" max="19" width="11.44140625" style="14"/>
    <col min="20" max="16384" width="11.44140625" style="9"/>
  </cols>
  <sheetData>
    <row r="1" spans="1:133" s="212" customFormat="1" ht="36.6" customHeight="1" x14ac:dyDescent="0.25">
      <c r="A1" s="211" t="s">
        <v>220</v>
      </c>
    </row>
    <row r="2" spans="1:133" s="107" customFormat="1" ht="39.6" customHeight="1" x14ac:dyDescent="0.25">
      <c r="A2" s="213" t="s">
        <v>236</v>
      </c>
      <c r="B2" s="213"/>
      <c r="C2" s="214"/>
      <c r="D2" s="214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213"/>
      <c r="R2" s="106"/>
      <c r="S2" s="106"/>
      <c r="T2" s="106"/>
      <c r="U2" s="106"/>
      <c r="V2" s="106"/>
      <c r="W2" s="106"/>
      <c r="X2" s="106"/>
      <c r="Y2" s="106"/>
      <c r="Z2" s="106"/>
      <c r="AA2" s="106"/>
      <c r="AB2" s="106"/>
      <c r="AC2" s="106"/>
      <c r="AD2" s="106"/>
      <c r="AE2" s="106"/>
      <c r="AF2" s="106"/>
      <c r="AG2" s="106"/>
      <c r="AH2" s="106"/>
      <c r="AI2" s="106"/>
      <c r="AJ2" s="106"/>
      <c r="AK2" s="106"/>
      <c r="AL2" s="106"/>
      <c r="AM2" s="106"/>
      <c r="AN2" s="106"/>
      <c r="AO2" s="106"/>
      <c r="AP2" s="106"/>
      <c r="AQ2" s="106"/>
      <c r="AR2" s="106"/>
      <c r="AS2" s="106"/>
      <c r="AT2" s="106"/>
      <c r="AU2" s="106"/>
      <c r="AV2" s="106"/>
      <c r="AW2" s="106"/>
      <c r="AX2" s="106"/>
      <c r="AY2" s="106"/>
      <c r="AZ2" s="106"/>
      <c r="BA2" s="106"/>
      <c r="BB2" s="106"/>
      <c r="BC2" s="106"/>
      <c r="BD2" s="106"/>
      <c r="BE2" s="106"/>
      <c r="BF2" s="106"/>
      <c r="BG2" s="106"/>
      <c r="BH2" s="106"/>
      <c r="BI2" s="106"/>
      <c r="BJ2" s="106"/>
      <c r="BK2" s="106"/>
      <c r="BL2" s="106"/>
      <c r="BM2" s="106"/>
      <c r="BN2" s="106"/>
      <c r="BO2" s="106"/>
      <c r="BP2" s="106"/>
      <c r="BQ2" s="106"/>
      <c r="BR2" s="106"/>
      <c r="BS2" s="106"/>
      <c r="BT2" s="106"/>
      <c r="BU2" s="106"/>
      <c r="BV2" s="106"/>
      <c r="BW2" s="106"/>
      <c r="BX2" s="106"/>
      <c r="BY2" s="106"/>
      <c r="BZ2" s="106"/>
      <c r="CA2" s="106"/>
      <c r="CB2" s="106"/>
      <c r="CC2" s="106"/>
      <c r="CD2" s="106"/>
      <c r="CE2" s="106"/>
      <c r="CF2" s="106"/>
      <c r="CG2" s="106"/>
      <c r="CH2" s="106"/>
      <c r="CI2" s="106"/>
      <c r="CJ2" s="106"/>
      <c r="CK2" s="106"/>
      <c r="CL2" s="106"/>
      <c r="CM2" s="106"/>
      <c r="CN2" s="106"/>
      <c r="CO2" s="106"/>
      <c r="CP2" s="106"/>
      <c r="CQ2" s="106"/>
      <c r="CR2" s="106"/>
      <c r="CS2" s="106"/>
      <c r="CT2" s="106"/>
      <c r="CU2" s="106"/>
      <c r="CV2" s="106"/>
      <c r="CW2" s="106"/>
      <c r="CX2" s="106"/>
      <c r="CY2" s="106"/>
      <c r="CZ2" s="106"/>
      <c r="DA2" s="106"/>
      <c r="DB2" s="106"/>
      <c r="DC2" s="106"/>
      <c r="DD2" s="106"/>
      <c r="DE2" s="106"/>
      <c r="DF2" s="106"/>
      <c r="DG2" s="106"/>
      <c r="DH2" s="106"/>
      <c r="DI2" s="106"/>
      <c r="DJ2" s="106"/>
      <c r="DK2" s="106"/>
      <c r="DL2" s="106"/>
      <c r="DM2" s="106"/>
      <c r="DN2" s="106"/>
      <c r="DO2" s="106"/>
      <c r="DP2" s="106"/>
      <c r="DQ2" s="106"/>
      <c r="DR2" s="106"/>
      <c r="DS2" s="106"/>
      <c r="DT2" s="106"/>
      <c r="DU2" s="106"/>
      <c r="DV2" s="106"/>
      <c r="DW2" s="106"/>
      <c r="DX2" s="106"/>
      <c r="DY2" s="106"/>
      <c r="DZ2" s="106"/>
      <c r="EA2" s="106"/>
      <c r="EB2" s="106"/>
      <c r="EC2" s="106"/>
    </row>
    <row r="3" spans="1:133" ht="23.4" customHeight="1" x14ac:dyDescent="0.25">
      <c r="A3" s="201" t="s">
        <v>105</v>
      </c>
      <c r="B3" s="201"/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2"/>
    </row>
    <row r="4" spans="1:133" s="10" customFormat="1" ht="31.2" x14ac:dyDescent="0.25">
      <c r="A4" s="15" t="s">
        <v>8</v>
      </c>
      <c r="B4" s="15" t="s">
        <v>9</v>
      </c>
      <c r="C4" s="15" t="s">
        <v>10</v>
      </c>
      <c r="D4" s="15" t="s">
        <v>340</v>
      </c>
      <c r="E4" s="16" t="s">
        <v>11</v>
      </c>
      <c r="F4" s="16" t="s">
        <v>322</v>
      </c>
      <c r="G4" s="16" t="s">
        <v>323</v>
      </c>
      <c r="H4" s="16" t="s">
        <v>324</v>
      </c>
      <c r="I4" s="16" t="s">
        <v>325</v>
      </c>
      <c r="J4" s="16" t="s">
        <v>326</v>
      </c>
      <c r="K4" s="16" t="s">
        <v>329</v>
      </c>
      <c r="L4" s="16" t="s">
        <v>292</v>
      </c>
      <c r="M4" s="16" t="s">
        <v>292</v>
      </c>
      <c r="N4" s="16" t="s">
        <v>292</v>
      </c>
      <c r="O4" s="16" t="s">
        <v>292</v>
      </c>
      <c r="P4" s="16" t="s">
        <v>292</v>
      </c>
      <c r="Q4" s="16" t="s">
        <v>292</v>
      </c>
      <c r="R4" s="54"/>
      <c r="S4" s="54"/>
    </row>
    <row r="5" spans="1:133" s="10" customFormat="1" x14ac:dyDescent="0.25">
      <c r="A5" s="203" t="s">
        <v>106</v>
      </c>
      <c r="B5" s="203"/>
      <c r="C5" s="203"/>
      <c r="D5" s="203"/>
      <c r="E5" s="204"/>
      <c r="F5" s="16">
        <v>31</v>
      </c>
      <c r="G5" s="16">
        <v>29</v>
      </c>
      <c r="H5" s="16">
        <v>31</v>
      </c>
      <c r="I5" s="16">
        <v>30</v>
      </c>
      <c r="J5" s="16">
        <v>31</v>
      </c>
      <c r="K5" s="16">
        <v>30</v>
      </c>
      <c r="L5" s="16" t="s">
        <v>292</v>
      </c>
      <c r="M5" s="16" t="s">
        <v>292</v>
      </c>
      <c r="N5" s="16" t="s">
        <v>292</v>
      </c>
      <c r="O5" s="16" t="s">
        <v>292</v>
      </c>
      <c r="P5" s="16" t="s">
        <v>292</v>
      </c>
      <c r="Q5" s="16" t="s">
        <v>292</v>
      </c>
      <c r="R5" s="54"/>
      <c r="S5" s="54"/>
    </row>
    <row r="6" spans="1:133" s="10" customFormat="1" ht="31.2" x14ac:dyDescent="0.25">
      <c r="A6" s="15" t="s">
        <v>107</v>
      </c>
      <c r="B6" s="17" t="s">
        <v>103</v>
      </c>
      <c r="C6" s="17" t="s">
        <v>108</v>
      </c>
      <c r="D6" s="17" t="s">
        <v>381</v>
      </c>
      <c r="E6" s="18">
        <f>E7+E17</f>
        <v>0</v>
      </c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54"/>
      <c r="S6" s="54"/>
    </row>
    <row r="7" spans="1:133" ht="46.8" x14ac:dyDescent="0.25">
      <c r="A7" s="17" t="s">
        <v>109</v>
      </c>
      <c r="B7" s="17" t="s">
        <v>103</v>
      </c>
      <c r="C7" s="17" t="s">
        <v>110</v>
      </c>
      <c r="D7" s="17" t="s">
        <v>382</v>
      </c>
      <c r="E7" s="19">
        <f>SUM(F7:K7)</f>
        <v>0</v>
      </c>
      <c r="F7" s="19">
        <f>IF(F8&gt;=0.8,0,$E$15*$E$16*0.4*(F9-F12)*F5)</f>
        <v>0</v>
      </c>
      <c r="G7" s="19">
        <f t="shared" ref="G7:K7" si="0">IF(G8&gt;=0.8,0,$E$15*$E$16*0.4*(G9-G12)*G5)</f>
        <v>0</v>
      </c>
      <c r="H7" s="19">
        <f t="shared" si="0"/>
        <v>0</v>
      </c>
      <c r="I7" s="19">
        <f t="shared" si="0"/>
        <v>0</v>
      </c>
      <c r="J7" s="19">
        <f t="shared" si="0"/>
        <v>0</v>
      </c>
      <c r="K7" s="19">
        <f t="shared" si="0"/>
        <v>0</v>
      </c>
      <c r="L7" s="19" t="s">
        <v>297</v>
      </c>
      <c r="M7" s="19" t="s">
        <v>297</v>
      </c>
      <c r="N7" s="19" t="s">
        <v>297</v>
      </c>
      <c r="O7" s="19" t="s">
        <v>297</v>
      </c>
      <c r="P7" s="19" t="s">
        <v>297</v>
      </c>
      <c r="Q7" s="19" t="s">
        <v>297</v>
      </c>
    </row>
    <row r="8" spans="1:133" ht="62.4" x14ac:dyDescent="0.25">
      <c r="A8" s="17" t="s">
        <v>111</v>
      </c>
      <c r="B8" s="17" t="s">
        <v>37</v>
      </c>
      <c r="C8" s="17" t="s">
        <v>112</v>
      </c>
      <c r="D8" s="17" t="s">
        <v>383</v>
      </c>
      <c r="E8" s="20">
        <f>AVERAGE(F8:K8)</f>
        <v>0.95429256008610863</v>
      </c>
      <c r="F8" s="20">
        <f>(F9-F12)/F9</f>
        <v>0.95527329093302005</v>
      </c>
      <c r="G8" s="20">
        <f t="shared" ref="G8:K8" si="1">(G9-G12)/G9</f>
        <v>0.95376626642392459</v>
      </c>
      <c r="H8" s="20">
        <f t="shared" si="1"/>
        <v>0.95467236257429899</v>
      </c>
      <c r="I8" s="20">
        <f t="shared" si="1"/>
        <v>0.95480279922058042</v>
      </c>
      <c r="J8" s="20">
        <f t="shared" si="1"/>
        <v>0.95460371410123068</v>
      </c>
      <c r="K8" s="20">
        <f t="shared" si="1"/>
        <v>0.95263692726359683</v>
      </c>
      <c r="L8" s="20" t="s">
        <v>297</v>
      </c>
      <c r="M8" s="20" t="s">
        <v>297</v>
      </c>
      <c r="N8" s="20" t="s">
        <v>297</v>
      </c>
      <c r="O8" s="20" t="s">
        <v>297</v>
      </c>
      <c r="P8" s="20" t="s">
        <v>297</v>
      </c>
      <c r="Q8" s="20" t="s">
        <v>297</v>
      </c>
    </row>
    <row r="9" spans="1:133" ht="46.8" x14ac:dyDescent="0.25">
      <c r="A9" s="17" t="s">
        <v>240</v>
      </c>
      <c r="B9" s="17" t="s">
        <v>24</v>
      </c>
      <c r="C9" s="17" t="s">
        <v>114</v>
      </c>
      <c r="D9" s="17" t="s">
        <v>384</v>
      </c>
      <c r="E9" s="121">
        <f>SUM(F9:K9)</f>
        <v>10.239403852212778</v>
      </c>
      <c r="F9" s="121">
        <f>F10*F11</f>
        <v>1.6510961385884151</v>
      </c>
      <c r="G9" s="121">
        <f t="shared" ref="G9:K9" si="2">G10*G11</f>
        <v>1.6511954781246176</v>
      </c>
      <c r="H9" s="121">
        <f t="shared" si="2"/>
        <v>1.6528527860092959</v>
      </c>
      <c r="I9" s="121">
        <f t="shared" si="2"/>
        <v>1.6513091672862221</v>
      </c>
      <c r="J9" s="121">
        <f t="shared" si="2"/>
        <v>1.8566519097365595</v>
      </c>
      <c r="K9" s="121">
        <f t="shared" si="2"/>
        <v>1.7762983724676678</v>
      </c>
      <c r="L9" s="20" t="s">
        <v>297</v>
      </c>
      <c r="M9" s="20" t="s">
        <v>297</v>
      </c>
      <c r="N9" s="20" t="s">
        <v>297</v>
      </c>
      <c r="O9" s="20" t="s">
        <v>297</v>
      </c>
      <c r="P9" s="20" t="s">
        <v>297</v>
      </c>
      <c r="Q9" s="20" t="s">
        <v>297</v>
      </c>
    </row>
    <row r="10" spans="1:133" ht="64.8" customHeight="1" x14ac:dyDescent="0.25">
      <c r="A10" s="17" t="s">
        <v>115</v>
      </c>
      <c r="B10" s="17" t="s">
        <v>116</v>
      </c>
      <c r="C10" s="17" t="s">
        <v>239</v>
      </c>
      <c r="D10" s="17" t="s">
        <v>336</v>
      </c>
      <c r="E10" s="129">
        <f>SUM(F10:K10)</f>
        <v>24232.220996466978</v>
      </c>
      <c r="F10" s="129">
        <f>'Baseline Emissions 2022'!F10</f>
        <v>3877.8043870967745</v>
      </c>
      <c r="G10" s="129">
        <f>'Baseline Emissions 2022'!G10</f>
        <v>3878.9887857142858</v>
      </c>
      <c r="H10" s="129">
        <f>'Baseline Emissions 2022'!H10</f>
        <v>3878.8004193548386</v>
      </c>
      <c r="I10" s="129">
        <f>'Baseline Emissions 2022'!I10</f>
        <v>3878.6191333333336</v>
      </c>
      <c r="J10" s="129">
        <f>'Baseline Emissions 2022'!J10</f>
        <v>4358.678870967743</v>
      </c>
      <c r="K10" s="129">
        <f>'Baseline Emissions 2022'!K10</f>
        <v>4359.3294000000014</v>
      </c>
      <c r="L10" s="21" t="s">
        <v>297</v>
      </c>
      <c r="M10" s="21" t="s">
        <v>297</v>
      </c>
      <c r="N10" s="21" t="s">
        <v>297</v>
      </c>
      <c r="O10" s="21" t="s">
        <v>297</v>
      </c>
      <c r="P10" s="21" t="s">
        <v>297</v>
      </c>
      <c r="Q10" s="21" t="s">
        <v>297</v>
      </c>
    </row>
    <row r="11" spans="1:133" ht="46.8" x14ac:dyDescent="0.25">
      <c r="A11" s="17" t="s">
        <v>118</v>
      </c>
      <c r="B11" s="17" t="s">
        <v>119</v>
      </c>
      <c r="C11" s="17" t="s">
        <v>120</v>
      </c>
      <c r="D11" s="35" t="s">
        <v>338</v>
      </c>
      <c r="E11" s="120">
        <f>AVERAGE(F11:K11)</f>
        <v>4.2279443143027821E-4</v>
      </c>
      <c r="F11" s="130">
        <f>'Baseline Emissions 2022'!F14</f>
        <v>4.2578118279569896E-4</v>
      </c>
      <c r="G11" s="130">
        <f>'Baseline Emissions 2022'!G14</f>
        <v>4.2567678571428578E-4</v>
      </c>
      <c r="H11" s="130">
        <f>'Baseline Emissions 2022'!H14</f>
        <v>4.2612473118279574E-4</v>
      </c>
      <c r="I11" s="130">
        <f>'Baseline Emissions 2022'!I14</f>
        <v>4.257466666666666E-4</v>
      </c>
      <c r="J11" s="130">
        <f>'Baseline Emissions 2022'!J14</f>
        <v>4.2596666666666665E-4</v>
      </c>
      <c r="K11" s="130">
        <f>'Baseline Emissions 2022'!K14</f>
        <v>4.0747055555555566E-4</v>
      </c>
      <c r="L11" s="23" t="s">
        <v>297</v>
      </c>
      <c r="M11" s="23" t="s">
        <v>297</v>
      </c>
      <c r="N11" s="23" t="s">
        <v>297</v>
      </c>
      <c r="O11" s="23" t="s">
        <v>297</v>
      </c>
      <c r="P11" s="23" t="s">
        <v>297</v>
      </c>
      <c r="Q11" s="23" t="s">
        <v>297</v>
      </c>
    </row>
    <row r="12" spans="1:133" ht="46.8" x14ac:dyDescent="0.25">
      <c r="A12" s="17" t="s">
        <v>121</v>
      </c>
      <c r="B12" s="17" t="s">
        <v>24</v>
      </c>
      <c r="C12" s="17" t="s">
        <v>122</v>
      </c>
      <c r="D12" s="17" t="s">
        <v>384</v>
      </c>
      <c r="E12" s="20">
        <f>SUM(F12:K12)</f>
        <v>0.46815954216055056</v>
      </c>
      <c r="F12" s="20">
        <f>SUM(F13*F14)</f>
        <v>7.3848096632258053E-2</v>
      </c>
      <c r="G12" s="20">
        <f t="shared" ref="G12:K12" si="3">SUM(G13*G14)</f>
        <v>7.6340931817633934E-2</v>
      </c>
      <c r="H12" s="20">
        <f t="shared" si="3"/>
        <v>7.4919911802289268E-2</v>
      </c>
      <c r="I12" s="20">
        <f t="shared" si="3"/>
        <v>7.4634551982731501E-2</v>
      </c>
      <c r="J12" s="20">
        <f t="shared" si="3"/>
        <v>8.4285100908896987E-2</v>
      </c>
      <c r="K12" s="20">
        <f t="shared" si="3"/>
        <v>8.4130949016740772E-2</v>
      </c>
      <c r="L12" s="20" t="s">
        <v>297</v>
      </c>
      <c r="M12" s="20" t="s">
        <v>297</v>
      </c>
      <c r="N12" s="20" t="s">
        <v>297</v>
      </c>
      <c r="O12" s="20" t="s">
        <v>297</v>
      </c>
      <c r="P12" s="20" t="s">
        <v>297</v>
      </c>
      <c r="Q12" s="20" t="s">
        <v>297</v>
      </c>
    </row>
    <row r="13" spans="1:133" ht="62.4" x14ac:dyDescent="0.25">
      <c r="A13" s="17" t="s">
        <v>241</v>
      </c>
      <c r="B13" s="17" t="s">
        <v>116</v>
      </c>
      <c r="C13" s="17" t="s">
        <v>276</v>
      </c>
      <c r="D13" s="17" t="s">
        <v>337</v>
      </c>
      <c r="E13" s="129">
        <f>SUM(F13:K13)</f>
        <v>23554.80607903226</v>
      </c>
      <c r="F13" s="129">
        <v>3767.7600322580643</v>
      </c>
      <c r="G13" s="129">
        <v>3766.9882499999999</v>
      </c>
      <c r="H13" s="129">
        <v>3766.0406451612898</v>
      </c>
      <c r="I13" s="129">
        <v>3768.1002333333336</v>
      </c>
      <c r="J13" s="129">
        <v>4242.6534516129032</v>
      </c>
      <c r="K13" s="129">
        <v>4243.2634666666681</v>
      </c>
      <c r="L13" s="21" t="s">
        <v>297</v>
      </c>
      <c r="M13" s="21" t="s">
        <v>297</v>
      </c>
      <c r="N13" s="21" t="s">
        <v>297</v>
      </c>
      <c r="O13" s="21" t="s">
        <v>297</v>
      </c>
      <c r="P13" s="21" t="s">
        <v>297</v>
      </c>
      <c r="Q13" s="21" t="s">
        <v>297</v>
      </c>
    </row>
    <row r="14" spans="1:133" ht="46.8" x14ac:dyDescent="0.25">
      <c r="A14" s="17" t="s">
        <v>125</v>
      </c>
      <c r="B14" s="17" t="s">
        <v>119</v>
      </c>
      <c r="C14" s="17" t="s">
        <v>126</v>
      </c>
      <c r="D14" s="35" t="s">
        <v>339</v>
      </c>
      <c r="E14" s="131">
        <f>AVERAGE(F14:K14)</f>
        <v>1.987655668629459E-5</v>
      </c>
      <c r="F14" s="131">
        <f>'Baseline Emissions 2022'!F15</f>
        <v>1.9599999999999999E-5</v>
      </c>
      <c r="G14" s="131">
        <f>'Baseline Emissions 2022'!G15</f>
        <v>2.0265773809523812E-5</v>
      </c>
      <c r="H14" s="131">
        <f>'Baseline Emissions 2022'!H15</f>
        <v>1.9893548387096774E-5</v>
      </c>
      <c r="I14" s="131">
        <f>'Baseline Emissions 2022'!I15</f>
        <v>1.9806944444444447E-5</v>
      </c>
      <c r="J14" s="131">
        <f>'Baseline Emissions 2022'!J15</f>
        <v>1.9866129032258066E-5</v>
      </c>
      <c r="K14" s="131">
        <f>'Baseline Emissions 2022'!K15</f>
        <v>1.9826944444444444E-5</v>
      </c>
      <c r="L14" s="24" t="s">
        <v>297</v>
      </c>
      <c r="M14" s="24" t="s">
        <v>297</v>
      </c>
      <c r="N14" s="24" t="s">
        <v>297</v>
      </c>
      <c r="O14" s="24" t="s">
        <v>297</v>
      </c>
      <c r="P14" s="24" t="s">
        <v>297</v>
      </c>
      <c r="Q14" s="24" t="s">
        <v>297</v>
      </c>
    </row>
    <row r="15" spans="1:133" ht="31.2" x14ac:dyDescent="0.25">
      <c r="A15" s="17" t="s">
        <v>127</v>
      </c>
      <c r="B15" s="17" t="s">
        <v>128</v>
      </c>
      <c r="C15" s="17" t="s">
        <v>17</v>
      </c>
      <c r="D15" s="17" t="s">
        <v>129</v>
      </c>
      <c r="E15" s="176">
        <v>28</v>
      </c>
      <c r="F15" s="176"/>
      <c r="G15" s="176"/>
      <c r="H15" s="176"/>
      <c r="I15" s="176"/>
      <c r="J15" s="176"/>
      <c r="K15" s="176"/>
      <c r="L15" s="176"/>
      <c r="M15" s="176"/>
      <c r="N15" s="176"/>
      <c r="O15" s="176"/>
      <c r="P15" s="176"/>
      <c r="Q15" s="176"/>
    </row>
    <row r="16" spans="1:133" ht="64.8" x14ac:dyDescent="0.25">
      <c r="A16" s="17" t="s">
        <v>130</v>
      </c>
      <c r="B16" s="17" t="s">
        <v>19</v>
      </c>
      <c r="C16" s="17" t="s">
        <v>131</v>
      </c>
      <c r="D16" s="17" t="s">
        <v>394</v>
      </c>
      <c r="E16" s="176">
        <v>0.21</v>
      </c>
      <c r="F16" s="176"/>
      <c r="G16" s="176"/>
      <c r="H16" s="176"/>
      <c r="I16" s="176"/>
      <c r="J16" s="176"/>
      <c r="K16" s="176"/>
      <c r="L16" s="176"/>
      <c r="M16" s="176"/>
      <c r="N16" s="176"/>
      <c r="O16" s="176"/>
      <c r="P16" s="176"/>
      <c r="Q16" s="176"/>
    </row>
    <row r="17" spans="1:17" ht="46.8" x14ac:dyDescent="0.25">
      <c r="A17" s="17" t="s">
        <v>132</v>
      </c>
      <c r="B17" s="17" t="s">
        <v>103</v>
      </c>
      <c r="C17" s="17" t="s">
        <v>133</v>
      </c>
      <c r="D17" s="17" t="s">
        <v>385</v>
      </c>
      <c r="E17" s="19">
        <f>SUM(F17:K17)</f>
        <v>0</v>
      </c>
      <c r="F17" s="19">
        <f>$E$15*$E$16*F18*F12*F5</f>
        <v>0</v>
      </c>
      <c r="G17" s="19">
        <f t="shared" ref="G17:K17" si="4">$E$15*$E$16*G18*G12*G5</f>
        <v>0</v>
      </c>
      <c r="H17" s="19">
        <f t="shared" si="4"/>
        <v>0</v>
      </c>
      <c r="I17" s="19">
        <f t="shared" si="4"/>
        <v>0</v>
      </c>
      <c r="J17" s="19">
        <f t="shared" si="4"/>
        <v>0</v>
      </c>
      <c r="K17" s="19">
        <f t="shared" si="4"/>
        <v>0</v>
      </c>
      <c r="L17" s="19" t="s">
        <v>297</v>
      </c>
      <c r="M17" s="19" t="s">
        <v>297</v>
      </c>
      <c r="N17" s="19" t="s">
        <v>297</v>
      </c>
      <c r="O17" s="19" t="s">
        <v>297</v>
      </c>
      <c r="P17" s="19" t="s">
        <v>297</v>
      </c>
      <c r="Q17" s="19" t="s">
        <v>297</v>
      </c>
    </row>
    <row r="18" spans="1:17" ht="18" x14ac:dyDescent="0.25">
      <c r="A18" s="17" t="s">
        <v>134</v>
      </c>
      <c r="B18" s="17" t="s">
        <v>37</v>
      </c>
      <c r="C18" s="17" t="s">
        <v>135</v>
      </c>
      <c r="D18" s="17" t="s">
        <v>386</v>
      </c>
      <c r="E18" s="26">
        <f>AVERAGE(F18:K18)</f>
        <v>0</v>
      </c>
      <c r="F18" s="26">
        <f t="shared" ref="F18:K18" si="5">F19*$E$20*0.89</f>
        <v>0</v>
      </c>
      <c r="G18" s="26">
        <f t="shared" si="5"/>
        <v>0</v>
      </c>
      <c r="H18" s="26">
        <f t="shared" si="5"/>
        <v>0</v>
      </c>
      <c r="I18" s="26">
        <f t="shared" si="5"/>
        <v>0</v>
      </c>
      <c r="J18" s="26">
        <f t="shared" si="5"/>
        <v>0</v>
      </c>
      <c r="K18" s="26">
        <f t="shared" si="5"/>
        <v>0</v>
      </c>
      <c r="L18" s="26" t="s">
        <v>297</v>
      </c>
      <c r="M18" s="26" t="s">
        <v>297</v>
      </c>
      <c r="N18" s="26" t="s">
        <v>297</v>
      </c>
      <c r="O18" s="26" t="s">
        <v>297</v>
      </c>
      <c r="P18" s="26" t="s">
        <v>297</v>
      </c>
      <c r="Q18" s="26" t="s">
        <v>297</v>
      </c>
    </row>
    <row r="19" spans="1:17" ht="31.2" x14ac:dyDescent="0.25">
      <c r="A19" s="17" t="s">
        <v>136</v>
      </c>
      <c r="B19" s="17" t="s">
        <v>37</v>
      </c>
      <c r="C19" s="17" t="s">
        <v>46</v>
      </c>
      <c r="D19" s="17" t="s">
        <v>387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 t="s">
        <v>297</v>
      </c>
      <c r="M19" s="25" t="s">
        <v>297</v>
      </c>
      <c r="N19" s="25" t="s">
        <v>297</v>
      </c>
      <c r="O19" s="25" t="s">
        <v>297</v>
      </c>
      <c r="P19" s="25" t="s">
        <v>297</v>
      </c>
      <c r="Q19" s="25" t="s">
        <v>297</v>
      </c>
    </row>
    <row r="20" spans="1:17" ht="31.2" x14ac:dyDescent="0.25">
      <c r="A20" s="17" t="s">
        <v>137</v>
      </c>
      <c r="B20" s="17" t="s">
        <v>201</v>
      </c>
      <c r="C20" s="17" t="s">
        <v>138</v>
      </c>
      <c r="D20" s="17" t="s">
        <v>388</v>
      </c>
      <c r="E20" s="196">
        <f>(F21*F26+G21*G26+H21*H26+I21*I26+J21*J26+K21*K26)/(F13*F14*F5+G14*G13*G5+H13*H14*H5+I14*I13*I5+J14*J13*J5+K14*K13*K5)</f>
        <v>0.55752285808228341</v>
      </c>
      <c r="F20" s="196"/>
      <c r="G20" s="196"/>
      <c r="H20" s="196"/>
      <c r="I20" s="196"/>
      <c r="J20" s="196"/>
      <c r="K20" s="196"/>
      <c r="L20" s="196"/>
      <c r="M20" s="196"/>
      <c r="N20" s="196"/>
      <c r="O20" s="196"/>
      <c r="P20" s="196"/>
      <c r="Q20" s="196"/>
    </row>
    <row r="21" spans="1:17" ht="31.2" x14ac:dyDescent="0.25">
      <c r="A21" s="17" t="s">
        <v>139</v>
      </c>
      <c r="B21" s="17" t="s">
        <v>37</v>
      </c>
      <c r="C21" s="17" t="s">
        <v>140</v>
      </c>
      <c r="D21" s="17" t="s">
        <v>375</v>
      </c>
      <c r="E21" s="27">
        <f>AVERAGE(F21:K21)</f>
        <v>0.54689538420497319</v>
      </c>
      <c r="F21" s="27">
        <f>IF(F25&lt;283,0,IF(F25&gt;303,1,EXP(($E$22*(F25-$E$23))/($E$24*$E$23*F25))))</f>
        <v>0.35374940126825682</v>
      </c>
      <c r="G21" s="27">
        <f t="shared" ref="G21:K21" si="6">IF(G25&lt;283,0,IF(G25&gt;303,1,EXP(($E$22*(G25-$E$23))/($E$24*$E$23*G25))))</f>
        <v>0.26921004737855481</v>
      </c>
      <c r="H21" s="27">
        <f t="shared" si="6"/>
        <v>0.50475941545474445</v>
      </c>
      <c r="I21" s="27">
        <f t="shared" si="6"/>
        <v>0.55084569341606926</v>
      </c>
      <c r="J21" s="27">
        <f t="shared" si="6"/>
        <v>0.6835684899717327</v>
      </c>
      <c r="K21" s="27">
        <f t="shared" si="6"/>
        <v>0.91923925774048054</v>
      </c>
      <c r="L21" s="27" t="s">
        <v>297</v>
      </c>
      <c r="M21" s="27" t="s">
        <v>297</v>
      </c>
      <c r="N21" s="27" t="s">
        <v>297</v>
      </c>
      <c r="O21" s="27" t="s">
        <v>297</v>
      </c>
      <c r="P21" s="27" t="s">
        <v>297</v>
      </c>
      <c r="Q21" s="27" t="s">
        <v>297</v>
      </c>
    </row>
    <row r="22" spans="1:17" x14ac:dyDescent="0.25">
      <c r="A22" s="17" t="s">
        <v>51</v>
      </c>
      <c r="B22" s="17" t="s">
        <v>52</v>
      </c>
      <c r="C22" s="17" t="s">
        <v>53</v>
      </c>
      <c r="D22" s="17" t="s">
        <v>389</v>
      </c>
      <c r="E22" s="176">
        <v>15175</v>
      </c>
      <c r="F22" s="176"/>
      <c r="G22" s="176"/>
      <c r="H22" s="176"/>
      <c r="I22" s="176"/>
      <c r="J22" s="176"/>
      <c r="K22" s="176"/>
      <c r="L22" s="176"/>
      <c r="M22" s="176"/>
      <c r="N22" s="176"/>
      <c r="O22" s="176"/>
      <c r="P22" s="176"/>
      <c r="Q22" s="176"/>
    </row>
    <row r="23" spans="1:17" ht="18" x14ac:dyDescent="0.25">
      <c r="A23" s="17" t="s">
        <v>141</v>
      </c>
      <c r="B23" s="17" t="s">
        <v>55</v>
      </c>
      <c r="C23" s="17" t="s">
        <v>56</v>
      </c>
      <c r="D23" s="17" t="s">
        <v>389</v>
      </c>
      <c r="E23" s="176">
        <v>303.16000000000003</v>
      </c>
      <c r="F23" s="176"/>
      <c r="G23" s="176"/>
      <c r="H23" s="176"/>
      <c r="I23" s="176"/>
      <c r="J23" s="176"/>
      <c r="K23" s="176"/>
      <c r="L23" s="176"/>
      <c r="M23" s="176"/>
      <c r="N23" s="176"/>
      <c r="O23" s="176"/>
      <c r="P23" s="176"/>
      <c r="Q23" s="176"/>
    </row>
    <row r="24" spans="1:17" x14ac:dyDescent="0.25">
      <c r="A24" s="17" t="s">
        <v>57</v>
      </c>
      <c r="B24" s="17" t="s">
        <v>58</v>
      </c>
      <c r="C24" s="17" t="s">
        <v>59</v>
      </c>
      <c r="D24" s="17" t="s">
        <v>389</v>
      </c>
      <c r="E24" s="176">
        <v>1.9870000000000001</v>
      </c>
      <c r="F24" s="176"/>
      <c r="G24" s="176"/>
      <c r="H24" s="176"/>
      <c r="I24" s="176"/>
      <c r="J24" s="176"/>
      <c r="K24" s="176"/>
      <c r="L24" s="176"/>
      <c r="M24" s="176"/>
      <c r="N24" s="176"/>
      <c r="O24" s="176"/>
      <c r="P24" s="176"/>
      <c r="Q24" s="176"/>
    </row>
    <row r="25" spans="1:17" ht="18" x14ac:dyDescent="0.25">
      <c r="A25" s="17" t="s">
        <v>142</v>
      </c>
      <c r="B25" s="17" t="s">
        <v>55</v>
      </c>
      <c r="C25" s="17" t="s">
        <v>143</v>
      </c>
      <c r="D25" s="144" t="s">
        <v>363</v>
      </c>
      <c r="E25" s="28">
        <f>AVERAGE(F25:K25)</f>
        <v>295.23333333333335</v>
      </c>
      <c r="F25" s="25">
        <v>291.14999999999998</v>
      </c>
      <c r="G25" s="25">
        <v>288.14999999999998</v>
      </c>
      <c r="H25" s="25">
        <v>295.14999999999998</v>
      </c>
      <c r="I25" s="25">
        <v>296.14999999999998</v>
      </c>
      <c r="J25" s="25">
        <v>298.64999999999998</v>
      </c>
      <c r="K25" s="25">
        <v>302.14999999999998</v>
      </c>
      <c r="L25" s="25" t="s">
        <v>297</v>
      </c>
      <c r="M25" s="25" t="s">
        <v>297</v>
      </c>
      <c r="N25" s="25" t="s">
        <v>297</v>
      </c>
      <c r="O25" s="25" t="s">
        <v>297</v>
      </c>
      <c r="P25" s="25" t="s">
        <v>297</v>
      </c>
      <c r="Q25" s="25" t="s">
        <v>297</v>
      </c>
    </row>
    <row r="26" spans="1:17" ht="46.8" x14ac:dyDescent="0.25">
      <c r="A26" s="17" t="s">
        <v>144</v>
      </c>
      <c r="B26" s="17" t="s">
        <v>24</v>
      </c>
      <c r="C26" s="17" t="s">
        <v>145</v>
      </c>
      <c r="D26" s="17" t="s">
        <v>390</v>
      </c>
      <c r="E26" s="29">
        <f>SUM(F26:K26)</f>
        <v>14.201498442342325</v>
      </c>
      <c r="F26" s="29">
        <f>F13*F14*'Project Emissions 2022'!F5+(1-F21)*0</f>
        <v>2.2892909955999996</v>
      </c>
      <c r="G26" s="29">
        <f>G13*G14*'Project Emissions 2022'!G5+(1-G21)*0</f>
        <v>2.213887022711384</v>
      </c>
      <c r="H26" s="29">
        <f>H13*H14*'Project Emissions 2022'!H5+(1-H21)*0</f>
        <v>2.3225172658709674</v>
      </c>
      <c r="I26" s="29">
        <f>I13*I14*'Project Emissions 2022'!I5+(1-I21)*0</f>
        <v>2.2390365594819448</v>
      </c>
      <c r="J26" s="29">
        <f>J13*J14*'Project Emissions 2022'!J5+(1-J21)*0</f>
        <v>2.6128381281758064</v>
      </c>
      <c r="K26" s="29">
        <f>K13*K14*'Project Emissions 2022'!K5+(1-K21)*0</f>
        <v>2.5239284705022231</v>
      </c>
      <c r="L26" s="29" t="s">
        <v>297</v>
      </c>
      <c r="M26" s="29" t="s">
        <v>297</v>
      </c>
      <c r="N26" s="29" t="s">
        <v>297</v>
      </c>
      <c r="O26" s="29" t="s">
        <v>297</v>
      </c>
      <c r="P26" s="29" t="s">
        <v>297</v>
      </c>
      <c r="Q26" s="29" t="s">
        <v>297</v>
      </c>
    </row>
    <row r="27" spans="1:17" x14ac:dyDescent="0.3">
      <c r="A27" s="30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</row>
    <row r="28" spans="1:17" x14ac:dyDescent="0.25">
      <c r="A28" s="174" t="s">
        <v>146</v>
      </c>
      <c r="B28" s="174"/>
      <c r="C28" s="175"/>
      <c r="D28" s="175"/>
      <c r="E28" s="195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</row>
    <row r="29" spans="1:17" x14ac:dyDescent="0.25">
      <c r="A29" s="33" t="s">
        <v>8</v>
      </c>
      <c r="B29" s="33" t="s">
        <v>9</v>
      </c>
      <c r="C29" s="34" t="s">
        <v>10</v>
      </c>
      <c r="D29" s="34" t="s">
        <v>340</v>
      </c>
      <c r="E29" s="16" t="s">
        <v>65</v>
      </c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</row>
    <row r="30" spans="1:17" ht="46.8" x14ac:dyDescent="0.25">
      <c r="A30" s="15" t="s">
        <v>147</v>
      </c>
      <c r="B30" s="17" t="s">
        <v>95</v>
      </c>
      <c r="C30" s="35" t="s">
        <v>148</v>
      </c>
      <c r="D30" s="35" t="s">
        <v>68</v>
      </c>
      <c r="E30" s="16">
        <v>0</v>
      </c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</row>
    <row r="31" spans="1:17" x14ac:dyDescent="0.25">
      <c r="A31" s="36"/>
      <c r="B31" s="36"/>
      <c r="C31" s="37"/>
      <c r="D31" s="37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</row>
    <row r="32" spans="1:17" x14ac:dyDescent="0.25">
      <c r="A32" s="174" t="s">
        <v>149</v>
      </c>
      <c r="B32" s="174"/>
      <c r="C32" s="175"/>
      <c r="D32" s="175"/>
      <c r="E32" s="195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</row>
    <row r="33" spans="1:19" x14ac:dyDescent="0.25">
      <c r="A33" s="33" t="s">
        <v>8</v>
      </c>
      <c r="B33" s="33" t="s">
        <v>9</v>
      </c>
      <c r="C33" s="34" t="s">
        <v>10</v>
      </c>
      <c r="D33" s="34" t="s">
        <v>340</v>
      </c>
      <c r="E33" s="16" t="s">
        <v>65</v>
      </c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</row>
    <row r="34" spans="1:19" ht="46.8" x14ac:dyDescent="0.25">
      <c r="A34" s="15" t="s">
        <v>150</v>
      </c>
      <c r="B34" s="17" t="s">
        <v>95</v>
      </c>
      <c r="C34" s="35" t="s">
        <v>151</v>
      </c>
      <c r="D34" s="35" t="s">
        <v>68</v>
      </c>
      <c r="E34" s="16">
        <v>0</v>
      </c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</row>
    <row r="35" spans="1:19" x14ac:dyDescent="0.25"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</row>
    <row r="36" spans="1:19" x14ac:dyDescent="0.25">
      <c r="A36" s="174" t="s">
        <v>152</v>
      </c>
      <c r="B36" s="174"/>
      <c r="C36" s="175"/>
      <c r="D36" s="175"/>
      <c r="E36" s="195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</row>
    <row r="37" spans="1:19" s="10" customFormat="1" x14ac:dyDescent="0.25">
      <c r="A37" s="15" t="s">
        <v>8</v>
      </c>
      <c r="B37" s="15" t="s">
        <v>9</v>
      </c>
      <c r="C37" s="38" t="s">
        <v>10</v>
      </c>
      <c r="D37" s="38" t="s">
        <v>340</v>
      </c>
      <c r="E37" s="16" t="s">
        <v>65</v>
      </c>
      <c r="F37" s="32"/>
      <c r="G37" s="32"/>
      <c r="H37" s="39"/>
      <c r="I37" s="39"/>
      <c r="J37" s="39"/>
      <c r="K37" s="39"/>
      <c r="L37" s="39"/>
      <c r="M37" s="39"/>
      <c r="N37" s="39"/>
      <c r="O37" s="39"/>
      <c r="P37" s="39"/>
      <c r="Q37" s="39"/>
    </row>
    <row r="38" spans="1:19" s="10" customFormat="1" ht="18" x14ac:dyDescent="0.4">
      <c r="A38" s="40" t="s">
        <v>153</v>
      </c>
      <c r="B38" s="17" t="s">
        <v>103</v>
      </c>
      <c r="C38" s="35" t="s">
        <v>154</v>
      </c>
      <c r="D38" s="35" t="s">
        <v>155</v>
      </c>
      <c r="E38" s="41">
        <f>E39*E41*(1+E40)</f>
        <v>190.56426190259995</v>
      </c>
      <c r="F38" s="32"/>
      <c r="G38" s="32"/>
      <c r="H38" s="39"/>
      <c r="I38" s="39"/>
      <c r="J38" s="39"/>
      <c r="K38" s="39"/>
      <c r="L38" s="39"/>
      <c r="M38" s="39"/>
      <c r="N38" s="39"/>
      <c r="O38" s="39"/>
      <c r="P38" s="39"/>
      <c r="Q38" s="39"/>
    </row>
    <row r="39" spans="1:19" ht="31.2" x14ac:dyDescent="0.25">
      <c r="A39" s="17" t="s">
        <v>290</v>
      </c>
      <c r="B39" s="17" t="s">
        <v>291</v>
      </c>
      <c r="C39" s="35" t="s">
        <v>158</v>
      </c>
      <c r="D39" s="35" t="s">
        <v>343</v>
      </c>
      <c r="E39" s="20">
        <f>312083.23/1000</f>
        <v>312.08322999999996</v>
      </c>
      <c r="G39" s="42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9"/>
      <c r="S39" s="9"/>
    </row>
    <row r="40" spans="1:19" ht="31.2" x14ac:dyDescent="0.25">
      <c r="A40" s="17" t="s">
        <v>159</v>
      </c>
      <c r="B40" s="17" t="s">
        <v>160</v>
      </c>
      <c r="C40" s="35" t="s">
        <v>161</v>
      </c>
      <c r="D40" s="35" t="s">
        <v>162</v>
      </c>
      <c r="E40" s="44">
        <v>0.2</v>
      </c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9"/>
      <c r="S40" s="9"/>
    </row>
    <row r="41" spans="1:19" ht="46.8" x14ac:dyDescent="0.25">
      <c r="A41" s="17" t="s">
        <v>163</v>
      </c>
      <c r="B41" s="17" t="s">
        <v>164</v>
      </c>
      <c r="C41" s="35" t="s">
        <v>165</v>
      </c>
      <c r="D41" s="35" t="s">
        <v>166</v>
      </c>
      <c r="E41" s="45">
        <f>0.5*0.8042+0.5*0.2135</f>
        <v>0.50885000000000002</v>
      </c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</row>
    <row r="42" spans="1:19" ht="31.2" x14ac:dyDescent="0.4">
      <c r="A42" s="40" t="s">
        <v>167</v>
      </c>
      <c r="B42" s="17" t="s">
        <v>103</v>
      </c>
      <c r="C42" s="35" t="s">
        <v>168</v>
      </c>
      <c r="D42" s="35" t="s">
        <v>169</v>
      </c>
      <c r="E42" s="47">
        <v>0</v>
      </c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9"/>
      <c r="S42" s="9"/>
    </row>
    <row r="43" spans="1:19" x14ac:dyDescent="0.3">
      <c r="A43" s="48"/>
      <c r="E43" s="49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9"/>
      <c r="S43" s="9"/>
    </row>
    <row r="44" spans="1:19" x14ac:dyDescent="0.25">
      <c r="A44" s="174" t="s">
        <v>170</v>
      </c>
      <c r="B44" s="174"/>
      <c r="C44" s="175"/>
      <c r="D44" s="175"/>
      <c r="E44" s="195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</row>
    <row r="45" spans="1:19" x14ac:dyDescent="0.25">
      <c r="A45" s="15" t="s">
        <v>8</v>
      </c>
      <c r="B45" s="15" t="s">
        <v>9</v>
      </c>
      <c r="C45" s="38" t="s">
        <v>10</v>
      </c>
      <c r="D45" s="38" t="s">
        <v>340</v>
      </c>
      <c r="E45" s="16" t="s">
        <v>65</v>
      </c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9"/>
      <c r="S45" s="9"/>
    </row>
    <row r="46" spans="1:19" ht="33.6" x14ac:dyDescent="0.4">
      <c r="A46" s="40" t="s">
        <v>171</v>
      </c>
      <c r="B46" s="17" t="s">
        <v>74</v>
      </c>
      <c r="C46" s="35" t="s">
        <v>172</v>
      </c>
      <c r="D46" s="35" t="s">
        <v>391</v>
      </c>
      <c r="E46" s="50">
        <f>E47*E50*E51*E52*E53*E54</f>
        <v>0.46087107464361599</v>
      </c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9"/>
      <c r="S46" s="9"/>
    </row>
    <row r="47" spans="1:19" ht="46.8" x14ac:dyDescent="0.4">
      <c r="A47" s="51" t="s">
        <v>173</v>
      </c>
      <c r="B47" s="17" t="s">
        <v>76</v>
      </c>
      <c r="C47" s="35" t="s">
        <v>174</v>
      </c>
      <c r="D47" s="35" t="s">
        <v>392</v>
      </c>
      <c r="E47" s="69">
        <f>ROUNDUP(E48/E49,0)</f>
        <v>92</v>
      </c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9"/>
      <c r="S47" s="9"/>
    </row>
    <row r="48" spans="1:19" ht="62.4" x14ac:dyDescent="0.25">
      <c r="A48" s="17" t="s">
        <v>175</v>
      </c>
      <c r="B48" s="17" t="s">
        <v>78</v>
      </c>
      <c r="C48" s="35" t="s">
        <v>176</v>
      </c>
      <c r="D48" s="35" t="s">
        <v>346</v>
      </c>
      <c r="E48" s="52">
        <v>455.49399999999997</v>
      </c>
      <c r="G48" s="99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9"/>
      <c r="S48" s="9"/>
    </row>
    <row r="49" spans="1:19" ht="62.4" x14ac:dyDescent="0.25">
      <c r="A49" s="17" t="s">
        <v>177</v>
      </c>
      <c r="B49" s="17" t="s">
        <v>80</v>
      </c>
      <c r="C49" s="35" t="s">
        <v>81</v>
      </c>
      <c r="D49" s="35" t="s">
        <v>345</v>
      </c>
      <c r="E49" s="25">
        <f>5</f>
        <v>5</v>
      </c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9"/>
      <c r="S49" s="9"/>
    </row>
    <row r="50" spans="1:19" ht="202.8" x14ac:dyDescent="0.25">
      <c r="A50" s="17" t="s">
        <v>178</v>
      </c>
      <c r="B50" s="17" t="s">
        <v>82</v>
      </c>
      <c r="C50" s="35" t="s">
        <v>179</v>
      </c>
      <c r="D50" s="35" t="s">
        <v>367</v>
      </c>
      <c r="E50" s="25">
        <v>7.4</v>
      </c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9"/>
      <c r="S50" s="9"/>
    </row>
    <row r="51" spans="1:19" ht="156" x14ac:dyDescent="0.25">
      <c r="A51" s="17" t="s">
        <v>180</v>
      </c>
      <c r="B51" s="17" t="s">
        <v>84</v>
      </c>
      <c r="C51" s="35" t="s">
        <v>85</v>
      </c>
      <c r="D51" s="35" t="s">
        <v>365</v>
      </c>
      <c r="E51" s="25">
        <f>25.1/100</f>
        <v>0.251</v>
      </c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9"/>
      <c r="S51" s="9"/>
    </row>
    <row r="52" spans="1:19" ht="62.4" x14ac:dyDescent="0.25">
      <c r="A52" s="17" t="s">
        <v>86</v>
      </c>
      <c r="B52" s="17" t="s">
        <v>87</v>
      </c>
      <c r="C52" s="35" t="s">
        <v>86</v>
      </c>
      <c r="D52" s="35" t="s">
        <v>215</v>
      </c>
      <c r="E52" s="25">
        <f>0.84/1000</f>
        <v>8.3999999999999993E-4</v>
      </c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9"/>
      <c r="S52" s="9"/>
    </row>
    <row r="53" spans="1:19" ht="124.8" x14ac:dyDescent="0.25">
      <c r="A53" s="17" t="s">
        <v>181</v>
      </c>
      <c r="B53" s="17" t="s">
        <v>88</v>
      </c>
      <c r="C53" s="35" t="s">
        <v>89</v>
      </c>
      <c r="D53" s="35" t="s">
        <v>360</v>
      </c>
      <c r="E53" s="25">
        <f>43.33/1000</f>
        <v>4.333E-2</v>
      </c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9"/>
      <c r="S53" s="9"/>
    </row>
    <row r="54" spans="1:19" ht="33.6" x14ac:dyDescent="0.25">
      <c r="A54" s="17" t="s">
        <v>182</v>
      </c>
      <c r="B54" s="17" t="s">
        <v>90</v>
      </c>
      <c r="C54" s="35" t="s">
        <v>91</v>
      </c>
      <c r="D54" s="35" t="s">
        <v>92</v>
      </c>
      <c r="E54" s="25">
        <v>74.099999999999994</v>
      </c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9"/>
      <c r="S54" s="9"/>
    </row>
    <row r="56" spans="1:19" x14ac:dyDescent="0.25">
      <c r="A56" s="33" t="s">
        <v>8</v>
      </c>
      <c r="B56" s="33" t="s">
        <v>9</v>
      </c>
      <c r="C56" s="34" t="s">
        <v>10</v>
      </c>
      <c r="D56" s="34" t="s">
        <v>340</v>
      </c>
      <c r="E56" s="16" t="s">
        <v>65</v>
      </c>
    </row>
    <row r="57" spans="1:19" ht="18" x14ac:dyDescent="0.25">
      <c r="A57" s="15" t="s">
        <v>183</v>
      </c>
      <c r="B57" s="17" t="s">
        <v>103</v>
      </c>
      <c r="C57" s="35" t="s">
        <v>184</v>
      </c>
      <c r="D57" s="53" t="s">
        <v>393</v>
      </c>
      <c r="E57" s="18">
        <f>ROUNDUP(E6+E30+E34+E38+E46,0)</f>
        <v>192</v>
      </c>
    </row>
    <row r="58" spans="1:19" s="213" customFormat="1" ht="36" customHeight="1" x14ac:dyDescent="0.25">
      <c r="A58" s="213" t="s">
        <v>237</v>
      </c>
    </row>
    <row r="59" spans="1:19" ht="23.4" customHeight="1" x14ac:dyDescent="0.25">
      <c r="A59" s="201" t="s">
        <v>105</v>
      </c>
      <c r="B59" s="201"/>
      <c r="C59" s="201"/>
      <c r="D59" s="201"/>
      <c r="E59" s="201"/>
      <c r="F59" s="201"/>
      <c r="G59" s="201"/>
      <c r="H59" s="201"/>
      <c r="I59" s="201"/>
      <c r="J59" s="201"/>
      <c r="K59" s="201"/>
      <c r="L59" s="201"/>
      <c r="M59" s="201"/>
      <c r="N59" s="201"/>
      <c r="O59" s="201"/>
      <c r="P59" s="201"/>
      <c r="Q59" s="202"/>
    </row>
    <row r="60" spans="1:19" s="10" customFormat="1" ht="31.2" x14ac:dyDescent="0.25">
      <c r="A60" s="15" t="s">
        <v>8</v>
      </c>
      <c r="B60" s="15" t="s">
        <v>9</v>
      </c>
      <c r="C60" s="15" t="s">
        <v>10</v>
      </c>
      <c r="D60" s="15" t="s">
        <v>340</v>
      </c>
      <c r="E60" s="16" t="s">
        <v>11</v>
      </c>
      <c r="F60" s="16" t="s">
        <v>322</v>
      </c>
      <c r="G60" s="16" t="s">
        <v>323</v>
      </c>
      <c r="H60" s="16" t="s">
        <v>324</v>
      </c>
      <c r="I60" s="16" t="s">
        <v>325</v>
      </c>
      <c r="J60" s="16" t="s">
        <v>326</v>
      </c>
      <c r="K60" s="16" t="s">
        <v>329</v>
      </c>
      <c r="L60" s="16" t="s">
        <v>292</v>
      </c>
      <c r="M60" s="16" t="s">
        <v>292</v>
      </c>
      <c r="N60" s="16" t="s">
        <v>292</v>
      </c>
      <c r="O60" s="16" t="s">
        <v>292</v>
      </c>
      <c r="P60" s="16" t="s">
        <v>292</v>
      </c>
      <c r="Q60" s="16" t="s">
        <v>292</v>
      </c>
      <c r="R60" s="54"/>
      <c r="S60" s="54"/>
    </row>
    <row r="61" spans="1:19" s="10" customFormat="1" x14ac:dyDescent="0.25">
      <c r="A61" s="203" t="s">
        <v>106</v>
      </c>
      <c r="B61" s="203"/>
      <c r="C61" s="203"/>
      <c r="D61" s="203"/>
      <c r="E61" s="204"/>
      <c r="F61" s="16">
        <v>31</v>
      </c>
      <c r="G61" s="16">
        <v>28</v>
      </c>
      <c r="H61" s="16">
        <v>31</v>
      </c>
      <c r="I61" s="16">
        <v>30</v>
      </c>
      <c r="J61" s="16">
        <v>31</v>
      </c>
      <c r="K61" s="16">
        <v>30</v>
      </c>
      <c r="L61" s="16" t="s">
        <v>292</v>
      </c>
      <c r="M61" s="16" t="s">
        <v>292</v>
      </c>
      <c r="N61" s="16" t="s">
        <v>292</v>
      </c>
      <c r="O61" s="16" t="s">
        <v>292</v>
      </c>
      <c r="P61" s="16" t="s">
        <v>292</v>
      </c>
      <c r="Q61" s="16" t="s">
        <v>292</v>
      </c>
      <c r="R61" s="54"/>
      <c r="S61" s="54"/>
    </row>
    <row r="62" spans="1:19" s="10" customFormat="1" ht="31.2" x14ac:dyDescent="0.25">
      <c r="A62" s="15" t="s">
        <v>107</v>
      </c>
      <c r="B62" s="17" t="s">
        <v>103</v>
      </c>
      <c r="C62" s="17" t="s">
        <v>108</v>
      </c>
      <c r="D62" s="17" t="s">
        <v>381</v>
      </c>
      <c r="E62" s="18">
        <f>E63+E73</f>
        <v>0</v>
      </c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54"/>
      <c r="S62" s="54"/>
    </row>
    <row r="63" spans="1:19" ht="46.8" x14ac:dyDescent="0.25">
      <c r="A63" s="17" t="s">
        <v>109</v>
      </c>
      <c r="B63" s="17" t="s">
        <v>103</v>
      </c>
      <c r="C63" s="17" t="s">
        <v>110</v>
      </c>
      <c r="D63" s="17" t="s">
        <v>382</v>
      </c>
      <c r="E63" s="19">
        <f>SUM(F63:K63)</f>
        <v>0</v>
      </c>
      <c r="F63" s="19">
        <f>IF(F64&gt;=0.8,0,$E$15*$E$16*0.4*(F65-F68)*F61)</f>
        <v>0</v>
      </c>
      <c r="G63" s="19">
        <f t="shared" ref="G63:K63" si="7">IF(G64&gt;=0.8,0,$E$15*$E$16*0.4*(G65-G68)*G61)</f>
        <v>0</v>
      </c>
      <c r="H63" s="19">
        <f t="shared" si="7"/>
        <v>0</v>
      </c>
      <c r="I63" s="19">
        <f t="shared" si="7"/>
        <v>0</v>
      </c>
      <c r="J63" s="19">
        <f t="shared" si="7"/>
        <v>0</v>
      </c>
      <c r="K63" s="19">
        <f t="shared" si="7"/>
        <v>0</v>
      </c>
      <c r="L63" s="19" t="s">
        <v>297</v>
      </c>
      <c r="M63" s="19" t="s">
        <v>297</v>
      </c>
      <c r="N63" s="19" t="s">
        <v>297</v>
      </c>
      <c r="O63" s="19" t="s">
        <v>297</v>
      </c>
      <c r="P63" s="19" t="s">
        <v>297</v>
      </c>
      <c r="Q63" s="19" t="s">
        <v>297</v>
      </c>
    </row>
    <row r="64" spans="1:19" ht="62.4" x14ac:dyDescent="0.25">
      <c r="A64" s="17" t="s">
        <v>111</v>
      </c>
      <c r="B64" s="17" t="s">
        <v>37</v>
      </c>
      <c r="C64" s="17" t="s">
        <v>112</v>
      </c>
      <c r="D64" s="17" t="s">
        <v>383</v>
      </c>
      <c r="E64" s="20">
        <f>AVERAGE(F64:K64)</f>
        <v>0.95368449423069812</v>
      </c>
      <c r="F64" s="20">
        <f>(F65-F68)/F65</f>
        <v>0.95394810081464776</v>
      </c>
      <c r="G64" s="20">
        <f t="shared" ref="G64:K64" si="8">(G65-G68)/G65</f>
        <v>0.95368458916533216</v>
      </c>
      <c r="H64" s="20">
        <f t="shared" si="8"/>
        <v>0.9531460258785035</v>
      </c>
      <c r="I64" s="20">
        <f t="shared" si="8"/>
        <v>0.95390208133701182</v>
      </c>
      <c r="J64" s="20">
        <f t="shared" si="8"/>
        <v>0.9520675592845983</v>
      </c>
      <c r="K64" s="20">
        <f t="shared" si="8"/>
        <v>0.95535860890409452</v>
      </c>
      <c r="L64" s="20" t="s">
        <v>297</v>
      </c>
      <c r="M64" s="20" t="s">
        <v>297</v>
      </c>
      <c r="N64" s="20" t="s">
        <v>297</v>
      </c>
      <c r="O64" s="20" t="s">
        <v>297</v>
      </c>
      <c r="P64" s="20" t="s">
        <v>297</v>
      </c>
      <c r="Q64" s="20" t="s">
        <v>297</v>
      </c>
    </row>
    <row r="65" spans="1:17" ht="46.8" x14ac:dyDescent="0.25">
      <c r="A65" s="17" t="s">
        <v>113</v>
      </c>
      <c r="B65" s="17" t="s">
        <v>24</v>
      </c>
      <c r="C65" s="17" t="s">
        <v>114</v>
      </c>
      <c r="D65" s="17" t="s">
        <v>384</v>
      </c>
      <c r="E65" s="20">
        <f>SUM(F65:K65)</f>
        <v>15.227905941400943</v>
      </c>
      <c r="F65" s="20">
        <f>F66*F67</f>
        <v>2.441190702620649</v>
      </c>
      <c r="G65" s="20">
        <f t="shared" ref="G65:K65" si="9">G66*G67</f>
        <v>2.4383883506990989</v>
      </c>
      <c r="H65" s="20">
        <f t="shared" si="9"/>
        <v>2.4374899438705251</v>
      </c>
      <c r="I65" s="20">
        <f t="shared" si="9"/>
        <v>2.7347342642036776</v>
      </c>
      <c r="J65" s="20">
        <f t="shared" si="9"/>
        <v>2.7364423600904622</v>
      </c>
      <c r="K65" s="20">
        <f t="shared" si="9"/>
        <v>2.4396603199165288</v>
      </c>
      <c r="L65" s="20" t="s">
        <v>297</v>
      </c>
      <c r="M65" s="20" t="s">
        <v>297</v>
      </c>
      <c r="N65" s="20" t="s">
        <v>297</v>
      </c>
      <c r="O65" s="20" t="s">
        <v>297</v>
      </c>
      <c r="P65" s="20" t="s">
        <v>297</v>
      </c>
      <c r="Q65" s="20" t="s">
        <v>297</v>
      </c>
    </row>
    <row r="66" spans="1:17" ht="74.400000000000006" customHeight="1" x14ac:dyDescent="0.25">
      <c r="A66" s="17" t="s">
        <v>115</v>
      </c>
      <c r="B66" s="17" t="s">
        <v>116</v>
      </c>
      <c r="C66" s="17" t="s">
        <v>117</v>
      </c>
      <c r="D66" s="17" t="s">
        <v>336</v>
      </c>
      <c r="E66" s="129">
        <f>SUM(F66:K66)</f>
        <v>35046.570138709685</v>
      </c>
      <c r="F66" s="129">
        <f>'Baseline Emissions 2022'!F65</f>
        <v>5843.2367666666687</v>
      </c>
      <c r="G66" s="129">
        <f>'Baseline Emissions 2022'!G65</f>
        <v>5841.1130645161302</v>
      </c>
      <c r="H66" s="129">
        <f>'Baseline Emissions 2022'!H65</f>
        <v>5840.8603548387091</v>
      </c>
      <c r="I66" s="129">
        <f>'Baseline Emissions 2022'!I65</f>
        <v>5839.2313666666687</v>
      </c>
      <c r="J66" s="129">
        <f>'Baseline Emissions 2022'!J65</f>
        <v>5842.6054193548389</v>
      </c>
      <c r="K66" s="129">
        <f>'Baseline Emissions 2022'!K65</f>
        <v>5839.5231666666687</v>
      </c>
      <c r="L66" s="21" t="s">
        <v>297</v>
      </c>
      <c r="M66" s="21" t="s">
        <v>297</v>
      </c>
      <c r="N66" s="21" t="s">
        <v>297</v>
      </c>
      <c r="O66" s="21" t="s">
        <v>297</v>
      </c>
      <c r="P66" s="21" t="s">
        <v>297</v>
      </c>
      <c r="Q66" s="21" t="s">
        <v>297</v>
      </c>
    </row>
    <row r="67" spans="1:17" ht="46.8" x14ac:dyDescent="0.25">
      <c r="A67" s="17" t="s">
        <v>118</v>
      </c>
      <c r="B67" s="17" t="s">
        <v>119</v>
      </c>
      <c r="C67" s="17" t="s">
        <v>120</v>
      </c>
      <c r="D67" s="35" t="s">
        <v>338</v>
      </c>
      <c r="E67" s="120">
        <f>AVERAGE(F67:Q67)</f>
        <v>4.3450539127837517E-4</v>
      </c>
      <c r="F67" s="130">
        <f>'Baseline Emissions 2022'!F69</f>
        <v>4.1778055555555553E-4</v>
      </c>
      <c r="G67" s="130">
        <f>'Baseline Emissions 2022'!G69</f>
        <v>4.1745268817204307E-4</v>
      </c>
      <c r="H67" s="130">
        <f>'Baseline Emissions 2022'!H69</f>
        <v>4.1731693548387096E-4</v>
      </c>
      <c r="I67" s="130">
        <f>'Baseline Emissions 2022'!I69</f>
        <v>4.6833805555555565E-4</v>
      </c>
      <c r="J67" s="130">
        <f>'Baseline Emissions 2022'!J69</f>
        <v>4.6835994623655927E-4</v>
      </c>
      <c r="K67" s="130">
        <f>'Baseline Emissions 2022'!K69</f>
        <v>4.1778416666666667E-4</v>
      </c>
      <c r="L67" s="23" t="s">
        <v>297</v>
      </c>
      <c r="M67" s="23" t="s">
        <v>297</v>
      </c>
      <c r="N67" s="23" t="s">
        <v>297</v>
      </c>
      <c r="O67" s="23" t="s">
        <v>297</v>
      </c>
      <c r="P67" s="23" t="s">
        <v>297</v>
      </c>
      <c r="Q67" s="23" t="s">
        <v>297</v>
      </c>
    </row>
    <row r="68" spans="1:17" ht="46.8" x14ac:dyDescent="0.25">
      <c r="A68" s="17" t="s">
        <v>121</v>
      </c>
      <c r="B68" s="17" t="s">
        <v>24</v>
      </c>
      <c r="C68" s="17" t="s">
        <v>122</v>
      </c>
      <c r="D68" s="17" t="s">
        <v>384</v>
      </c>
      <c r="E68" s="20">
        <f>SUM(F68:K68)</f>
        <v>0.70570226647277345</v>
      </c>
      <c r="F68" s="20">
        <f>SUM(F69*F70)</f>
        <v>0.11242146812930559</v>
      </c>
      <c r="G68" s="20">
        <f t="shared" ref="G68:K68" si="10">SUM(G69*G70)</f>
        <v>0.11293495823709683</v>
      </c>
      <c r="H68" s="20">
        <f t="shared" si="10"/>
        <v>0.11420609075151747</v>
      </c>
      <c r="I68" s="20">
        <f t="shared" si="10"/>
        <v>0.12606555767614819</v>
      </c>
      <c r="J68" s="20">
        <f t="shared" si="10"/>
        <v>0.13116436119614983</v>
      </c>
      <c r="K68" s="20">
        <f t="shared" si="10"/>
        <v>0.10890983048255556</v>
      </c>
      <c r="L68" s="20" t="s">
        <v>297</v>
      </c>
      <c r="M68" s="20" t="s">
        <v>297</v>
      </c>
      <c r="N68" s="20" t="s">
        <v>297</v>
      </c>
      <c r="O68" s="20" t="s">
        <v>297</v>
      </c>
      <c r="P68" s="20" t="s">
        <v>297</v>
      </c>
      <c r="Q68" s="20" t="s">
        <v>297</v>
      </c>
    </row>
    <row r="69" spans="1:17" ht="62.4" x14ac:dyDescent="0.25">
      <c r="A69" s="17" t="s">
        <v>123</v>
      </c>
      <c r="B69" s="17" t="s">
        <v>116</v>
      </c>
      <c r="C69" s="17" t="s">
        <v>124</v>
      </c>
      <c r="D69" s="17" t="s">
        <v>337</v>
      </c>
      <c r="E69" s="129">
        <f>SUM(F69:K69)</f>
        <v>34099.426838709682</v>
      </c>
      <c r="F69" s="129">
        <v>5682.5555000000022</v>
      </c>
      <c r="G69" s="129">
        <v>5679.8805483870983</v>
      </c>
      <c r="H69" s="129">
        <v>5678.6293870967738</v>
      </c>
      <c r="I69" s="129">
        <v>5682.6105333333344</v>
      </c>
      <c r="J69" s="129">
        <v>5680.6229032258061</v>
      </c>
      <c r="K69" s="129">
        <v>5695.1279666666669</v>
      </c>
      <c r="L69" s="21" t="s">
        <v>297</v>
      </c>
      <c r="M69" s="21" t="s">
        <v>297</v>
      </c>
      <c r="N69" s="21" t="s">
        <v>297</v>
      </c>
      <c r="O69" s="21" t="s">
        <v>297</v>
      </c>
      <c r="P69" s="21" t="s">
        <v>297</v>
      </c>
      <c r="Q69" s="21" t="s">
        <v>297</v>
      </c>
    </row>
    <row r="70" spans="1:17" ht="46.8" x14ac:dyDescent="0.25">
      <c r="A70" s="17" t="s">
        <v>125</v>
      </c>
      <c r="B70" s="17" t="s">
        <v>119</v>
      </c>
      <c r="C70" s="17" t="s">
        <v>126</v>
      </c>
      <c r="D70" s="35" t="s">
        <v>339</v>
      </c>
      <c r="E70" s="131">
        <f>AVERAGE(F70:K70)</f>
        <v>2.0696011051373951E-5</v>
      </c>
      <c r="F70" s="131">
        <f>'Baseline Emissions 2022'!F70</f>
        <v>1.978361111111111E-5</v>
      </c>
      <c r="G70" s="131">
        <f>'Baseline Emissions 2022'!G70</f>
        <v>1.9883333333333337E-5</v>
      </c>
      <c r="H70" s="131">
        <f>'Baseline Emissions 2022'!H70</f>
        <v>2.0111559139784939E-5</v>
      </c>
      <c r="I70" s="131">
        <f>'Baseline Emissions 2022'!I70</f>
        <v>2.218444444444445E-5</v>
      </c>
      <c r="J70" s="131">
        <f>'Baseline Emissions 2022'!J70</f>
        <v>2.3089784946236558E-5</v>
      </c>
      <c r="K70" s="131">
        <f>'Baseline Emissions 2022'!K70</f>
        <v>1.9123333333333334E-5</v>
      </c>
      <c r="L70" s="24" t="s">
        <v>297</v>
      </c>
      <c r="M70" s="24" t="s">
        <v>297</v>
      </c>
      <c r="N70" s="24" t="s">
        <v>297</v>
      </c>
      <c r="O70" s="24" t="s">
        <v>297</v>
      </c>
      <c r="P70" s="24" t="s">
        <v>297</v>
      </c>
      <c r="Q70" s="24" t="s">
        <v>297</v>
      </c>
    </row>
    <row r="71" spans="1:17" ht="31.2" x14ac:dyDescent="0.25">
      <c r="A71" s="17" t="s">
        <v>127</v>
      </c>
      <c r="B71" s="17" t="s">
        <v>128</v>
      </c>
      <c r="C71" s="17" t="s">
        <v>17</v>
      </c>
      <c r="D71" s="17" t="s">
        <v>129</v>
      </c>
      <c r="E71" s="176">
        <v>28</v>
      </c>
      <c r="F71" s="176"/>
      <c r="G71" s="176"/>
      <c r="H71" s="176"/>
      <c r="I71" s="176"/>
      <c r="J71" s="176"/>
      <c r="K71" s="176"/>
      <c r="L71" s="176"/>
      <c r="M71" s="176"/>
      <c r="N71" s="176"/>
      <c r="O71" s="176"/>
      <c r="P71" s="176"/>
      <c r="Q71" s="176"/>
    </row>
    <row r="72" spans="1:17" ht="64.8" x14ac:dyDescent="0.25">
      <c r="A72" s="17" t="s">
        <v>130</v>
      </c>
      <c r="B72" s="17" t="s">
        <v>19</v>
      </c>
      <c r="C72" s="17" t="s">
        <v>131</v>
      </c>
      <c r="D72" s="17" t="s">
        <v>394</v>
      </c>
      <c r="E72" s="176">
        <v>0.21</v>
      </c>
      <c r="F72" s="176"/>
      <c r="G72" s="176"/>
      <c r="H72" s="176"/>
      <c r="I72" s="176"/>
      <c r="J72" s="176"/>
      <c r="K72" s="176"/>
      <c r="L72" s="176"/>
      <c r="M72" s="176"/>
      <c r="N72" s="176"/>
      <c r="O72" s="176"/>
      <c r="P72" s="176"/>
      <c r="Q72" s="176"/>
    </row>
    <row r="73" spans="1:17" ht="46.8" x14ac:dyDescent="0.25">
      <c r="A73" s="17" t="s">
        <v>132</v>
      </c>
      <c r="B73" s="17" t="s">
        <v>103</v>
      </c>
      <c r="C73" s="17" t="s">
        <v>133</v>
      </c>
      <c r="D73" s="17" t="s">
        <v>385</v>
      </c>
      <c r="E73" s="19">
        <f>SUM(F73:K73)</f>
        <v>0</v>
      </c>
      <c r="F73" s="19">
        <f>$E$71*$E$72*F74*F68*F61</f>
        <v>0</v>
      </c>
      <c r="G73" s="19">
        <f t="shared" ref="G73:K73" si="11">$E$71*$E$72*G74*G68*G61</f>
        <v>0</v>
      </c>
      <c r="H73" s="19">
        <f t="shared" si="11"/>
        <v>0</v>
      </c>
      <c r="I73" s="19">
        <f t="shared" si="11"/>
        <v>0</v>
      </c>
      <c r="J73" s="19">
        <f t="shared" si="11"/>
        <v>0</v>
      </c>
      <c r="K73" s="19">
        <f t="shared" si="11"/>
        <v>0</v>
      </c>
      <c r="L73" s="19" t="s">
        <v>297</v>
      </c>
      <c r="M73" s="19" t="s">
        <v>297</v>
      </c>
      <c r="N73" s="19" t="s">
        <v>297</v>
      </c>
      <c r="O73" s="19" t="s">
        <v>297</v>
      </c>
      <c r="P73" s="19" t="s">
        <v>297</v>
      </c>
      <c r="Q73" s="19" t="s">
        <v>297</v>
      </c>
    </row>
    <row r="74" spans="1:17" ht="18" x14ac:dyDescent="0.25">
      <c r="A74" s="17" t="s">
        <v>134</v>
      </c>
      <c r="B74" s="17" t="s">
        <v>37</v>
      </c>
      <c r="C74" s="17" t="s">
        <v>135</v>
      </c>
      <c r="D74" s="17" t="s">
        <v>386</v>
      </c>
      <c r="E74" s="26">
        <f>AVERAGE(F74:K74)</f>
        <v>0</v>
      </c>
      <c r="F74" s="26">
        <f>F75*$E$76*0.89</f>
        <v>0</v>
      </c>
      <c r="G74" s="26">
        <f t="shared" ref="G74:K74" si="12">G75*$E$76*0.89</f>
        <v>0</v>
      </c>
      <c r="H74" s="26">
        <f t="shared" si="12"/>
        <v>0</v>
      </c>
      <c r="I74" s="26">
        <f t="shared" si="12"/>
        <v>0</v>
      </c>
      <c r="J74" s="26">
        <f t="shared" si="12"/>
        <v>0</v>
      </c>
      <c r="K74" s="26">
        <f t="shared" si="12"/>
        <v>0</v>
      </c>
      <c r="L74" s="26" t="s">
        <v>297</v>
      </c>
      <c r="M74" s="26" t="s">
        <v>297</v>
      </c>
      <c r="N74" s="26" t="s">
        <v>297</v>
      </c>
      <c r="O74" s="26" t="s">
        <v>297</v>
      </c>
      <c r="P74" s="26" t="s">
        <v>297</v>
      </c>
      <c r="Q74" s="26" t="s">
        <v>297</v>
      </c>
    </row>
    <row r="75" spans="1:17" ht="31.2" x14ac:dyDescent="0.25">
      <c r="A75" s="17" t="s">
        <v>136</v>
      </c>
      <c r="B75" s="17" t="s">
        <v>37</v>
      </c>
      <c r="C75" s="17" t="s">
        <v>46</v>
      </c>
      <c r="D75" s="17" t="s">
        <v>387</v>
      </c>
      <c r="E75" s="25">
        <v>0</v>
      </c>
      <c r="F75" s="25">
        <v>0</v>
      </c>
      <c r="G75" s="25">
        <v>0</v>
      </c>
      <c r="H75" s="25">
        <v>0</v>
      </c>
      <c r="I75" s="25">
        <v>0</v>
      </c>
      <c r="J75" s="25">
        <v>0</v>
      </c>
      <c r="K75" s="25">
        <v>0</v>
      </c>
      <c r="L75" s="25" t="s">
        <v>297</v>
      </c>
      <c r="M75" s="25" t="s">
        <v>297</v>
      </c>
      <c r="N75" s="25" t="s">
        <v>297</v>
      </c>
      <c r="O75" s="25" t="s">
        <v>297</v>
      </c>
      <c r="P75" s="25" t="s">
        <v>297</v>
      </c>
      <c r="Q75" s="25" t="s">
        <v>297</v>
      </c>
    </row>
    <row r="76" spans="1:17" ht="31.2" x14ac:dyDescent="0.25">
      <c r="A76" s="17" t="s">
        <v>137</v>
      </c>
      <c r="B76" s="17" t="s">
        <v>201</v>
      </c>
      <c r="C76" s="17" t="s">
        <v>138</v>
      </c>
      <c r="D76" s="17" t="s">
        <v>388</v>
      </c>
      <c r="E76" s="196">
        <f>(F77*F82+G77*G82+H77*H82+I77*I82+J77*J82+K77*K82)/(F69*F70*F61+G70*G69*G61+H69*H70*H61+I70*I69*I61+J70*J69*J61+K70*K69*K61)</f>
        <v>0.55097125484000598</v>
      </c>
      <c r="F76" s="196"/>
      <c r="G76" s="196"/>
      <c r="H76" s="196"/>
      <c r="I76" s="196"/>
      <c r="J76" s="196"/>
      <c r="K76" s="196"/>
      <c r="L76" s="196"/>
      <c r="M76" s="196"/>
      <c r="N76" s="196"/>
      <c r="O76" s="196"/>
      <c r="P76" s="196"/>
      <c r="Q76" s="196"/>
    </row>
    <row r="77" spans="1:17" ht="31.2" x14ac:dyDescent="0.25">
      <c r="A77" s="17" t="s">
        <v>139</v>
      </c>
      <c r="B77" s="17" t="s">
        <v>37</v>
      </c>
      <c r="C77" s="17" t="s">
        <v>140</v>
      </c>
      <c r="D77" s="17" t="s">
        <v>375</v>
      </c>
      <c r="E77" s="27">
        <f>AVERAGE(F77:K77)</f>
        <v>0.54689538420497319</v>
      </c>
      <c r="F77" s="27">
        <f>IF(F81&lt;283,0,IF(F81&gt;303,1,EXP(($E$78*(F81-$E$79))/($E$80*$E$79*F81))))</f>
        <v>0.35374940126825682</v>
      </c>
      <c r="G77" s="27">
        <f>IF(G81&lt;283,0,IF(G81&gt;303,1,EXP(($E$78*(G81-$E$79))/($E$80*$E$79*G81))))</f>
        <v>0.26921004737855481</v>
      </c>
      <c r="H77" s="27">
        <f t="shared" ref="H77:K77" si="13">IF(H81&lt;283,0,IF(H81&gt;303,1,EXP(($E$78*(H81-$E$79))/($E$80*$E$79*H81))))</f>
        <v>0.50475941545474445</v>
      </c>
      <c r="I77" s="27">
        <f t="shared" si="13"/>
        <v>0.55084569341606926</v>
      </c>
      <c r="J77" s="27">
        <f t="shared" si="13"/>
        <v>0.6835684899717327</v>
      </c>
      <c r="K77" s="27">
        <f t="shared" si="13"/>
        <v>0.91923925774048054</v>
      </c>
      <c r="L77" s="27" t="s">
        <v>297</v>
      </c>
      <c r="M77" s="27" t="s">
        <v>297</v>
      </c>
      <c r="N77" s="27" t="s">
        <v>297</v>
      </c>
      <c r="O77" s="27" t="s">
        <v>297</v>
      </c>
      <c r="P77" s="27" t="s">
        <v>297</v>
      </c>
      <c r="Q77" s="27" t="s">
        <v>297</v>
      </c>
    </row>
    <row r="78" spans="1:17" x14ac:dyDescent="0.25">
      <c r="A78" s="17" t="s">
        <v>51</v>
      </c>
      <c r="B78" s="17" t="s">
        <v>52</v>
      </c>
      <c r="C78" s="17" t="s">
        <v>53</v>
      </c>
      <c r="D78" s="17" t="s">
        <v>389</v>
      </c>
      <c r="E78" s="176">
        <v>15175</v>
      </c>
      <c r="F78" s="176"/>
      <c r="G78" s="176"/>
      <c r="H78" s="176"/>
      <c r="I78" s="176"/>
      <c r="J78" s="176"/>
      <c r="K78" s="176"/>
      <c r="L78" s="176"/>
      <c r="M78" s="176"/>
      <c r="N78" s="176"/>
      <c r="O78" s="176"/>
      <c r="P78" s="176"/>
      <c r="Q78" s="176"/>
    </row>
    <row r="79" spans="1:17" ht="18" x14ac:dyDescent="0.25">
      <c r="A79" s="17" t="s">
        <v>141</v>
      </c>
      <c r="B79" s="17" t="s">
        <v>55</v>
      </c>
      <c r="C79" s="17" t="s">
        <v>56</v>
      </c>
      <c r="D79" s="17" t="s">
        <v>389</v>
      </c>
      <c r="E79" s="176">
        <v>303.16000000000003</v>
      </c>
      <c r="F79" s="176"/>
      <c r="G79" s="176"/>
      <c r="H79" s="176"/>
      <c r="I79" s="176"/>
      <c r="J79" s="176"/>
      <c r="K79" s="176"/>
      <c r="L79" s="176"/>
      <c r="M79" s="176"/>
      <c r="N79" s="176"/>
      <c r="O79" s="176"/>
      <c r="P79" s="176"/>
      <c r="Q79" s="176"/>
    </row>
    <row r="80" spans="1:17" x14ac:dyDescent="0.25">
      <c r="A80" s="17" t="s">
        <v>57</v>
      </c>
      <c r="B80" s="17" t="s">
        <v>58</v>
      </c>
      <c r="C80" s="17" t="s">
        <v>59</v>
      </c>
      <c r="D80" s="17" t="s">
        <v>389</v>
      </c>
      <c r="E80" s="176">
        <v>1.9870000000000001</v>
      </c>
      <c r="F80" s="176"/>
      <c r="G80" s="176"/>
      <c r="H80" s="176"/>
      <c r="I80" s="176"/>
      <c r="J80" s="176"/>
      <c r="K80" s="176"/>
      <c r="L80" s="176"/>
      <c r="M80" s="176"/>
      <c r="N80" s="176"/>
      <c r="O80" s="176"/>
      <c r="P80" s="176"/>
      <c r="Q80" s="176"/>
    </row>
    <row r="81" spans="1:19" ht="18" x14ac:dyDescent="0.25">
      <c r="A81" s="17" t="s">
        <v>142</v>
      </c>
      <c r="B81" s="17" t="s">
        <v>55</v>
      </c>
      <c r="C81" s="17" t="s">
        <v>143</v>
      </c>
      <c r="D81" s="144" t="s">
        <v>363</v>
      </c>
      <c r="E81" s="28">
        <f>AVERAGE(F81:K81)</f>
        <v>295.23333333333335</v>
      </c>
      <c r="F81" s="25">
        <v>291.14999999999998</v>
      </c>
      <c r="G81" s="25">
        <v>288.14999999999998</v>
      </c>
      <c r="H81" s="25">
        <v>295.14999999999998</v>
      </c>
      <c r="I81" s="25">
        <v>296.14999999999998</v>
      </c>
      <c r="J81" s="25">
        <v>298.64999999999998</v>
      </c>
      <c r="K81" s="25">
        <v>302.14999999999998</v>
      </c>
      <c r="L81" s="25" t="s">
        <v>297</v>
      </c>
      <c r="M81" s="25" t="s">
        <v>297</v>
      </c>
      <c r="N81" s="25" t="s">
        <v>297</v>
      </c>
      <c r="O81" s="25" t="s">
        <v>297</v>
      </c>
      <c r="P81" s="25" t="s">
        <v>297</v>
      </c>
      <c r="Q81" s="25" t="s">
        <v>297</v>
      </c>
    </row>
    <row r="82" spans="1:19" ht="46.8" x14ac:dyDescent="0.25">
      <c r="A82" s="17" t="s">
        <v>144</v>
      </c>
      <c r="B82" s="17" t="s">
        <v>24</v>
      </c>
      <c r="C82" s="17" t="s">
        <v>145</v>
      </c>
      <c r="D82" s="17" t="s">
        <v>390</v>
      </c>
      <c r="E82" s="29">
        <f>SUM(F82:K82)</f>
        <v>21.302989997785986</v>
      </c>
      <c r="F82" s="29">
        <f>F69*F70*'Project Emissions 2022'!F61+(1-F77)*0</f>
        <v>3.4850655120084735</v>
      </c>
      <c r="G82" s="29">
        <f>G69*G70*'Project Emissions 2022'!G61+(1-G77)*0</f>
        <v>3.1621788306387111</v>
      </c>
      <c r="H82" s="29">
        <f>H69*H70*'Project Emissions 2022'!H61+(1-H77)*0</f>
        <v>3.5403888132970414</v>
      </c>
      <c r="I82" s="29">
        <f>I69*I70*'Project Emissions 2022'!I61+(1-I77)*0</f>
        <v>3.7819667302844455</v>
      </c>
      <c r="J82" s="29">
        <f>J69*J70*'Project Emissions 2022'!J61+(1-J77)*0</f>
        <v>4.0660951970806449</v>
      </c>
      <c r="K82" s="29">
        <f>K69*K70*'Project Emissions 2022'!K61+(1-K77)*0</f>
        <v>3.267294914476667</v>
      </c>
      <c r="L82" s="29" t="s">
        <v>297</v>
      </c>
      <c r="M82" s="29" t="s">
        <v>297</v>
      </c>
      <c r="N82" s="29" t="s">
        <v>297</v>
      </c>
      <c r="O82" s="29" t="s">
        <v>297</v>
      </c>
      <c r="P82" s="29" t="s">
        <v>297</v>
      </c>
      <c r="Q82" s="29" t="s">
        <v>297</v>
      </c>
    </row>
    <row r="83" spans="1:19" x14ac:dyDescent="0.3">
      <c r="A83" s="30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</row>
    <row r="84" spans="1:19" x14ac:dyDescent="0.25">
      <c r="A84" s="174" t="s">
        <v>146</v>
      </c>
      <c r="B84" s="174"/>
      <c r="C84" s="175"/>
      <c r="D84" s="175"/>
      <c r="E84" s="195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</row>
    <row r="85" spans="1:19" x14ac:dyDescent="0.25">
      <c r="A85" s="33" t="s">
        <v>8</v>
      </c>
      <c r="B85" s="33" t="s">
        <v>9</v>
      </c>
      <c r="C85" s="34" t="s">
        <v>10</v>
      </c>
      <c r="D85" s="34" t="s">
        <v>340</v>
      </c>
      <c r="E85" s="16" t="s">
        <v>65</v>
      </c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</row>
    <row r="86" spans="1:19" ht="46.8" x14ac:dyDescent="0.25">
      <c r="A86" s="15" t="s">
        <v>147</v>
      </c>
      <c r="B86" s="17" t="s">
        <v>95</v>
      </c>
      <c r="C86" s="35" t="s">
        <v>148</v>
      </c>
      <c r="D86" s="35" t="s">
        <v>68</v>
      </c>
      <c r="E86" s="16">
        <v>0</v>
      </c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</row>
    <row r="87" spans="1:19" x14ac:dyDescent="0.25">
      <c r="A87" s="36"/>
      <c r="B87" s="36"/>
      <c r="C87" s="37"/>
      <c r="D87" s="37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</row>
    <row r="88" spans="1:19" x14ac:dyDescent="0.25">
      <c r="A88" s="174" t="s">
        <v>149</v>
      </c>
      <c r="B88" s="174"/>
      <c r="C88" s="175"/>
      <c r="D88" s="175"/>
      <c r="E88" s="195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</row>
    <row r="89" spans="1:19" x14ac:dyDescent="0.25">
      <c r="A89" s="33" t="s">
        <v>8</v>
      </c>
      <c r="B89" s="33" t="s">
        <v>9</v>
      </c>
      <c r="C89" s="34" t="s">
        <v>10</v>
      </c>
      <c r="D89" s="34" t="s">
        <v>340</v>
      </c>
      <c r="E89" s="16" t="s">
        <v>65</v>
      </c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</row>
    <row r="90" spans="1:19" ht="46.8" x14ac:dyDescent="0.25">
      <c r="A90" s="15" t="s">
        <v>150</v>
      </c>
      <c r="B90" s="17" t="s">
        <v>95</v>
      </c>
      <c r="C90" s="35" t="s">
        <v>151</v>
      </c>
      <c r="D90" s="35" t="s">
        <v>68</v>
      </c>
      <c r="E90" s="16">
        <v>0</v>
      </c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</row>
    <row r="91" spans="1:19" x14ac:dyDescent="0.25"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</row>
    <row r="92" spans="1:19" x14ac:dyDescent="0.25">
      <c r="A92" s="174" t="s">
        <v>152</v>
      </c>
      <c r="B92" s="174"/>
      <c r="C92" s="175"/>
      <c r="D92" s="175"/>
      <c r="E92" s="195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</row>
    <row r="93" spans="1:19" s="10" customFormat="1" x14ac:dyDescent="0.25">
      <c r="A93" s="15" t="s">
        <v>8</v>
      </c>
      <c r="B93" s="15" t="s">
        <v>9</v>
      </c>
      <c r="C93" s="38" t="s">
        <v>10</v>
      </c>
      <c r="D93" s="38" t="s">
        <v>340</v>
      </c>
      <c r="E93" s="16" t="s">
        <v>65</v>
      </c>
      <c r="F93" s="32"/>
      <c r="G93" s="32"/>
      <c r="H93" s="39"/>
      <c r="I93" s="39"/>
      <c r="J93" s="39"/>
      <c r="K93" s="39"/>
      <c r="L93" s="39"/>
      <c r="M93" s="39"/>
      <c r="N93" s="39"/>
      <c r="O93" s="39"/>
      <c r="P93" s="39"/>
      <c r="Q93" s="39"/>
    </row>
    <row r="94" spans="1:19" s="10" customFormat="1" ht="18" x14ac:dyDescent="0.4">
      <c r="A94" s="40" t="s">
        <v>153</v>
      </c>
      <c r="B94" s="17" t="s">
        <v>103</v>
      </c>
      <c r="C94" s="35" t="s">
        <v>154</v>
      </c>
      <c r="D94" s="35" t="s">
        <v>155</v>
      </c>
      <c r="E94" s="41">
        <f>E95*E97*(1+E96)</f>
        <v>242.51531690039999</v>
      </c>
      <c r="F94" s="32"/>
      <c r="G94" s="32"/>
      <c r="H94" s="39"/>
      <c r="I94" s="39"/>
      <c r="J94" s="39"/>
      <c r="K94" s="39"/>
      <c r="L94" s="39"/>
      <c r="M94" s="39"/>
      <c r="N94" s="39"/>
      <c r="O94" s="39"/>
      <c r="P94" s="39"/>
      <c r="Q94" s="39"/>
    </row>
    <row r="95" spans="1:19" ht="31.2" x14ac:dyDescent="0.25">
      <c r="A95" s="17" t="s">
        <v>156</v>
      </c>
      <c r="B95" s="17" t="s">
        <v>157</v>
      </c>
      <c r="C95" s="35" t="s">
        <v>158</v>
      </c>
      <c r="D95" s="35" t="s">
        <v>343</v>
      </c>
      <c r="E95" s="20">
        <f>397162.42/1000</f>
        <v>397.16242</v>
      </c>
      <c r="G95" s="42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9"/>
      <c r="S95" s="9"/>
    </row>
    <row r="96" spans="1:19" ht="31.2" x14ac:dyDescent="0.25">
      <c r="A96" s="17" t="s">
        <v>159</v>
      </c>
      <c r="B96" s="17" t="s">
        <v>160</v>
      </c>
      <c r="C96" s="35" t="s">
        <v>161</v>
      </c>
      <c r="D96" s="35" t="s">
        <v>162</v>
      </c>
      <c r="E96" s="44">
        <v>0.2</v>
      </c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9"/>
      <c r="S96" s="9"/>
    </row>
    <row r="97" spans="1:19" ht="46.8" x14ac:dyDescent="0.25">
      <c r="A97" s="17" t="s">
        <v>163</v>
      </c>
      <c r="B97" s="17" t="s">
        <v>164</v>
      </c>
      <c r="C97" s="35" t="s">
        <v>165</v>
      </c>
      <c r="D97" s="35" t="s">
        <v>166</v>
      </c>
      <c r="E97" s="45">
        <f>0.5*0.8042+0.5*0.2135</f>
        <v>0.50885000000000002</v>
      </c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</row>
    <row r="98" spans="1:19" ht="31.2" x14ac:dyDescent="0.4">
      <c r="A98" s="40" t="s">
        <v>167</v>
      </c>
      <c r="B98" s="17" t="s">
        <v>103</v>
      </c>
      <c r="C98" s="35" t="s">
        <v>168</v>
      </c>
      <c r="D98" s="35" t="s">
        <v>169</v>
      </c>
      <c r="E98" s="47">
        <v>0</v>
      </c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9"/>
      <c r="S98" s="9"/>
    </row>
    <row r="99" spans="1:19" x14ac:dyDescent="0.3">
      <c r="A99" s="48"/>
      <c r="E99" s="49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9"/>
      <c r="S99" s="9"/>
    </row>
    <row r="100" spans="1:19" x14ac:dyDescent="0.25">
      <c r="A100" s="174" t="s">
        <v>170</v>
      </c>
      <c r="B100" s="174"/>
      <c r="C100" s="175"/>
      <c r="D100" s="175"/>
      <c r="E100" s="195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</row>
    <row r="101" spans="1:19" x14ac:dyDescent="0.25">
      <c r="A101" s="15" t="s">
        <v>8</v>
      </c>
      <c r="B101" s="15" t="s">
        <v>9</v>
      </c>
      <c r="C101" s="38" t="s">
        <v>10</v>
      </c>
      <c r="D101" s="38" t="s">
        <v>340</v>
      </c>
      <c r="E101" s="16" t="s">
        <v>65</v>
      </c>
      <c r="H101" s="43"/>
      <c r="I101" s="43"/>
      <c r="J101" s="43"/>
      <c r="K101" s="43"/>
      <c r="L101" s="43"/>
      <c r="M101" s="43"/>
      <c r="N101" s="43"/>
      <c r="O101" s="43"/>
      <c r="P101" s="43"/>
      <c r="Q101" s="43"/>
      <c r="R101" s="9"/>
      <c r="S101" s="9"/>
    </row>
    <row r="102" spans="1:19" ht="33.6" x14ac:dyDescent="0.4">
      <c r="A102" s="40" t="s">
        <v>171</v>
      </c>
      <c r="B102" s="17" t="s">
        <v>74</v>
      </c>
      <c r="C102" s="35" t="s">
        <v>172</v>
      </c>
      <c r="D102" s="35" t="s">
        <v>391</v>
      </c>
      <c r="E102" s="50">
        <f>E103*E106*E107*E108*E109*E110</f>
        <v>0.27105284707300797</v>
      </c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9"/>
      <c r="S102" s="9"/>
    </row>
    <row r="103" spans="1:19" ht="46.8" x14ac:dyDescent="0.4">
      <c r="A103" s="51" t="s">
        <v>173</v>
      </c>
      <c r="B103" s="17" t="s">
        <v>76</v>
      </c>
      <c r="C103" s="35" t="s">
        <v>174</v>
      </c>
      <c r="D103" s="35" t="s">
        <v>392</v>
      </c>
      <c r="E103" s="69">
        <f>ROUNDUP(E104/E105,0)</f>
        <v>77</v>
      </c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9"/>
      <c r="S103" s="9"/>
    </row>
    <row r="104" spans="1:19" ht="62.4" x14ac:dyDescent="0.25">
      <c r="A104" s="17" t="s">
        <v>175</v>
      </c>
      <c r="B104" s="17" t="s">
        <v>78</v>
      </c>
      <c r="C104" s="35" t="s">
        <v>176</v>
      </c>
      <c r="D104" s="35" t="s">
        <v>345</v>
      </c>
      <c r="E104" s="52">
        <v>381.125</v>
      </c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9"/>
      <c r="S104" s="9"/>
    </row>
    <row r="105" spans="1:19" ht="62.4" x14ac:dyDescent="0.25">
      <c r="A105" s="17" t="s">
        <v>177</v>
      </c>
      <c r="B105" s="17" t="s">
        <v>80</v>
      </c>
      <c r="C105" s="35" t="s">
        <v>81</v>
      </c>
      <c r="D105" s="35" t="s">
        <v>345</v>
      </c>
      <c r="E105" s="25">
        <f>5</f>
        <v>5</v>
      </c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9"/>
      <c r="S105" s="9"/>
    </row>
    <row r="106" spans="1:19" ht="202.8" x14ac:dyDescent="0.25">
      <c r="A106" s="17" t="s">
        <v>178</v>
      </c>
      <c r="B106" s="17" t="s">
        <v>82</v>
      </c>
      <c r="C106" s="35" t="s">
        <v>179</v>
      </c>
      <c r="D106" s="35" t="s">
        <v>367</v>
      </c>
      <c r="E106" s="25">
        <v>5.2</v>
      </c>
      <c r="H106" s="43"/>
      <c r="I106" s="43"/>
      <c r="J106" s="43"/>
      <c r="K106" s="43"/>
      <c r="L106" s="43"/>
      <c r="M106" s="43"/>
      <c r="N106" s="43"/>
      <c r="O106" s="43"/>
      <c r="P106" s="43"/>
      <c r="Q106" s="43"/>
      <c r="R106" s="9"/>
      <c r="S106" s="9"/>
    </row>
    <row r="107" spans="1:19" ht="156" x14ac:dyDescent="0.25">
      <c r="A107" s="17" t="s">
        <v>180</v>
      </c>
      <c r="B107" s="17" t="s">
        <v>84</v>
      </c>
      <c r="C107" s="35" t="s">
        <v>85</v>
      </c>
      <c r="D107" s="35" t="s">
        <v>365</v>
      </c>
      <c r="E107" s="25">
        <f>25.1/100</f>
        <v>0.251</v>
      </c>
      <c r="H107" s="43"/>
      <c r="I107" s="43"/>
      <c r="J107" s="43"/>
      <c r="K107" s="43"/>
      <c r="L107" s="43"/>
      <c r="M107" s="43"/>
      <c r="N107" s="43"/>
      <c r="O107" s="43"/>
      <c r="P107" s="43"/>
      <c r="Q107" s="43"/>
      <c r="R107" s="9"/>
      <c r="S107" s="9"/>
    </row>
    <row r="108" spans="1:19" ht="62.4" x14ac:dyDescent="0.25">
      <c r="A108" s="17" t="s">
        <v>86</v>
      </c>
      <c r="B108" s="17" t="s">
        <v>87</v>
      </c>
      <c r="C108" s="35" t="s">
        <v>86</v>
      </c>
      <c r="D108" s="35" t="s">
        <v>361</v>
      </c>
      <c r="E108" s="25">
        <f>0.84/1000</f>
        <v>8.3999999999999993E-4</v>
      </c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9"/>
      <c r="S108" s="9"/>
    </row>
    <row r="109" spans="1:19" ht="124.8" x14ac:dyDescent="0.25">
      <c r="A109" s="17" t="s">
        <v>181</v>
      </c>
      <c r="B109" s="17" t="s">
        <v>88</v>
      </c>
      <c r="C109" s="35" t="s">
        <v>89</v>
      </c>
      <c r="D109" s="35" t="s">
        <v>359</v>
      </c>
      <c r="E109" s="25">
        <f>43.33/1000</f>
        <v>4.333E-2</v>
      </c>
      <c r="H109" s="43"/>
      <c r="I109" s="43"/>
      <c r="J109" s="43"/>
      <c r="K109" s="43"/>
      <c r="L109" s="43"/>
      <c r="M109" s="43"/>
      <c r="N109" s="43"/>
      <c r="O109" s="43"/>
      <c r="P109" s="43"/>
      <c r="Q109" s="43"/>
      <c r="R109" s="9"/>
      <c r="S109" s="9"/>
    </row>
    <row r="110" spans="1:19" ht="33.6" x14ac:dyDescent="0.25">
      <c r="A110" s="17" t="s">
        <v>182</v>
      </c>
      <c r="B110" s="17" t="s">
        <v>90</v>
      </c>
      <c r="C110" s="35" t="s">
        <v>91</v>
      </c>
      <c r="D110" s="35" t="s">
        <v>92</v>
      </c>
      <c r="E110" s="25">
        <v>74.099999999999994</v>
      </c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9"/>
      <c r="S110" s="9"/>
    </row>
    <row r="112" spans="1:19" x14ac:dyDescent="0.25">
      <c r="A112" s="33" t="s">
        <v>8</v>
      </c>
      <c r="B112" s="33" t="s">
        <v>9</v>
      </c>
      <c r="C112" s="34" t="s">
        <v>10</v>
      </c>
      <c r="D112" s="34" t="s">
        <v>340</v>
      </c>
      <c r="E112" s="16" t="s">
        <v>65</v>
      </c>
    </row>
    <row r="113" spans="1:19" ht="18" x14ac:dyDescent="0.25">
      <c r="A113" s="15" t="s">
        <v>183</v>
      </c>
      <c r="B113" s="17" t="s">
        <v>103</v>
      </c>
      <c r="C113" s="35" t="s">
        <v>184</v>
      </c>
      <c r="D113" s="53" t="s">
        <v>393</v>
      </c>
      <c r="E113" s="18">
        <f>ROUNDUP(E62+E86+E90+E94+E102,0)</f>
        <v>243</v>
      </c>
    </row>
    <row r="114" spans="1:19" s="209" customFormat="1" ht="38.4" customHeight="1" x14ac:dyDescent="0.25">
      <c r="A114" s="208" t="s">
        <v>221</v>
      </c>
    </row>
    <row r="115" spans="1:19" s="200" customFormat="1" ht="43.2" customHeight="1" x14ac:dyDescent="0.25">
      <c r="A115" s="200" t="s">
        <v>222</v>
      </c>
    </row>
    <row r="116" spans="1:19" ht="23.4" customHeight="1" x14ac:dyDescent="0.25">
      <c r="A116" s="201" t="s">
        <v>105</v>
      </c>
      <c r="B116" s="201"/>
      <c r="C116" s="201"/>
      <c r="D116" s="201"/>
      <c r="E116" s="201"/>
      <c r="F116" s="201"/>
      <c r="G116" s="201"/>
      <c r="H116" s="201"/>
      <c r="I116" s="201"/>
      <c r="J116" s="201"/>
      <c r="K116" s="201"/>
      <c r="L116" s="201"/>
      <c r="M116" s="201"/>
      <c r="N116" s="201"/>
      <c r="O116" s="201"/>
      <c r="P116" s="201"/>
      <c r="Q116" s="202"/>
    </row>
    <row r="117" spans="1:19" s="10" customFormat="1" ht="31.2" x14ac:dyDescent="0.25">
      <c r="A117" s="15" t="s">
        <v>8</v>
      </c>
      <c r="B117" s="15" t="s">
        <v>9</v>
      </c>
      <c r="C117" s="15" t="s">
        <v>10</v>
      </c>
      <c r="D117" s="15" t="s">
        <v>340</v>
      </c>
      <c r="E117" s="16" t="s">
        <v>11</v>
      </c>
      <c r="F117" s="16" t="s">
        <v>322</v>
      </c>
      <c r="G117" s="16" t="s">
        <v>323</v>
      </c>
      <c r="H117" s="16" t="s">
        <v>324</v>
      </c>
      <c r="I117" s="16" t="s">
        <v>325</v>
      </c>
      <c r="J117" s="16" t="s">
        <v>326</v>
      </c>
      <c r="K117" s="16" t="s">
        <v>329</v>
      </c>
      <c r="L117" s="16" t="s">
        <v>292</v>
      </c>
      <c r="M117" s="16" t="s">
        <v>292</v>
      </c>
      <c r="N117" s="16" t="s">
        <v>292</v>
      </c>
      <c r="O117" s="16" t="s">
        <v>292</v>
      </c>
      <c r="P117" s="16" t="s">
        <v>292</v>
      </c>
      <c r="Q117" s="16" t="s">
        <v>292</v>
      </c>
      <c r="R117" s="54"/>
      <c r="S117" s="54"/>
    </row>
    <row r="118" spans="1:19" s="10" customFormat="1" x14ac:dyDescent="0.25">
      <c r="A118" s="203" t="s">
        <v>106</v>
      </c>
      <c r="B118" s="203"/>
      <c r="C118" s="203"/>
      <c r="D118" s="203"/>
      <c r="E118" s="204"/>
      <c r="F118" s="16">
        <v>31</v>
      </c>
      <c r="G118" s="16">
        <v>28</v>
      </c>
      <c r="H118" s="16">
        <v>31</v>
      </c>
      <c r="I118" s="16">
        <v>30</v>
      </c>
      <c r="J118" s="16">
        <v>31</v>
      </c>
      <c r="K118" s="16">
        <v>30</v>
      </c>
      <c r="L118" s="16" t="s">
        <v>292</v>
      </c>
      <c r="M118" s="16" t="s">
        <v>292</v>
      </c>
      <c r="N118" s="16" t="s">
        <v>292</v>
      </c>
      <c r="O118" s="16" t="s">
        <v>292</v>
      </c>
      <c r="P118" s="16" t="s">
        <v>292</v>
      </c>
      <c r="Q118" s="16" t="s">
        <v>292</v>
      </c>
      <c r="R118" s="54"/>
      <c r="S118" s="54"/>
    </row>
    <row r="119" spans="1:19" s="10" customFormat="1" ht="31.2" x14ac:dyDescent="0.25">
      <c r="A119" s="15" t="s">
        <v>107</v>
      </c>
      <c r="B119" s="17" t="s">
        <v>103</v>
      </c>
      <c r="C119" s="17" t="s">
        <v>108</v>
      </c>
      <c r="D119" s="17" t="s">
        <v>381</v>
      </c>
      <c r="E119" s="18">
        <f>E120+E130</f>
        <v>0</v>
      </c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54"/>
      <c r="S119" s="54"/>
    </row>
    <row r="120" spans="1:19" ht="46.8" x14ac:dyDescent="0.25">
      <c r="A120" s="17" t="s">
        <v>109</v>
      </c>
      <c r="B120" s="17" t="s">
        <v>103</v>
      </c>
      <c r="C120" s="17" t="s">
        <v>110</v>
      </c>
      <c r="D120" s="17" t="s">
        <v>382</v>
      </c>
      <c r="E120" s="19">
        <f>SUM(F120:K120)</f>
        <v>0</v>
      </c>
      <c r="F120" s="19">
        <f>IF(F121&gt;=0.8,0,$E$15*$E$16*0.4*(F122-F125)*F118)</f>
        <v>0</v>
      </c>
      <c r="G120" s="19">
        <f t="shared" ref="G120:K120" si="14">IF(G121&gt;=0.8,0,$E$15*$E$16*0.4*(G122-G125)*G118)</f>
        <v>0</v>
      </c>
      <c r="H120" s="19">
        <f t="shared" si="14"/>
        <v>0</v>
      </c>
      <c r="I120" s="19">
        <f t="shared" si="14"/>
        <v>0</v>
      </c>
      <c r="J120" s="19">
        <f t="shared" si="14"/>
        <v>0</v>
      </c>
      <c r="K120" s="19">
        <f t="shared" si="14"/>
        <v>0</v>
      </c>
      <c r="L120" s="19" t="s">
        <v>297</v>
      </c>
      <c r="M120" s="19" t="s">
        <v>297</v>
      </c>
      <c r="N120" s="19" t="s">
        <v>297</v>
      </c>
      <c r="O120" s="19" t="s">
        <v>297</v>
      </c>
      <c r="P120" s="19" t="s">
        <v>297</v>
      </c>
      <c r="Q120" s="19" t="s">
        <v>297</v>
      </c>
    </row>
    <row r="121" spans="1:19" ht="62.4" x14ac:dyDescent="0.25">
      <c r="A121" s="17" t="s">
        <v>111</v>
      </c>
      <c r="B121" s="17" t="s">
        <v>37</v>
      </c>
      <c r="C121" s="17" t="s">
        <v>112</v>
      </c>
      <c r="D121" s="17" t="s">
        <v>383</v>
      </c>
      <c r="E121" s="20">
        <f>AVERAGE(F121:K121)</f>
        <v>0.94564935621636981</v>
      </c>
      <c r="F121" s="20">
        <f>(F122-F125)/F122</f>
        <v>0.94785348665976665</v>
      </c>
      <c r="G121" s="20">
        <f t="shared" ref="G121:K121" si="15">(G122-G125)/G122</f>
        <v>0.9449409865859425</v>
      </c>
      <c r="H121" s="20">
        <f t="shared" si="15"/>
        <v>0.94669914209333517</v>
      </c>
      <c r="I121" s="20">
        <f t="shared" si="15"/>
        <v>0.9466293298347479</v>
      </c>
      <c r="J121" s="20">
        <f t="shared" si="15"/>
        <v>0.94738056342015786</v>
      </c>
      <c r="K121" s="20">
        <f t="shared" si="15"/>
        <v>0.94039262870426921</v>
      </c>
      <c r="L121" s="20" t="s">
        <v>297</v>
      </c>
      <c r="M121" s="20" t="s">
        <v>297</v>
      </c>
      <c r="N121" s="20" t="s">
        <v>297</v>
      </c>
      <c r="O121" s="20" t="s">
        <v>297</v>
      </c>
      <c r="P121" s="20" t="s">
        <v>297</v>
      </c>
      <c r="Q121" s="20" t="s">
        <v>297</v>
      </c>
    </row>
    <row r="122" spans="1:19" ht="46.8" x14ac:dyDescent="0.25">
      <c r="A122" s="17" t="s">
        <v>113</v>
      </c>
      <c r="B122" s="17" t="s">
        <v>24</v>
      </c>
      <c r="C122" s="17" t="s">
        <v>114</v>
      </c>
      <c r="D122" s="17" t="s">
        <v>384</v>
      </c>
      <c r="E122" s="20">
        <f>SUM(F122:K122)</f>
        <v>3.6632107515301224</v>
      </c>
      <c r="F122" s="20">
        <f>F123*F124</f>
        <v>0.57907825518418332</v>
      </c>
      <c r="G122" s="20">
        <f t="shared" ref="G122:K122" si="16">G123*G124</f>
        <v>0.57900719310937476</v>
      </c>
      <c r="H122" s="20">
        <f t="shared" si="16"/>
        <v>0.57898686106815822</v>
      </c>
      <c r="I122" s="20">
        <f t="shared" si="16"/>
        <v>0.57843426063564796</v>
      </c>
      <c r="J122" s="20">
        <f t="shared" si="16"/>
        <v>0.71208710450616564</v>
      </c>
      <c r="K122" s="20">
        <f t="shared" si="16"/>
        <v>0.63561707702659243</v>
      </c>
      <c r="L122" s="20" t="s">
        <v>297</v>
      </c>
      <c r="M122" s="20" t="s">
        <v>297</v>
      </c>
      <c r="N122" s="20" t="s">
        <v>297</v>
      </c>
      <c r="O122" s="20" t="s">
        <v>297</v>
      </c>
      <c r="P122" s="20" t="s">
        <v>297</v>
      </c>
      <c r="Q122" s="20" t="s">
        <v>297</v>
      </c>
    </row>
    <row r="123" spans="1:19" ht="63.6" customHeight="1" x14ac:dyDescent="0.25">
      <c r="A123" s="17" t="s">
        <v>115</v>
      </c>
      <c r="B123" s="17" t="s">
        <v>116</v>
      </c>
      <c r="C123" s="17" t="s">
        <v>117</v>
      </c>
      <c r="D123" s="17" t="s">
        <v>336</v>
      </c>
      <c r="E123" s="129">
        <f>SUM(F123:K123)</f>
        <v>13446.680654454683</v>
      </c>
      <c r="F123" s="129">
        <f>'Baseline Emissions 2022'!F120</f>
        <v>2096.8679032258069</v>
      </c>
      <c r="G123" s="129">
        <f>'Baseline Emissions 2022'!G120</f>
        <v>2096.9341071428566</v>
      </c>
      <c r="H123" s="129">
        <f>'Baseline Emissions 2022'!H120</f>
        <v>2096.7573870967744</v>
      </c>
      <c r="I123" s="129">
        <f>'Baseline Emissions 2022'!I120</f>
        <v>2097.1482333333324</v>
      </c>
      <c r="J123" s="129">
        <f>'Baseline Emissions 2022'!J120</f>
        <v>2579.2042903225811</v>
      </c>
      <c r="K123" s="129">
        <v>2479.7687333333324</v>
      </c>
      <c r="L123" s="21" t="s">
        <v>297</v>
      </c>
      <c r="M123" s="21" t="s">
        <v>297</v>
      </c>
      <c r="N123" s="21" t="s">
        <v>297</v>
      </c>
      <c r="O123" s="21" t="s">
        <v>297</v>
      </c>
      <c r="P123" s="21" t="s">
        <v>297</v>
      </c>
      <c r="Q123" s="21" t="s">
        <v>297</v>
      </c>
    </row>
    <row r="124" spans="1:19" ht="46.8" x14ac:dyDescent="0.25">
      <c r="A124" s="17" t="s">
        <v>118</v>
      </c>
      <c r="B124" s="17" t="s">
        <v>119</v>
      </c>
      <c r="C124" s="17" t="s">
        <v>120</v>
      </c>
      <c r="D124" s="35" t="s">
        <v>338</v>
      </c>
      <c r="E124" s="120">
        <f>AVERAGE(F124:K124)</f>
        <v>2.7277452359617682E-4</v>
      </c>
      <c r="F124" s="130">
        <f>'Baseline Emissions 2022'!F124</f>
        <v>2.7616344086021509E-4</v>
      </c>
      <c r="G124" s="130">
        <f>'Baseline Emissions 2022'!G124</f>
        <v>2.7612083333333331E-4</v>
      </c>
      <c r="H124" s="130">
        <f>'Baseline Emissions 2022'!H124</f>
        <v>2.7613440860215052E-4</v>
      </c>
      <c r="I124" s="130">
        <f>'Baseline Emissions 2022'!I124</f>
        <v>2.7581944444444447E-4</v>
      </c>
      <c r="J124" s="130">
        <f>'Baseline Emissions 2022'!J124</f>
        <v>2.7608790322580649E-4</v>
      </c>
      <c r="K124" s="130">
        <f>'Baseline Emissions 2022'!K124</f>
        <v>2.5632111111111114E-4</v>
      </c>
      <c r="L124" s="23" t="s">
        <v>297</v>
      </c>
      <c r="M124" s="23" t="s">
        <v>297</v>
      </c>
      <c r="N124" s="23" t="s">
        <v>297</v>
      </c>
      <c r="O124" s="23" t="s">
        <v>297</v>
      </c>
      <c r="P124" s="23" t="s">
        <v>297</v>
      </c>
      <c r="Q124" s="23" t="s">
        <v>297</v>
      </c>
    </row>
    <row r="125" spans="1:19" ht="46.8" x14ac:dyDescent="0.25">
      <c r="A125" s="17" t="s">
        <v>121</v>
      </c>
      <c r="B125" s="17" t="s">
        <v>24</v>
      </c>
      <c r="C125" s="17" t="s">
        <v>122</v>
      </c>
      <c r="D125" s="17" t="s">
        <v>384</v>
      </c>
      <c r="E125" s="20">
        <f>SUM(F125:K125)</f>
        <v>0.19916548266664913</v>
      </c>
      <c r="F125" s="20">
        <f>SUM(F126*F127)</f>
        <v>3.0196911959001038E-2</v>
      </c>
      <c r="G125" s="20">
        <f t="shared" ref="G125:K125" si="17">SUM(G126*G127)</f>
        <v>3.1879564812244895E-2</v>
      </c>
      <c r="H125" s="20">
        <f t="shared" si="17"/>
        <v>3.0860496411619837E-2</v>
      </c>
      <c r="I125" s="20">
        <f t="shared" si="17"/>
        <v>3.0871424136666659E-2</v>
      </c>
      <c r="J125" s="20">
        <f t="shared" si="17"/>
        <v>3.7469622234885536E-2</v>
      </c>
      <c r="K125" s="20">
        <f t="shared" si="17"/>
        <v>3.7887463112231186E-2</v>
      </c>
      <c r="L125" s="20" t="s">
        <v>297</v>
      </c>
      <c r="M125" s="20" t="s">
        <v>297</v>
      </c>
      <c r="N125" s="20" t="s">
        <v>297</v>
      </c>
      <c r="O125" s="20" t="s">
        <v>297</v>
      </c>
      <c r="P125" s="20" t="s">
        <v>297</v>
      </c>
      <c r="Q125" s="20" t="s">
        <v>297</v>
      </c>
    </row>
    <row r="126" spans="1:19" ht="62.4" x14ac:dyDescent="0.25">
      <c r="A126" s="17" t="s">
        <v>123</v>
      </c>
      <c r="B126" s="17" t="s">
        <v>116</v>
      </c>
      <c r="C126" s="17" t="s">
        <v>124</v>
      </c>
      <c r="D126" s="17" t="s">
        <v>337</v>
      </c>
      <c r="E126" s="129">
        <f>SUM(F126:K126)</f>
        <v>13018.593267281105</v>
      </c>
      <c r="F126" s="129">
        <v>2014.8606774193547</v>
      </c>
      <c r="G126" s="129">
        <v>2014.0519285714286</v>
      </c>
      <c r="H126" s="129">
        <v>2013.382322580645</v>
      </c>
      <c r="I126" s="129">
        <v>2014.2294999999995</v>
      </c>
      <c r="J126" s="129">
        <v>2481.0344193548385</v>
      </c>
      <c r="K126" s="129">
        <v>2481.0344193548385</v>
      </c>
      <c r="L126" s="21" t="s">
        <v>297</v>
      </c>
      <c r="M126" s="21" t="s">
        <v>297</v>
      </c>
      <c r="N126" s="21" t="s">
        <v>297</v>
      </c>
      <c r="O126" s="21" t="s">
        <v>297</v>
      </c>
      <c r="P126" s="21" t="s">
        <v>297</v>
      </c>
      <c r="Q126" s="21" t="s">
        <v>297</v>
      </c>
    </row>
    <row r="127" spans="1:19" ht="46.8" x14ac:dyDescent="0.25">
      <c r="A127" s="17" t="s">
        <v>125</v>
      </c>
      <c r="B127" s="17" t="s">
        <v>119</v>
      </c>
      <c r="C127" s="17" t="s">
        <v>126</v>
      </c>
      <c r="D127" s="35" t="s">
        <v>339</v>
      </c>
      <c r="E127" s="131">
        <f>AVERAGE(F127:K127)</f>
        <v>1.5307212621607784E-5</v>
      </c>
      <c r="F127" s="131">
        <f>'Baseline Emissions 2022'!F125</f>
        <v>1.4987096774193548E-5</v>
      </c>
      <c r="G127" s="131">
        <f>'Baseline Emissions 2022'!G125</f>
        <v>1.5828571428571428E-5</v>
      </c>
      <c r="H127" s="131">
        <f>'Baseline Emissions 2022'!H125</f>
        <v>1.5327688172043009E-5</v>
      </c>
      <c r="I127" s="131">
        <f>'Baseline Emissions 2022'!I125</f>
        <v>1.5326666666666667E-5</v>
      </c>
      <c r="J127" s="131">
        <f>'Baseline Emissions 2022'!J125</f>
        <v>1.510241935483871E-5</v>
      </c>
      <c r="K127" s="131">
        <f>'Baseline Emissions 2022'!K125</f>
        <v>1.5270833333333336E-5</v>
      </c>
      <c r="L127" s="24" t="s">
        <v>297</v>
      </c>
      <c r="M127" s="24" t="s">
        <v>297</v>
      </c>
      <c r="N127" s="24" t="s">
        <v>297</v>
      </c>
      <c r="O127" s="24" t="s">
        <v>297</v>
      </c>
      <c r="P127" s="24" t="s">
        <v>297</v>
      </c>
      <c r="Q127" s="24" t="s">
        <v>297</v>
      </c>
    </row>
    <row r="128" spans="1:19" ht="31.2" x14ac:dyDescent="0.25">
      <c r="A128" s="17" t="s">
        <v>127</v>
      </c>
      <c r="B128" s="17" t="s">
        <v>128</v>
      </c>
      <c r="C128" s="17" t="s">
        <v>17</v>
      </c>
      <c r="D128" s="17" t="s">
        <v>129</v>
      </c>
      <c r="E128" s="176">
        <v>28</v>
      </c>
      <c r="F128" s="176"/>
      <c r="G128" s="176"/>
      <c r="H128" s="176"/>
      <c r="I128" s="176"/>
      <c r="J128" s="176"/>
      <c r="K128" s="176"/>
      <c r="L128" s="176"/>
      <c r="M128" s="176"/>
      <c r="N128" s="176"/>
      <c r="O128" s="176"/>
      <c r="P128" s="176"/>
      <c r="Q128" s="176"/>
    </row>
    <row r="129" spans="1:17" ht="64.8" x14ac:dyDescent="0.25">
      <c r="A129" s="17" t="s">
        <v>130</v>
      </c>
      <c r="B129" s="17" t="s">
        <v>19</v>
      </c>
      <c r="C129" s="17" t="s">
        <v>131</v>
      </c>
      <c r="D129" s="17" t="s">
        <v>394</v>
      </c>
      <c r="E129" s="176">
        <v>0.21</v>
      </c>
      <c r="F129" s="176"/>
      <c r="G129" s="176"/>
      <c r="H129" s="176"/>
      <c r="I129" s="176"/>
      <c r="J129" s="176"/>
      <c r="K129" s="176"/>
      <c r="L129" s="176"/>
      <c r="M129" s="176"/>
      <c r="N129" s="176"/>
      <c r="O129" s="176"/>
      <c r="P129" s="176"/>
      <c r="Q129" s="176"/>
    </row>
    <row r="130" spans="1:17" ht="46.8" x14ac:dyDescent="0.25">
      <c r="A130" s="17" t="s">
        <v>132</v>
      </c>
      <c r="B130" s="17" t="s">
        <v>103</v>
      </c>
      <c r="C130" s="17" t="s">
        <v>133</v>
      </c>
      <c r="D130" s="17" t="s">
        <v>385</v>
      </c>
      <c r="E130" s="19">
        <f>SUM(F130:K130)</f>
        <v>0</v>
      </c>
      <c r="F130" s="19">
        <f>$E$128*$E$129*F131*F125*F118</f>
        <v>0</v>
      </c>
      <c r="G130" s="19">
        <f t="shared" ref="G130:K130" si="18">$E$128*$E$129*G131*G125*G118</f>
        <v>0</v>
      </c>
      <c r="H130" s="19">
        <f t="shared" si="18"/>
        <v>0</v>
      </c>
      <c r="I130" s="19">
        <f t="shared" si="18"/>
        <v>0</v>
      </c>
      <c r="J130" s="19">
        <f t="shared" si="18"/>
        <v>0</v>
      </c>
      <c r="K130" s="19">
        <f t="shared" si="18"/>
        <v>0</v>
      </c>
      <c r="L130" s="19" t="s">
        <v>297</v>
      </c>
      <c r="M130" s="19" t="s">
        <v>297</v>
      </c>
      <c r="N130" s="19" t="s">
        <v>297</v>
      </c>
      <c r="O130" s="19" t="s">
        <v>297</v>
      </c>
      <c r="P130" s="19" t="s">
        <v>297</v>
      </c>
      <c r="Q130" s="19" t="s">
        <v>297</v>
      </c>
    </row>
    <row r="131" spans="1:17" ht="18" x14ac:dyDescent="0.25">
      <c r="A131" s="17" t="s">
        <v>134</v>
      </c>
      <c r="B131" s="17" t="s">
        <v>37</v>
      </c>
      <c r="C131" s="17" t="s">
        <v>135</v>
      </c>
      <c r="D131" s="17" t="s">
        <v>386</v>
      </c>
      <c r="E131" s="26">
        <f>AVERAGE(F131:K131)</f>
        <v>0</v>
      </c>
      <c r="F131" s="26">
        <f>F132*$E$133*0.89</f>
        <v>0</v>
      </c>
      <c r="G131" s="26">
        <f t="shared" ref="G131:K131" si="19">G132*$E$133*0.89</f>
        <v>0</v>
      </c>
      <c r="H131" s="26">
        <f t="shared" si="19"/>
        <v>0</v>
      </c>
      <c r="I131" s="26">
        <f t="shared" si="19"/>
        <v>0</v>
      </c>
      <c r="J131" s="26">
        <f t="shared" si="19"/>
        <v>0</v>
      </c>
      <c r="K131" s="26">
        <f t="shared" si="19"/>
        <v>0</v>
      </c>
      <c r="L131" s="26" t="s">
        <v>297</v>
      </c>
      <c r="M131" s="26" t="s">
        <v>297</v>
      </c>
      <c r="N131" s="26" t="s">
        <v>297</v>
      </c>
      <c r="O131" s="26" t="s">
        <v>297</v>
      </c>
      <c r="P131" s="26" t="s">
        <v>297</v>
      </c>
      <c r="Q131" s="26" t="s">
        <v>297</v>
      </c>
    </row>
    <row r="132" spans="1:17" ht="31.2" x14ac:dyDescent="0.25">
      <c r="A132" s="17" t="s">
        <v>136</v>
      </c>
      <c r="B132" s="17" t="s">
        <v>37</v>
      </c>
      <c r="C132" s="17" t="s">
        <v>46</v>
      </c>
      <c r="D132" s="17" t="s">
        <v>387</v>
      </c>
      <c r="E132" s="25">
        <v>0</v>
      </c>
      <c r="F132" s="25">
        <v>0</v>
      </c>
      <c r="G132" s="25">
        <v>0</v>
      </c>
      <c r="H132" s="25">
        <v>0</v>
      </c>
      <c r="I132" s="25">
        <v>0</v>
      </c>
      <c r="J132" s="25">
        <v>0</v>
      </c>
      <c r="K132" s="25">
        <v>0</v>
      </c>
      <c r="L132" s="25" t="s">
        <v>297</v>
      </c>
      <c r="M132" s="25" t="s">
        <v>297</v>
      </c>
      <c r="N132" s="25" t="s">
        <v>297</v>
      </c>
      <c r="O132" s="25" t="s">
        <v>297</v>
      </c>
      <c r="P132" s="25" t="s">
        <v>297</v>
      </c>
      <c r="Q132" s="25" t="s">
        <v>297</v>
      </c>
    </row>
    <row r="133" spans="1:17" ht="31.2" x14ac:dyDescent="0.25">
      <c r="A133" s="17" t="s">
        <v>137</v>
      </c>
      <c r="B133" s="17" t="s">
        <v>201</v>
      </c>
      <c r="C133" s="17" t="s">
        <v>138</v>
      </c>
      <c r="D133" s="17" t="s">
        <v>388</v>
      </c>
      <c r="E133" s="196">
        <f>(F134*F139+G134*G139+H134*H139+I134*I139+J134*J139+K134*K139)/(F126*F127*F118+G127*G126*G118+H126*H127*H118+I127*I126*I118+J127*J126*J118+K127*K126*K118)</f>
        <v>0.53847328066524069</v>
      </c>
      <c r="F133" s="196"/>
      <c r="G133" s="196"/>
      <c r="H133" s="196"/>
      <c r="I133" s="196"/>
      <c r="J133" s="196"/>
      <c r="K133" s="196"/>
      <c r="L133" s="196"/>
      <c r="M133" s="196"/>
      <c r="N133" s="196"/>
      <c r="O133" s="196"/>
      <c r="P133" s="196"/>
      <c r="Q133" s="196"/>
    </row>
    <row r="134" spans="1:17" ht="31.2" x14ac:dyDescent="0.25">
      <c r="A134" s="17" t="s">
        <v>139</v>
      </c>
      <c r="B134" s="17" t="s">
        <v>37</v>
      </c>
      <c r="C134" s="17" t="s">
        <v>140</v>
      </c>
      <c r="D134" s="17" t="s">
        <v>375</v>
      </c>
      <c r="E134" s="27">
        <f>AVERAGE(F134:K134)</f>
        <v>0.52072660245860247</v>
      </c>
      <c r="F134" s="27">
        <f>IF(F138&lt;283,0,IF(F138&gt;303,1,EXP(($E$135*(F138-$E$136))/($E$137*$E$136*F138))))</f>
        <v>0.32317176495848171</v>
      </c>
      <c r="G134" s="27">
        <f t="shared" ref="G134:K134" si="20">IF(G138&lt;283,0,IF(G138&gt;303,1,EXP(($E$135*(G138-$E$136))/($E$137*$E$136*G138))))</f>
        <v>0.24547412919519337</v>
      </c>
      <c r="H134" s="27">
        <f t="shared" si="20"/>
        <v>0.50475941545474445</v>
      </c>
      <c r="I134" s="27">
        <f t="shared" si="20"/>
        <v>0.55084569341606926</v>
      </c>
      <c r="J134" s="27">
        <f t="shared" si="20"/>
        <v>0.65487347206548807</v>
      </c>
      <c r="K134" s="27">
        <f t="shared" si="20"/>
        <v>0.84523513966163832</v>
      </c>
      <c r="L134" s="27" t="s">
        <v>297</v>
      </c>
      <c r="M134" s="27" t="s">
        <v>297</v>
      </c>
      <c r="N134" s="27" t="s">
        <v>297</v>
      </c>
      <c r="O134" s="27" t="s">
        <v>297</v>
      </c>
      <c r="P134" s="27" t="s">
        <v>297</v>
      </c>
      <c r="Q134" s="27" t="s">
        <v>297</v>
      </c>
    </row>
    <row r="135" spans="1:17" x14ac:dyDescent="0.25">
      <c r="A135" s="17" t="s">
        <v>51</v>
      </c>
      <c r="B135" s="17" t="s">
        <v>52</v>
      </c>
      <c r="C135" s="17" t="s">
        <v>53</v>
      </c>
      <c r="D135" s="17" t="s">
        <v>389</v>
      </c>
      <c r="E135" s="176">
        <v>15175</v>
      </c>
      <c r="F135" s="176"/>
      <c r="G135" s="176"/>
      <c r="H135" s="176"/>
      <c r="I135" s="176"/>
      <c r="J135" s="176"/>
      <c r="K135" s="176"/>
      <c r="L135" s="176"/>
      <c r="M135" s="176"/>
      <c r="N135" s="176"/>
      <c r="O135" s="176"/>
      <c r="P135" s="176"/>
      <c r="Q135" s="176"/>
    </row>
    <row r="136" spans="1:17" ht="18" x14ac:dyDescent="0.25">
      <c r="A136" s="17" t="s">
        <v>141</v>
      </c>
      <c r="B136" s="17" t="s">
        <v>55</v>
      </c>
      <c r="C136" s="17" t="s">
        <v>56</v>
      </c>
      <c r="D136" s="17" t="s">
        <v>389</v>
      </c>
      <c r="E136" s="176">
        <v>303.16000000000003</v>
      </c>
      <c r="F136" s="176"/>
      <c r="G136" s="176"/>
      <c r="H136" s="176"/>
      <c r="I136" s="176"/>
      <c r="J136" s="176"/>
      <c r="K136" s="176"/>
      <c r="L136" s="176"/>
      <c r="M136" s="176"/>
      <c r="N136" s="176"/>
      <c r="O136" s="176"/>
      <c r="P136" s="176"/>
      <c r="Q136" s="176"/>
    </row>
    <row r="137" spans="1:17" x14ac:dyDescent="0.25">
      <c r="A137" s="17" t="s">
        <v>57</v>
      </c>
      <c r="B137" s="17" t="s">
        <v>58</v>
      </c>
      <c r="C137" s="17" t="s">
        <v>59</v>
      </c>
      <c r="D137" s="17" t="s">
        <v>389</v>
      </c>
      <c r="E137" s="176">
        <v>1.9870000000000001</v>
      </c>
      <c r="F137" s="176"/>
      <c r="G137" s="176"/>
      <c r="H137" s="176"/>
      <c r="I137" s="176"/>
      <c r="J137" s="176"/>
      <c r="K137" s="176"/>
      <c r="L137" s="176"/>
      <c r="M137" s="176"/>
      <c r="N137" s="176"/>
      <c r="O137" s="176"/>
      <c r="P137" s="176"/>
      <c r="Q137" s="176"/>
    </row>
    <row r="138" spans="1:17" ht="18" x14ac:dyDescent="0.25">
      <c r="A138" s="17" t="s">
        <v>142</v>
      </c>
      <c r="B138" s="17" t="s">
        <v>55</v>
      </c>
      <c r="C138" s="17" t="s">
        <v>143</v>
      </c>
      <c r="D138" s="144" t="s">
        <v>364</v>
      </c>
      <c r="E138" s="28">
        <f>AVERAGE(F138:K138)</f>
        <v>294.65000000000003</v>
      </c>
      <c r="F138" s="25">
        <v>290.14999999999998</v>
      </c>
      <c r="G138" s="25">
        <v>287.14999999999998</v>
      </c>
      <c r="H138" s="25">
        <v>295.14999999999998</v>
      </c>
      <c r="I138" s="25">
        <v>296.14999999999998</v>
      </c>
      <c r="J138" s="25">
        <v>298.14999999999998</v>
      </c>
      <c r="K138" s="25">
        <v>301.14999999999998</v>
      </c>
      <c r="L138" s="25" t="s">
        <v>297</v>
      </c>
      <c r="M138" s="25" t="s">
        <v>297</v>
      </c>
      <c r="N138" s="25" t="s">
        <v>297</v>
      </c>
      <c r="O138" s="25" t="s">
        <v>297</v>
      </c>
      <c r="P138" s="25" t="s">
        <v>297</v>
      </c>
      <c r="Q138" s="25" t="s">
        <v>297</v>
      </c>
    </row>
    <row r="139" spans="1:17" ht="46.8" x14ac:dyDescent="0.25">
      <c r="A139" s="17" t="s">
        <v>144</v>
      </c>
      <c r="B139" s="17" t="s">
        <v>24</v>
      </c>
      <c r="C139" s="17" t="s">
        <v>145</v>
      </c>
      <c r="D139" s="17" t="s">
        <v>390</v>
      </c>
      <c r="E139" s="29">
        <f>SUM(F139:K139)</f>
        <v>6.0097323809804903</v>
      </c>
      <c r="F139" s="29">
        <f>F126*F127*'Project Emissions 2022'!F118+(1-F134)*0</f>
        <v>0.93610427072903213</v>
      </c>
      <c r="G139" s="29">
        <f>G126*G127*'Project Emissions 2022'!G118+(1-G134)*0</f>
        <v>0.89262781474285702</v>
      </c>
      <c r="H139" s="29">
        <f>H126*H127*'Project Emissions 2022'!H118+(1-H134)*0</f>
        <v>0.95667538876021496</v>
      </c>
      <c r="I139" s="29">
        <f>I126*I127*'Project Emissions 2022'!I118+(1-I134)*0</f>
        <v>0.92614272409999976</v>
      </c>
      <c r="J139" s="29">
        <f>J126*J127*'Project Emissions 2022'!J118+(1-J134)*0</f>
        <v>1.1615582892814516</v>
      </c>
      <c r="K139" s="29">
        <f>K126*K127*'Project Emissions 2022'!K118+(1-K134)*0</f>
        <v>1.1366238933669355</v>
      </c>
      <c r="L139" s="29" t="s">
        <v>297</v>
      </c>
      <c r="M139" s="29" t="s">
        <v>297</v>
      </c>
      <c r="N139" s="29" t="s">
        <v>297</v>
      </c>
      <c r="O139" s="29" t="s">
        <v>297</v>
      </c>
      <c r="P139" s="29" t="s">
        <v>297</v>
      </c>
      <c r="Q139" s="29" t="s">
        <v>297</v>
      </c>
    </row>
    <row r="140" spans="1:17" x14ac:dyDescent="0.3">
      <c r="A140" s="30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</row>
    <row r="141" spans="1:17" x14ac:dyDescent="0.25">
      <c r="A141" s="174" t="s">
        <v>146</v>
      </c>
      <c r="B141" s="174"/>
      <c r="C141" s="175"/>
      <c r="D141" s="175"/>
      <c r="E141" s="195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</row>
    <row r="142" spans="1:17" x14ac:dyDescent="0.25">
      <c r="A142" s="33" t="s">
        <v>8</v>
      </c>
      <c r="B142" s="33" t="s">
        <v>9</v>
      </c>
      <c r="C142" s="34" t="s">
        <v>10</v>
      </c>
      <c r="D142" s="34" t="s">
        <v>340</v>
      </c>
      <c r="E142" s="16" t="s">
        <v>65</v>
      </c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</row>
    <row r="143" spans="1:17" ht="46.8" x14ac:dyDescent="0.25">
      <c r="A143" s="15" t="s">
        <v>147</v>
      </c>
      <c r="B143" s="17" t="s">
        <v>95</v>
      </c>
      <c r="C143" s="35" t="s">
        <v>148</v>
      </c>
      <c r="D143" s="35" t="s">
        <v>68</v>
      </c>
      <c r="E143" s="16">
        <v>0</v>
      </c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</row>
    <row r="144" spans="1:17" x14ac:dyDescent="0.25">
      <c r="A144" s="36"/>
      <c r="B144" s="36"/>
      <c r="C144" s="37"/>
      <c r="D144" s="37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</row>
    <row r="145" spans="1:19" x14ac:dyDescent="0.25">
      <c r="A145" s="174" t="s">
        <v>149</v>
      </c>
      <c r="B145" s="174"/>
      <c r="C145" s="175"/>
      <c r="D145" s="175"/>
      <c r="E145" s="195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</row>
    <row r="146" spans="1:19" x14ac:dyDescent="0.25">
      <c r="A146" s="33" t="s">
        <v>8</v>
      </c>
      <c r="B146" s="33" t="s">
        <v>9</v>
      </c>
      <c r="C146" s="34" t="s">
        <v>10</v>
      </c>
      <c r="D146" s="34" t="s">
        <v>340</v>
      </c>
      <c r="E146" s="16" t="s">
        <v>65</v>
      </c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</row>
    <row r="147" spans="1:19" ht="46.8" x14ac:dyDescent="0.25">
      <c r="A147" s="15" t="s">
        <v>150</v>
      </c>
      <c r="B147" s="17" t="s">
        <v>95</v>
      </c>
      <c r="C147" s="35" t="s">
        <v>151</v>
      </c>
      <c r="D147" s="35" t="s">
        <v>68</v>
      </c>
      <c r="E147" s="16">
        <v>0</v>
      </c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</row>
    <row r="148" spans="1:19" x14ac:dyDescent="0.25"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</row>
    <row r="149" spans="1:19" x14ac:dyDescent="0.25">
      <c r="A149" s="174" t="s">
        <v>152</v>
      </c>
      <c r="B149" s="174"/>
      <c r="C149" s="175"/>
      <c r="D149" s="175"/>
      <c r="E149" s="195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</row>
    <row r="150" spans="1:19" s="10" customFormat="1" x14ac:dyDescent="0.25">
      <c r="A150" s="15" t="s">
        <v>8</v>
      </c>
      <c r="B150" s="15" t="s">
        <v>9</v>
      </c>
      <c r="C150" s="38" t="s">
        <v>10</v>
      </c>
      <c r="D150" s="38" t="s">
        <v>340</v>
      </c>
      <c r="E150" s="16" t="s">
        <v>65</v>
      </c>
      <c r="F150" s="32"/>
      <c r="G150" s="32"/>
      <c r="H150" s="39"/>
      <c r="I150" s="39"/>
      <c r="J150" s="39"/>
      <c r="K150" s="39"/>
      <c r="L150" s="39"/>
      <c r="M150" s="39"/>
      <c r="N150" s="39"/>
      <c r="O150" s="39"/>
      <c r="P150" s="39"/>
      <c r="Q150" s="39"/>
    </row>
    <row r="151" spans="1:19" s="10" customFormat="1" ht="18" x14ac:dyDescent="0.4">
      <c r="A151" s="40" t="s">
        <v>153</v>
      </c>
      <c r="B151" s="17" t="s">
        <v>103</v>
      </c>
      <c r="C151" s="35" t="s">
        <v>154</v>
      </c>
      <c r="D151" s="35" t="s">
        <v>155</v>
      </c>
      <c r="E151" s="41">
        <f>E152*E154*(1+E153)</f>
        <v>128.1110436132</v>
      </c>
      <c r="F151" s="32"/>
      <c r="G151" s="32"/>
      <c r="H151" s="39"/>
      <c r="I151" s="39"/>
      <c r="J151" s="39"/>
      <c r="K151" s="39"/>
      <c r="L151" s="39"/>
      <c r="M151" s="39"/>
      <c r="N151" s="39"/>
      <c r="O151" s="39"/>
      <c r="P151" s="39"/>
      <c r="Q151" s="39"/>
    </row>
    <row r="152" spans="1:19" ht="31.2" x14ac:dyDescent="0.25">
      <c r="A152" s="17" t="s">
        <v>156</v>
      </c>
      <c r="B152" s="17" t="s">
        <v>157</v>
      </c>
      <c r="C152" s="35" t="s">
        <v>158</v>
      </c>
      <c r="D152" s="35" t="s">
        <v>343</v>
      </c>
      <c r="E152" s="20">
        <f>209804.86/1000</f>
        <v>209.80485999999999</v>
      </c>
      <c r="G152" s="42"/>
      <c r="H152" s="43"/>
      <c r="I152" s="43"/>
      <c r="J152" s="43"/>
      <c r="K152" s="43"/>
      <c r="L152" s="43"/>
      <c r="M152" s="43"/>
      <c r="N152" s="43"/>
      <c r="O152" s="43"/>
      <c r="P152" s="43"/>
      <c r="Q152" s="43"/>
      <c r="R152" s="9"/>
      <c r="S152" s="9"/>
    </row>
    <row r="153" spans="1:19" ht="31.2" x14ac:dyDescent="0.25">
      <c r="A153" s="17" t="s">
        <v>159</v>
      </c>
      <c r="B153" s="17" t="s">
        <v>160</v>
      </c>
      <c r="C153" s="35" t="s">
        <v>161</v>
      </c>
      <c r="D153" s="35" t="s">
        <v>162</v>
      </c>
      <c r="E153" s="44">
        <v>0.2</v>
      </c>
      <c r="H153" s="43"/>
      <c r="I153" s="43"/>
      <c r="J153" s="43"/>
      <c r="K153" s="43"/>
      <c r="L153" s="43"/>
      <c r="M153" s="43"/>
      <c r="N153" s="43"/>
      <c r="O153" s="43"/>
      <c r="P153" s="43"/>
      <c r="Q153" s="43"/>
      <c r="R153" s="9"/>
      <c r="S153" s="9"/>
    </row>
    <row r="154" spans="1:19" ht="46.8" x14ac:dyDescent="0.25">
      <c r="A154" s="17" t="s">
        <v>163</v>
      </c>
      <c r="B154" s="17" t="s">
        <v>164</v>
      </c>
      <c r="C154" s="35" t="s">
        <v>165</v>
      </c>
      <c r="D154" s="35" t="s">
        <v>166</v>
      </c>
      <c r="E154" s="45">
        <f>0.5*0.8042+0.5*0.2135</f>
        <v>0.50885000000000002</v>
      </c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</row>
    <row r="155" spans="1:19" ht="31.2" x14ac:dyDescent="0.4">
      <c r="A155" s="40" t="s">
        <v>167</v>
      </c>
      <c r="B155" s="17" t="s">
        <v>103</v>
      </c>
      <c r="C155" s="35" t="s">
        <v>168</v>
      </c>
      <c r="D155" s="35" t="s">
        <v>169</v>
      </c>
      <c r="E155" s="47">
        <v>0</v>
      </c>
      <c r="H155" s="43"/>
      <c r="I155" s="43"/>
      <c r="J155" s="43"/>
      <c r="K155" s="43"/>
      <c r="L155" s="43"/>
      <c r="M155" s="43"/>
      <c r="N155" s="43"/>
      <c r="O155" s="43"/>
      <c r="P155" s="43"/>
      <c r="Q155" s="43"/>
      <c r="R155" s="9"/>
      <c r="S155" s="9"/>
    </row>
    <row r="156" spans="1:19" x14ac:dyDescent="0.3">
      <c r="A156" s="48"/>
      <c r="E156" s="49"/>
      <c r="H156" s="43"/>
      <c r="I156" s="43"/>
      <c r="J156" s="43"/>
      <c r="K156" s="43"/>
      <c r="L156" s="43"/>
      <c r="M156" s="43"/>
      <c r="N156" s="43"/>
      <c r="O156" s="43"/>
      <c r="P156" s="43"/>
      <c r="Q156" s="43"/>
      <c r="R156" s="9"/>
      <c r="S156" s="9"/>
    </row>
    <row r="157" spans="1:19" x14ac:dyDescent="0.25">
      <c r="A157" s="174" t="s">
        <v>170</v>
      </c>
      <c r="B157" s="174"/>
      <c r="C157" s="175"/>
      <c r="D157" s="175"/>
      <c r="E157" s="195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</row>
    <row r="158" spans="1:19" x14ac:dyDescent="0.25">
      <c r="A158" s="15" t="s">
        <v>8</v>
      </c>
      <c r="B158" s="15" t="s">
        <v>9</v>
      </c>
      <c r="C158" s="38" t="s">
        <v>10</v>
      </c>
      <c r="D158" s="38" t="s">
        <v>340</v>
      </c>
      <c r="E158" s="16" t="s">
        <v>65</v>
      </c>
      <c r="H158" s="43"/>
      <c r="I158" s="43"/>
      <c r="J158" s="43"/>
      <c r="K158" s="43"/>
      <c r="L158" s="43"/>
      <c r="M158" s="43"/>
      <c r="N158" s="43"/>
      <c r="O158" s="43"/>
      <c r="P158" s="43"/>
      <c r="Q158" s="43"/>
      <c r="R158" s="9"/>
      <c r="S158" s="9"/>
    </row>
    <row r="159" spans="1:19" ht="33.6" x14ac:dyDescent="0.4">
      <c r="A159" s="40" t="s">
        <v>171</v>
      </c>
      <c r="B159" s="17" t="s">
        <v>74</v>
      </c>
      <c r="C159" s="35" t="s">
        <v>172</v>
      </c>
      <c r="D159" s="35" t="s">
        <v>391</v>
      </c>
      <c r="E159" s="50">
        <f>E160*E163*E164*E165*E166*E167</f>
        <v>0.9041413150617118</v>
      </c>
      <c r="H159" s="43"/>
      <c r="I159" s="43"/>
      <c r="J159" s="43"/>
      <c r="K159" s="43"/>
      <c r="L159" s="43"/>
      <c r="M159" s="43"/>
      <c r="N159" s="43"/>
      <c r="O159" s="43"/>
      <c r="P159" s="43"/>
      <c r="Q159" s="43"/>
      <c r="R159" s="9"/>
      <c r="S159" s="9"/>
    </row>
    <row r="160" spans="1:19" ht="46.8" x14ac:dyDescent="0.4">
      <c r="A160" s="51" t="s">
        <v>173</v>
      </c>
      <c r="B160" s="17" t="s">
        <v>76</v>
      </c>
      <c r="C160" s="35" t="s">
        <v>174</v>
      </c>
      <c r="D160" s="35" t="s">
        <v>392</v>
      </c>
      <c r="E160" s="69">
        <f>ROUNDUP(E161/E162,0)</f>
        <v>53</v>
      </c>
      <c r="H160" s="43"/>
      <c r="I160" s="43"/>
      <c r="J160" s="43"/>
      <c r="K160" s="43"/>
      <c r="L160" s="43"/>
      <c r="M160" s="43"/>
      <c r="N160" s="43"/>
      <c r="O160" s="43"/>
      <c r="P160" s="43"/>
      <c r="Q160" s="43"/>
      <c r="R160" s="9"/>
      <c r="S160" s="9"/>
    </row>
    <row r="161" spans="1:19" ht="62.4" x14ac:dyDescent="0.25">
      <c r="A161" s="17" t="s">
        <v>175</v>
      </c>
      <c r="B161" s="17" t="s">
        <v>78</v>
      </c>
      <c r="C161" s="35" t="s">
        <v>176</v>
      </c>
      <c r="D161" s="35" t="s">
        <v>346</v>
      </c>
      <c r="E161" s="52">
        <v>262.15899999999999</v>
      </c>
      <c r="H161" s="43"/>
      <c r="I161" s="43"/>
      <c r="J161" s="43"/>
      <c r="K161" s="43"/>
      <c r="L161" s="43"/>
      <c r="M161" s="43"/>
      <c r="N161" s="43"/>
      <c r="O161" s="43"/>
      <c r="P161" s="43"/>
      <c r="Q161" s="43"/>
      <c r="R161" s="9"/>
      <c r="S161" s="9"/>
    </row>
    <row r="162" spans="1:19" ht="62.4" x14ac:dyDescent="0.25">
      <c r="A162" s="17" t="s">
        <v>177</v>
      </c>
      <c r="B162" s="17" t="s">
        <v>80</v>
      </c>
      <c r="C162" s="35" t="s">
        <v>81</v>
      </c>
      <c r="D162" s="35" t="s">
        <v>345</v>
      </c>
      <c r="E162" s="25">
        <f>5</f>
        <v>5</v>
      </c>
      <c r="H162" s="43"/>
      <c r="I162" s="43"/>
      <c r="J162" s="43"/>
      <c r="K162" s="43"/>
      <c r="L162" s="43"/>
      <c r="M162" s="43"/>
      <c r="N162" s="43"/>
      <c r="O162" s="43"/>
      <c r="P162" s="43"/>
      <c r="Q162" s="43"/>
      <c r="R162" s="9"/>
      <c r="S162" s="9"/>
    </row>
    <row r="163" spans="1:19" ht="202.8" x14ac:dyDescent="0.25">
      <c r="A163" s="17" t="s">
        <v>178</v>
      </c>
      <c r="B163" s="17" t="s">
        <v>82</v>
      </c>
      <c r="C163" s="35" t="s">
        <v>179</v>
      </c>
      <c r="D163" s="35" t="s">
        <v>367</v>
      </c>
      <c r="E163" s="25">
        <v>25.2</v>
      </c>
      <c r="H163" s="43"/>
      <c r="I163" s="43"/>
      <c r="J163" s="43"/>
      <c r="K163" s="43"/>
      <c r="L163" s="43"/>
      <c r="M163" s="43"/>
      <c r="N163" s="43"/>
      <c r="O163" s="43"/>
      <c r="P163" s="43"/>
      <c r="Q163" s="43"/>
      <c r="R163" s="9"/>
      <c r="S163" s="9"/>
    </row>
    <row r="164" spans="1:19" ht="156" x14ac:dyDescent="0.25">
      <c r="A164" s="17" t="s">
        <v>180</v>
      </c>
      <c r="B164" s="17" t="s">
        <v>84</v>
      </c>
      <c r="C164" s="35" t="s">
        <v>85</v>
      </c>
      <c r="D164" s="35" t="s">
        <v>365</v>
      </c>
      <c r="E164" s="25">
        <f>25.1/100</f>
        <v>0.251</v>
      </c>
      <c r="H164" s="43"/>
      <c r="I164" s="43"/>
      <c r="J164" s="43"/>
      <c r="K164" s="43"/>
      <c r="L164" s="43"/>
      <c r="M164" s="43"/>
      <c r="N164" s="43"/>
      <c r="O164" s="43"/>
      <c r="P164" s="43"/>
      <c r="Q164" s="43"/>
      <c r="R164" s="9"/>
      <c r="S164" s="9"/>
    </row>
    <row r="165" spans="1:19" ht="62.4" x14ac:dyDescent="0.25">
      <c r="A165" s="17" t="s">
        <v>86</v>
      </c>
      <c r="B165" s="17" t="s">
        <v>87</v>
      </c>
      <c r="C165" s="35" t="s">
        <v>86</v>
      </c>
      <c r="D165" s="35" t="s">
        <v>215</v>
      </c>
      <c r="E165" s="25">
        <f>0.84/1000</f>
        <v>8.3999999999999993E-4</v>
      </c>
      <c r="H165" s="43"/>
      <c r="I165" s="43"/>
      <c r="J165" s="43"/>
      <c r="K165" s="43"/>
      <c r="L165" s="43"/>
      <c r="M165" s="43"/>
      <c r="N165" s="43"/>
      <c r="O165" s="43"/>
      <c r="P165" s="43"/>
      <c r="Q165" s="43"/>
      <c r="R165" s="9"/>
      <c r="S165" s="9"/>
    </row>
    <row r="166" spans="1:19" ht="124.8" x14ac:dyDescent="0.25">
      <c r="A166" s="17" t="s">
        <v>181</v>
      </c>
      <c r="B166" s="17" t="s">
        <v>88</v>
      </c>
      <c r="C166" s="35" t="s">
        <v>89</v>
      </c>
      <c r="D166" s="35" t="s">
        <v>360</v>
      </c>
      <c r="E166" s="25">
        <f>43.33/1000</f>
        <v>4.333E-2</v>
      </c>
      <c r="H166" s="43"/>
      <c r="I166" s="43"/>
      <c r="J166" s="43"/>
      <c r="K166" s="43"/>
      <c r="L166" s="43"/>
      <c r="M166" s="43"/>
      <c r="N166" s="43"/>
      <c r="O166" s="43"/>
      <c r="P166" s="43"/>
      <c r="Q166" s="43"/>
      <c r="R166" s="9"/>
      <c r="S166" s="9"/>
    </row>
    <row r="167" spans="1:19" ht="33.6" x14ac:dyDescent="0.25">
      <c r="A167" s="17" t="s">
        <v>182</v>
      </c>
      <c r="B167" s="17" t="s">
        <v>90</v>
      </c>
      <c r="C167" s="35" t="s">
        <v>91</v>
      </c>
      <c r="D167" s="35" t="s">
        <v>92</v>
      </c>
      <c r="E167" s="25">
        <v>74.099999999999994</v>
      </c>
      <c r="H167" s="43"/>
      <c r="I167" s="43"/>
      <c r="J167" s="43"/>
      <c r="K167" s="43"/>
      <c r="L167" s="43"/>
      <c r="M167" s="43"/>
      <c r="N167" s="43"/>
      <c r="O167" s="43"/>
      <c r="P167" s="43"/>
      <c r="Q167" s="43"/>
      <c r="R167" s="9"/>
      <c r="S167" s="9"/>
    </row>
    <row r="169" spans="1:19" x14ac:dyDescent="0.25">
      <c r="A169" s="33" t="s">
        <v>8</v>
      </c>
      <c r="B169" s="33" t="s">
        <v>9</v>
      </c>
      <c r="C169" s="34" t="s">
        <v>10</v>
      </c>
      <c r="D169" s="34" t="s">
        <v>340</v>
      </c>
      <c r="E169" s="16" t="s">
        <v>65</v>
      </c>
    </row>
    <row r="170" spans="1:19" ht="18" x14ac:dyDescent="0.25">
      <c r="A170" s="15" t="s">
        <v>183</v>
      </c>
      <c r="B170" s="17" t="s">
        <v>103</v>
      </c>
      <c r="C170" s="35" t="s">
        <v>184</v>
      </c>
      <c r="D170" s="53" t="s">
        <v>393</v>
      </c>
      <c r="E170" s="18">
        <f>ROUNDUP(E119+E143+E147+E151+E159,0)</f>
        <v>130</v>
      </c>
    </row>
    <row r="171" spans="1:19" s="200" customFormat="1" ht="43.2" customHeight="1" x14ac:dyDescent="0.25">
      <c r="A171" s="200" t="s">
        <v>223</v>
      </c>
    </row>
    <row r="172" spans="1:19" ht="23.4" customHeight="1" x14ac:dyDescent="0.25">
      <c r="A172" s="201" t="s">
        <v>105</v>
      </c>
      <c r="B172" s="201"/>
      <c r="C172" s="201"/>
      <c r="D172" s="201"/>
      <c r="E172" s="201"/>
      <c r="F172" s="201"/>
      <c r="G172" s="201"/>
      <c r="H172" s="201"/>
      <c r="I172" s="201"/>
      <c r="J172" s="201"/>
      <c r="K172" s="201"/>
      <c r="L172" s="201"/>
      <c r="M172" s="201"/>
      <c r="N172" s="201"/>
      <c r="O172" s="201"/>
      <c r="P172" s="201"/>
      <c r="Q172" s="202"/>
    </row>
    <row r="173" spans="1:19" s="10" customFormat="1" ht="31.2" x14ac:dyDescent="0.25">
      <c r="A173" s="15" t="s">
        <v>8</v>
      </c>
      <c r="B173" s="15" t="s">
        <v>9</v>
      </c>
      <c r="C173" s="15" t="s">
        <v>10</v>
      </c>
      <c r="D173" s="15" t="s">
        <v>340</v>
      </c>
      <c r="E173" s="16" t="s">
        <v>11</v>
      </c>
      <c r="F173" s="16" t="s">
        <v>322</v>
      </c>
      <c r="G173" s="16" t="s">
        <v>323</v>
      </c>
      <c r="H173" s="16" t="s">
        <v>324</v>
      </c>
      <c r="I173" s="16" t="s">
        <v>325</v>
      </c>
      <c r="J173" s="16" t="s">
        <v>326</v>
      </c>
      <c r="K173" s="16" t="s">
        <v>329</v>
      </c>
      <c r="L173" s="16" t="s">
        <v>292</v>
      </c>
      <c r="M173" s="16" t="s">
        <v>292</v>
      </c>
      <c r="N173" s="16" t="s">
        <v>292</v>
      </c>
      <c r="O173" s="16" t="s">
        <v>292</v>
      </c>
      <c r="P173" s="16" t="s">
        <v>292</v>
      </c>
      <c r="Q173" s="16" t="s">
        <v>292</v>
      </c>
      <c r="R173" s="54"/>
      <c r="S173" s="54"/>
    </row>
    <row r="174" spans="1:19" s="10" customFormat="1" x14ac:dyDescent="0.25">
      <c r="A174" s="203" t="s">
        <v>106</v>
      </c>
      <c r="B174" s="203"/>
      <c r="C174" s="203"/>
      <c r="D174" s="203"/>
      <c r="E174" s="204"/>
      <c r="F174" s="16">
        <v>31</v>
      </c>
      <c r="G174" s="16">
        <v>28</v>
      </c>
      <c r="H174" s="16">
        <v>31</v>
      </c>
      <c r="I174" s="16">
        <v>30</v>
      </c>
      <c r="J174" s="16">
        <v>31</v>
      </c>
      <c r="K174" s="16">
        <v>30</v>
      </c>
      <c r="L174" s="16" t="s">
        <v>292</v>
      </c>
      <c r="M174" s="16" t="s">
        <v>292</v>
      </c>
      <c r="N174" s="16" t="s">
        <v>292</v>
      </c>
      <c r="O174" s="16" t="s">
        <v>292</v>
      </c>
      <c r="P174" s="16" t="s">
        <v>292</v>
      </c>
      <c r="Q174" s="16" t="s">
        <v>292</v>
      </c>
      <c r="R174" s="54"/>
      <c r="S174" s="54"/>
    </row>
    <row r="175" spans="1:19" s="10" customFormat="1" ht="31.2" x14ac:dyDescent="0.25">
      <c r="A175" s="15" t="s">
        <v>107</v>
      </c>
      <c r="B175" s="17" t="s">
        <v>103</v>
      </c>
      <c r="C175" s="17" t="s">
        <v>108</v>
      </c>
      <c r="D175" s="17" t="s">
        <v>381</v>
      </c>
      <c r="E175" s="18">
        <f>E176+E186</f>
        <v>0</v>
      </c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54"/>
      <c r="S175" s="54"/>
    </row>
    <row r="176" spans="1:19" ht="46.8" x14ac:dyDescent="0.25">
      <c r="A176" s="17" t="s">
        <v>109</v>
      </c>
      <c r="B176" s="17" t="s">
        <v>103</v>
      </c>
      <c r="C176" s="17" t="s">
        <v>110</v>
      </c>
      <c r="D176" s="17" t="s">
        <v>382</v>
      </c>
      <c r="E176" s="19">
        <f>SUM(F176:K176)</f>
        <v>0</v>
      </c>
      <c r="F176" s="19">
        <f>IF(F177&gt;=0.8,0,$E$184*$E$185*0.4*(F178-F181)*F174)</f>
        <v>0</v>
      </c>
      <c r="G176" s="19">
        <f t="shared" ref="G176:K176" si="21">IF(G177&gt;=0.8,0,$E$184*$E$185*0.4*(G178-G181)*G174)</f>
        <v>0</v>
      </c>
      <c r="H176" s="19">
        <f t="shared" si="21"/>
        <v>0</v>
      </c>
      <c r="I176" s="19">
        <f t="shared" si="21"/>
        <v>0</v>
      </c>
      <c r="J176" s="19">
        <f t="shared" si="21"/>
        <v>0</v>
      </c>
      <c r="K176" s="19">
        <f t="shared" si="21"/>
        <v>0</v>
      </c>
      <c r="L176" s="19" t="s">
        <v>297</v>
      </c>
      <c r="M176" s="19" t="s">
        <v>297</v>
      </c>
      <c r="N176" s="19" t="s">
        <v>297</v>
      </c>
      <c r="O176" s="19" t="s">
        <v>297</v>
      </c>
      <c r="P176" s="19" t="s">
        <v>297</v>
      </c>
      <c r="Q176" s="19" t="s">
        <v>297</v>
      </c>
    </row>
    <row r="177" spans="1:17" ht="62.4" x14ac:dyDescent="0.25">
      <c r="A177" s="17" t="s">
        <v>111</v>
      </c>
      <c r="B177" s="17" t="s">
        <v>37</v>
      </c>
      <c r="C177" s="17" t="s">
        <v>112</v>
      </c>
      <c r="D177" s="17" t="s">
        <v>383</v>
      </c>
      <c r="E177" s="20">
        <f>AVERAGE(F177:K177)</f>
        <v>0.9546425904431679</v>
      </c>
      <c r="F177" s="20">
        <f>(F178-F181)/F178</f>
        <v>0.95476837595501185</v>
      </c>
      <c r="G177" s="20">
        <f t="shared" ref="G177:K177" si="22">(G178-G181)/G178</f>
        <v>0.9551657577023519</v>
      </c>
      <c r="H177" s="20">
        <f t="shared" si="22"/>
        <v>0.95507129854945172</v>
      </c>
      <c r="I177" s="20">
        <f t="shared" si="22"/>
        <v>0.95473754834157765</v>
      </c>
      <c r="J177" s="20">
        <f t="shared" si="22"/>
        <v>0.95542277660627495</v>
      </c>
      <c r="K177" s="20">
        <f t="shared" si="22"/>
        <v>0.95268978550433969</v>
      </c>
      <c r="L177" s="20" t="s">
        <v>297</v>
      </c>
      <c r="M177" s="20" t="s">
        <v>297</v>
      </c>
      <c r="N177" s="20" t="s">
        <v>297</v>
      </c>
      <c r="O177" s="20" t="s">
        <v>297</v>
      </c>
      <c r="P177" s="20" t="s">
        <v>297</v>
      </c>
      <c r="Q177" s="20" t="s">
        <v>297</v>
      </c>
    </row>
    <row r="178" spans="1:17" ht="46.8" x14ac:dyDescent="0.25">
      <c r="A178" s="17" t="s">
        <v>113</v>
      </c>
      <c r="B178" s="17" t="s">
        <v>24</v>
      </c>
      <c r="C178" s="17" t="s">
        <v>114</v>
      </c>
      <c r="D178" s="17" t="s">
        <v>384</v>
      </c>
      <c r="E178" s="20">
        <f>SUM(F178:K178)</f>
        <v>12.705878495979466</v>
      </c>
      <c r="F178" s="20">
        <f>F179*F180</f>
        <v>2.0664656054033821</v>
      </c>
      <c r="G178" s="20">
        <f t="shared" ref="G178:K178" si="23">G179*G180</f>
        <v>2.0658641566315374</v>
      </c>
      <c r="H178" s="20">
        <f t="shared" si="23"/>
        <v>2.0657327177007812</v>
      </c>
      <c r="I178" s="20">
        <f t="shared" si="23"/>
        <v>2.0668407987041113</v>
      </c>
      <c r="J178" s="20">
        <f t="shared" si="23"/>
        <v>2.2694466739995049</v>
      </c>
      <c r="K178" s="20">
        <f t="shared" si="23"/>
        <v>2.1715285435401475</v>
      </c>
      <c r="L178" s="20" t="s">
        <v>297</v>
      </c>
      <c r="M178" s="20" t="s">
        <v>297</v>
      </c>
      <c r="N178" s="20" t="s">
        <v>297</v>
      </c>
      <c r="O178" s="20" t="s">
        <v>297</v>
      </c>
      <c r="P178" s="20" t="s">
        <v>297</v>
      </c>
      <c r="Q178" s="20" t="s">
        <v>297</v>
      </c>
    </row>
    <row r="179" spans="1:17" ht="66.599999999999994" customHeight="1" x14ac:dyDescent="0.25">
      <c r="A179" s="17" t="s">
        <v>115</v>
      </c>
      <c r="B179" s="17" t="s">
        <v>116</v>
      </c>
      <c r="C179" s="17" t="s">
        <v>117</v>
      </c>
      <c r="D179" s="17" t="s">
        <v>336</v>
      </c>
      <c r="E179" s="129">
        <f>SUM(F179:Q179)</f>
        <v>30063.444979646698</v>
      </c>
      <c r="F179" s="129">
        <f>'Baseline Emissions 2022'!F174</f>
        <v>4851.574612903225</v>
      </c>
      <c r="G179" s="129">
        <f>'Baseline Emissions 2022'!G174</f>
        <v>4849.3616785714294</v>
      </c>
      <c r="H179" s="129">
        <f>'Baseline Emissions 2022'!H174</f>
        <v>4850.588677419355</v>
      </c>
      <c r="I179" s="129">
        <f>'Baseline Emissions 2022'!I174</f>
        <v>4851.1790666666675</v>
      </c>
      <c r="J179" s="129">
        <f>'Baseline Emissions 2022'!J174</f>
        <v>5330.208677419354</v>
      </c>
      <c r="K179" s="129">
        <f>'Baseline Emissions 2022'!K174</f>
        <v>5330.5322666666652</v>
      </c>
      <c r="L179" s="21" t="s">
        <v>297</v>
      </c>
      <c r="M179" s="21" t="s">
        <v>297</v>
      </c>
      <c r="N179" s="21" t="s">
        <v>297</v>
      </c>
      <c r="O179" s="21" t="s">
        <v>297</v>
      </c>
      <c r="P179" s="21" t="s">
        <v>297</v>
      </c>
      <c r="Q179" s="21" t="s">
        <v>297</v>
      </c>
    </row>
    <row r="180" spans="1:17" ht="46.8" x14ac:dyDescent="0.25">
      <c r="A180" s="17" t="s">
        <v>118</v>
      </c>
      <c r="B180" s="17" t="s">
        <v>119</v>
      </c>
      <c r="C180" s="17" t="s">
        <v>120</v>
      </c>
      <c r="D180" s="35" t="s">
        <v>338</v>
      </c>
      <c r="E180" s="120">
        <f>AVERAGE(F180:K180)</f>
        <v>4.2283542317374983E-4</v>
      </c>
      <c r="F180" s="130">
        <f>'Baseline Emissions 2022'!F178</f>
        <v>4.2593709677419362E-4</v>
      </c>
      <c r="G180" s="130">
        <f>'Baseline Emissions 2022'!G178</f>
        <v>4.2600744047619046E-4</v>
      </c>
      <c r="H180" s="130">
        <f>'Baseline Emissions 2022'!H178</f>
        <v>4.2587258064516145E-4</v>
      </c>
      <c r="I180" s="130">
        <f>'Baseline Emissions 2022'!I178</f>
        <v>4.2604916666666665E-4</v>
      </c>
      <c r="J180" s="130">
        <f>'Baseline Emissions 2022'!J178</f>
        <v>4.2577069892473109E-4</v>
      </c>
      <c r="K180" s="130">
        <f>'Baseline Emissions 2022'!K178</f>
        <v>4.0737555555555552E-4</v>
      </c>
      <c r="L180" s="23" t="s">
        <v>297</v>
      </c>
      <c r="M180" s="23" t="s">
        <v>297</v>
      </c>
      <c r="N180" s="23" t="s">
        <v>297</v>
      </c>
      <c r="O180" s="23" t="s">
        <v>297</v>
      </c>
      <c r="P180" s="23" t="s">
        <v>297</v>
      </c>
      <c r="Q180" s="23" t="s">
        <v>297</v>
      </c>
    </row>
    <row r="181" spans="1:17" ht="46.8" x14ac:dyDescent="0.25">
      <c r="A181" s="17" t="s">
        <v>121</v>
      </c>
      <c r="B181" s="17" t="s">
        <v>24</v>
      </c>
      <c r="C181" s="17" t="s">
        <v>122</v>
      </c>
      <c r="D181" s="17" t="s">
        <v>384</v>
      </c>
      <c r="E181" s="20">
        <f>SUM(F181:K181)</f>
        <v>0.57635313235051311</v>
      </c>
      <c r="F181" s="20">
        <f>SUM(F182*F183)</f>
        <v>9.3469595365504671E-2</v>
      </c>
      <c r="G181" s="20">
        <f t="shared" ref="G181:K181" si="24">SUM(G182*G183)</f>
        <v>9.2621454152444743E-2</v>
      </c>
      <c r="H181" s="20">
        <f t="shared" si="24"/>
        <v>9.2810688550208104E-2</v>
      </c>
      <c r="I181" s="20">
        <f t="shared" si="24"/>
        <v>9.3550281737000029E-2</v>
      </c>
      <c r="J181" s="20">
        <f t="shared" si="24"/>
        <v>0.1011656313670222</v>
      </c>
      <c r="K181" s="20">
        <f t="shared" si="24"/>
        <v>0.10273548117833331</v>
      </c>
      <c r="L181" s="20" t="s">
        <v>297</v>
      </c>
      <c r="M181" s="20" t="s">
        <v>297</v>
      </c>
      <c r="N181" s="20" t="s">
        <v>297</v>
      </c>
      <c r="O181" s="20" t="s">
        <v>297</v>
      </c>
      <c r="P181" s="20" t="s">
        <v>297</v>
      </c>
      <c r="Q181" s="20" t="s">
        <v>297</v>
      </c>
    </row>
    <row r="182" spans="1:17" ht="62.4" x14ac:dyDescent="0.25">
      <c r="A182" s="17" t="s">
        <v>123</v>
      </c>
      <c r="B182" s="17" t="s">
        <v>116</v>
      </c>
      <c r="C182" s="17" t="s">
        <v>124</v>
      </c>
      <c r="D182" s="17" t="s">
        <v>337</v>
      </c>
      <c r="E182" s="129">
        <f>SUM(F182:K182)</f>
        <v>29375.543320890938</v>
      </c>
      <c r="F182" s="129">
        <v>4737.4738709677413</v>
      </c>
      <c r="G182" s="129">
        <v>4739.4740714285717</v>
      </c>
      <c r="H182" s="129">
        <v>4738.2285483870965</v>
      </c>
      <c r="I182" s="129">
        <v>4737.9226000000008</v>
      </c>
      <c r="J182" s="129">
        <v>5210.7520967741939</v>
      </c>
      <c r="K182" s="129">
        <v>5211.692133333333</v>
      </c>
      <c r="L182" s="21" t="s">
        <v>297</v>
      </c>
      <c r="M182" s="21" t="s">
        <v>297</v>
      </c>
      <c r="N182" s="21" t="s">
        <v>297</v>
      </c>
      <c r="O182" s="21" t="s">
        <v>297</v>
      </c>
      <c r="P182" s="21" t="s">
        <v>297</v>
      </c>
      <c r="Q182" s="21" t="s">
        <v>297</v>
      </c>
    </row>
    <row r="183" spans="1:17" ht="46.8" x14ac:dyDescent="0.25">
      <c r="A183" s="17" t="s">
        <v>125</v>
      </c>
      <c r="B183" s="17" t="s">
        <v>119</v>
      </c>
      <c r="C183" s="17" t="s">
        <v>126</v>
      </c>
      <c r="D183" s="35" t="s">
        <v>339</v>
      </c>
      <c r="E183" s="131">
        <f>AVERAGE(F183:K183)</f>
        <v>1.9622052931387608E-5</v>
      </c>
      <c r="F183" s="131">
        <f>'Baseline Emissions 2022'!F179</f>
        <v>1.972983870967742E-5</v>
      </c>
      <c r="G183" s="131">
        <f>'Baseline Emissions 2022'!G179</f>
        <v>1.9542559523809524E-5</v>
      </c>
      <c r="H183" s="131">
        <f>'Baseline Emissions 2022'!H179</f>
        <v>1.958763440860215E-5</v>
      </c>
      <c r="I183" s="131">
        <f>'Baseline Emissions 2022'!I179</f>
        <v>1.9745000000000002E-5</v>
      </c>
      <c r="J183" s="131">
        <f>'Baseline Emissions 2022'!J179</f>
        <v>1.9414784946236557E-5</v>
      </c>
      <c r="K183" s="131">
        <f>'Baseline Emissions 2022'!K179</f>
        <v>1.9712499999999998E-5</v>
      </c>
      <c r="L183" s="24" t="s">
        <v>297</v>
      </c>
      <c r="M183" s="24" t="s">
        <v>297</v>
      </c>
      <c r="N183" s="24" t="s">
        <v>297</v>
      </c>
      <c r="O183" s="24" t="s">
        <v>297</v>
      </c>
      <c r="P183" s="24" t="s">
        <v>297</v>
      </c>
      <c r="Q183" s="24" t="s">
        <v>297</v>
      </c>
    </row>
    <row r="184" spans="1:17" ht="31.2" x14ac:dyDescent="0.25">
      <c r="A184" s="17" t="s">
        <v>127</v>
      </c>
      <c r="B184" s="17" t="s">
        <v>128</v>
      </c>
      <c r="C184" s="17" t="s">
        <v>17</v>
      </c>
      <c r="D184" s="17" t="s">
        <v>129</v>
      </c>
      <c r="E184" s="176">
        <v>28</v>
      </c>
      <c r="F184" s="176"/>
      <c r="G184" s="176"/>
      <c r="H184" s="176"/>
      <c r="I184" s="176"/>
      <c r="J184" s="176"/>
      <c r="K184" s="176"/>
      <c r="L184" s="176"/>
      <c r="M184" s="176"/>
      <c r="N184" s="176"/>
      <c r="O184" s="176"/>
      <c r="P184" s="176"/>
      <c r="Q184" s="176"/>
    </row>
    <row r="185" spans="1:17" ht="64.8" x14ac:dyDescent="0.25">
      <c r="A185" s="17" t="s">
        <v>130</v>
      </c>
      <c r="B185" s="17" t="s">
        <v>19</v>
      </c>
      <c r="C185" s="17" t="s">
        <v>131</v>
      </c>
      <c r="D185" s="17" t="s">
        <v>394</v>
      </c>
      <c r="E185" s="176">
        <v>0.21</v>
      </c>
      <c r="F185" s="176"/>
      <c r="G185" s="176"/>
      <c r="H185" s="176"/>
      <c r="I185" s="176"/>
      <c r="J185" s="176"/>
      <c r="K185" s="176"/>
      <c r="L185" s="176"/>
      <c r="M185" s="176"/>
      <c r="N185" s="176"/>
      <c r="O185" s="176"/>
      <c r="P185" s="176"/>
      <c r="Q185" s="176"/>
    </row>
    <row r="186" spans="1:17" ht="46.8" x14ac:dyDescent="0.25">
      <c r="A186" s="17" t="s">
        <v>132</v>
      </c>
      <c r="B186" s="17" t="s">
        <v>103</v>
      </c>
      <c r="C186" s="17" t="s">
        <v>133</v>
      </c>
      <c r="D186" s="17" t="s">
        <v>385</v>
      </c>
      <c r="E186" s="19">
        <f>SUM(F186:K186)</f>
        <v>0</v>
      </c>
      <c r="F186" s="19">
        <f>$E$184*$E$185*F187*F181*F174</f>
        <v>0</v>
      </c>
      <c r="G186" s="19">
        <f t="shared" ref="G186:K186" si="25">$E$184*$E$185*G187*G181*G174</f>
        <v>0</v>
      </c>
      <c r="H186" s="19">
        <f t="shared" si="25"/>
        <v>0</v>
      </c>
      <c r="I186" s="19">
        <f t="shared" si="25"/>
        <v>0</v>
      </c>
      <c r="J186" s="19">
        <f t="shared" si="25"/>
        <v>0</v>
      </c>
      <c r="K186" s="19">
        <f t="shared" si="25"/>
        <v>0</v>
      </c>
      <c r="L186" s="19" t="s">
        <v>297</v>
      </c>
      <c r="M186" s="19" t="s">
        <v>297</v>
      </c>
      <c r="N186" s="19" t="s">
        <v>297</v>
      </c>
      <c r="O186" s="19" t="s">
        <v>297</v>
      </c>
      <c r="P186" s="19" t="s">
        <v>297</v>
      </c>
      <c r="Q186" s="19" t="s">
        <v>297</v>
      </c>
    </row>
    <row r="187" spans="1:17" ht="18" x14ac:dyDescent="0.25">
      <c r="A187" s="17" t="s">
        <v>134</v>
      </c>
      <c r="B187" s="17" t="s">
        <v>37</v>
      </c>
      <c r="C187" s="17" t="s">
        <v>135</v>
      </c>
      <c r="D187" s="17" t="s">
        <v>386</v>
      </c>
      <c r="E187" s="26">
        <f>AVERAGE(F187:K187)</f>
        <v>0</v>
      </c>
      <c r="F187" s="26">
        <f>F188*$E$189*0.89</f>
        <v>0</v>
      </c>
      <c r="G187" s="26">
        <f t="shared" ref="G187:K187" si="26">G188*$E$189*0.89</f>
        <v>0</v>
      </c>
      <c r="H187" s="26">
        <f t="shared" si="26"/>
        <v>0</v>
      </c>
      <c r="I187" s="26">
        <f t="shared" si="26"/>
        <v>0</v>
      </c>
      <c r="J187" s="26">
        <f t="shared" si="26"/>
        <v>0</v>
      </c>
      <c r="K187" s="26">
        <f t="shared" si="26"/>
        <v>0</v>
      </c>
      <c r="L187" s="26" t="s">
        <v>297</v>
      </c>
      <c r="M187" s="26" t="s">
        <v>297</v>
      </c>
      <c r="N187" s="26" t="s">
        <v>297</v>
      </c>
      <c r="O187" s="26" t="s">
        <v>297</v>
      </c>
      <c r="P187" s="26" t="s">
        <v>297</v>
      </c>
      <c r="Q187" s="26" t="s">
        <v>297</v>
      </c>
    </row>
    <row r="188" spans="1:17" ht="31.2" x14ac:dyDescent="0.25">
      <c r="A188" s="17" t="s">
        <v>136</v>
      </c>
      <c r="B188" s="17" t="s">
        <v>37</v>
      </c>
      <c r="C188" s="17" t="s">
        <v>46</v>
      </c>
      <c r="D188" s="17" t="s">
        <v>387</v>
      </c>
      <c r="E188" s="25">
        <v>0</v>
      </c>
      <c r="F188" s="25">
        <v>0</v>
      </c>
      <c r="G188" s="25">
        <v>0</v>
      </c>
      <c r="H188" s="25">
        <v>0</v>
      </c>
      <c r="I188" s="25">
        <v>0</v>
      </c>
      <c r="J188" s="25">
        <v>0</v>
      </c>
      <c r="K188" s="25">
        <v>0</v>
      </c>
      <c r="L188" s="25" t="s">
        <v>297</v>
      </c>
      <c r="M188" s="25" t="s">
        <v>297</v>
      </c>
      <c r="N188" s="25" t="s">
        <v>297</v>
      </c>
      <c r="O188" s="25" t="s">
        <v>297</v>
      </c>
      <c r="P188" s="25" t="s">
        <v>297</v>
      </c>
      <c r="Q188" s="25" t="s">
        <v>297</v>
      </c>
    </row>
    <row r="189" spans="1:17" ht="31.2" x14ac:dyDescent="0.25">
      <c r="A189" s="17" t="s">
        <v>137</v>
      </c>
      <c r="B189" s="17" t="s">
        <v>201</v>
      </c>
      <c r="C189" s="17" t="s">
        <v>138</v>
      </c>
      <c r="D189" s="17" t="s">
        <v>388</v>
      </c>
      <c r="E189" s="196">
        <f>(F190*F195+G190*G195+H190*H195+I190*I195+J190*J195+K190*K195)/(F182*F183*F174+G183*G182*G174+H182*H183*H174+I183*I182*I174+J183*J182*J174+K183*K182*K174)</f>
        <v>0.53068372393984542</v>
      </c>
      <c r="F189" s="196"/>
      <c r="G189" s="196"/>
      <c r="H189" s="196"/>
      <c r="I189" s="196"/>
      <c r="J189" s="196"/>
      <c r="K189" s="196"/>
      <c r="L189" s="196"/>
      <c r="M189" s="196"/>
      <c r="N189" s="196"/>
      <c r="O189" s="196"/>
      <c r="P189" s="196"/>
      <c r="Q189" s="196"/>
    </row>
    <row r="190" spans="1:17" ht="31.2" x14ac:dyDescent="0.25">
      <c r="A190" s="17" t="s">
        <v>139</v>
      </c>
      <c r="B190" s="17" t="s">
        <v>37</v>
      </c>
      <c r="C190" s="17" t="s">
        <v>140</v>
      </c>
      <c r="D190" s="17" t="s">
        <v>375</v>
      </c>
      <c r="E190" s="27">
        <f>AVERAGE(F190:K190)</f>
        <v>0.52072660245860247</v>
      </c>
      <c r="F190" s="27">
        <f>IF(F194&lt;283,0,IF(F194&gt;303,1,EXP(($E$22*(F194-$E$23))/($E$24*$E$23*F194))))</f>
        <v>0.32317176495848171</v>
      </c>
      <c r="G190" s="27">
        <f t="shared" ref="G190:K190" si="27">IF(G194&lt;283,0,IF(G194&gt;303,1,EXP(($E$22*(G194-$E$23))/($E$24*$E$23*G194))))</f>
        <v>0.24547412919519337</v>
      </c>
      <c r="H190" s="27">
        <f t="shared" si="27"/>
        <v>0.50475941545474445</v>
      </c>
      <c r="I190" s="27">
        <f t="shared" si="27"/>
        <v>0.55084569341606926</v>
      </c>
      <c r="J190" s="27">
        <f t="shared" si="27"/>
        <v>0.65487347206548807</v>
      </c>
      <c r="K190" s="27">
        <f t="shared" si="27"/>
        <v>0.84523513966163832</v>
      </c>
      <c r="L190" s="27" t="s">
        <v>297</v>
      </c>
      <c r="M190" s="27" t="s">
        <v>297</v>
      </c>
      <c r="N190" s="27" t="s">
        <v>297</v>
      </c>
      <c r="O190" s="27" t="s">
        <v>297</v>
      </c>
      <c r="P190" s="27" t="s">
        <v>297</v>
      </c>
      <c r="Q190" s="27" t="s">
        <v>297</v>
      </c>
    </row>
    <row r="191" spans="1:17" x14ac:dyDescent="0.25">
      <c r="A191" s="17" t="s">
        <v>51</v>
      </c>
      <c r="B191" s="17" t="s">
        <v>52</v>
      </c>
      <c r="C191" s="17" t="s">
        <v>53</v>
      </c>
      <c r="D191" s="17" t="s">
        <v>389</v>
      </c>
      <c r="E191" s="176">
        <v>15175</v>
      </c>
      <c r="F191" s="176"/>
      <c r="G191" s="176"/>
      <c r="H191" s="176"/>
      <c r="I191" s="176"/>
      <c r="J191" s="176"/>
      <c r="K191" s="176"/>
      <c r="L191" s="176"/>
      <c r="M191" s="176"/>
      <c r="N191" s="176"/>
      <c r="O191" s="176"/>
      <c r="P191" s="176"/>
      <c r="Q191" s="176"/>
    </row>
    <row r="192" spans="1:17" ht="18" x14ac:dyDescent="0.25">
      <c r="A192" s="17" t="s">
        <v>141</v>
      </c>
      <c r="B192" s="17" t="s">
        <v>55</v>
      </c>
      <c r="C192" s="17" t="s">
        <v>56</v>
      </c>
      <c r="D192" s="17" t="s">
        <v>389</v>
      </c>
      <c r="E192" s="176">
        <v>303.16000000000003</v>
      </c>
      <c r="F192" s="176"/>
      <c r="G192" s="176"/>
      <c r="H192" s="176"/>
      <c r="I192" s="176"/>
      <c r="J192" s="176"/>
      <c r="K192" s="176"/>
      <c r="L192" s="176"/>
      <c r="M192" s="176"/>
      <c r="N192" s="176"/>
      <c r="O192" s="176"/>
      <c r="P192" s="176"/>
      <c r="Q192" s="176"/>
    </row>
    <row r="193" spans="1:19" x14ac:dyDescent="0.25">
      <c r="A193" s="17" t="s">
        <v>57</v>
      </c>
      <c r="B193" s="17" t="s">
        <v>58</v>
      </c>
      <c r="C193" s="17" t="s">
        <v>59</v>
      </c>
      <c r="D193" s="17" t="s">
        <v>389</v>
      </c>
      <c r="E193" s="176">
        <v>1.9870000000000001</v>
      </c>
      <c r="F193" s="176"/>
      <c r="G193" s="176"/>
      <c r="H193" s="176"/>
      <c r="I193" s="176"/>
      <c r="J193" s="176"/>
      <c r="K193" s="176"/>
      <c r="L193" s="176"/>
      <c r="M193" s="176"/>
      <c r="N193" s="176"/>
      <c r="O193" s="176"/>
      <c r="P193" s="176"/>
      <c r="Q193" s="176"/>
    </row>
    <row r="194" spans="1:19" ht="18" x14ac:dyDescent="0.25">
      <c r="A194" s="17" t="s">
        <v>142</v>
      </c>
      <c r="B194" s="17" t="s">
        <v>55</v>
      </c>
      <c r="C194" s="17" t="s">
        <v>143</v>
      </c>
      <c r="D194" s="144" t="s">
        <v>363</v>
      </c>
      <c r="E194" s="28">
        <f>AVERAGE(F194:K194)</f>
        <v>294.65000000000003</v>
      </c>
      <c r="F194" s="25">
        <v>290.14999999999998</v>
      </c>
      <c r="G194" s="25">
        <v>287.14999999999998</v>
      </c>
      <c r="H194" s="25">
        <v>295.14999999999998</v>
      </c>
      <c r="I194" s="25">
        <v>296.14999999999998</v>
      </c>
      <c r="J194" s="25">
        <v>298.14999999999998</v>
      </c>
      <c r="K194" s="25">
        <v>301.14999999999998</v>
      </c>
      <c r="L194" s="25" t="s">
        <v>297</v>
      </c>
      <c r="M194" s="25" t="s">
        <v>297</v>
      </c>
      <c r="N194" s="25" t="s">
        <v>297</v>
      </c>
      <c r="O194" s="25" t="s">
        <v>297</v>
      </c>
      <c r="P194" s="25" t="s">
        <v>297</v>
      </c>
      <c r="Q194" s="25" t="s">
        <v>297</v>
      </c>
    </row>
    <row r="195" spans="1:19" ht="46.8" x14ac:dyDescent="0.25">
      <c r="A195" s="17" t="s">
        <v>144</v>
      </c>
      <c r="B195" s="17" t="s">
        <v>24</v>
      </c>
      <c r="C195" s="17" t="s">
        <v>145</v>
      </c>
      <c r="D195" s="17" t="s">
        <v>390</v>
      </c>
      <c r="E195" s="29">
        <f>SUM(F195:K195)</f>
        <v>17.392796977493237</v>
      </c>
      <c r="F195" s="29">
        <f>F182*F183*'Project Emissions 2022'!F174+(1-F190)*0</f>
        <v>2.8975574563306448</v>
      </c>
      <c r="G195" s="29">
        <f>G182*G183*'Project Emissions 2022'!G174+(1-G190)*0</f>
        <v>2.5934007162684529</v>
      </c>
      <c r="H195" s="29">
        <f>H182*H183*'Project Emissions 2022'!H174+(1-H190)*0</f>
        <v>2.8771313450564513</v>
      </c>
      <c r="I195" s="29">
        <f>I182*I183*'Project Emissions 2022'!I174+(1-I190)*0</f>
        <v>2.806508452110001</v>
      </c>
      <c r="J195" s="29">
        <f>J182*J183*'Project Emissions 2022'!J174+(1-J190)*0</f>
        <v>3.1361345723776881</v>
      </c>
      <c r="K195" s="29">
        <f>K182*K183*'Project Emissions 2022'!K174+(1-K190)*0</f>
        <v>3.0820644353499995</v>
      </c>
      <c r="L195" s="29" t="s">
        <v>297</v>
      </c>
      <c r="M195" s="29" t="s">
        <v>297</v>
      </c>
      <c r="N195" s="29" t="s">
        <v>297</v>
      </c>
      <c r="O195" s="29" t="s">
        <v>297</v>
      </c>
      <c r="P195" s="29" t="s">
        <v>297</v>
      </c>
      <c r="Q195" s="29" t="s">
        <v>297</v>
      </c>
    </row>
    <row r="196" spans="1:19" x14ac:dyDescent="0.3">
      <c r="A196" s="30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</row>
    <row r="197" spans="1:19" x14ac:dyDescent="0.25">
      <c r="A197" s="174" t="s">
        <v>146</v>
      </c>
      <c r="B197" s="174"/>
      <c r="C197" s="175"/>
      <c r="D197" s="175"/>
      <c r="E197" s="195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</row>
    <row r="198" spans="1:19" x14ac:dyDescent="0.25">
      <c r="A198" s="33" t="s">
        <v>8</v>
      </c>
      <c r="B198" s="33" t="s">
        <v>9</v>
      </c>
      <c r="C198" s="34" t="s">
        <v>10</v>
      </c>
      <c r="D198" s="34" t="s">
        <v>340</v>
      </c>
      <c r="E198" s="16" t="s">
        <v>65</v>
      </c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</row>
    <row r="199" spans="1:19" ht="46.8" x14ac:dyDescent="0.25">
      <c r="A199" s="15" t="s">
        <v>147</v>
      </c>
      <c r="B199" s="17" t="s">
        <v>95</v>
      </c>
      <c r="C199" s="35" t="s">
        <v>148</v>
      </c>
      <c r="D199" s="35" t="s">
        <v>68</v>
      </c>
      <c r="E199" s="16">
        <v>0</v>
      </c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</row>
    <row r="200" spans="1:19" x14ac:dyDescent="0.25">
      <c r="A200" s="36"/>
      <c r="B200" s="36"/>
      <c r="C200" s="37"/>
      <c r="D200" s="37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</row>
    <row r="201" spans="1:19" x14ac:dyDescent="0.25">
      <c r="A201" s="174" t="s">
        <v>149</v>
      </c>
      <c r="B201" s="174"/>
      <c r="C201" s="175"/>
      <c r="D201" s="175"/>
      <c r="E201" s="195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</row>
    <row r="202" spans="1:19" x14ac:dyDescent="0.25">
      <c r="A202" s="33" t="s">
        <v>8</v>
      </c>
      <c r="B202" s="33" t="s">
        <v>9</v>
      </c>
      <c r="C202" s="34" t="s">
        <v>10</v>
      </c>
      <c r="D202" s="34" t="s">
        <v>340</v>
      </c>
      <c r="E202" s="16" t="s">
        <v>65</v>
      </c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</row>
    <row r="203" spans="1:19" ht="46.8" x14ac:dyDescent="0.25">
      <c r="A203" s="15" t="s">
        <v>150</v>
      </c>
      <c r="B203" s="17" t="s">
        <v>95</v>
      </c>
      <c r="C203" s="35" t="s">
        <v>151</v>
      </c>
      <c r="D203" s="35" t="s">
        <v>68</v>
      </c>
      <c r="E203" s="16">
        <v>0</v>
      </c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</row>
    <row r="204" spans="1:19" x14ac:dyDescent="0.25"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</row>
    <row r="205" spans="1:19" x14ac:dyDescent="0.25">
      <c r="A205" s="174" t="s">
        <v>152</v>
      </c>
      <c r="B205" s="174"/>
      <c r="C205" s="175"/>
      <c r="D205" s="175"/>
      <c r="E205" s="195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</row>
    <row r="206" spans="1:19" s="10" customFormat="1" x14ac:dyDescent="0.25">
      <c r="A206" s="15" t="s">
        <v>8</v>
      </c>
      <c r="B206" s="15" t="s">
        <v>9</v>
      </c>
      <c r="C206" s="38" t="s">
        <v>10</v>
      </c>
      <c r="D206" s="38" t="s">
        <v>340</v>
      </c>
      <c r="E206" s="16" t="s">
        <v>65</v>
      </c>
      <c r="F206" s="32"/>
      <c r="G206" s="32"/>
      <c r="H206" s="39"/>
      <c r="I206" s="39"/>
      <c r="J206" s="39"/>
      <c r="K206" s="39"/>
      <c r="L206" s="39"/>
      <c r="M206" s="39"/>
      <c r="N206" s="39"/>
      <c r="O206" s="39"/>
      <c r="P206" s="39"/>
      <c r="Q206" s="39"/>
    </row>
    <row r="207" spans="1:19" s="10" customFormat="1" ht="18" x14ac:dyDescent="0.4">
      <c r="A207" s="40" t="s">
        <v>153</v>
      </c>
      <c r="B207" s="17" t="s">
        <v>103</v>
      </c>
      <c r="C207" s="35" t="s">
        <v>154</v>
      </c>
      <c r="D207" s="35" t="s">
        <v>155</v>
      </c>
      <c r="E207" s="41">
        <f>E208*E210*(1+E209)</f>
        <v>239.84059979580002</v>
      </c>
      <c r="F207" s="32"/>
      <c r="G207" s="32"/>
      <c r="H207" s="39"/>
      <c r="I207" s="39"/>
      <c r="J207" s="39"/>
      <c r="K207" s="39"/>
      <c r="L207" s="39"/>
      <c r="M207" s="39"/>
      <c r="N207" s="39"/>
      <c r="O207" s="39"/>
      <c r="P207" s="39"/>
      <c r="Q207" s="39"/>
    </row>
    <row r="208" spans="1:19" ht="31.2" x14ac:dyDescent="0.25">
      <c r="A208" s="17" t="s">
        <v>156</v>
      </c>
      <c r="B208" s="17" t="s">
        <v>157</v>
      </c>
      <c r="C208" s="35" t="s">
        <v>158</v>
      </c>
      <c r="D208" s="35" t="s">
        <v>343</v>
      </c>
      <c r="E208" s="20">
        <f>392782.09/1000</f>
        <v>392.78209000000004</v>
      </c>
      <c r="G208" s="42"/>
      <c r="H208" s="43"/>
      <c r="I208" s="43"/>
      <c r="J208" s="43"/>
      <c r="K208" s="43"/>
      <c r="L208" s="43"/>
      <c r="M208" s="43"/>
      <c r="N208" s="43"/>
      <c r="O208" s="43"/>
      <c r="P208" s="43"/>
      <c r="Q208" s="43"/>
      <c r="R208" s="9"/>
      <c r="S208" s="9"/>
    </row>
    <row r="209" spans="1:19" ht="31.2" x14ac:dyDescent="0.25">
      <c r="A209" s="17" t="s">
        <v>159</v>
      </c>
      <c r="B209" s="17" t="s">
        <v>160</v>
      </c>
      <c r="C209" s="35" t="s">
        <v>161</v>
      </c>
      <c r="D209" s="35" t="s">
        <v>162</v>
      </c>
      <c r="E209" s="44">
        <v>0.2</v>
      </c>
      <c r="H209" s="43"/>
      <c r="I209" s="43"/>
      <c r="J209" s="43"/>
      <c r="K209" s="43"/>
      <c r="L209" s="43"/>
      <c r="M209" s="43"/>
      <c r="N209" s="43"/>
      <c r="O209" s="43"/>
      <c r="P209" s="43"/>
      <c r="Q209" s="43"/>
      <c r="R209" s="9"/>
      <c r="S209" s="9"/>
    </row>
    <row r="210" spans="1:19" ht="46.8" x14ac:dyDescent="0.25">
      <c r="A210" s="17" t="s">
        <v>163</v>
      </c>
      <c r="B210" s="17" t="s">
        <v>164</v>
      </c>
      <c r="C210" s="35" t="s">
        <v>165</v>
      </c>
      <c r="D210" s="35" t="s">
        <v>166</v>
      </c>
      <c r="E210" s="45">
        <f>0.5*0.8042+0.5*0.2135</f>
        <v>0.50885000000000002</v>
      </c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</row>
    <row r="211" spans="1:19" ht="31.2" x14ac:dyDescent="0.4">
      <c r="A211" s="40" t="s">
        <v>167</v>
      </c>
      <c r="B211" s="17" t="s">
        <v>103</v>
      </c>
      <c r="C211" s="35" t="s">
        <v>168</v>
      </c>
      <c r="D211" s="35" t="s">
        <v>169</v>
      </c>
      <c r="E211" s="47">
        <v>0</v>
      </c>
      <c r="H211" s="43"/>
      <c r="I211" s="43"/>
      <c r="J211" s="43"/>
      <c r="K211" s="43"/>
      <c r="L211" s="43"/>
      <c r="M211" s="43"/>
      <c r="N211" s="43"/>
      <c r="O211" s="43"/>
      <c r="P211" s="43"/>
      <c r="Q211" s="43"/>
      <c r="R211" s="9"/>
      <c r="S211" s="9"/>
    </row>
    <row r="212" spans="1:19" x14ac:dyDescent="0.3">
      <c r="A212" s="48"/>
      <c r="E212" s="49"/>
      <c r="H212" s="43"/>
      <c r="I212" s="43"/>
      <c r="J212" s="43"/>
      <c r="K212" s="43"/>
      <c r="L212" s="43"/>
      <c r="M212" s="43"/>
      <c r="N212" s="43"/>
      <c r="O212" s="43"/>
      <c r="P212" s="43"/>
      <c r="Q212" s="43"/>
      <c r="R212" s="9"/>
      <c r="S212" s="9"/>
    </row>
    <row r="213" spans="1:19" x14ac:dyDescent="0.25">
      <c r="A213" s="174" t="s">
        <v>170</v>
      </c>
      <c r="B213" s="174"/>
      <c r="C213" s="175"/>
      <c r="D213" s="175"/>
      <c r="E213" s="195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</row>
    <row r="214" spans="1:19" x14ac:dyDescent="0.25">
      <c r="A214" s="15" t="s">
        <v>8</v>
      </c>
      <c r="B214" s="15" t="s">
        <v>9</v>
      </c>
      <c r="C214" s="38" t="s">
        <v>10</v>
      </c>
      <c r="D214" s="38" t="s">
        <v>340</v>
      </c>
      <c r="E214" s="16" t="s">
        <v>65</v>
      </c>
      <c r="H214" s="43"/>
      <c r="I214" s="43"/>
      <c r="J214" s="43"/>
      <c r="K214" s="43"/>
      <c r="L214" s="43"/>
      <c r="M214" s="43"/>
      <c r="N214" s="43"/>
      <c r="O214" s="43"/>
      <c r="P214" s="43"/>
      <c r="Q214" s="43"/>
      <c r="R214" s="9"/>
      <c r="S214" s="9"/>
    </row>
    <row r="215" spans="1:19" ht="33.6" x14ac:dyDescent="0.4">
      <c r="A215" s="40" t="s">
        <v>171</v>
      </c>
      <c r="B215" s="17" t="s">
        <v>74</v>
      </c>
      <c r="C215" s="35" t="s">
        <v>172</v>
      </c>
      <c r="D215" s="35" t="s">
        <v>391</v>
      </c>
      <c r="E215" s="50">
        <f>E216*E219*E220*E221*E222*E223</f>
        <v>0.59044029274994392</v>
      </c>
      <c r="H215" s="43"/>
      <c r="I215" s="43"/>
      <c r="J215" s="43"/>
      <c r="K215" s="43"/>
      <c r="L215" s="43"/>
      <c r="M215" s="43"/>
      <c r="N215" s="43"/>
      <c r="O215" s="43"/>
      <c r="P215" s="43"/>
      <c r="Q215" s="43"/>
      <c r="R215" s="9"/>
      <c r="S215" s="9"/>
    </row>
    <row r="216" spans="1:19" ht="46.8" x14ac:dyDescent="0.4">
      <c r="A216" s="51" t="s">
        <v>173</v>
      </c>
      <c r="B216" s="17" t="s">
        <v>76</v>
      </c>
      <c r="C216" s="35" t="s">
        <v>174</v>
      </c>
      <c r="D216" s="35" t="s">
        <v>392</v>
      </c>
      <c r="E216" s="69">
        <f>ROUNDUP(E217/E218,0)</f>
        <v>89</v>
      </c>
      <c r="H216" s="43"/>
      <c r="I216" s="43"/>
      <c r="J216" s="43"/>
      <c r="K216" s="43"/>
      <c r="L216" s="43"/>
      <c r="M216" s="43"/>
      <c r="N216" s="43"/>
      <c r="O216" s="43"/>
      <c r="P216" s="43"/>
      <c r="Q216" s="43"/>
      <c r="R216" s="9"/>
      <c r="S216" s="9"/>
    </row>
    <row r="217" spans="1:19" ht="62.4" x14ac:dyDescent="0.25">
      <c r="A217" s="17" t="s">
        <v>175</v>
      </c>
      <c r="B217" s="17" t="s">
        <v>78</v>
      </c>
      <c r="C217" s="35" t="s">
        <v>176</v>
      </c>
      <c r="D217" s="35" t="s">
        <v>346</v>
      </c>
      <c r="E217" s="52">
        <v>440.15</v>
      </c>
      <c r="H217" s="43"/>
      <c r="I217" s="43"/>
      <c r="J217" s="43"/>
      <c r="K217" s="43"/>
      <c r="L217" s="43"/>
      <c r="M217" s="43"/>
      <c r="N217" s="43"/>
      <c r="O217" s="43"/>
      <c r="P217" s="43"/>
      <c r="Q217" s="43"/>
      <c r="R217" s="9"/>
      <c r="S217" s="9"/>
    </row>
    <row r="218" spans="1:19" ht="62.4" x14ac:dyDescent="0.25">
      <c r="A218" s="17" t="s">
        <v>177</v>
      </c>
      <c r="B218" s="17" t="s">
        <v>80</v>
      </c>
      <c r="C218" s="35" t="s">
        <v>81</v>
      </c>
      <c r="D218" s="35" t="s">
        <v>345</v>
      </c>
      <c r="E218" s="25">
        <f>5</f>
        <v>5</v>
      </c>
      <c r="H218" s="43"/>
      <c r="I218" s="43"/>
      <c r="J218" s="43"/>
      <c r="K218" s="43"/>
      <c r="L218" s="43"/>
      <c r="M218" s="43"/>
      <c r="N218" s="43"/>
      <c r="O218" s="43"/>
      <c r="P218" s="43"/>
      <c r="Q218" s="43"/>
      <c r="R218" s="9"/>
      <c r="S218" s="9"/>
    </row>
    <row r="219" spans="1:19" ht="202.8" x14ac:dyDescent="0.25">
      <c r="A219" s="17" t="s">
        <v>178</v>
      </c>
      <c r="B219" s="17" t="s">
        <v>82</v>
      </c>
      <c r="C219" s="35" t="s">
        <v>179</v>
      </c>
      <c r="D219" s="35" t="s">
        <v>367</v>
      </c>
      <c r="E219" s="25">
        <v>9.8000000000000007</v>
      </c>
      <c r="H219" s="43"/>
      <c r="I219" s="43"/>
      <c r="J219" s="43"/>
      <c r="K219" s="43"/>
      <c r="L219" s="43"/>
      <c r="M219" s="43"/>
      <c r="N219" s="43"/>
      <c r="O219" s="43"/>
      <c r="P219" s="43"/>
      <c r="Q219" s="43"/>
      <c r="R219" s="9"/>
      <c r="S219" s="9"/>
    </row>
    <row r="220" spans="1:19" ht="156" x14ac:dyDescent="0.25">
      <c r="A220" s="17" t="s">
        <v>180</v>
      </c>
      <c r="B220" s="17" t="s">
        <v>84</v>
      </c>
      <c r="C220" s="35" t="s">
        <v>85</v>
      </c>
      <c r="D220" s="35" t="s">
        <v>365</v>
      </c>
      <c r="E220" s="25">
        <f>25.1/100</f>
        <v>0.251</v>
      </c>
      <c r="H220" s="43"/>
      <c r="I220" s="43"/>
      <c r="J220" s="43"/>
      <c r="K220" s="43"/>
      <c r="L220" s="43"/>
      <c r="M220" s="43"/>
      <c r="N220" s="43"/>
      <c r="O220" s="43"/>
      <c r="P220" s="43"/>
      <c r="Q220" s="43"/>
      <c r="R220" s="9"/>
      <c r="S220" s="9"/>
    </row>
    <row r="221" spans="1:19" ht="62.4" x14ac:dyDescent="0.25">
      <c r="A221" s="17" t="s">
        <v>86</v>
      </c>
      <c r="B221" s="17" t="s">
        <v>87</v>
      </c>
      <c r="C221" s="35" t="s">
        <v>86</v>
      </c>
      <c r="D221" s="35" t="s">
        <v>215</v>
      </c>
      <c r="E221" s="25">
        <f>0.84/1000</f>
        <v>8.3999999999999993E-4</v>
      </c>
      <c r="H221" s="43"/>
      <c r="I221" s="43"/>
      <c r="J221" s="43"/>
      <c r="K221" s="43"/>
      <c r="L221" s="43"/>
      <c r="M221" s="43"/>
      <c r="N221" s="43"/>
      <c r="O221" s="43"/>
      <c r="P221" s="43"/>
      <c r="Q221" s="43"/>
      <c r="R221" s="9"/>
      <c r="S221" s="9"/>
    </row>
    <row r="222" spans="1:19" ht="124.8" x14ac:dyDescent="0.25">
      <c r="A222" s="17" t="s">
        <v>181</v>
      </c>
      <c r="B222" s="17" t="s">
        <v>88</v>
      </c>
      <c r="C222" s="35" t="s">
        <v>89</v>
      </c>
      <c r="D222" s="35" t="s">
        <v>360</v>
      </c>
      <c r="E222" s="25">
        <f>43.33/1000</f>
        <v>4.333E-2</v>
      </c>
      <c r="H222" s="43"/>
      <c r="I222" s="43"/>
      <c r="J222" s="43"/>
      <c r="K222" s="43"/>
      <c r="L222" s="43"/>
      <c r="M222" s="43"/>
      <c r="N222" s="43"/>
      <c r="O222" s="43"/>
      <c r="P222" s="43"/>
      <c r="Q222" s="43"/>
      <c r="R222" s="9"/>
      <c r="S222" s="9"/>
    </row>
    <row r="223" spans="1:19" ht="33.6" x14ac:dyDescent="0.25">
      <c r="A223" s="17" t="s">
        <v>182</v>
      </c>
      <c r="B223" s="17" t="s">
        <v>90</v>
      </c>
      <c r="C223" s="35" t="s">
        <v>91</v>
      </c>
      <c r="D223" s="35" t="s">
        <v>92</v>
      </c>
      <c r="E223" s="25">
        <v>74.099999999999994</v>
      </c>
      <c r="H223" s="43"/>
      <c r="I223" s="43"/>
      <c r="J223" s="43"/>
      <c r="K223" s="43"/>
      <c r="L223" s="43"/>
      <c r="M223" s="43"/>
      <c r="N223" s="43"/>
      <c r="O223" s="43"/>
      <c r="P223" s="43"/>
      <c r="Q223" s="43"/>
      <c r="R223" s="9"/>
      <c r="S223" s="9"/>
    </row>
    <row r="225" spans="1:19" x14ac:dyDescent="0.25">
      <c r="A225" s="33" t="s">
        <v>8</v>
      </c>
      <c r="B225" s="33" t="s">
        <v>9</v>
      </c>
      <c r="C225" s="34" t="s">
        <v>10</v>
      </c>
      <c r="D225" s="34" t="s">
        <v>340</v>
      </c>
      <c r="E225" s="16" t="s">
        <v>65</v>
      </c>
    </row>
    <row r="226" spans="1:19" ht="18" x14ac:dyDescent="0.25">
      <c r="A226" s="15" t="s">
        <v>183</v>
      </c>
      <c r="B226" s="17" t="s">
        <v>103</v>
      </c>
      <c r="C226" s="35" t="s">
        <v>184</v>
      </c>
      <c r="D226" s="53" t="s">
        <v>393</v>
      </c>
      <c r="E226" s="18">
        <f>ROUNDUP(E175+E199+E203+E207+E215,0)</f>
        <v>241</v>
      </c>
    </row>
    <row r="227" spans="1:19" s="209" customFormat="1" ht="38.4" customHeight="1" x14ac:dyDescent="0.25">
      <c r="A227" s="208" t="s">
        <v>224</v>
      </c>
    </row>
    <row r="228" spans="1:19" s="210" customFormat="1" ht="38.4" customHeight="1" x14ac:dyDescent="0.25">
      <c r="A228" s="210" t="s">
        <v>242</v>
      </c>
    </row>
    <row r="229" spans="1:19" ht="23.4" customHeight="1" x14ac:dyDescent="0.25">
      <c r="A229" s="201" t="s">
        <v>105</v>
      </c>
      <c r="B229" s="201"/>
      <c r="C229" s="201"/>
      <c r="D229" s="201"/>
      <c r="E229" s="201"/>
      <c r="F229" s="201"/>
      <c r="G229" s="201"/>
      <c r="H229" s="201"/>
      <c r="I229" s="201"/>
      <c r="J229" s="201"/>
      <c r="K229" s="201"/>
      <c r="L229" s="201"/>
      <c r="M229" s="201"/>
      <c r="N229" s="201"/>
      <c r="O229" s="201"/>
      <c r="P229" s="201"/>
      <c r="Q229" s="202"/>
    </row>
    <row r="230" spans="1:19" s="10" customFormat="1" ht="31.2" x14ac:dyDescent="0.25">
      <c r="A230" s="15" t="s">
        <v>8</v>
      </c>
      <c r="B230" s="15" t="s">
        <v>9</v>
      </c>
      <c r="C230" s="15" t="s">
        <v>10</v>
      </c>
      <c r="D230" s="15" t="s">
        <v>340</v>
      </c>
      <c r="E230" s="16" t="s">
        <v>11</v>
      </c>
      <c r="F230" s="16" t="s">
        <v>322</v>
      </c>
      <c r="G230" s="16" t="s">
        <v>323</v>
      </c>
      <c r="H230" s="16" t="s">
        <v>324</v>
      </c>
      <c r="I230" s="16" t="s">
        <v>325</v>
      </c>
      <c r="J230" s="16" t="s">
        <v>326</v>
      </c>
      <c r="K230" s="16" t="s">
        <v>329</v>
      </c>
      <c r="L230" s="16" t="s">
        <v>292</v>
      </c>
      <c r="M230" s="16" t="s">
        <v>292</v>
      </c>
      <c r="N230" s="16" t="s">
        <v>292</v>
      </c>
      <c r="O230" s="16" t="s">
        <v>292</v>
      </c>
      <c r="P230" s="16" t="s">
        <v>292</v>
      </c>
      <c r="Q230" s="16" t="s">
        <v>292</v>
      </c>
      <c r="R230" s="54"/>
      <c r="S230" s="54"/>
    </row>
    <row r="231" spans="1:19" s="10" customFormat="1" x14ac:dyDescent="0.25">
      <c r="A231" s="203" t="s">
        <v>106</v>
      </c>
      <c r="B231" s="203"/>
      <c r="C231" s="203"/>
      <c r="D231" s="203"/>
      <c r="E231" s="204"/>
      <c r="F231" s="16">
        <v>31</v>
      </c>
      <c r="G231" s="16">
        <v>28</v>
      </c>
      <c r="H231" s="16">
        <v>31</v>
      </c>
      <c r="I231" s="16">
        <v>30</v>
      </c>
      <c r="J231" s="16">
        <v>31</v>
      </c>
      <c r="K231" s="16">
        <v>30</v>
      </c>
      <c r="L231" s="16" t="s">
        <v>292</v>
      </c>
      <c r="M231" s="16" t="s">
        <v>292</v>
      </c>
      <c r="N231" s="16" t="s">
        <v>292</v>
      </c>
      <c r="O231" s="16" t="s">
        <v>292</v>
      </c>
      <c r="P231" s="16" t="s">
        <v>292</v>
      </c>
      <c r="Q231" s="16" t="s">
        <v>292</v>
      </c>
      <c r="R231" s="54"/>
      <c r="S231" s="54"/>
    </row>
    <row r="232" spans="1:19" s="10" customFormat="1" ht="31.2" x14ac:dyDescent="0.25">
      <c r="A232" s="15" t="s">
        <v>107</v>
      </c>
      <c r="B232" s="17" t="s">
        <v>103</v>
      </c>
      <c r="C232" s="17" t="s">
        <v>108</v>
      </c>
      <c r="D232" s="17" t="s">
        <v>381</v>
      </c>
      <c r="E232" s="18">
        <f>E233+E243</f>
        <v>0</v>
      </c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54"/>
      <c r="S232" s="54"/>
    </row>
    <row r="233" spans="1:19" ht="46.8" x14ac:dyDescent="0.25">
      <c r="A233" s="17" t="s">
        <v>109</v>
      </c>
      <c r="B233" s="17" t="s">
        <v>103</v>
      </c>
      <c r="C233" s="17" t="s">
        <v>110</v>
      </c>
      <c r="D233" s="17" t="s">
        <v>382</v>
      </c>
      <c r="E233" s="19">
        <f>SUM(F233:K233)</f>
        <v>0</v>
      </c>
      <c r="F233" s="19">
        <f>IF(F234&gt;=0.8,0,$E$241*$E$242*0.4*(F235-F238)*F231)</f>
        <v>0</v>
      </c>
      <c r="G233" s="19">
        <f t="shared" ref="G233:K233" si="28">IF(G234&gt;=0.8,0,$E$241*$E$242*0.4*(G235-G238)*G231)</f>
        <v>0</v>
      </c>
      <c r="H233" s="19">
        <f t="shared" si="28"/>
        <v>0</v>
      </c>
      <c r="I233" s="19">
        <f t="shared" si="28"/>
        <v>0</v>
      </c>
      <c r="J233" s="19">
        <f t="shared" si="28"/>
        <v>0</v>
      </c>
      <c r="K233" s="19">
        <f t="shared" si="28"/>
        <v>0</v>
      </c>
      <c r="L233" s="19" t="s">
        <v>297</v>
      </c>
      <c r="M233" s="19" t="s">
        <v>297</v>
      </c>
      <c r="N233" s="19" t="s">
        <v>297</v>
      </c>
      <c r="O233" s="19" t="s">
        <v>297</v>
      </c>
      <c r="P233" s="19" t="s">
        <v>297</v>
      </c>
      <c r="Q233" s="19" t="s">
        <v>297</v>
      </c>
    </row>
    <row r="234" spans="1:19" ht="62.4" x14ac:dyDescent="0.25">
      <c r="A234" s="17" t="s">
        <v>111</v>
      </c>
      <c r="B234" s="17" t="s">
        <v>37</v>
      </c>
      <c r="C234" s="17" t="s">
        <v>112</v>
      </c>
      <c r="D234" s="17" t="s">
        <v>383</v>
      </c>
      <c r="E234" s="20">
        <f>AVERAGE(F234:K234)</f>
        <v>0.95273840377065822</v>
      </c>
      <c r="F234" s="20">
        <f>(F235-F238)/F235</f>
        <v>0.95171193770236251</v>
      </c>
      <c r="G234" s="20">
        <f t="shared" ref="G234:K234" si="29">(G235-G238)/G235</f>
        <v>0.95274560367210792</v>
      </c>
      <c r="H234" s="20">
        <f t="shared" si="29"/>
        <v>0.95276379790767007</v>
      </c>
      <c r="I234" s="20">
        <f t="shared" si="29"/>
        <v>0.95394191978800413</v>
      </c>
      <c r="J234" s="20">
        <f t="shared" si="29"/>
        <v>0.95194454340287049</v>
      </c>
      <c r="K234" s="20">
        <f t="shared" si="29"/>
        <v>0.95332262015093439</v>
      </c>
      <c r="L234" s="20" t="s">
        <v>297</v>
      </c>
      <c r="M234" s="20" t="s">
        <v>297</v>
      </c>
      <c r="N234" s="20" t="s">
        <v>297</v>
      </c>
      <c r="O234" s="20" t="s">
        <v>297</v>
      </c>
      <c r="P234" s="20" t="s">
        <v>297</v>
      </c>
      <c r="Q234" s="20" t="s">
        <v>297</v>
      </c>
    </row>
    <row r="235" spans="1:19" ht="46.8" x14ac:dyDescent="0.25">
      <c r="A235" s="17" t="s">
        <v>113</v>
      </c>
      <c r="B235" s="17" t="s">
        <v>24</v>
      </c>
      <c r="C235" s="17" t="s">
        <v>114</v>
      </c>
      <c r="D235" s="17" t="s">
        <v>384</v>
      </c>
      <c r="E235" s="20">
        <f>SUM(F235:K235)</f>
        <v>23.50501618431435</v>
      </c>
      <c r="F235" s="20">
        <f>F236*F237</f>
        <v>3.9160028702770564</v>
      </c>
      <c r="G235" s="20">
        <f t="shared" ref="G235:K235" si="30">G236*G237</f>
        <v>3.9153339700759777</v>
      </c>
      <c r="H235" s="20">
        <f t="shared" si="30"/>
        <v>3.9169258947777315</v>
      </c>
      <c r="I235" s="20">
        <f t="shared" si="30"/>
        <v>3.9176566863514442</v>
      </c>
      <c r="J235" s="20">
        <f t="shared" si="30"/>
        <v>4.1393491213456048</v>
      </c>
      <c r="K235" s="20">
        <f t="shared" si="30"/>
        <v>3.6997476414865362</v>
      </c>
      <c r="L235" s="20" t="s">
        <v>297</v>
      </c>
      <c r="M235" s="20" t="s">
        <v>297</v>
      </c>
      <c r="N235" s="20" t="s">
        <v>297</v>
      </c>
      <c r="O235" s="20" t="s">
        <v>297</v>
      </c>
      <c r="P235" s="20" t="s">
        <v>297</v>
      </c>
      <c r="Q235" s="20" t="s">
        <v>297</v>
      </c>
    </row>
    <row r="236" spans="1:19" ht="64.2" customHeight="1" x14ac:dyDescent="0.25">
      <c r="A236" s="17" t="s">
        <v>115</v>
      </c>
      <c r="B236" s="17" t="s">
        <v>116</v>
      </c>
      <c r="C236" s="17" t="s">
        <v>117</v>
      </c>
      <c r="D236" s="17" t="s">
        <v>336</v>
      </c>
      <c r="E236" s="129">
        <f>SUM(F236:K236)</f>
        <v>51145.232975729647</v>
      </c>
      <c r="F236" s="129">
        <f>'Baseline Emissions 2022'!F229</f>
        <v>8362.9640322580653</v>
      </c>
      <c r="G236" s="129">
        <f>'Baseline Emissions 2022'!G229</f>
        <v>8364.5130714285697</v>
      </c>
      <c r="H236" s="129">
        <f>'Baseline Emissions 2022'!H229</f>
        <v>8365.0889032258056</v>
      </c>
      <c r="I236" s="129">
        <f>'Baseline Emissions 2022'!I229</f>
        <v>8364.3193999999985</v>
      </c>
      <c r="J236" s="129">
        <f>'Baseline Emissions 2022'!J229</f>
        <v>8842.7669354838727</v>
      </c>
      <c r="K236" s="129">
        <f>'Baseline Emissions 2022'!K229</f>
        <v>8845.5806333333312</v>
      </c>
      <c r="L236" s="21" t="s">
        <v>297</v>
      </c>
      <c r="M236" s="21" t="s">
        <v>297</v>
      </c>
      <c r="N236" s="21" t="s">
        <v>297</v>
      </c>
      <c r="O236" s="21" t="s">
        <v>297</v>
      </c>
      <c r="P236" s="21" t="s">
        <v>297</v>
      </c>
      <c r="Q236" s="21" t="s">
        <v>297</v>
      </c>
    </row>
    <row r="237" spans="1:19" ht="46.8" x14ac:dyDescent="0.25">
      <c r="A237" s="17" t="s">
        <v>118</v>
      </c>
      <c r="B237" s="17" t="s">
        <v>119</v>
      </c>
      <c r="C237" s="17" t="s">
        <v>120</v>
      </c>
      <c r="D237" s="35" t="s">
        <v>338</v>
      </c>
      <c r="E237" s="120">
        <f>AVERAGE(F237:K237)</f>
        <v>4.5988885880696379E-4</v>
      </c>
      <c r="F237" s="130">
        <f>'Baseline Emissions 2022'!F233</f>
        <v>4.682553763440861E-4</v>
      </c>
      <c r="G237" s="130">
        <f>'Baseline Emissions 2022'!G233</f>
        <v>4.6808869047619057E-4</v>
      </c>
      <c r="H237" s="130">
        <f>'Baseline Emissions 2022'!H233</f>
        <v>4.6824677419354842E-4</v>
      </c>
      <c r="I237" s="130">
        <f>'Baseline Emissions 2022'!I233</f>
        <v>4.6837722222222225E-4</v>
      </c>
      <c r="J237" s="130">
        <f>'Baseline Emissions 2022'!J233</f>
        <v>4.681056451612904E-4</v>
      </c>
      <c r="K237" s="130">
        <f>'Baseline Emissions 2022'!K233</f>
        <v>4.1825944444444444E-4</v>
      </c>
      <c r="L237" s="23" t="s">
        <v>297</v>
      </c>
      <c r="M237" s="23" t="s">
        <v>297</v>
      </c>
      <c r="N237" s="23" t="s">
        <v>297</v>
      </c>
      <c r="O237" s="23" t="s">
        <v>297</v>
      </c>
      <c r="P237" s="23" t="s">
        <v>297</v>
      </c>
      <c r="Q237" s="23" t="s">
        <v>297</v>
      </c>
    </row>
    <row r="238" spans="1:19" ht="46.8" x14ac:dyDescent="0.25">
      <c r="A238" s="17" t="s">
        <v>121</v>
      </c>
      <c r="B238" s="17" t="s">
        <v>24</v>
      </c>
      <c r="C238" s="17" t="s">
        <v>122</v>
      </c>
      <c r="D238" s="17" t="s">
        <v>384</v>
      </c>
      <c r="E238" s="20">
        <f>SUM(F238:K238)</f>
        <v>1.1111862208336749</v>
      </c>
      <c r="F238" s="20">
        <f>SUM(F239*F240)</f>
        <v>0.18909619055766566</v>
      </c>
      <c r="G238" s="20">
        <f t="shared" ref="G238:K238" si="31">SUM(G239*G240)</f>
        <v>0.18501674317802927</v>
      </c>
      <c r="H238" s="20">
        <f t="shared" si="31"/>
        <v>0.18502070314640134</v>
      </c>
      <c r="I238" s="20">
        <f t="shared" si="31"/>
        <v>0.18043974590303705</v>
      </c>
      <c r="J238" s="20">
        <f t="shared" si="31"/>
        <v>0.1989183120411897</v>
      </c>
      <c r="K238" s="20">
        <f t="shared" si="31"/>
        <v>0.17269452600735186</v>
      </c>
      <c r="L238" s="20" t="s">
        <v>297</v>
      </c>
      <c r="M238" s="20" t="s">
        <v>297</v>
      </c>
      <c r="N238" s="20" t="s">
        <v>297</v>
      </c>
      <c r="O238" s="20" t="s">
        <v>297</v>
      </c>
      <c r="P238" s="20" t="s">
        <v>297</v>
      </c>
      <c r="Q238" s="20" t="s">
        <v>297</v>
      </c>
    </row>
    <row r="239" spans="1:19" ht="62.4" x14ac:dyDescent="0.25">
      <c r="A239" s="17" t="s">
        <v>123</v>
      </c>
      <c r="B239" s="17" t="s">
        <v>116</v>
      </c>
      <c r="C239" s="17" t="s">
        <v>124</v>
      </c>
      <c r="D239" s="17" t="s">
        <v>337</v>
      </c>
      <c r="E239" s="129">
        <f>SUM(F239:K239)</f>
        <v>50393.060966589859</v>
      </c>
      <c r="F239" s="129">
        <v>8239.002903225808</v>
      </c>
      <c r="G239" s="129">
        <v>8236.8033214285679</v>
      </c>
      <c r="H239" s="129">
        <v>8230.7142258064523</v>
      </c>
      <c r="I239" s="129">
        <v>8235.9149666666654</v>
      </c>
      <c r="J239" s="129">
        <v>8723.0475161290342</v>
      </c>
      <c r="K239" s="129">
        <v>8727.5780333333314</v>
      </c>
      <c r="L239" s="21" t="s">
        <v>297</v>
      </c>
      <c r="M239" s="21" t="s">
        <v>297</v>
      </c>
      <c r="N239" s="21" t="s">
        <v>297</v>
      </c>
      <c r="O239" s="21" t="s">
        <v>297</v>
      </c>
      <c r="P239" s="21" t="s">
        <v>297</v>
      </c>
      <c r="Q239" s="21" t="s">
        <v>297</v>
      </c>
    </row>
    <row r="240" spans="1:19" ht="46.8" x14ac:dyDescent="0.25">
      <c r="A240" s="17" t="s">
        <v>125</v>
      </c>
      <c r="B240" s="17" t="s">
        <v>119</v>
      </c>
      <c r="C240" s="17" t="s">
        <v>126</v>
      </c>
      <c r="D240" s="35" t="s">
        <v>339</v>
      </c>
      <c r="E240" s="131">
        <f>AVERAGE(F240:K240)</f>
        <v>2.2065453682369006E-5</v>
      </c>
      <c r="F240" s="131">
        <f>'Baseline Emissions 2022'!F234</f>
        <v>2.2951344086021504E-5</v>
      </c>
      <c r="G240" s="131">
        <f>'Baseline Emissions 2022'!G234</f>
        <v>2.2462202380952382E-5</v>
      </c>
      <c r="H240" s="131">
        <f>'Baseline Emissions 2022'!H234</f>
        <v>2.2479301075268818E-5</v>
      </c>
      <c r="I240" s="131">
        <f>'Baseline Emissions 2022'!I234</f>
        <v>2.1908888888888894E-5</v>
      </c>
      <c r="J240" s="131">
        <f>'Baseline Emissions 2022'!J234</f>
        <v>2.2803763440860207E-5</v>
      </c>
      <c r="K240" s="131">
        <f>'Baseline Emissions 2022'!K234</f>
        <v>1.9787222222222227E-5</v>
      </c>
      <c r="L240" s="24" t="s">
        <v>297</v>
      </c>
      <c r="M240" s="24" t="s">
        <v>297</v>
      </c>
      <c r="N240" s="24" t="s">
        <v>297</v>
      </c>
      <c r="O240" s="24" t="s">
        <v>297</v>
      </c>
      <c r="P240" s="24" t="s">
        <v>297</v>
      </c>
      <c r="Q240" s="24" t="s">
        <v>297</v>
      </c>
    </row>
    <row r="241" spans="1:17" ht="31.2" x14ac:dyDescent="0.25">
      <c r="A241" s="17" t="s">
        <v>127</v>
      </c>
      <c r="B241" s="17" t="s">
        <v>128</v>
      </c>
      <c r="C241" s="17" t="s">
        <v>17</v>
      </c>
      <c r="D241" s="17" t="s">
        <v>129</v>
      </c>
      <c r="E241" s="176">
        <v>28</v>
      </c>
      <c r="F241" s="176"/>
      <c r="G241" s="176"/>
      <c r="H241" s="176"/>
      <c r="I241" s="176"/>
      <c r="J241" s="176"/>
      <c r="K241" s="176"/>
      <c r="L241" s="176"/>
      <c r="M241" s="176"/>
      <c r="N241" s="176"/>
      <c r="O241" s="176"/>
      <c r="P241" s="176"/>
      <c r="Q241" s="176"/>
    </row>
    <row r="242" spans="1:17" ht="64.8" x14ac:dyDescent="0.25">
      <c r="A242" s="17" t="s">
        <v>130</v>
      </c>
      <c r="B242" s="17" t="s">
        <v>19</v>
      </c>
      <c r="C242" s="17" t="s">
        <v>131</v>
      </c>
      <c r="D242" s="17" t="s">
        <v>394</v>
      </c>
      <c r="E242" s="176">
        <v>0.21</v>
      </c>
      <c r="F242" s="176"/>
      <c r="G242" s="176"/>
      <c r="H242" s="176"/>
      <c r="I242" s="176"/>
      <c r="J242" s="176"/>
      <c r="K242" s="176"/>
      <c r="L242" s="176"/>
      <c r="M242" s="176"/>
      <c r="N242" s="176"/>
      <c r="O242" s="176"/>
      <c r="P242" s="176"/>
      <c r="Q242" s="176"/>
    </row>
    <row r="243" spans="1:17" ht="46.8" x14ac:dyDescent="0.25">
      <c r="A243" s="17" t="s">
        <v>132</v>
      </c>
      <c r="B243" s="17" t="s">
        <v>103</v>
      </c>
      <c r="C243" s="17" t="s">
        <v>133</v>
      </c>
      <c r="D243" s="17" t="s">
        <v>385</v>
      </c>
      <c r="E243" s="19">
        <f>SUM(F243:K243)</f>
        <v>0</v>
      </c>
      <c r="F243" s="19">
        <f>$E$241*$E$242*F244*F238*F231</f>
        <v>0</v>
      </c>
      <c r="G243" s="19">
        <f t="shared" ref="G243:K243" si="32">$E$241*$E$242*G244*G238*G231</f>
        <v>0</v>
      </c>
      <c r="H243" s="19">
        <f t="shared" si="32"/>
        <v>0</v>
      </c>
      <c r="I243" s="19">
        <f t="shared" si="32"/>
        <v>0</v>
      </c>
      <c r="J243" s="19">
        <f t="shared" si="32"/>
        <v>0</v>
      </c>
      <c r="K243" s="19">
        <f t="shared" si="32"/>
        <v>0</v>
      </c>
      <c r="L243" s="19" t="s">
        <v>297</v>
      </c>
      <c r="M243" s="19" t="s">
        <v>297</v>
      </c>
      <c r="N243" s="19" t="s">
        <v>297</v>
      </c>
      <c r="O243" s="19" t="s">
        <v>297</v>
      </c>
      <c r="P243" s="19" t="s">
        <v>297</v>
      </c>
      <c r="Q243" s="19" t="s">
        <v>297</v>
      </c>
    </row>
    <row r="244" spans="1:17" ht="18" x14ac:dyDescent="0.25">
      <c r="A244" s="17" t="s">
        <v>134</v>
      </c>
      <c r="B244" s="17" t="s">
        <v>37</v>
      </c>
      <c r="C244" s="17" t="s">
        <v>135</v>
      </c>
      <c r="D244" s="17" t="s">
        <v>386</v>
      </c>
      <c r="E244" s="26">
        <f>AVERAGE(F244:K244)</f>
        <v>0</v>
      </c>
      <c r="F244" s="26">
        <f>F245*$E$246*0.89</f>
        <v>0</v>
      </c>
      <c r="G244" s="26">
        <f t="shared" ref="G244:K244" si="33">G245*$E$246*0.89</f>
        <v>0</v>
      </c>
      <c r="H244" s="26">
        <f t="shared" si="33"/>
        <v>0</v>
      </c>
      <c r="I244" s="26">
        <f t="shared" si="33"/>
        <v>0</v>
      </c>
      <c r="J244" s="26">
        <f t="shared" si="33"/>
        <v>0</v>
      </c>
      <c r="K244" s="26">
        <f t="shared" si="33"/>
        <v>0</v>
      </c>
      <c r="L244" s="26" t="s">
        <v>297</v>
      </c>
      <c r="M244" s="26" t="s">
        <v>297</v>
      </c>
      <c r="N244" s="26" t="s">
        <v>297</v>
      </c>
      <c r="O244" s="26" t="s">
        <v>297</v>
      </c>
      <c r="P244" s="26" t="s">
        <v>297</v>
      </c>
      <c r="Q244" s="26" t="s">
        <v>297</v>
      </c>
    </row>
    <row r="245" spans="1:17" ht="31.2" x14ac:dyDescent="0.25">
      <c r="A245" s="17" t="s">
        <v>136</v>
      </c>
      <c r="B245" s="17" t="s">
        <v>37</v>
      </c>
      <c r="C245" s="17" t="s">
        <v>46</v>
      </c>
      <c r="D245" s="17" t="s">
        <v>387</v>
      </c>
      <c r="E245" s="25">
        <v>0</v>
      </c>
      <c r="F245" s="25">
        <v>0</v>
      </c>
      <c r="G245" s="25">
        <v>0</v>
      </c>
      <c r="H245" s="25">
        <v>0</v>
      </c>
      <c r="I245" s="25">
        <v>0</v>
      </c>
      <c r="J245" s="25">
        <v>0</v>
      </c>
      <c r="K245" s="25">
        <v>0</v>
      </c>
      <c r="L245" s="25" t="s">
        <v>297</v>
      </c>
      <c r="M245" s="25" t="s">
        <v>297</v>
      </c>
      <c r="N245" s="25" t="s">
        <v>297</v>
      </c>
      <c r="O245" s="25" t="s">
        <v>297</v>
      </c>
      <c r="P245" s="25" t="s">
        <v>297</v>
      </c>
      <c r="Q245" s="25" t="s">
        <v>297</v>
      </c>
    </row>
    <row r="246" spans="1:17" ht="31.2" x14ac:dyDescent="0.25">
      <c r="A246" s="17" t="s">
        <v>137</v>
      </c>
      <c r="B246" s="17" t="s">
        <v>201</v>
      </c>
      <c r="C246" s="17" t="s">
        <v>138</v>
      </c>
      <c r="D246" s="17" t="s">
        <v>388</v>
      </c>
      <c r="E246" s="196">
        <f>(F247*F252+G247*G252+H247*H252+I247*I252+J247*J252+K247*K252)/(F239*F240*F231+G240*G239*G231+H239*H240*H231+I240*I239*I231+J240*J239*J231+K240*K239*K231)</f>
        <v>0.47426195252152253</v>
      </c>
      <c r="F246" s="196"/>
      <c r="G246" s="196"/>
      <c r="H246" s="196"/>
      <c r="I246" s="196"/>
      <c r="J246" s="196"/>
      <c r="K246" s="196"/>
      <c r="L246" s="196"/>
      <c r="M246" s="196"/>
      <c r="N246" s="196"/>
      <c r="O246" s="196"/>
      <c r="P246" s="196"/>
      <c r="Q246" s="196"/>
    </row>
    <row r="247" spans="1:17" ht="31.2" x14ac:dyDescent="0.25">
      <c r="A247" s="17" t="s">
        <v>139</v>
      </c>
      <c r="B247" s="17" t="s">
        <v>37</v>
      </c>
      <c r="C247" s="17" t="s">
        <v>140</v>
      </c>
      <c r="D247" s="17" t="s">
        <v>375</v>
      </c>
      <c r="E247" s="27">
        <f>AVERAGE(F247:K247)</f>
        <v>0.47566758520675173</v>
      </c>
      <c r="F247" s="27">
        <f>IF(F251&lt;283,0,IF(F251&gt;303,1,EXP(($E$248*(F251-$E$249))/($E$250*$E$249*F251))))</f>
        <v>0.29505266129807517</v>
      </c>
      <c r="G247" s="27">
        <f t="shared" ref="G247:K247" si="34">IF(G251&lt;283,0,IF(G251&gt;303,1,EXP(($E$248*(G251-$E$249))/($E$250*$E$249*G251))))</f>
        <v>0.24547412919519337</v>
      </c>
      <c r="H247" s="27">
        <f t="shared" si="34"/>
        <v>0.42307437878932203</v>
      </c>
      <c r="I247" s="27">
        <f t="shared" si="34"/>
        <v>0.50475941545474445</v>
      </c>
      <c r="J247" s="27">
        <f t="shared" si="34"/>
        <v>0.57531644493802248</v>
      </c>
      <c r="K247" s="27">
        <f t="shared" si="34"/>
        <v>0.81032848156515291</v>
      </c>
      <c r="L247" s="27" t="s">
        <v>297</v>
      </c>
      <c r="M247" s="27" t="s">
        <v>297</v>
      </c>
      <c r="N247" s="27" t="s">
        <v>297</v>
      </c>
      <c r="O247" s="27" t="s">
        <v>297</v>
      </c>
      <c r="P247" s="27" t="s">
        <v>297</v>
      </c>
      <c r="Q247" s="27" t="s">
        <v>297</v>
      </c>
    </row>
    <row r="248" spans="1:17" x14ac:dyDescent="0.25">
      <c r="A248" s="17" t="s">
        <v>51</v>
      </c>
      <c r="B248" s="17" t="s">
        <v>52</v>
      </c>
      <c r="C248" s="17" t="s">
        <v>53</v>
      </c>
      <c r="D248" s="17" t="s">
        <v>389</v>
      </c>
      <c r="E248" s="176">
        <v>15175</v>
      </c>
      <c r="F248" s="176"/>
      <c r="G248" s="176"/>
      <c r="H248" s="176"/>
      <c r="I248" s="176"/>
      <c r="J248" s="176"/>
      <c r="K248" s="176"/>
      <c r="L248" s="176"/>
      <c r="M248" s="176"/>
      <c r="N248" s="176"/>
      <c r="O248" s="176"/>
      <c r="P248" s="176"/>
      <c r="Q248" s="176"/>
    </row>
    <row r="249" spans="1:17" ht="18" x14ac:dyDescent="0.25">
      <c r="A249" s="17" t="s">
        <v>141</v>
      </c>
      <c r="B249" s="17" t="s">
        <v>55</v>
      </c>
      <c r="C249" s="17" t="s">
        <v>56</v>
      </c>
      <c r="D249" s="17" t="s">
        <v>389</v>
      </c>
      <c r="E249" s="176">
        <v>303.16000000000003</v>
      </c>
      <c r="F249" s="176"/>
      <c r="G249" s="176"/>
      <c r="H249" s="176"/>
      <c r="I249" s="176"/>
      <c r="J249" s="176"/>
      <c r="K249" s="176"/>
      <c r="L249" s="176"/>
      <c r="M249" s="176"/>
      <c r="N249" s="176"/>
      <c r="O249" s="176"/>
      <c r="P249" s="176"/>
      <c r="Q249" s="176"/>
    </row>
    <row r="250" spans="1:17" x14ac:dyDescent="0.25">
      <c r="A250" s="17" t="s">
        <v>57</v>
      </c>
      <c r="B250" s="17" t="s">
        <v>58</v>
      </c>
      <c r="C250" s="17" t="s">
        <v>59</v>
      </c>
      <c r="D250" s="17" t="s">
        <v>389</v>
      </c>
      <c r="E250" s="176">
        <v>1.9870000000000001</v>
      </c>
      <c r="F250" s="176"/>
      <c r="G250" s="176"/>
      <c r="H250" s="176"/>
      <c r="I250" s="176"/>
      <c r="J250" s="176"/>
      <c r="K250" s="176"/>
      <c r="L250" s="176"/>
      <c r="M250" s="176"/>
      <c r="N250" s="176"/>
      <c r="O250" s="176"/>
      <c r="P250" s="176"/>
      <c r="Q250" s="176"/>
    </row>
    <row r="251" spans="1:17" ht="18" x14ac:dyDescent="0.25">
      <c r="A251" s="17" t="s">
        <v>142</v>
      </c>
      <c r="B251" s="17" t="s">
        <v>55</v>
      </c>
      <c r="C251" s="17" t="s">
        <v>143</v>
      </c>
      <c r="D251" s="144" t="s">
        <v>363</v>
      </c>
      <c r="E251" s="28">
        <f>AVERAGE(F251:K251)</f>
        <v>293.65000000000003</v>
      </c>
      <c r="F251" s="25">
        <v>289.14999999999998</v>
      </c>
      <c r="G251" s="25">
        <v>287.14999999999998</v>
      </c>
      <c r="H251" s="25">
        <v>293.14999999999998</v>
      </c>
      <c r="I251" s="25">
        <v>295.14999999999998</v>
      </c>
      <c r="J251" s="25">
        <v>296.64999999999998</v>
      </c>
      <c r="K251" s="25">
        <v>300.64999999999998</v>
      </c>
      <c r="L251" s="25" t="s">
        <v>297</v>
      </c>
      <c r="M251" s="25" t="s">
        <v>297</v>
      </c>
      <c r="N251" s="25" t="s">
        <v>297</v>
      </c>
      <c r="O251" s="25" t="s">
        <v>297</v>
      </c>
      <c r="P251" s="25" t="s">
        <v>297</v>
      </c>
      <c r="Q251" s="25" t="s">
        <v>297</v>
      </c>
    </row>
    <row r="252" spans="1:17" ht="46.8" x14ac:dyDescent="0.25">
      <c r="A252" s="17" t="s">
        <v>144</v>
      </c>
      <c r="B252" s="17" t="s">
        <v>24</v>
      </c>
      <c r="C252" s="17" t="s">
        <v>145</v>
      </c>
      <c r="D252" s="17" t="s">
        <v>390</v>
      </c>
      <c r="E252" s="29">
        <f>SUM(F252:K252)</f>
        <v>33.538588344399443</v>
      </c>
      <c r="F252" s="29">
        <f>F239*F240*'Project Emissions 2022'!F231+(1-F247)*0</f>
        <v>5.8619819072876354</v>
      </c>
      <c r="G252" s="29">
        <f>G239*G240*'Project Emissions 2022'!G231+(1-G247)*0</f>
        <v>5.1804688089848199</v>
      </c>
      <c r="H252" s="29">
        <f>H239*H240*'Project Emissions 2022'!H231+(1-H247)*0</f>
        <v>5.7356417975384417</v>
      </c>
      <c r="I252" s="29">
        <f>I239*I240*'Project Emissions 2022'!I231+(1-I247)*0</f>
        <v>5.4131923770911117</v>
      </c>
      <c r="J252" s="29">
        <f>J239*J240*'Project Emissions 2022'!J231+(1-J247)*0</f>
        <v>6.1664676732768804</v>
      </c>
      <c r="K252" s="29">
        <f>K239*K240*'Project Emissions 2022'!K231+(1-K247)*0</f>
        <v>5.1808357802205558</v>
      </c>
      <c r="L252" s="29" t="s">
        <v>297</v>
      </c>
      <c r="M252" s="29" t="s">
        <v>297</v>
      </c>
      <c r="N252" s="29" t="s">
        <v>297</v>
      </c>
      <c r="O252" s="29" t="s">
        <v>297</v>
      </c>
      <c r="P252" s="29" t="s">
        <v>297</v>
      </c>
      <c r="Q252" s="29" t="s">
        <v>297</v>
      </c>
    </row>
    <row r="253" spans="1:17" x14ac:dyDescent="0.3">
      <c r="A253" s="30"/>
      <c r="E253" s="31"/>
      <c r="F253" s="31"/>
      <c r="G253" s="31"/>
      <c r="H253" s="31"/>
      <c r="I253" s="31"/>
      <c r="J253" s="31"/>
      <c r="K253" s="31"/>
      <c r="L253" s="31"/>
      <c r="M253" s="31"/>
      <c r="N253" s="31"/>
      <c r="O253" s="31"/>
      <c r="P253" s="31"/>
      <c r="Q253" s="31"/>
    </row>
    <row r="254" spans="1:17" x14ac:dyDescent="0.25">
      <c r="A254" s="174" t="s">
        <v>146</v>
      </c>
      <c r="B254" s="174"/>
      <c r="C254" s="175"/>
      <c r="D254" s="175"/>
      <c r="E254" s="195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</row>
    <row r="255" spans="1:17" x14ac:dyDescent="0.25">
      <c r="A255" s="33" t="s">
        <v>8</v>
      </c>
      <c r="B255" s="33" t="s">
        <v>9</v>
      </c>
      <c r="C255" s="34" t="s">
        <v>10</v>
      </c>
      <c r="D255" s="34" t="s">
        <v>340</v>
      </c>
      <c r="E255" s="16" t="s">
        <v>65</v>
      </c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</row>
    <row r="256" spans="1:17" ht="46.8" x14ac:dyDescent="0.25">
      <c r="A256" s="15" t="s">
        <v>147</v>
      </c>
      <c r="B256" s="17" t="s">
        <v>95</v>
      </c>
      <c r="C256" s="35" t="s">
        <v>148</v>
      </c>
      <c r="D256" s="35" t="s">
        <v>68</v>
      </c>
      <c r="E256" s="16">
        <v>0</v>
      </c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</row>
    <row r="257" spans="1:19" x14ac:dyDescent="0.25">
      <c r="A257" s="36"/>
      <c r="B257" s="36"/>
      <c r="C257" s="37"/>
      <c r="D257" s="37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</row>
    <row r="258" spans="1:19" x14ac:dyDescent="0.25">
      <c r="A258" s="174" t="s">
        <v>149</v>
      </c>
      <c r="B258" s="174"/>
      <c r="C258" s="175"/>
      <c r="D258" s="175"/>
      <c r="E258" s="195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</row>
    <row r="259" spans="1:19" x14ac:dyDescent="0.25">
      <c r="A259" s="33" t="s">
        <v>8</v>
      </c>
      <c r="B259" s="33" t="s">
        <v>9</v>
      </c>
      <c r="C259" s="34" t="s">
        <v>10</v>
      </c>
      <c r="D259" s="34" t="s">
        <v>340</v>
      </c>
      <c r="E259" s="16" t="s">
        <v>65</v>
      </c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</row>
    <row r="260" spans="1:19" ht="46.8" x14ac:dyDescent="0.25">
      <c r="A260" s="15" t="s">
        <v>150</v>
      </c>
      <c r="B260" s="17" t="s">
        <v>95</v>
      </c>
      <c r="C260" s="35" t="s">
        <v>151</v>
      </c>
      <c r="D260" s="35" t="s">
        <v>68</v>
      </c>
      <c r="E260" s="16">
        <v>0</v>
      </c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</row>
    <row r="261" spans="1:19" x14ac:dyDescent="0.25"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</row>
    <row r="262" spans="1:19" x14ac:dyDescent="0.25">
      <c r="A262" s="174" t="s">
        <v>152</v>
      </c>
      <c r="B262" s="174"/>
      <c r="C262" s="175"/>
      <c r="D262" s="175"/>
      <c r="E262" s="195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</row>
    <row r="263" spans="1:19" s="10" customFormat="1" x14ac:dyDescent="0.25">
      <c r="A263" s="15" t="s">
        <v>8</v>
      </c>
      <c r="B263" s="15" t="s">
        <v>9</v>
      </c>
      <c r="C263" s="38" t="s">
        <v>10</v>
      </c>
      <c r="D263" s="38" t="s">
        <v>340</v>
      </c>
      <c r="E263" s="16" t="s">
        <v>65</v>
      </c>
      <c r="F263" s="32"/>
      <c r="G263" s="32"/>
      <c r="H263" s="39"/>
      <c r="I263" s="39"/>
      <c r="J263" s="39"/>
      <c r="K263" s="39"/>
      <c r="L263" s="39"/>
      <c r="M263" s="39"/>
      <c r="N263" s="39"/>
      <c r="O263" s="39"/>
      <c r="P263" s="39"/>
      <c r="Q263" s="39"/>
    </row>
    <row r="264" spans="1:19" s="10" customFormat="1" ht="18" x14ac:dyDescent="0.4">
      <c r="A264" s="40" t="s">
        <v>153</v>
      </c>
      <c r="B264" s="17" t="s">
        <v>103</v>
      </c>
      <c r="C264" s="35" t="s">
        <v>154</v>
      </c>
      <c r="D264" s="35" t="s">
        <v>155</v>
      </c>
      <c r="E264" s="41">
        <f>E265*E267*(1+E266)</f>
        <v>392.64692364420006</v>
      </c>
      <c r="F264" s="32"/>
      <c r="G264" s="32"/>
      <c r="H264" s="39"/>
      <c r="I264" s="39"/>
      <c r="J264" s="39"/>
      <c r="K264" s="39"/>
      <c r="L264" s="39"/>
      <c r="M264" s="39"/>
      <c r="N264" s="39"/>
      <c r="O264" s="39"/>
      <c r="P264" s="39"/>
      <c r="Q264" s="39"/>
    </row>
    <row r="265" spans="1:19" ht="31.2" x14ac:dyDescent="0.25">
      <c r="A265" s="17" t="s">
        <v>156</v>
      </c>
      <c r="B265" s="17" t="s">
        <v>157</v>
      </c>
      <c r="C265" s="35" t="s">
        <v>158</v>
      </c>
      <c r="D265" s="35" t="s">
        <v>343</v>
      </c>
      <c r="E265" s="20">
        <f>643029.91/1000</f>
        <v>643.02991000000009</v>
      </c>
      <c r="G265" s="42"/>
      <c r="H265" s="43"/>
      <c r="I265" s="43"/>
      <c r="J265" s="43"/>
      <c r="K265" s="43"/>
      <c r="L265" s="43"/>
      <c r="M265" s="43"/>
      <c r="N265" s="43"/>
      <c r="O265" s="43"/>
      <c r="P265" s="43"/>
      <c r="Q265" s="43"/>
      <c r="R265" s="9"/>
      <c r="S265" s="9"/>
    </row>
    <row r="266" spans="1:19" ht="31.2" x14ac:dyDescent="0.25">
      <c r="A266" s="17" t="s">
        <v>159</v>
      </c>
      <c r="B266" s="17" t="s">
        <v>160</v>
      </c>
      <c r="C266" s="35" t="s">
        <v>161</v>
      </c>
      <c r="D266" s="35" t="s">
        <v>162</v>
      </c>
      <c r="E266" s="44">
        <v>0.2</v>
      </c>
      <c r="H266" s="43"/>
      <c r="I266" s="43"/>
      <c r="J266" s="43"/>
      <c r="K266" s="43"/>
      <c r="L266" s="43"/>
      <c r="M266" s="43"/>
      <c r="N266" s="43"/>
      <c r="O266" s="43"/>
      <c r="P266" s="43"/>
      <c r="Q266" s="43"/>
      <c r="R266" s="9"/>
      <c r="S266" s="9"/>
    </row>
    <row r="267" spans="1:19" ht="46.8" x14ac:dyDescent="0.25">
      <c r="A267" s="17" t="s">
        <v>163</v>
      </c>
      <c r="B267" s="17" t="s">
        <v>164</v>
      </c>
      <c r="C267" s="35" t="s">
        <v>165</v>
      </c>
      <c r="D267" s="35" t="s">
        <v>166</v>
      </c>
      <c r="E267" s="45">
        <f>0.5*0.8042+0.5*0.2135</f>
        <v>0.50885000000000002</v>
      </c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</row>
    <row r="268" spans="1:19" ht="31.2" x14ac:dyDescent="0.4">
      <c r="A268" s="40" t="s">
        <v>167</v>
      </c>
      <c r="B268" s="17" t="s">
        <v>103</v>
      </c>
      <c r="C268" s="35" t="s">
        <v>168</v>
      </c>
      <c r="D268" s="35" t="s">
        <v>169</v>
      </c>
      <c r="E268" s="47">
        <v>0</v>
      </c>
      <c r="H268" s="43"/>
      <c r="I268" s="43"/>
      <c r="J268" s="43"/>
      <c r="K268" s="43"/>
      <c r="L268" s="43"/>
      <c r="M268" s="43"/>
      <c r="N268" s="43"/>
      <c r="O268" s="43"/>
      <c r="P268" s="43"/>
      <c r="Q268" s="43"/>
      <c r="R268" s="9"/>
      <c r="S268" s="9"/>
    </row>
    <row r="269" spans="1:19" x14ac:dyDescent="0.3">
      <c r="A269" s="48"/>
      <c r="E269" s="49"/>
      <c r="H269" s="43"/>
      <c r="I269" s="43"/>
      <c r="J269" s="43"/>
      <c r="K269" s="43"/>
      <c r="L269" s="43"/>
      <c r="M269" s="43"/>
      <c r="N269" s="43"/>
      <c r="O269" s="43"/>
      <c r="P269" s="43"/>
      <c r="Q269" s="43"/>
      <c r="R269" s="9"/>
      <c r="S269" s="9"/>
    </row>
    <row r="270" spans="1:19" x14ac:dyDescent="0.25">
      <c r="A270" s="174" t="s">
        <v>170</v>
      </c>
      <c r="B270" s="174"/>
      <c r="C270" s="175"/>
      <c r="D270" s="175"/>
      <c r="E270" s="195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</row>
    <row r="271" spans="1:19" x14ac:dyDescent="0.25">
      <c r="A271" s="15" t="s">
        <v>8</v>
      </c>
      <c r="B271" s="15" t="s">
        <v>9</v>
      </c>
      <c r="C271" s="38" t="s">
        <v>10</v>
      </c>
      <c r="D271" s="38" t="s">
        <v>340</v>
      </c>
      <c r="E271" s="16" t="s">
        <v>65</v>
      </c>
      <c r="H271" s="43"/>
      <c r="I271" s="43"/>
      <c r="J271" s="43"/>
      <c r="K271" s="43"/>
      <c r="L271" s="43"/>
      <c r="M271" s="43"/>
      <c r="N271" s="43"/>
      <c r="O271" s="43"/>
      <c r="P271" s="43"/>
      <c r="Q271" s="43"/>
      <c r="R271" s="9"/>
      <c r="S271" s="9"/>
    </row>
    <row r="272" spans="1:19" ht="33.6" x14ac:dyDescent="0.4">
      <c r="A272" s="40" t="s">
        <v>171</v>
      </c>
      <c r="B272" s="17" t="s">
        <v>74</v>
      </c>
      <c r="C272" s="35" t="s">
        <v>172</v>
      </c>
      <c r="D272" s="35" t="s">
        <v>391</v>
      </c>
      <c r="E272" s="50">
        <f>E273*E276*E277*E278*E279*E280</f>
        <v>5.7022641159709675</v>
      </c>
      <c r="H272" s="43"/>
      <c r="I272" s="43"/>
      <c r="J272" s="43"/>
      <c r="K272" s="43"/>
      <c r="L272" s="43"/>
      <c r="M272" s="43"/>
      <c r="N272" s="43"/>
      <c r="O272" s="43"/>
      <c r="P272" s="43"/>
      <c r="Q272" s="43"/>
      <c r="R272" s="9"/>
      <c r="S272" s="9"/>
    </row>
    <row r="273" spans="1:19" ht="46.8" x14ac:dyDescent="0.4">
      <c r="A273" s="51" t="s">
        <v>173</v>
      </c>
      <c r="B273" s="17" t="s">
        <v>76</v>
      </c>
      <c r="C273" s="35" t="s">
        <v>174</v>
      </c>
      <c r="D273" s="35" t="s">
        <v>392</v>
      </c>
      <c r="E273" s="69">
        <f>ROUNDUP(E274/E275,0)</f>
        <v>139</v>
      </c>
      <c r="H273" s="43"/>
      <c r="I273" s="43"/>
      <c r="J273" s="43"/>
      <c r="K273" s="43"/>
      <c r="L273" s="43"/>
      <c r="M273" s="43"/>
      <c r="N273" s="43"/>
      <c r="O273" s="43"/>
      <c r="P273" s="43"/>
      <c r="Q273" s="43"/>
      <c r="R273" s="9"/>
      <c r="S273" s="9"/>
    </row>
    <row r="274" spans="1:19" ht="62.4" x14ac:dyDescent="0.25">
      <c r="A274" s="17" t="s">
        <v>175</v>
      </c>
      <c r="B274" s="17" t="s">
        <v>78</v>
      </c>
      <c r="C274" s="35" t="s">
        <v>176</v>
      </c>
      <c r="D274" s="35" t="s">
        <v>346</v>
      </c>
      <c r="E274" s="52">
        <v>694.50499999999988</v>
      </c>
      <c r="H274" s="43"/>
      <c r="I274" s="43"/>
      <c r="J274" s="43"/>
      <c r="K274" s="43"/>
      <c r="L274" s="43"/>
      <c r="M274" s="43"/>
      <c r="N274" s="43"/>
      <c r="O274" s="43"/>
      <c r="P274" s="43"/>
      <c r="Q274" s="43"/>
      <c r="R274" s="9"/>
      <c r="S274" s="9"/>
    </row>
    <row r="275" spans="1:19" ht="62.4" x14ac:dyDescent="0.25">
      <c r="A275" s="17" t="s">
        <v>177</v>
      </c>
      <c r="B275" s="17" t="s">
        <v>80</v>
      </c>
      <c r="C275" s="35" t="s">
        <v>81</v>
      </c>
      <c r="D275" s="35" t="s">
        <v>345</v>
      </c>
      <c r="E275" s="25">
        <f>5</f>
        <v>5</v>
      </c>
      <c r="H275" s="43"/>
      <c r="I275" s="43"/>
      <c r="J275" s="43"/>
      <c r="K275" s="43"/>
      <c r="L275" s="43"/>
      <c r="M275" s="43"/>
      <c r="N275" s="43"/>
      <c r="O275" s="43"/>
      <c r="P275" s="43"/>
      <c r="Q275" s="43"/>
      <c r="R275" s="9"/>
      <c r="S275" s="9"/>
    </row>
    <row r="276" spans="1:19" ht="202.8" x14ac:dyDescent="0.25">
      <c r="A276" s="17" t="s">
        <v>178</v>
      </c>
      <c r="B276" s="17" t="s">
        <v>82</v>
      </c>
      <c r="C276" s="35" t="s">
        <v>179</v>
      </c>
      <c r="D276" s="35" t="s">
        <v>367</v>
      </c>
      <c r="E276" s="25">
        <f>30.3*2</f>
        <v>60.6</v>
      </c>
      <c r="H276" s="43"/>
      <c r="I276" s="43"/>
      <c r="J276" s="43"/>
      <c r="K276" s="43"/>
      <c r="L276" s="43"/>
      <c r="M276" s="43"/>
      <c r="N276" s="43"/>
      <c r="O276" s="43"/>
      <c r="P276" s="43"/>
      <c r="Q276" s="43"/>
      <c r="R276" s="9"/>
      <c r="S276" s="9"/>
    </row>
    <row r="277" spans="1:19" ht="156" x14ac:dyDescent="0.25">
      <c r="A277" s="17" t="s">
        <v>180</v>
      </c>
      <c r="B277" s="17" t="s">
        <v>84</v>
      </c>
      <c r="C277" s="35" t="s">
        <v>85</v>
      </c>
      <c r="D277" s="35" t="s">
        <v>365</v>
      </c>
      <c r="E277" s="25">
        <f>25.1/100</f>
        <v>0.251</v>
      </c>
      <c r="H277" s="43"/>
      <c r="I277" s="43"/>
      <c r="J277" s="43"/>
      <c r="K277" s="43"/>
      <c r="L277" s="43"/>
      <c r="M277" s="43"/>
      <c r="N277" s="43"/>
      <c r="O277" s="43"/>
      <c r="P277" s="43"/>
      <c r="Q277" s="43"/>
      <c r="R277" s="9"/>
      <c r="S277" s="9"/>
    </row>
    <row r="278" spans="1:19" ht="62.4" x14ac:dyDescent="0.25">
      <c r="A278" s="17" t="s">
        <v>86</v>
      </c>
      <c r="B278" s="17" t="s">
        <v>87</v>
      </c>
      <c r="C278" s="35" t="s">
        <v>86</v>
      </c>
      <c r="D278" s="35" t="s">
        <v>215</v>
      </c>
      <c r="E278" s="25">
        <f>0.84/1000</f>
        <v>8.3999999999999993E-4</v>
      </c>
      <c r="H278" s="43"/>
      <c r="I278" s="43"/>
      <c r="J278" s="43"/>
      <c r="K278" s="43"/>
      <c r="L278" s="43"/>
      <c r="M278" s="43"/>
      <c r="N278" s="43"/>
      <c r="O278" s="43"/>
      <c r="P278" s="43"/>
      <c r="Q278" s="43"/>
      <c r="R278" s="9"/>
      <c r="S278" s="9"/>
    </row>
    <row r="279" spans="1:19" ht="124.8" x14ac:dyDescent="0.25">
      <c r="A279" s="17" t="s">
        <v>181</v>
      </c>
      <c r="B279" s="17" t="s">
        <v>88</v>
      </c>
      <c r="C279" s="35" t="s">
        <v>89</v>
      </c>
      <c r="D279" s="35" t="s">
        <v>360</v>
      </c>
      <c r="E279" s="25">
        <f>43.33/1000</f>
        <v>4.333E-2</v>
      </c>
      <c r="H279" s="43"/>
      <c r="I279" s="43"/>
      <c r="J279" s="43"/>
      <c r="K279" s="43"/>
      <c r="L279" s="43"/>
      <c r="M279" s="43"/>
      <c r="N279" s="43"/>
      <c r="O279" s="43"/>
      <c r="P279" s="43"/>
      <c r="Q279" s="43"/>
      <c r="R279" s="9"/>
      <c r="S279" s="9"/>
    </row>
    <row r="280" spans="1:19" ht="33.6" x14ac:dyDescent="0.25">
      <c r="A280" s="17" t="s">
        <v>182</v>
      </c>
      <c r="B280" s="17" t="s">
        <v>90</v>
      </c>
      <c r="C280" s="35" t="s">
        <v>91</v>
      </c>
      <c r="D280" s="35" t="s">
        <v>92</v>
      </c>
      <c r="E280" s="25">
        <v>74.099999999999994</v>
      </c>
      <c r="H280" s="43"/>
      <c r="I280" s="43"/>
      <c r="J280" s="43"/>
      <c r="K280" s="43"/>
      <c r="L280" s="43"/>
      <c r="M280" s="43"/>
      <c r="N280" s="43"/>
      <c r="O280" s="43"/>
      <c r="P280" s="43"/>
      <c r="Q280" s="43"/>
      <c r="R280" s="9"/>
      <c r="S280" s="9"/>
    </row>
    <row r="282" spans="1:19" x14ac:dyDescent="0.25">
      <c r="A282" s="33" t="s">
        <v>8</v>
      </c>
      <c r="B282" s="33" t="s">
        <v>9</v>
      </c>
      <c r="C282" s="34" t="s">
        <v>10</v>
      </c>
      <c r="D282" s="34" t="s">
        <v>340</v>
      </c>
      <c r="E282" s="16" t="s">
        <v>65</v>
      </c>
    </row>
    <row r="283" spans="1:19" ht="18" x14ac:dyDescent="0.25">
      <c r="A283" s="15" t="s">
        <v>183</v>
      </c>
      <c r="B283" s="17" t="s">
        <v>103</v>
      </c>
      <c r="C283" s="35" t="s">
        <v>184</v>
      </c>
      <c r="D283" s="53" t="s">
        <v>393</v>
      </c>
      <c r="E283" s="18">
        <f>ROUNDUP(E232+E256+E260+E264+E272,0)</f>
        <v>399</v>
      </c>
    </row>
    <row r="284" spans="1:19" s="200" customFormat="1" ht="43.2" customHeight="1" x14ac:dyDescent="0.25">
      <c r="A284" s="200" t="s">
        <v>247</v>
      </c>
    </row>
    <row r="285" spans="1:19" ht="23.4" customHeight="1" x14ac:dyDescent="0.25">
      <c r="A285" s="201" t="s">
        <v>105</v>
      </c>
      <c r="B285" s="201"/>
      <c r="C285" s="201"/>
      <c r="D285" s="201"/>
      <c r="E285" s="201"/>
      <c r="F285" s="201"/>
      <c r="G285" s="201"/>
      <c r="H285" s="201"/>
      <c r="I285" s="201"/>
      <c r="J285" s="201"/>
      <c r="K285" s="201"/>
      <c r="L285" s="201"/>
      <c r="M285" s="201"/>
      <c r="N285" s="201"/>
      <c r="O285" s="201"/>
      <c r="P285" s="201"/>
      <c r="Q285" s="202"/>
    </row>
    <row r="286" spans="1:19" s="10" customFormat="1" ht="31.2" x14ac:dyDescent="0.25">
      <c r="A286" s="15" t="s">
        <v>8</v>
      </c>
      <c r="B286" s="15" t="s">
        <v>9</v>
      </c>
      <c r="C286" s="15" t="s">
        <v>10</v>
      </c>
      <c r="D286" s="15" t="s">
        <v>340</v>
      </c>
      <c r="E286" s="16" t="s">
        <v>11</v>
      </c>
      <c r="F286" s="16" t="s">
        <v>322</v>
      </c>
      <c r="G286" s="16" t="s">
        <v>323</v>
      </c>
      <c r="H286" s="16" t="s">
        <v>324</v>
      </c>
      <c r="I286" s="16" t="s">
        <v>325</v>
      </c>
      <c r="J286" s="16" t="s">
        <v>326</v>
      </c>
      <c r="K286" s="16" t="s">
        <v>329</v>
      </c>
      <c r="L286" s="16" t="s">
        <v>292</v>
      </c>
      <c r="M286" s="16" t="s">
        <v>292</v>
      </c>
      <c r="N286" s="16" t="s">
        <v>292</v>
      </c>
      <c r="O286" s="16" t="s">
        <v>292</v>
      </c>
      <c r="P286" s="16" t="s">
        <v>292</v>
      </c>
      <c r="Q286" s="16" t="s">
        <v>292</v>
      </c>
      <c r="R286" s="54"/>
      <c r="S286" s="54"/>
    </row>
    <row r="287" spans="1:19" s="10" customFormat="1" x14ac:dyDescent="0.25">
      <c r="A287" s="203" t="s">
        <v>106</v>
      </c>
      <c r="B287" s="203"/>
      <c r="C287" s="203"/>
      <c r="D287" s="203"/>
      <c r="E287" s="204"/>
      <c r="F287" s="16">
        <v>31</v>
      </c>
      <c r="G287" s="16">
        <v>28</v>
      </c>
      <c r="H287" s="16">
        <v>31</v>
      </c>
      <c r="I287" s="16">
        <v>30</v>
      </c>
      <c r="J287" s="16">
        <v>31</v>
      </c>
      <c r="K287" s="16">
        <v>30</v>
      </c>
      <c r="L287" s="16" t="s">
        <v>292</v>
      </c>
      <c r="M287" s="16" t="s">
        <v>292</v>
      </c>
      <c r="N287" s="16" t="s">
        <v>292</v>
      </c>
      <c r="O287" s="16" t="s">
        <v>292</v>
      </c>
      <c r="P287" s="16" t="s">
        <v>292</v>
      </c>
      <c r="Q287" s="16" t="s">
        <v>292</v>
      </c>
      <c r="R287" s="54"/>
      <c r="S287" s="54"/>
    </row>
    <row r="288" spans="1:19" s="10" customFormat="1" ht="31.2" x14ac:dyDescent="0.25">
      <c r="A288" s="15" t="s">
        <v>107</v>
      </c>
      <c r="B288" s="17" t="s">
        <v>103</v>
      </c>
      <c r="C288" s="17" t="s">
        <v>108</v>
      </c>
      <c r="D288" s="17" t="s">
        <v>381</v>
      </c>
      <c r="E288" s="18">
        <f>E289+E299</f>
        <v>0</v>
      </c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54"/>
      <c r="S288" s="54"/>
    </row>
    <row r="289" spans="1:17" ht="46.8" x14ac:dyDescent="0.25">
      <c r="A289" s="17" t="s">
        <v>109</v>
      </c>
      <c r="B289" s="17" t="s">
        <v>103</v>
      </c>
      <c r="C289" s="17" t="s">
        <v>110</v>
      </c>
      <c r="D289" s="17" t="s">
        <v>382</v>
      </c>
      <c r="E289" s="19">
        <f>SUM(F289:Q289)</f>
        <v>0</v>
      </c>
      <c r="F289" s="19">
        <f>IF(F290&gt;=0.8,0,$E$297*$E$298*0.4*(F291-F294)*F287)</f>
        <v>0</v>
      </c>
      <c r="G289" s="19">
        <f t="shared" ref="G289:K289" si="35">IF(G290&gt;=0.8,0,$E$297*$E$298*0.4*(G291-G294)*G287)</f>
        <v>0</v>
      </c>
      <c r="H289" s="19">
        <f t="shared" si="35"/>
        <v>0</v>
      </c>
      <c r="I289" s="19">
        <f t="shared" si="35"/>
        <v>0</v>
      </c>
      <c r="J289" s="19">
        <f t="shared" si="35"/>
        <v>0</v>
      </c>
      <c r="K289" s="19">
        <f t="shared" si="35"/>
        <v>0</v>
      </c>
      <c r="L289" s="19" t="s">
        <v>297</v>
      </c>
      <c r="M289" s="19" t="s">
        <v>297</v>
      </c>
      <c r="N289" s="19" t="s">
        <v>297</v>
      </c>
      <c r="O289" s="19" t="s">
        <v>297</v>
      </c>
      <c r="P289" s="19" t="s">
        <v>297</v>
      </c>
      <c r="Q289" s="19" t="s">
        <v>297</v>
      </c>
    </row>
    <row r="290" spans="1:17" ht="62.4" x14ac:dyDescent="0.25">
      <c r="A290" s="17" t="s">
        <v>111</v>
      </c>
      <c r="B290" s="17" t="s">
        <v>37</v>
      </c>
      <c r="C290" s="17" t="s">
        <v>112</v>
      </c>
      <c r="D290" s="17" t="s">
        <v>383</v>
      </c>
      <c r="E290" s="20">
        <f>AVERAGE(F290:K290)</f>
        <v>0.95396315827641198</v>
      </c>
      <c r="F290" s="20">
        <f>(F291-F294)/F291</f>
        <v>0.95402367893650153</v>
      </c>
      <c r="G290" s="20">
        <f t="shared" ref="G290:K290" si="36">(G291-G294)/G291</f>
        <v>0.9546904517279643</v>
      </c>
      <c r="H290" s="20">
        <f t="shared" si="36"/>
        <v>0.95451884710372437</v>
      </c>
      <c r="I290" s="20">
        <f t="shared" si="36"/>
        <v>0.95533080752062216</v>
      </c>
      <c r="J290" s="20">
        <f t="shared" si="36"/>
        <v>0.95288272805423724</v>
      </c>
      <c r="K290" s="20">
        <f t="shared" si="36"/>
        <v>0.95233243631542275</v>
      </c>
      <c r="L290" s="20" t="s">
        <v>297</v>
      </c>
      <c r="M290" s="20" t="s">
        <v>297</v>
      </c>
      <c r="N290" s="20" t="s">
        <v>297</v>
      </c>
      <c r="O290" s="20" t="s">
        <v>297</v>
      </c>
      <c r="P290" s="20" t="s">
        <v>297</v>
      </c>
      <c r="Q290" s="20" t="s">
        <v>297</v>
      </c>
    </row>
    <row r="291" spans="1:17" ht="46.8" x14ac:dyDescent="0.25">
      <c r="A291" s="17" t="s">
        <v>113</v>
      </c>
      <c r="B291" s="17" t="s">
        <v>24</v>
      </c>
      <c r="C291" s="17" t="s">
        <v>114</v>
      </c>
      <c r="D291" s="17" t="s">
        <v>384</v>
      </c>
      <c r="E291" s="20">
        <f>SUM(F291:K291)</f>
        <v>21.515329527940768</v>
      </c>
      <c r="F291" s="20">
        <f>F292*F293</f>
        <v>3.5620585963060005</v>
      </c>
      <c r="G291" s="20">
        <f t="shared" ref="G291:K291" si="37">G292*G293</f>
        <v>3.5602474984255323</v>
      </c>
      <c r="H291" s="20">
        <f t="shared" si="37"/>
        <v>3.5642676481442228</v>
      </c>
      <c r="I291" s="20">
        <f t="shared" si="37"/>
        <v>3.5621216037600001</v>
      </c>
      <c r="J291" s="20">
        <f t="shared" si="37"/>
        <v>3.7145399766405145</v>
      </c>
      <c r="K291" s="20">
        <f t="shared" si="37"/>
        <v>3.5520942046644981</v>
      </c>
      <c r="L291" s="20" t="s">
        <v>297</v>
      </c>
      <c r="M291" s="20" t="s">
        <v>297</v>
      </c>
      <c r="N291" s="20" t="s">
        <v>297</v>
      </c>
      <c r="O291" s="20" t="s">
        <v>297</v>
      </c>
      <c r="P291" s="20" t="s">
        <v>297</v>
      </c>
      <c r="Q291" s="20" t="s">
        <v>297</v>
      </c>
    </row>
    <row r="292" spans="1:17" ht="66.599999999999994" customHeight="1" x14ac:dyDescent="0.25">
      <c r="A292" s="17" t="s">
        <v>115</v>
      </c>
      <c r="B292" s="17" t="s">
        <v>116</v>
      </c>
      <c r="C292" s="17" t="s">
        <v>117</v>
      </c>
      <c r="D292" s="17" t="s">
        <v>336</v>
      </c>
      <c r="E292" s="129">
        <f>SUM(F292:K292)</f>
        <v>50876.152026958531</v>
      </c>
      <c r="F292" s="129">
        <f>'Baseline Emissions 2022'!F283</f>
        <v>8361.9353870967752</v>
      </c>
      <c r="G292" s="129">
        <f>'Baseline Emissions 2022'!G283</f>
        <v>8358.6381785714293</v>
      </c>
      <c r="H292" s="129">
        <f>'Baseline Emissions 2022'!H283</f>
        <v>8357.8912258064483</v>
      </c>
      <c r="I292" s="129">
        <f>'Baseline Emissions 2022'!I283</f>
        <v>8359.9344000000019</v>
      </c>
      <c r="J292" s="129">
        <f>'Baseline Emissions 2022'!J283</f>
        <v>8719.6379354838718</v>
      </c>
      <c r="K292" s="129">
        <f>'Baseline Emissions 2022'!K283</f>
        <v>8718.1148999999987</v>
      </c>
      <c r="L292" s="21" t="s">
        <v>297</v>
      </c>
      <c r="M292" s="21" t="s">
        <v>297</v>
      </c>
      <c r="N292" s="21" t="s">
        <v>297</v>
      </c>
      <c r="O292" s="21" t="s">
        <v>297</v>
      </c>
      <c r="P292" s="21" t="s">
        <v>297</v>
      </c>
      <c r="Q292" s="21" t="s">
        <v>297</v>
      </c>
    </row>
    <row r="293" spans="1:17" ht="46.8" x14ac:dyDescent="0.25">
      <c r="A293" s="17" t="s">
        <v>118</v>
      </c>
      <c r="B293" s="17" t="s">
        <v>119</v>
      </c>
      <c r="C293" s="17" t="s">
        <v>120</v>
      </c>
      <c r="D293" s="35" t="s">
        <v>338</v>
      </c>
      <c r="E293" s="120">
        <f>AVERAGE(F293:K293)</f>
        <v>4.2298440881549751E-4</v>
      </c>
      <c r="F293" s="130">
        <f>'Baseline Emissions 2022'!F287</f>
        <v>4.2598494623655907E-4</v>
      </c>
      <c r="G293" s="130">
        <f>'Baseline Emissions 2022'!G287</f>
        <v>4.259363095238096E-4</v>
      </c>
      <c r="H293" s="130">
        <f>'Baseline Emissions 2022'!H287</f>
        <v>4.2645537634408595E-4</v>
      </c>
      <c r="I293" s="130">
        <f>'Baseline Emissions 2022'!I287</f>
        <v>4.2609444444444437E-4</v>
      </c>
      <c r="J293" s="130">
        <f>'Baseline Emissions 2022'!J287</f>
        <v>4.2599704301075279E-4</v>
      </c>
      <c r="K293" s="130">
        <f>'Baseline Emissions 2022'!K287</f>
        <v>4.074383333333332E-4</v>
      </c>
      <c r="L293" s="23" t="s">
        <v>297</v>
      </c>
      <c r="M293" s="23" t="s">
        <v>297</v>
      </c>
      <c r="N293" s="23" t="s">
        <v>297</v>
      </c>
      <c r="O293" s="23" t="s">
        <v>297</v>
      </c>
      <c r="P293" s="23" t="s">
        <v>297</v>
      </c>
      <c r="Q293" s="23" t="s">
        <v>297</v>
      </c>
    </row>
    <row r="294" spans="1:17" ht="46.8" x14ac:dyDescent="0.25">
      <c r="A294" s="17" t="s">
        <v>121</v>
      </c>
      <c r="B294" s="17" t="s">
        <v>24</v>
      </c>
      <c r="C294" s="17" t="s">
        <v>122</v>
      </c>
      <c r="D294" s="17" t="s">
        <v>384</v>
      </c>
      <c r="E294" s="20">
        <f>SUM(F294:K294)</f>
        <v>0.99064631993010888</v>
      </c>
      <c r="F294" s="20">
        <f>SUM(F295*F296)</f>
        <v>0.16377034967075962</v>
      </c>
      <c r="G294" s="20">
        <f t="shared" ref="G294:K294" si="38">SUM(G295*G296)</f>
        <v>0.16131320589030615</v>
      </c>
      <c r="H294" s="20">
        <f t="shared" si="38"/>
        <v>0.1621070018684963</v>
      </c>
      <c r="I294" s="20">
        <f t="shared" si="38"/>
        <v>0.15911709555330553</v>
      </c>
      <c r="J294" s="20">
        <f t="shared" si="38"/>
        <v>0.17501899023277837</v>
      </c>
      <c r="K294" s="20">
        <f t="shared" si="38"/>
        <v>0.16931967671446294</v>
      </c>
      <c r="L294" s="20" t="s">
        <v>297</v>
      </c>
      <c r="M294" s="20" t="s">
        <v>297</v>
      </c>
      <c r="N294" s="20" t="s">
        <v>297</v>
      </c>
      <c r="O294" s="20" t="s">
        <v>297</v>
      </c>
      <c r="P294" s="20" t="s">
        <v>297</v>
      </c>
      <c r="Q294" s="20" t="s">
        <v>297</v>
      </c>
    </row>
    <row r="295" spans="1:17" ht="62.4" x14ac:dyDescent="0.25">
      <c r="A295" s="17" t="s">
        <v>123</v>
      </c>
      <c r="B295" s="17" t="s">
        <v>116</v>
      </c>
      <c r="C295" s="17" t="s">
        <v>124</v>
      </c>
      <c r="D295" s="17" t="s">
        <v>337</v>
      </c>
      <c r="E295" s="129">
        <f>SUM(F295:K295)</f>
        <v>50100.283946850999</v>
      </c>
      <c r="F295" s="129">
        <v>8231.000064516129</v>
      </c>
      <c r="G295" s="129">
        <v>8228.3914285714291</v>
      </c>
      <c r="H295" s="129">
        <v>8230.691129032255</v>
      </c>
      <c r="I295" s="129">
        <v>8225.5854333333336</v>
      </c>
      <c r="J295" s="129">
        <v>8594.3112580645175</v>
      </c>
      <c r="K295" s="129">
        <v>8590.3046333333332</v>
      </c>
      <c r="L295" s="21" t="s">
        <v>297</v>
      </c>
      <c r="M295" s="21" t="s">
        <v>297</v>
      </c>
      <c r="N295" s="21" t="s">
        <v>297</v>
      </c>
      <c r="O295" s="21" t="s">
        <v>297</v>
      </c>
      <c r="P295" s="21" t="s">
        <v>297</v>
      </c>
      <c r="Q295" s="21" t="s">
        <v>297</v>
      </c>
    </row>
    <row r="296" spans="1:17" ht="46.8" x14ac:dyDescent="0.25">
      <c r="A296" s="17" t="s">
        <v>125</v>
      </c>
      <c r="B296" s="17" t="s">
        <v>119</v>
      </c>
      <c r="C296" s="17" t="s">
        <v>126</v>
      </c>
      <c r="D296" s="35" t="s">
        <v>339</v>
      </c>
      <c r="E296" s="131">
        <f>AVERAGE(F296:K296)</f>
        <v>1.9769317823007343E-5</v>
      </c>
      <c r="F296" s="131">
        <f>'Baseline Emissions 2022'!F288</f>
        <v>1.9896774193548388E-5</v>
      </c>
      <c r="G296" s="131">
        <f>'Baseline Emissions 2022'!G288</f>
        <v>1.9604464285714289E-5</v>
      </c>
      <c r="H296" s="131">
        <f>'Baseline Emissions 2022'!H288</f>
        <v>1.9695430107526882E-5</v>
      </c>
      <c r="I296" s="131">
        <f>'Baseline Emissions 2022'!I288</f>
        <v>1.9344166666666663E-5</v>
      </c>
      <c r="J296" s="131">
        <f>'Baseline Emissions 2022'!J288</f>
        <v>2.0364516129032258E-5</v>
      </c>
      <c r="K296" s="131">
        <f>'Baseline Emissions 2022'!K288</f>
        <v>1.9710555555555552E-5</v>
      </c>
      <c r="L296" s="24" t="s">
        <v>297</v>
      </c>
      <c r="M296" s="24" t="s">
        <v>297</v>
      </c>
      <c r="N296" s="24" t="s">
        <v>297</v>
      </c>
      <c r="O296" s="24" t="s">
        <v>297</v>
      </c>
      <c r="P296" s="24" t="s">
        <v>297</v>
      </c>
      <c r="Q296" s="24" t="s">
        <v>297</v>
      </c>
    </row>
    <row r="297" spans="1:17" ht="31.2" x14ac:dyDescent="0.25">
      <c r="A297" s="17" t="s">
        <v>127</v>
      </c>
      <c r="B297" s="17" t="s">
        <v>128</v>
      </c>
      <c r="C297" s="17" t="s">
        <v>17</v>
      </c>
      <c r="D297" s="17" t="s">
        <v>129</v>
      </c>
      <c r="E297" s="176">
        <v>28</v>
      </c>
      <c r="F297" s="176"/>
      <c r="G297" s="176"/>
      <c r="H297" s="176"/>
      <c r="I297" s="176"/>
      <c r="J297" s="176"/>
      <c r="K297" s="176"/>
      <c r="L297" s="176"/>
      <c r="M297" s="176"/>
      <c r="N297" s="176"/>
      <c r="O297" s="176"/>
      <c r="P297" s="176"/>
      <c r="Q297" s="176"/>
    </row>
    <row r="298" spans="1:17" ht="64.8" x14ac:dyDescent="0.25">
      <c r="A298" s="17" t="s">
        <v>130</v>
      </c>
      <c r="B298" s="17" t="s">
        <v>19</v>
      </c>
      <c r="C298" s="17" t="s">
        <v>131</v>
      </c>
      <c r="D298" s="17" t="s">
        <v>394</v>
      </c>
      <c r="E298" s="176">
        <v>0.21</v>
      </c>
      <c r="F298" s="176"/>
      <c r="G298" s="176"/>
      <c r="H298" s="176"/>
      <c r="I298" s="176"/>
      <c r="J298" s="176"/>
      <c r="K298" s="176"/>
      <c r="L298" s="176"/>
      <c r="M298" s="176"/>
      <c r="N298" s="176"/>
      <c r="O298" s="176"/>
      <c r="P298" s="176"/>
      <c r="Q298" s="176"/>
    </row>
    <row r="299" spans="1:17" ht="46.8" x14ac:dyDescent="0.25">
      <c r="A299" s="17" t="s">
        <v>132</v>
      </c>
      <c r="B299" s="17" t="s">
        <v>103</v>
      </c>
      <c r="C299" s="17" t="s">
        <v>133</v>
      </c>
      <c r="D299" s="17" t="s">
        <v>385</v>
      </c>
      <c r="E299" s="19">
        <f>SUM(F299:K299)</f>
        <v>0</v>
      </c>
      <c r="F299" s="19">
        <f>$E$297*$E$298*F300*F294*F287</f>
        <v>0</v>
      </c>
      <c r="G299" s="19">
        <f t="shared" ref="G299:K299" si="39">$E$297*$E$298*G300*G294*G287</f>
        <v>0</v>
      </c>
      <c r="H299" s="19">
        <f t="shared" si="39"/>
        <v>0</v>
      </c>
      <c r="I299" s="19">
        <f t="shared" si="39"/>
        <v>0</v>
      </c>
      <c r="J299" s="19">
        <f t="shared" si="39"/>
        <v>0</v>
      </c>
      <c r="K299" s="19">
        <f t="shared" si="39"/>
        <v>0</v>
      </c>
      <c r="L299" s="19" t="s">
        <v>297</v>
      </c>
      <c r="M299" s="19" t="s">
        <v>297</v>
      </c>
      <c r="N299" s="19" t="s">
        <v>297</v>
      </c>
      <c r="O299" s="19" t="s">
        <v>297</v>
      </c>
      <c r="P299" s="19" t="s">
        <v>297</v>
      </c>
      <c r="Q299" s="19" t="s">
        <v>297</v>
      </c>
    </row>
    <row r="300" spans="1:17" ht="18" x14ac:dyDescent="0.25">
      <c r="A300" s="17" t="s">
        <v>134</v>
      </c>
      <c r="B300" s="17" t="s">
        <v>37</v>
      </c>
      <c r="C300" s="17" t="s">
        <v>135</v>
      </c>
      <c r="D300" s="17" t="s">
        <v>386</v>
      </c>
      <c r="E300" s="26">
        <f>AVERAGE(F300:K300)</f>
        <v>0</v>
      </c>
      <c r="F300" s="26">
        <f>F301*$E$302*0.89</f>
        <v>0</v>
      </c>
      <c r="G300" s="26">
        <f t="shared" ref="G300:K300" si="40">G301*$E$302*0.89</f>
        <v>0</v>
      </c>
      <c r="H300" s="26">
        <f t="shared" si="40"/>
        <v>0</v>
      </c>
      <c r="I300" s="26">
        <f t="shared" si="40"/>
        <v>0</v>
      </c>
      <c r="J300" s="26">
        <f t="shared" si="40"/>
        <v>0</v>
      </c>
      <c r="K300" s="26">
        <f t="shared" si="40"/>
        <v>0</v>
      </c>
      <c r="L300" s="26" t="s">
        <v>297</v>
      </c>
      <c r="M300" s="26" t="s">
        <v>297</v>
      </c>
      <c r="N300" s="26" t="s">
        <v>297</v>
      </c>
      <c r="O300" s="26" t="s">
        <v>297</v>
      </c>
      <c r="P300" s="26" t="s">
        <v>297</v>
      </c>
      <c r="Q300" s="26" t="s">
        <v>297</v>
      </c>
    </row>
    <row r="301" spans="1:17" ht="31.2" x14ac:dyDescent="0.25">
      <c r="A301" s="17" t="s">
        <v>136</v>
      </c>
      <c r="B301" s="17" t="s">
        <v>37</v>
      </c>
      <c r="C301" s="17" t="s">
        <v>46</v>
      </c>
      <c r="D301" s="17" t="s">
        <v>387</v>
      </c>
      <c r="E301" s="25">
        <v>0</v>
      </c>
      <c r="F301" s="25">
        <v>0</v>
      </c>
      <c r="G301" s="25">
        <v>0</v>
      </c>
      <c r="H301" s="25">
        <v>0</v>
      </c>
      <c r="I301" s="25">
        <v>0</v>
      </c>
      <c r="J301" s="25">
        <v>0</v>
      </c>
      <c r="K301" s="25">
        <v>0</v>
      </c>
      <c r="L301" s="25" t="s">
        <v>297</v>
      </c>
      <c r="M301" s="25" t="s">
        <v>297</v>
      </c>
      <c r="N301" s="25" t="s">
        <v>297</v>
      </c>
      <c r="O301" s="25" t="s">
        <v>297</v>
      </c>
      <c r="P301" s="25" t="s">
        <v>297</v>
      </c>
      <c r="Q301" s="25" t="s">
        <v>297</v>
      </c>
    </row>
    <row r="302" spans="1:17" ht="31.2" x14ac:dyDescent="0.25">
      <c r="A302" s="17" t="s">
        <v>137</v>
      </c>
      <c r="B302" s="17" t="s">
        <v>201</v>
      </c>
      <c r="C302" s="17" t="s">
        <v>138</v>
      </c>
      <c r="D302" s="17" t="s">
        <v>388</v>
      </c>
      <c r="E302" s="196">
        <f>(F303*F308+G303*G308+H303*H308+I303*I308+J303*J308+K303*K308)/(F295*F296*F287+G296*G295*G287+H295*H296*H287+I296*I295*I287+J296*J295*J287+K296*K295*K287)</f>
        <v>0.48096817972998096</v>
      </c>
      <c r="F302" s="196"/>
      <c r="G302" s="196"/>
      <c r="H302" s="196"/>
      <c r="I302" s="196"/>
      <c r="J302" s="196"/>
      <c r="K302" s="196"/>
      <c r="L302" s="196"/>
      <c r="M302" s="196"/>
      <c r="N302" s="196"/>
      <c r="O302" s="196"/>
      <c r="P302" s="196"/>
      <c r="Q302" s="196"/>
    </row>
    <row r="303" spans="1:17" ht="31.2" x14ac:dyDescent="0.25">
      <c r="A303" s="17" t="s">
        <v>139</v>
      </c>
      <c r="B303" s="17" t="s">
        <v>37</v>
      </c>
      <c r="C303" s="17" t="s">
        <v>140</v>
      </c>
      <c r="D303" s="17" t="s">
        <v>375</v>
      </c>
      <c r="E303" s="27">
        <f>AVERAGE(F303:K303)</f>
        <v>0.47566758520675173</v>
      </c>
      <c r="F303" s="27">
        <f>IF(F307&lt;283,0,IF(F307&gt;303,1,EXP(($E$304*(F307-$E$305))/($E$306*$E$305*F307))))</f>
        <v>0.29505266129807517</v>
      </c>
      <c r="G303" s="27">
        <f t="shared" ref="G303:K303" si="41">IF(G307&lt;283,0,IF(G307&gt;303,1,EXP(($E$304*(G307-$E$305))/($E$306*$E$305*G307))))</f>
        <v>0.24547412919519337</v>
      </c>
      <c r="H303" s="27">
        <f t="shared" si="41"/>
        <v>0.42307437878932203</v>
      </c>
      <c r="I303" s="27">
        <f t="shared" si="41"/>
        <v>0.50475941545474445</v>
      </c>
      <c r="J303" s="27">
        <f t="shared" si="41"/>
        <v>0.57531644493802248</v>
      </c>
      <c r="K303" s="27">
        <f t="shared" si="41"/>
        <v>0.81032848156515291</v>
      </c>
      <c r="L303" s="27" t="s">
        <v>297</v>
      </c>
      <c r="M303" s="27" t="s">
        <v>297</v>
      </c>
      <c r="N303" s="27" t="s">
        <v>297</v>
      </c>
      <c r="O303" s="27" t="s">
        <v>297</v>
      </c>
      <c r="P303" s="27" t="s">
        <v>297</v>
      </c>
      <c r="Q303" s="27" t="s">
        <v>297</v>
      </c>
    </row>
    <row r="304" spans="1:17" x14ac:dyDescent="0.25">
      <c r="A304" s="17" t="s">
        <v>51</v>
      </c>
      <c r="B304" s="17" t="s">
        <v>52</v>
      </c>
      <c r="C304" s="17" t="s">
        <v>53</v>
      </c>
      <c r="D304" s="17" t="s">
        <v>389</v>
      </c>
      <c r="E304" s="176">
        <v>15175</v>
      </c>
      <c r="F304" s="176"/>
      <c r="G304" s="176"/>
      <c r="H304" s="176"/>
      <c r="I304" s="176"/>
      <c r="J304" s="176"/>
      <c r="K304" s="176"/>
      <c r="L304" s="176"/>
      <c r="M304" s="176"/>
      <c r="N304" s="176"/>
      <c r="O304" s="176"/>
      <c r="P304" s="176"/>
      <c r="Q304" s="176"/>
    </row>
    <row r="305" spans="1:17" ht="18" x14ac:dyDescent="0.25">
      <c r="A305" s="17" t="s">
        <v>141</v>
      </c>
      <c r="B305" s="17" t="s">
        <v>55</v>
      </c>
      <c r="C305" s="17" t="s">
        <v>56</v>
      </c>
      <c r="D305" s="17" t="s">
        <v>389</v>
      </c>
      <c r="E305" s="176">
        <v>303.16000000000003</v>
      </c>
      <c r="F305" s="176"/>
      <c r="G305" s="176"/>
      <c r="H305" s="176"/>
      <c r="I305" s="176"/>
      <c r="J305" s="176"/>
      <c r="K305" s="176"/>
      <c r="L305" s="176"/>
      <c r="M305" s="176"/>
      <c r="N305" s="176"/>
      <c r="O305" s="176"/>
      <c r="P305" s="176"/>
      <c r="Q305" s="176"/>
    </row>
    <row r="306" spans="1:17" x14ac:dyDescent="0.25">
      <c r="A306" s="17" t="s">
        <v>57</v>
      </c>
      <c r="B306" s="17" t="s">
        <v>58</v>
      </c>
      <c r="C306" s="17" t="s">
        <v>59</v>
      </c>
      <c r="D306" s="17" t="s">
        <v>389</v>
      </c>
      <c r="E306" s="176">
        <v>1.9870000000000001</v>
      </c>
      <c r="F306" s="176"/>
      <c r="G306" s="176"/>
      <c r="H306" s="176"/>
      <c r="I306" s="176"/>
      <c r="J306" s="176"/>
      <c r="K306" s="176"/>
      <c r="L306" s="176"/>
      <c r="M306" s="176"/>
      <c r="N306" s="176"/>
      <c r="O306" s="176"/>
      <c r="P306" s="176"/>
      <c r="Q306" s="176"/>
    </row>
    <row r="307" spans="1:17" ht="18" x14ac:dyDescent="0.25">
      <c r="A307" s="17" t="s">
        <v>142</v>
      </c>
      <c r="B307" s="17" t="s">
        <v>55</v>
      </c>
      <c r="C307" s="17" t="s">
        <v>143</v>
      </c>
      <c r="D307" s="144" t="s">
        <v>363</v>
      </c>
      <c r="E307" s="28">
        <f>AVERAGE(F307:K307)</f>
        <v>293.65000000000003</v>
      </c>
      <c r="F307" s="25">
        <v>289.14999999999998</v>
      </c>
      <c r="G307" s="25">
        <v>287.14999999999998</v>
      </c>
      <c r="H307" s="25">
        <v>293.14999999999998</v>
      </c>
      <c r="I307" s="25">
        <v>295.14999999999998</v>
      </c>
      <c r="J307" s="25">
        <v>296.64999999999998</v>
      </c>
      <c r="K307" s="25">
        <v>300.64999999999998</v>
      </c>
      <c r="L307" s="25" t="s">
        <v>297</v>
      </c>
      <c r="M307" s="25" t="s">
        <v>297</v>
      </c>
      <c r="N307" s="25" t="s">
        <v>297</v>
      </c>
      <c r="O307" s="25" t="s">
        <v>297</v>
      </c>
      <c r="P307" s="25" t="s">
        <v>297</v>
      </c>
      <c r="Q307" s="25" t="s">
        <v>297</v>
      </c>
    </row>
    <row r="308" spans="1:17" ht="46.8" x14ac:dyDescent="0.25">
      <c r="A308" s="17" t="s">
        <v>144</v>
      </c>
      <c r="B308" s="17" t="s">
        <v>24</v>
      </c>
      <c r="C308" s="17" t="s">
        <v>145</v>
      </c>
      <c r="D308" s="17" t="s">
        <v>390</v>
      </c>
      <c r="E308" s="29">
        <f>SUM(F308:K308)</f>
        <v>29.897659527894689</v>
      </c>
      <c r="F308" s="29">
        <f>F295*F296*'Project Emissions 2022'!F287+(1-F303)*0</f>
        <v>5.0768808397935485</v>
      </c>
      <c r="G308" s="29">
        <f>G295*G296*'Project Emissions 2022'!G287+(1-G303)*0</f>
        <v>4.5167697649285721</v>
      </c>
      <c r="H308" s="29">
        <f>H295*H296*'Project Emissions 2022'!H287+(1-H303)*0</f>
        <v>5.0253170579233855</v>
      </c>
      <c r="I308" s="29">
        <f>I295*I296*'Project Emissions 2022'!I287+(1-I303)*0</f>
        <v>4.773512866599166</v>
      </c>
      <c r="J308" s="29">
        <f>J295*J296*'Project Emissions 2022'!J287+(1-J303)*0</f>
        <v>5.4255886972161296</v>
      </c>
      <c r="K308" s="29">
        <f>K295*K296*'Project Emissions 2022'!K287+(1-K303)*0</f>
        <v>5.0795903014338881</v>
      </c>
      <c r="L308" s="29" t="s">
        <v>297</v>
      </c>
      <c r="M308" s="29" t="s">
        <v>297</v>
      </c>
      <c r="N308" s="29" t="s">
        <v>297</v>
      </c>
      <c r="O308" s="29" t="s">
        <v>297</v>
      </c>
      <c r="P308" s="29" t="s">
        <v>297</v>
      </c>
      <c r="Q308" s="29" t="s">
        <v>297</v>
      </c>
    </row>
    <row r="309" spans="1:17" x14ac:dyDescent="0.3">
      <c r="A309" s="30"/>
      <c r="E309" s="31"/>
      <c r="F309" s="31"/>
      <c r="G309" s="31"/>
      <c r="H309" s="31"/>
      <c r="I309" s="31"/>
      <c r="J309" s="31"/>
      <c r="K309" s="31"/>
      <c r="L309" s="31"/>
      <c r="M309" s="31"/>
      <c r="N309" s="31"/>
      <c r="O309" s="31"/>
      <c r="P309" s="31"/>
      <c r="Q309" s="31"/>
    </row>
    <row r="310" spans="1:17" x14ac:dyDescent="0.25">
      <c r="A310" s="174" t="s">
        <v>146</v>
      </c>
      <c r="B310" s="174"/>
      <c r="C310" s="175"/>
      <c r="D310" s="175"/>
      <c r="E310" s="195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</row>
    <row r="311" spans="1:17" x14ac:dyDescent="0.25">
      <c r="A311" s="33" t="s">
        <v>8</v>
      </c>
      <c r="B311" s="33" t="s">
        <v>9</v>
      </c>
      <c r="C311" s="34" t="s">
        <v>10</v>
      </c>
      <c r="D311" s="34" t="s">
        <v>340</v>
      </c>
      <c r="E311" s="16" t="s">
        <v>65</v>
      </c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</row>
    <row r="312" spans="1:17" ht="46.8" x14ac:dyDescent="0.25">
      <c r="A312" s="15" t="s">
        <v>147</v>
      </c>
      <c r="B312" s="17" t="s">
        <v>95</v>
      </c>
      <c r="C312" s="35" t="s">
        <v>148</v>
      </c>
      <c r="D312" s="35" t="s">
        <v>68</v>
      </c>
      <c r="E312" s="16">
        <v>0</v>
      </c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</row>
    <row r="313" spans="1:17" x14ac:dyDescent="0.25">
      <c r="A313" s="36"/>
      <c r="B313" s="36"/>
      <c r="C313" s="37"/>
      <c r="D313" s="37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</row>
    <row r="314" spans="1:17" x14ac:dyDescent="0.25">
      <c r="A314" s="174" t="s">
        <v>149</v>
      </c>
      <c r="B314" s="174"/>
      <c r="C314" s="175"/>
      <c r="D314" s="175"/>
      <c r="E314" s="195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</row>
    <row r="315" spans="1:17" x14ac:dyDescent="0.25">
      <c r="A315" s="33" t="s">
        <v>8</v>
      </c>
      <c r="B315" s="33" t="s">
        <v>9</v>
      </c>
      <c r="C315" s="34" t="s">
        <v>10</v>
      </c>
      <c r="D315" s="34" t="s">
        <v>340</v>
      </c>
      <c r="E315" s="16" t="s">
        <v>65</v>
      </c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</row>
    <row r="316" spans="1:17" ht="46.8" x14ac:dyDescent="0.25">
      <c r="A316" s="15" t="s">
        <v>150</v>
      </c>
      <c r="B316" s="17" t="s">
        <v>95</v>
      </c>
      <c r="C316" s="35" t="s">
        <v>151</v>
      </c>
      <c r="D316" s="35" t="s">
        <v>68</v>
      </c>
      <c r="E316" s="16">
        <v>0</v>
      </c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</row>
    <row r="317" spans="1:17" x14ac:dyDescent="0.25"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</row>
    <row r="318" spans="1:17" x14ac:dyDescent="0.25">
      <c r="A318" s="174" t="s">
        <v>152</v>
      </c>
      <c r="B318" s="174"/>
      <c r="C318" s="175"/>
      <c r="D318" s="175"/>
      <c r="E318" s="195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</row>
    <row r="319" spans="1:17" s="10" customFormat="1" x14ac:dyDescent="0.25">
      <c r="A319" s="15" t="s">
        <v>8</v>
      </c>
      <c r="B319" s="15" t="s">
        <v>9</v>
      </c>
      <c r="C319" s="38" t="s">
        <v>10</v>
      </c>
      <c r="D319" s="38" t="s">
        <v>340</v>
      </c>
      <c r="E319" s="16" t="s">
        <v>65</v>
      </c>
      <c r="F319" s="32"/>
      <c r="G319" s="32"/>
      <c r="H319" s="39"/>
      <c r="I319" s="39"/>
      <c r="J319" s="39"/>
      <c r="K319" s="39"/>
      <c r="L319" s="39"/>
      <c r="M319" s="39"/>
      <c r="N319" s="39"/>
      <c r="O319" s="39"/>
      <c r="P319" s="39"/>
      <c r="Q319" s="39"/>
    </row>
    <row r="320" spans="1:17" s="10" customFormat="1" ht="18" x14ac:dyDescent="0.4">
      <c r="A320" s="40" t="s">
        <v>153</v>
      </c>
      <c r="B320" s="17" t="s">
        <v>103</v>
      </c>
      <c r="C320" s="35" t="s">
        <v>154</v>
      </c>
      <c r="D320" s="35" t="s">
        <v>155</v>
      </c>
      <c r="E320" s="41">
        <f>E321*E323*(1+E322)</f>
        <v>309.1484000634</v>
      </c>
      <c r="F320" s="32"/>
      <c r="G320" s="32"/>
      <c r="H320" s="39"/>
      <c r="I320" s="39"/>
      <c r="J320" s="39"/>
      <c r="K320" s="39"/>
      <c r="L320" s="39"/>
      <c r="M320" s="39"/>
      <c r="N320" s="39"/>
      <c r="O320" s="39"/>
      <c r="P320" s="39"/>
      <c r="Q320" s="39"/>
    </row>
    <row r="321" spans="1:19" ht="31.2" x14ac:dyDescent="0.25">
      <c r="A321" s="17" t="s">
        <v>156</v>
      </c>
      <c r="B321" s="17" t="s">
        <v>157</v>
      </c>
      <c r="C321" s="35" t="s">
        <v>158</v>
      </c>
      <c r="D321" s="35" t="s">
        <v>343</v>
      </c>
      <c r="E321" s="20">
        <f>506286.07/1000</f>
        <v>506.28607</v>
      </c>
      <c r="G321" s="42"/>
      <c r="H321" s="43"/>
      <c r="I321" s="43"/>
      <c r="J321" s="43"/>
      <c r="K321" s="43"/>
      <c r="L321" s="43"/>
      <c r="M321" s="43"/>
      <c r="N321" s="43"/>
      <c r="O321" s="43"/>
      <c r="P321" s="43"/>
      <c r="Q321" s="43"/>
      <c r="R321" s="9"/>
      <c r="S321" s="9"/>
    </row>
    <row r="322" spans="1:19" ht="31.2" x14ac:dyDescent="0.25">
      <c r="A322" s="17" t="s">
        <v>159</v>
      </c>
      <c r="B322" s="17" t="s">
        <v>160</v>
      </c>
      <c r="C322" s="35" t="s">
        <v>161</v>
      </c>
      <c r="D322" s="35" t="s">
        <v>162</v>
      </c>
      <c r="E322" s="44">
        <v>0.2</v>
      </c>
      <c r="H322" s="43"/>
      <c r="I322" s="43"/>
      <c r="J322" s="43"/>
      <c r="K322" s="43"/>
      <c r="L322" s="43"/>
      <c r="M322" s="43"/>
      <c r="N322" s="43"/>
      <c r="O322" s="43"/>
      <c r="P322" s="43"/>
      <c r="Q322" s="43"/>
      <c r="R322" s="9"/>
      <c r="S322" s="9"/>
    </row>
    <row r="323" spans="1:19" ht="46.8" x14ac:dyDescent="0.25">
      <c r="A323" s="17" t="s">
        <v>163</v>
      </c>
      <c r="B323" s="17" t="s">
        <v>164</v>
      </c>
      <c r="C323" s="35" t="s">
        <v>165</v>
      </c>
      <c r="D323" s="35" t="s">
        <v>166</v>
      </c>
      <c r="E323" s="45">
        <f>0.5*0.8042+0.5*0.2135</f>
        <v>0.50885000000000002</v>
      </c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</row>
    <row r="324" spans="1:19" ht="31.2" x14ac:dyDescent="0.4">
      <c r="A324" s="40" t="s">
        <v>167</v>
      </c>
      <c r="B324" s="17" t="s">
        <v>103</v>
      </c>
      <c r="C324" s="35" t="s">
        <v>168</v>
      </c>
      <c r="D324" s="35" t="s">
        <v>169</v>
      </c>
      <c r="E324" s="47">
        <v>0</v>
      </c>
      <c r="H324" s="43"/>
      <c r="I324" s="43"/>
      <c r="J324" s="43"/>
      <c r="K324" s="43"/>
      <c r="L324" s="43"/>
      <c r="M324" s="43"/>
      <c r="N324" s="43"/>
      <c r="O324" s="43"/>
      <c r="P324" s="43"/>
      <c r="Q324" s="43"/>
      <c r="R324" s="9"/>
      <c r="S324" s="9"/>
    </row>
    <row r="325" spans="1:19" x14ac:dyDescent="0.3">
      <c r="A325" s="48"/>
      <c r="E325" s="49"/>
      <c r="H325" s="43"/>
      <c r="I325" s="43"/>
      <c r="J325" s="43"/>
      <c r="K325" s="43"/>
      <c r="L325" s="43"/>
      <c r="M325" s="43"/>
      <c r="N325" s="43"/>
      <c r="O325" s="43"/>
      <c r="P325" s="43"/>
      <c r="Q325" s="43"/>
      <c r="R325" s="9"/>
      <c r="S325" s="9"/>
    </row>
    <row r="326" spans="1:19" x14ac:dyDescent="0.25">
      <c r="A326" s="174" t="s">
        <v>170</v>
      </c>
      <c r="B326" s="174"/>
      <c r="C326" s="175"/>
      <c r="D326" s="175"/>
      <c r="E326" s="195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</row>
    <row r="327" spans="1:19" x14ac:dyDescent="0.25">
      <c r="A327" s="15" t="s">
        <v>8</v>
      </c>
      <c r="B327" s="15" t="s">
        <v>9</v>
      </c>
      <c r="C327" s="38" t="s">
        <v>10</v>
      </c>
      <c r="D327" s="38" t="s">
        <v>340</v>
      </c>
      <c r="E327" s="16" t="s">
        <v>65</v>
      </c>
      <c r="H327" s="43"/>
      <c r="I327" s="43"/>
      <c r="J327" s="43"/>
      <c r="K327" s="43"/>
      <c r="L327" s="43"/>
      <c r="M327" s="43"/>
      <c r="N327" s="43"/>
      <c r="O327" s="43"/>
      <c r="P327" s="43"/>
      <c r="Q327" s="43"/>
      <c r="R327" s="9"/>
      <c r="S327" s="9"/>
    </row>
    <row r="328" spans="1:19" ht="33.6" x14ac:dyDescent="0.4">
      <c r="A328" s="40" t="s">
        <v>171</v>
      </c>
      <c r="B328" s="17" t="s">
        <v>74</v>
      </c>
      <c r="C328" s="35" t="s">
        <v>172</v>
      </c>
      <c r="D328" s="35" t="s">
        <v>391</v>
      </c>
      <c r="E328" s="50">
        <f>E329*E332*E333*E334*E335*E336</f>
        <v>2.9698022979752388</v>
      </c>
      <c r="H328" s="43"/>
      <c r="I328" s="43"/>
      <c r="J328" s="43"/>
      <c r="K328" s="43"/>
      <c r="L328" s="43"/>
      <c r="M328" s="43"/>
      <c r="N328" s="43"/>
      <c r="O328" s="43"/>
      <c r="P328" s="43"/>
      <c r="Q328" s="43"/>
      <c r="R328" s="9"/>
      <c r="S328" s="9"/>
    </row>
    <row r="329" spans="1:19" ht="46.8" x14ac:dyDescent="0.4">
      <c r="A329" s="51" t="s">
        <v>173</v>
      </c>
      <c r="B329" s="17" t="s">
        <v>76</v>
      </c>
      <c r="C329" s="35" t="s">
        <v>174</v>
      </c>
      <c r="D329" s="35" t="s">
        <v>392</v>
      </c>
      <c r="E329" s="69">
        <f>ROUNDUP(E330/E331,0)</f>
        <v>107</v>
      </c>
      <c r="H329" s="43"/>
      <c r="I329" s="43"/>
      <c r="J329" s="43"/>
      <c r="K329" s="43"/>
      <c r="L329" s="43"/>
      <c r="M329" s="43"/>
      <c r="N329" s="43"/>
      <c r="O329" s="43"/>
      <c r="P329" s="43"/>
      <c r="Q329" s="43"/>
      <c r="R329" s="9"/>
      <c r="S329" s="9"/>
    </row>
    <row r="330" spans="1:19" ht="62.4" x14ac:dyDescent="0.25">
      <c r="A330" s="17" t="s">
        <v>175</v>
      </c>
      <c r="B330" s="17" t="s">
        <v>78</v>
      </c>
      <c r="C330" s="35" t="s">
        <v>176</v>
      </c>
      <c r="D330" s="35" t="s">
        <v>346</v>
      </c>
      <c r="E330" s="52">
        <v>533.63599999999997</v>
      </c>
      <c r="H330" s="43"/>
      <c r="I330" s="43"/>
      <c r="J330" s="43"/>
      <c r="K330" s="43"/>
      <c r="L330" s="43"/>
      <c r="M330" s="43"/>
      <c r="N330" s="43"/>
      <c r="O330" s="43"/>
      <c r="P330" s="43"/>
      <c r="Q330" s="43"/>
      <c r="R330" s="9"/>
      <c r="S330" s="9"/>
    </row>
    <row r="331" spans="1:19" ht="62.4" x14ac:dyDescent="0.25">
      <c r="A331" s="17" t="s">
        <v>177</v>
      </c>
      <c r="B331" s="17" t="s">
        <v>80</v>
      </c>
      <c r="C331" s="35" t="s">
        <v>81</v>
      </c>
      <c r="D331" s="35" t="s">
        <v>345</v>
      </c>
      <c r="E331" s="25">
        <f>5</f>
        <v>5</v>
      </c>
      <c r="H331" s="43"/>
      <c r="I331" s="43"/>
      <c r="J331" s="43"/>
      <c r="K331" s="43"/>
      <c r="L331" s="43"/>
      <c r="M331" s="43"/>
      <c r="N331" s="43"/>
      <c r="O331" s="43"/>
      <c r="P331" s="43"/>
      <c r="Q331" s="43"/>
      <c r="R331" s="9"/>
      <c r="S331" s="9"/>
    </row>
    <row r="332" spans="1:19" ht="202.8" x14ac:dyDescent="0.25">
      <c r="A332" s="17" t="s">
        <v>178</v>
      </c>
      <c r="B332" s="17" t="s">
        <v>82</v>
      </c>
      <c r="C332" s="35" t="s">
        <v>179</v>
      </c>
      <c r="D332" s="35" t="s">
        <v>367</v>
      </c>
      <c r="E332" s="25">
        <f>20.5*2</f>
        <v>41</v>
      </c>
      <c r="H332" s="43"/>
      <c r="I332" s="43"/>
      <c r="J332" s="43"/>
      <c r="K332" s="43"/>
      <c r="L332" s="43"/>
      <c r="M332" s="43"/>
      <c r="N332" s="43"/>
      <c r="O332" s="43"/>
      <c r="P332" s="43"/>
      <c r="Q332" s="43"/>
      <c r="R332" s="9"/>
      <c r="S332" s="9"/>
    </row>
    <row r="333" spans="1:19" ht="156" x14ac:dyDescent="0.25">
      <c r="A333" s="17" t="s">
        <v>180</v>
      </c>
      <c r="B333" s="17" t="s">
        <v>84</v>
      </c>
      <c r="C333" s="35" t="s">
        <v>85</v>
      </c>
      <c r="D333" s="35" t="s">
        <v>365</v>
      </c>
      <c r="E333" s="25">
        <f>25.1/100</f>
        <v>0.251</v>
      </c>
      <c r="H333" s="43"/>
      <c r="I333" s="43"/>
      <c r="J333" s="43"/>
      <c r="K333" s="43"/>
      <c r="L333" s="43"/>
      <c r="M333" s="43"/>
      <c r="N333" s="43"/>
      <c r="O333" s="43"/>
      <c r="P333" s="43"/>
      <c r="Q333" s="43"/>
      <c r="R333" s="9"/>
      <c r="S333" s="9"/>
    </row>
    <row r="334" spans="1:19" ht="62.4" x14ac:dyDescent="0.25">
      <c r="A334" s="17" t="s">
        <v>86</v>
      </c>
      <c r="B334" s="17" t="s">
        <v>87</v>
      </c>
      <c r="C334" s="35" t="s">
        <v>86</v>
      </c>
      <c r="D334" s="35" t="s">
        <v>215</v>
      </c>
      <c r="E334" s="25">
        <f>0.84/1000</f>
        <v>8.3999999999999993E-4</v>
      </c>
      <c r="H334" s="43"/>
      <c r="I334" s="43"/>
      <c r="J334" s="43"/>
      <c r="K334" s="43"/>
      <c r="L334" s="43"/>
      <c r="M334" s="43"/>
      <c r="N334" s="43"/>
      <c r="O334" s="43"/>
      <c r="P334" s="43"/>
      <c r="Q334" s="43"/>
      <c r="R334" s="9"/>
      <c r="S334" s="9"/>
    </row>
    <row r="335" spans="1:19" ht="124.8" x14ac:dyDescent="0.25">
      <c r="A335" s="17" t="s">
        <v>181</v>
      </c>
      <c r="B335" s="17" t="s">
        <v>88</v>
      </c>
      <c r="C335" s="35" t="s">
        <v>89</v>
      </c>
      <c r="D335" s="35" t="s">
        <v>360</v>
      </c>
      <c r="E335" s="25">
        <f>43.33/1000</f>
        <v>4.333E-2</v>
      </c>
      <c r="H335" s="43"/>
      <c r="I335" s="43"/>
      <c r="J335" s="43"/>
      <c r="K335" s="43"/>
      <c r="L335" s="43"/>
      <c r="M335" s="43"/>
      <c r="N335" s="43"/>
      <c r="O335" s="43"/>
      <c r="P335" s="43"/>
      <c r="Q335" s="43"/>
      <c r="R335" s="9"/>
      <c r="S335" s="9"/>
    </row>
    <row r="336" spans="1:19" ht="33.6" x14ac:dyDescent="0.25">
      <c r="A336" s="17" t="s">
        <v>182</v>
      </c>
      <c r="B336" s="17" t="s">
        <v>90</v>
      </c>
      <c r="C336" s="35" t="s">
        <v>91</v>
      </c>
      <c r="D336" s="35" t="s">
        <v>92</v>
      </c>
      <c r="E336" s="25">
        <v>74.099999999999994</v>
      </c>
      <c r="H336" s="43"/>
      <c r="I336" s="43"/>
      <c r="J336" s="43"/>
      <c r="K336" s="43"/>
      <c r="L336" s="43"/>
      <c r="M336" s="43"/>
      <c r="N336" s="43"/>
      <c r="O336" s="43"/>
      <c r="P336" s="43"/>
      <c r="Q336" s="43"/>
      <c r="R336" s="9"/>
      <c r="S336" s="9"/>
    </row>
    <row r="338" spans="1:19" x14ac:dyDescent="0.25">
      <c r="A338" s="33" t="s">
        <v>8</v>
      </c>
      <c r="B338" s="33" t="s">
        <v>9</v>
      </c>
      <c r="C338" s="34" t="s">
        <v>10</v>
      </c>
      <c r="D338" s="34" t="s">
        <v>340</v>
      </c>
      <c r="E338" s="16" t="s">
        <v>65</v>
      </c>
    </row>
    <row r="339" spans="1:19" ht="18" x14ac:dyDescent="0.25">
      <c r="A339" s="15" t="s">
        <v>183</v>
      </c>
      <c r="B339" s="17" t="s">
        <v>103</v>
      </c>
      <c r="C339" s="35" t="s">
        <v>184</v>
      </c>
      <c r="D339" s="53" t="s">
        <v>393</v>
      </c>
      <c r="E339" s="18">
        <f>ROUNDUP(E288+E312+E316+E320+E328,0)</f>
        <v>313</v>
      </c>
    </row>
    <row r="340" spans="1:19" s="200" customFormat="1" ht="43.2" customHeight="1" x14ac:dyDescent="0.25">
      <c r="A340" s="200" t="s">
        <v>225</v>
      </c>
    </row>
    <row r="341" spans="1:19" ht="23.4" customHeight="1" x14ac:dyDescent="0.25">
      <c r="A341" s="201" t="s">
        <v>105</v>
      </c>
      <c r="B341" s="201"/>
      <c r="C341" s="201"/>
      <c r="D341" s="201"/>
      <c r="E341" s="201"/>
      <c r="F341" s="201"/>
      <c r="G341" s="201"/>
      <c r="H341" s="201"/>
      <c r="I341" s="201"/>
      <c r="J341" s="201"/>
      <c r="K341" s="201"/>
      <c r="L341" s="201"/>
      <c r="M341" s="201"/>
      <c r="N341" s="201"/>
      <c r="O341" s="201"/>
      <c r="P341" s="201"/>
      <c r="Q341" s="202"/>
    </row>
    <row r="342" spans="1:19" s="10" customFormat="1" ht="31.2" x14ac:dyDescent="0.25">
      <c r="A342" s="15" t="s">
        <v>8</v>
      </c>
      <c r="B342" s="15" t="s">
        <v>9</v>
      </c>
      <c r="C342" s="15" t="s">
        <v>10</v>
      </c>
      <c r="D342" s="15" t="s">
        <v>340</v>
      </c>
      <c r="E342" s="16" t="s">
        <v>11</v>
      </c>
      <c r="F342" s="16" t="s">
        <v>322</v>
      </c>
      <c r="G342" s="16" t="s">
        <v>323</v>
      </c>
      <c r="H342" s="16" t="s">
        <v>324</v>
      </c>
      <c r="I342" s="16" t="s">
        <v>325</v>
      </c>
      <c r="J342" s="16" t="s">
        <v>326</v>
      </c>
      <c r="K342" s="16" t="s">
        <v>329</v>
      </c>
      <c r="L342" s="16" t="s">
        <v>292</v>
      </c>
      <c r="M342" s="16" t="s">
        <v>292</v>
      </c>
      <c r="N342" s="16" t="s">
        <v>292</v>
      </c>
      <c r="O342" s="16" t="s">
        <v>292</v>
      </c>
      <c r="P342" s="16" t="s">
        <v>292</v>
      </c>
      <c r="Q342" s="16" t="s">
        <v>292</v>
      </c>
      <c r="R342" s="54"/>
      <c r="S342" s="54"/>
    </row>
    <row r="343" spans="1:19" s="10" customFormat="1" x14ac:dyDescent="0.25">
      <c r="A343" s="203" t="s">
        <v>106</v>
      </c>
      <c r="B343" s="203"/>
      <c r="C343" s="203"/>
      <c r="D343" s="203"/>
      <c r="E343" s="204"/>
      <c r="F343" s="16">
        <v>31</v>
      </c>
      <c r="G343" s="16">
        <v>28</v>
      </c>
      <c r="H343" s="16">
        <v>31</v>
      </c>
      <c r="I343" s="16">
        <v>30</v>
      </c>
      <c r="J343" s="16">
        <v>31</v>
      </c>
      <c r="K343" s="16">
        <v>30</v>
      </c>
      <c r="L343" s="16" t="s">
        <v>292</v>
      </c>
      <c r="M343" s="16" t="s">
        <v>292</v>
      </c>
      <c r="N343" s="16" t="s">
        <v>292</v>
      </c>
      <c r="O343" s="16" t="s">
        <v>292</v>
      </c>
      <c r="P343" s="16" t="s">
        <v>292</v>
      </c>
      <c r="Q343" s="16" t="s">
        <v>292</v>
      </c>
      <c r="R343" s="54"/>
      <c r="S343" s="54"/>
    </row>
    <row r="344" spans="1:19" s="10" customFormat="1" ht="31.2" x14ac:dyDescent="0.25">
      <c r="A344" s="15" t="s">
        <v>107</v>
      </c>
      <c r="B344" s="17" t="s">
        <v>103</v>
      </c>
      <c r="C344" s="17" t="s">
        <v>108</v>
      </c>
      <c r="D344" s="17" t="s">
        <v>381</v>
      </c>
      <c r="E344" s="18">
        <f>E345+E355</f>
        <v>0</v>
      </c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54"/>
      <c r="S344" s="54"/>
    </row>
    <row r="345" spans="1:19" ht="46.8" x14ac:dyDescent="0.25">
      <c r="A345" s="17" t="s">
        <v>109</v>
      </c>
      <c r="B345" s="17" t="s">
        <v>103</v>
      </c>
      <c r="C345" s="17" t="s">
        <v>110</v>
      </c>
      <c r="D345" s="17" t="s">
        <v>382</v>
      </c>
      <c r="E345" s="19">
        <f>SUM(F345:K345)</f>
        <v>0</v>
      </c>
      <c r="F345" s="19">
        <f>IF(F346&gt;=0.8,0,$E$353*$E$354*0.4*(F347-F350)*F343)</f>
        <v>0</v>
      </c>
      <c r="G345" s="19">
        <f t="shared" ref="G345:K345" si="42">IF(G346&gt;=0.8,0,$E$353*$E$354*0.4*(G347-G350)*G343)</f>
        <v>0</v>
      </c>
      <c r="H345" s="19">
        <f t="shared" si="42"/>
        <v>0</v>
      </c>
      <c r="I345" s="19">
        <f t="shared" si="42"/>
        <v>0</v>
      </c>
      <c r="J345" s="19">
        <f t="shared" si="42"/>
        <v>0</v>
      </c>
      <c r="K345" s="19">
        <f t="shared" si="42"/>
        <v>0</v>
      </c>
      <c r="L345" s="19" t="s">
        <v>297</v>
      </c>
      <c r="M345" s="19" t="s">
        <v>297</v>
      </c>
      <c r="N345" s="19" t="s">
        <v>297</v>
      </c>
      <c r="O345" s="19" t="s">
        <v>297</v>
      </c>
      <c r="P345" s="19" t="s">
        <v>297</v>
      </c>
      <c r="Q345" s="19" t="s">
        <v>297</v>
      </c>
    </row>
    <row r="346" spans="1:19" ht="62.4" x14ac:dyDescent="0.25">
      <c r="A346" s="17" t="s">
        <v>111</v>
      </c>
      <c r="B346" s="17" t="s">
        <v>37</v>
      </c>
      <c r="C346" s="17" t="s">
        <v>112</v>
      </c>
      <c r="D346" s="17" t="s">
        <v>383</v>
      </c>
      <c r="E346" s="20">
        <f>AVERAGE(F346:K346)</f>
        <v>0.95183024673671834</v>
      </c>
      <c r="F346" s="20">
        <f>(F347-F350)/F347</f>
        <v>0.95245509412250184</v>
      </c>
      <c r="G346" s="20">
        <f t="shared" ref="G346:K346" si="43">(G347-G350)/G347</f>
        <v>0.95279746294785472</v>
      </c>
      <c r="H346" s="20">
        <f t="shared" si="43"/>
        <v>0.95328867382690452</v>
      </c>
      <c r="I346" s="20">
        <f t="shared" si="43"/>
        <v>0.95223149914704996</v>
      </c>
      <c r="J346" s="20">
        <f t="shared" si="43"/>
        <v>0.95343118177604502</v>
      </c>
      <c r="K346" s="20">
        <f t="shared" si="43"/>
        <v>0.94677756859995388</v>
      </c>
      <c r="L346" s="20" t="s">
        <v>297</v>
      </c>
      <c r="M346" s="20" t="s">
        <v>297</v>
      </c>
      <c r="N346" s="20" t="s">
        <v>297</v>
      </c>
      <c r="O346" s="20" t="s">
        <v>297</v>
      </c>
      <c r="P346" s="20" t="s">
        <v>297</v>
      </c>
      <c r="Q346" s="20" t="s">
        <v>297</v>
      </c>
    </row>
    <row r="347" spans="1:19" ht="46.8" x14ac:dyDescent="0.25">
      <c r="A347" s="17" t="s">
        <v>113</v>
      </c>
      <c r="B347" s="17" t="s">
        <v>24</v>
      </c>
      <c r="C347" s="17" t="s">
        <v>114</v>
      </c>
      <c r="D347" s="17" t="s">
        <v>384</v>
      </c>
      <c r="E347" s="20">
        <f>SUM(F347:K347)</f>
        <v>24.086893655158946</v>
      </c>
      <c r="F347" s="20">
        <f>F348*F349</f>
        <v>4.0351068707639621</v>
      </c>
      <c r="G347" s="20">
        <f t="shared" ref="G347:K347" si="44">G348*G349</f>
        <v>4.0289575703374778</v>
      </c>
      <c r="H347" s="20">
        <f t="shared" si="44"/>
        <v>4.0350353094400004</v>
      </c>
      <c r="I347" s="20">
        <f t="shared" si="44"/>
        <v>4.0323287737284446</v>
      </c>
      <c r="J347" s="20">
        <f t="shared" si="44"/>
        <v>4.2145415113078739</v>
      </c>
      <c r="K347" s="20">
        <f t="shared" si="44"/>
        <v>3.7409236195811859</v>
      </c>
      <c r="L347" s="20" t="s">
        <v>297</v>
      </c>
      <c r="M347" s="20" t="s">
        <v>297</v>
      </c>
      <c r="N347" s="20" t="s">
        <v>297</v>
      </c>
      <c r="O347" s="20" t="s">
        <v>297</v>
      </c>
      <c r="P347" s="20" t="s">
        <v>297</v>
      </c>
      <c r="Q347" s="20" t="s">
        <v>297</v>
      </c>
    </row>
    <row r="348" spans="1:19" ht="69.599999999999994" customHeight="1" x14ac:dyDescent="0.25">
      <c r="A348" s="17" t="s">
        <v>115</v>
      </c>
      <c r="B348" s="17" t="s">
        <v>116</v>
      </c>
      <c r="C348" s="17" t="s">
        <v>117</v>
      </c>
      <c r="D348" s="17" t="s">
        <v>336</v>
      </c>
      <c r="E348" s="129">
        <f>SUM(F348:K348)</f>
        <v>65480.361522196632</v>
      </c>
      <c r="F348" s="129">
        <f>'Baseline Emissions 2022'!F337</f>
        <v>10758.356967741938</v>
      </c>
      <c r="G348" s="129">
        <f>'Baseline Emissions 2022'!G337</f>
        <v>10751.139607142857</v>
      </c>
      <c r="H348" s="129">
        <f>'Baseline Emissions 2022'!H337</f>
        <v>10754.674419354838</v>
      </c>
      <c r="I348" s="129">
        <f>'Baseline Emissions 2022'!I337</f>
        <v>10753.641433333336</v>
      </c>
      <c r="J348" s="129">
        <f>'Baseline Emissions 2022'!J337</f>
        <v>11232.722161290325</v>
      </c>
      <c r="K348" s="129">
        <f>'Baseline Emissions 2022'!K337</f>
        <v>11229.826933333334</v>
      </c>
      <c r="L348" s="21" t="s">
        <v>297</v>
      </c>
      <c r="M348" s="21" t="s">
        <v>297</v>
      </c>
      <c r="N348" s="21" t="s">
        <v>297</v>
      </c>
      <c r="O348" s="21" t="s">
        <v>297</v>
      </c>
      <c r="P348" s="21" t="s">
        <v>297</v>
      </c>
      <c r="Q348" s="21" t="s">
        <v>297</v>
      </c>
    </row>
    <row r="349" spans="1:19" ht="46.8" x14ac:dyDescent="0.25">
      <c r="A349" s="17" t="s">
        <v>118</v>
      </c>
      <c r="B349" s="17" t="s">
        <v>119</v>
      </c>
      <c r="C349" s="17" t="s">
        <v>120</v>
      </c>
      <c r="D349" s="35" t="s">
        <v>338</v>
      </c>
      <c r="E349" s="120">
        <f>AVERAGE(F349:K349)</f>
        <v>3.6805042989417985E-4</v>
      </c>
      <c r="F349" s="130">
        <f>'Baseline Emissions 2022'!F341</f>
        <v>3.7506720430107528E-4</v>
      </c>
      <c r="G349" s="130">
        <f>'Baseline Emissions 2022'!G341</f>
        <v>3.7474702380952372E-4</v>
      </c>
      <c r="H349" s="130">
        <f>'Baseline Emissions 2022'!H341</f>
        <v>3.7518897849462358E-4</v>
      </c>
      <c r="I349" s="130">
        <f>'Baseline Emissions 2022'!I341</f>
        <v>3.7497333333333328E-4</v>
      </c>
      <c r="J349" s="130">
        <f>'Baseline Emissions 2022'!J341</f>
        <v>3.7520215053763432E-4</v>
      </c>
      <c r="K349" s="130">
        <f>'Baseline Emissions 2022'!K341</f>
        <v>3.3312388888888893E-4</v>
      </c>
      <c r="L349" s="23" t="s">
        <v>297</v>
      </c>
      <c r="M349" s="23" t="s">
        <v>297</v>
      </c>
      <c r="N349" s="23" t="s">
        <v>297</v>
      </c>
      <c r="O349" s="23" t="s">
        <v>297</v>
      </c>
      <c r="P349" s="23" t="s">
        <v>297</v>
      </c>
      <c r="Q349" s="23" t="s">
        <v>297</v>
      </c>
    </row>
    <row r="350" spans="1:19" ht="46.8" x14ac:dyDescent="0.25">
      <c r="A350" s="17" t="s">
        <v>121</v>
      </c>
      <c r="B350" s="17" t="s">
        <v>24</v>
      </c>
      <c r="C350" s="17" t="s">
        <v>122</v>
      </c>
      <c r="D350" s="17" t="s">
        <v>384</v>
      </c>
      <c r="E350" s="20">
        <f>SUM(F350:K350)</f>
        <v>1.1584932145513074</v>
      </c>
      <c r="F350" s="20">
        <f>SUM(F351*F352)</f>
        <v>0.19184877637611855</v>
      </c>
      <c r="G350" s="20">
        <f t="shared" ref="G350:K350" si="45">SUM(G351*G352)</f>
        <v>0.19017701899537626</v>
      </c>
      <c r="H350" s="20">
        <f t="shared" si="45"/>
        <v>0.18848185045920915</v>
      </c>
      <c r="I350" s="20">
        <f t="shared" si="45"/>
        <v>0.19261830046722217</v>
      </c>
      <c r="J350" s="20">
        <f t="shared" si="45"/>
        <v>0.19626621753740886</v>
      </c>
      <c r="K350" s="20">
        <f t="shared" si="45"/>
        <v>0.19910105071597223</v>
      </c>
      <c r="L350" s="20" t="s">
        <v>297</v>
      </c>
      <c r="M350" s="20" t="s">
        <v>297</v>
      </c>
      <c r="N350" s="20" t="s">
        <v>297</v>
      </c>
      <c r="O350" s="20" t="s">
        <v>297</v>
      </c>
      <c r="P350" s="20" t="s">
        <v>297</v>
      </c>
      <c r="Q350" s="20" t="s">
        <v>297</v>
      </c>
    </row>
    <row r="351" spans="1:19" ht="62.4" x14ac:dyDescent="0.25">
      <c r="A351" s="17" t="s">
        <v>123</v>
      </c>
      <c r="B351" s="17" t="s">
        <v>116</v>
      </c>
      <c r="C351" s="17" t="s">
        <v>124</v>
      </c>
      <c r="D351" s="17" t="s">
        <v>337</v>
      </c>
      <c r="E351" s="129">
        <f>SUM(F351:K351)</f>
        <v>64697.746258141313</v>
      </c>
      <c r="F351" s="129">
        <v>10620.674258064515</v>
      </c>
      <c r="G351" s="129">
        <v>10622.471678571426</v>
      </c>
      <c r="H351" s="129">
        <v>10621.269483870967</v>
      </c>
      <c r="I351" s="129">
        <v>10620.705799999996</v>
      </c>
      <c r="J351" s="129">
        <v>11105.690870967743</v>
      </c>
      <c r="K351" s="129">
        <v>11106.934166666666</v>
      </c>
      <c r="L351" s="21" t="s">
        <v>297</v>
      </c>
      <c r="M351" s="21" t="s">
        <v>297</v>
      </c>
      <c r="N351" s="21" t="s">
        <v>297</v>
      </c>
      <c r="O351" s="21" t="s">
        <v>297</v>
      </c>
      <c r="P351" s="21" t="s">
        <v>297</v>
      </c>
      <c r="Q351" s="21" t="s">
        <v>297</v>
      </c>
    </row>
    <row r="352" spans="1:19" ht="46.8" x14ac:dyDescent="0.25">
      <c r="A352" s="17" t="s">
        <v>125</v>
      </c>
      <c r="B352" s="17" t="s">
        <v>119</v>
      </c>
      <c r="C352" s="17" t="s">
        <v>126</v>
      </c>
      <c r="D352" s="35" t="s">
        <v>339</v>
      </c>
      <c r="E352" s="131">
        <f>AVERAGE(F352:K352)</f>
        <v>1.7907867916880014E-5</v>
      </c>
      <c r="F352" s="131">
        <f>'Baseline Emissions 2022'!F342</f>
        <v>1.8063709677419349E-5</v>
      </c>
      <c r="G352" s="131">
        <f>'Baseline Emissions 2022'!G342</f>
        <v>1.7903273809523812E-5</v>
      </c>
      <c r="H352" s="131">
        <f>'Baseline Emissions 2022'!H342</f>
        <v>1.7745698924731184E-5</v>
      </c>
      <c r="I352" s="131">
        <f>'Baseline Emissions 2022'!I342</f>
        <v>1.8136111111111113E-5</v>
      </c>
      <c r="J352" s="131">
        <f>'Baseline Emissions 2022'!J342</f>
        <v>1.7672580645161282E-5</v>
      </c>
      <c r="K352" s="131">
        <f>'Baseline Emissions 2022'!K342</f>
        <v>1.7925833333333334E-5</v>
      </c>
      <c r="L352" s="24" t="s">
        <v>297</v>
      </c>
      <c r="M352" s="24" t="s">
        <v>297</v>
      </c>
      <c r="N352" s="24" t="s">
        <v>297</v>
      </c>
      <c r="O352" s="24" t="s">
        <v>297</v>
      </c>
      <c r="P352" s="24" t="s">
        <v>297</v>
      </c>
      <c r="Q352" s="24" t="s">
        <v>297</v>
      </c>
    </row>
    <row r="353" spans="1:17" ht="31.2" x14ac:dyDescent="0.25">
      <c r="A353" s="17" t="s">
        <v>127</v>
      </c>
      <c r="B353" s="17" t="s">
        <v>128</v>
      </c>
      <c r="C353" s="17" t="s">
        <v>17</v>
      </c>
      <c r="D353" s="17" t="s">
        <v>129</v>
      </c>
      <c r="E353" s="176">
        <v>28</v>
      </c>
      <c r="F353" s="176"/>
      <c r="G353" s="176"/>
      <c r="H353" s="176"/>
      <c r="I353" s="176"/>
      <c r="J353" s="176"/>
      <c r="K353" s="176"/>
      <c r="L353" s="176"/>
      <c r="M353" s="176"/>
      <c r="N353" s="176"/>
      <c r="O353" s="176"/>
      <c r="P353" s="176"/>
      <c r="Q353" s="176"/>
    </row>
    <row r="354" spans="1:17" ht="64.8" x14ac:dyDescent="0.25">
      <c r="A354" s="17" t="s">
        <v>130</v>
      </c>
      <c r="B354" s="17" t="s">
        <v>19</v>
      </c>
      <c r="C354" s="17" t="s">
        <v>131</v>
      </c>
      <c r="D354" s="17" t="s">
        <v>394</v>
      </c>
      <c r="E354" s="176">
        <v>0.21</v>
      </c>
      <c r="F354" s="176"/>
      <c r="G354" s="176"/>
      <c r="H354" s="176"/>
      <c r="I354" s="176"/>
      <c r="J354" s="176"/>
      <c r="K354" s="176"/>
      <c r="L354" s="176"/>
      <c r="M354" s="176"/>
      <c r="N354" s="176"/>
      <c r="O354" s="176"/>
      <c r="P354" s="176"/>
      <c r="Q354" s="176"/>
    </row>
    <row r="355" spans="1:17" ht="46.8" x14ac:dyDescent="0.25">
      <c r="A355" s="17" t="s">
        <v>132</v>
      </c>
      <c r="B355" s="17" t="s">
        <v>103</v>
      </c>
      <c r="C355" s="17" t="s">
        <v>133</v>
      </c>
      <c r="D355" s="17" t="s">
        <v>385</v>
      </c>
      <c r="E355" s="19">
        <f>SUM(F355:K355)</f>
        <v>0</v>
      </c>
      <c r="F355" s="19">
        <f>$E$353*$E$354*F356*F350*F343</f>
        <v>0</v>
      </c>
      <c r="G355" s="19">
        <f t="shared" ref="G355:K355" si="46">$E$353*$E$354*G356*G350*G343</f>
        <v>0</v>
      </c>
      <c r="H355" s="19">
        <f t="shared" si="46"/>
        <v>0</v>
      </c>
      <c r="I355" s="19">
        <f t="shared" si="46"/>
        <v>0</v>
      </c>
      <c r="J355" s="19">
        <f t="shared" si="46"/>
        <v>0</v>
      </c>
      <c r="K355" s="19">
        <f t="shared" si="46"/>
        <v>0</v>
      </c>
      <c r="L355" s="19" t="s">
        <v>297</v>
      </c>
      <c r="M355" s="19" t="s">
        <v>297</v>
      </c>
      <c r="N355" s="19" t="s">
        <v>297</v>
      </c>
      <c r="O355" s="19" t="s">
        <v>297</v>
      </c>
      <c r="P355" s="19" t="s">
        <v>297</v>
      </c>
      <c r="Q355" s="19" t="s">
        <v>297</v>
      </c>
    </row>
    <row r="356" spans="1:17" ht="18" x14ac:dyDescent="0.25">
      <c r="A356" s="17" t="s">
        <v>134</v>
      </c>
      <c r="B356" s="17" t="s">
        <v>37</v>
      </c>
      <c r="C356" s="17" t="s">
        <v>135</v>
      </c>
      <c r="D356" s="17" t="s">
        <v>386</v>
      </c>
      <c r="E356" s="26">
        <f>AVERAGE(F356:K356)</f>
        <v>0</v>
      </c>
      <c r="F356" s="26">
        <f>F357*$E$358*0.89</f>
        <v>0</v>
      </c>
      <c r="G356" s="26">
        <f t="shared" ref="G356:K356" si="47">G357*$E$358*0.89</f>
        <v>0</v>
      </c>
      <c r="H356" s="26">
        <f t="shared" si="47"/>
        <v>0</v>
      </c>
      <c r="I356" s="26">
        <f t="shared" si="47"/>
        <v>0</v>
      </c>
      <c r="J356" s="26">
        <f t="shared" si="47"/>
        <v>0</v>
      </c>
      <c r="K356" s="26">
        <f t="shared" si="47"/>
        <v>0</v>
      </c>
      <c r="L356" s="26" t="s">
        <v>297</v>
      </c>
      <c r="M356" s="26" t="s">
        <v>297</v>
      </c>
      <c r="N356" s="26" t="s">
        <v>297</v>
      </c>
      <c r="O356" s="26" t="s">
        <v>297</v>
      </c>
      <c r="P356" s="26" t="s">
        <v>297</v>
      </c>
      <c r="Q356" s="26" t="s">
        <v>297</v>
      </c>
    </row>
    <row r="357" spans="1:17" ht="31.2" x14ac:dyDescent="0.25">
      <c r="A357" s="17" t="s">
        <v>136</v>
      </c>
      <c r="B357" s="17" t="s">
        <v>37</v>
      </c>
      <c r="C357" s="17" t="s">
        <v>46</v>
      </c>
      <c r="D357" s="17" t="s">
        <v>387</v>
      </c>
      <c r="E357" s="25">
        <v>0</v>
      </c>
      <c r="F357" s="25">
        <v>0</v>
      </c>
      <c r="G357" s="25">
        <v>0</v>
      </c>
      <c r="H357" s="25">
        <v>0</v>
      </c>
      <c r="I357" s="25">
        <v>0</v>
      </c>
      <c r="J357" s="25">
        <v>0</v>
      </c>
      <c r="K357" s="25">
        <v>0</v>
      </c>
      <c r="L357" s="25" t="s">
        <v>297</v>
      </c>
      <c r="M357" s="25" t="s">
        <v>297</v>
      </c>
      <c r="N357" s="25" t="s">
        <v>297</v>
      </c>
      <c r="O357" s="25" t="s">
        <v>297</v>
      </c>
      <c r="P357" s="25" t="s">
        <v>297</v>
      </c>
      <c r="Q357" s="25" t="s">
        <v>297</v>
      </c>
    </row>
    <row r="358" spans="1:17" ht="31.2" x14ac:dyDescent="0.25">
      <c r="A358" s="17" t="s">
        <v>137</v>
      </c>
      <c r="B358" s="17" t="s">
        <v>201</v>
      </c>
      <c r="C358" s="17" t="s">
        <v>138</v>
      </c>
      <c r="D358" s="17" t="s">
        <v>388</v>
      </c>
      <c r="E358" s="196">
        <f>(F359*F364+G359*G364+H359*H364+I359*I364+J359*J364+K359*K364)/(F351*F352*F343+G352*G351*G343+H351*H352*H343+I352*I351*I343+J352*J351*J343+K352*K351*K343)</f>
        <v>0.48041981080992613</v>
      </c>
      <c r="F358" s="196"/>
      <c r="G358" s="196"/>
      <c r="H358" s="196"/>
      <c r="I358" s="196"/>
      <c r="J358" s="196"/>
      <c r="K358" s="196"/>
      <c r="L358" s="196"/>
      <c r="M358" s="196"/>
      <c r="N358" s="196"/>
      <c r="O358" s="196"/>
      <c r="P358" s="196"/>
      <c r="Q358" s="196"/>
    </row>
    <row r="359" spans="1:17" ht="31.2" x14ac:dyDescent="0.25">
      <c r="A359" s="17" t="s">
        <v>139</v>
      </c>
      <c r="B359" s="17" t="s">
        <v>37</v>
      </c>
      <c r="C359" s="17" t="s">
        <v>140</v>
      </c>
      <c r="D359" s="17" t="s">
        <v>375</v>
      </c>
      <c r="E359" s="27">
        <f>AVERAGE(F359:K359)</f>
        <v>0.47566758520675173</v>
      </c>
      <c r="F359" s="27">
        <f>IF(F363&lt;283,0,IF(F363&gt;303,1,EXP(($E$360*(F363-$E$361))/($E$362*$E$361*F363))))</f>
        <v>0.29505266129807517</v>
      </c>
      <c r="G359" s="27">
        <f t="shared" ref="G359:K359" si="48">IF(G363&lt;283,0,IF(G363&gt;303,1,EXP(($E$360*(G363-$E$361))/($E$362*$E$361*G363))))</f>
        <v>0.24547412919519337</v>
      </c>
      <c r="H359" s="27">
        <f t="shared" si="48"/>
        <v>0.42307437878932203</v>
      </c>
      <c r="I359" s="27">
        <f t="shared" si="48"/>
        <v>0.50475941545474445</v>
      </c>
      <c r="J359" s="27">
        <f t="shared" si="48"/>
        <v>0.57531644493802248</v>
      </c>
      <c r="K359" s="27">
        <f t="shared" si="48"/>
        <v>0.81032848156515291</v>
      </c>
      <c r="L359" s="27" t="s">
        <v>297</v>
      </c>
      <c r="M359" s="27" t="s">
        <v>297</v>
      </c>
      <c r="N359" s="27" t="s">
        <v>297</v>
      </c>
      <c r="O359" s="27" t="s">
        <v>297</v>
      </c>
      <c r="P359" s="27" t="s">
        <v>297</v>
      </c>
      <c r="Q359" s="27" t="s">
        <v>297</v>
      </c>
    </row>
    <row r="360" spans="1:17" x14ac:dyDescent="0.25">
      <c r="A360" s="17" t="s">
        <v>51</v>
      </c>
      <c r="B360" s="17" t="s">
        <v>52</v>
      </c>
      <c r="C360" s="17" t="s">
        <v>53</v>
      </c>
      <c r="D360" s="17" t="s">
        <v>389</v>
      </c>
      <c r="E360" s="176">
        <v>15175</v>
      </c>
      <c r="F360" s="176"/>
      <c r="G360" s="176"/>
      <c r="H360" s="176"/>
      <c r="I360" s="176"/>
      <c r="J360" s="176"/>
      <c r="K360" s="176"/>
      <c r="L360" s="176"/>
      <c r="M360" s="176"/>
      <c r="N360" s="176"/>
      <c r="O360" s="176"/>
      <c r="P360" s="176"/>
      <c r="Q360" s="176"/>
    </row>
    <row r="361" spans="1:17" ht="18" x14ac:dyDescent="0.25">
      <c r="A361" s="17" t="s">
        <v>141</v>
      </c>
      <c r="B361" s="17" t="s">
        <v>55</v>
      </c>
      <c r="C361" s="17" t="s">
        <v>56</v>
      </c>
      <c r="D361" s="17" t="s">
        <v>389</v>
      </c>
      <c r="E361" s="176">
        <v>303.16000000000003</v>
      </c>
      <c r="F361" s="176"/>
      <c r="G361" s="176"/>
      <c r="H361" s="176"/>
      <c r="I361" s="176"/>
      <c r="J361" s="176"/>
      <c r="K361" s="176"/>
      <c r="L361" s="176"/>
      <c r="M361" s="176"/>
      <c r="N361" s="176"/>
      <c r="O361" s="176"/>
      <c r="P361" s="176"/>
      <c r="Q361" s="176"/>
    </row>
    <row r="362" spans="1:17" x14ac:dyDescent="0.25">
      <c r="A362" s="17" t="s">
        <v>57</v>
      </c>
      <c r="B362" s="17" t="s">
        <v>58</v>
      </c>
      <c r="C362" s="17" t="s">
        <v>59</v>
      </c>
      <c r="D362" s="17" t="s">
        <v>389</v>
      </c>
      <c r="E362" s="176">
        <v>1.9870000000000001</v>
      </c>
      <c r="F362" s="176"/>
      <c r="G362" s="176"/>
      <c r="H362" s="176"/>
      <c r="I362" s="176"/>
      <c r="J362" s="176"/>
      <c r="K362" s="176"/>
      <c r="L362" s="176"/>
      <c r="M362" s="176"/>
      <c r="N362" s="176"/>
      <c r="O362" s="176"/>
      <c r="P362" s="176"/>
      <c r="Q362" s="176"/>
    </row>
    <row r="363" spans="1:17" ht="18" x14ac:dyDescent="0.25">
      <c r="A363" s="17" t="s">
        <v>142</v>
      </c>
      <c r="B363" s="17" t="s">
        <v>55</v>
      </c>
      <c r="C363" s="17" t="s">
        <v>143</v>
      </c>
      <c r="D363" s="144" t="s">
        <v>363</v>
      </c>
      <c r="E363" s="28">
        <f>AVERAGE(F363:K363)</f>
        <v>293.65000000000003</v>
      </c>
      <c r="F363" s="25">
        <v>289.14999999999998</v>
      </c>
      <c r="G363" s="25">
        <v>287.14999999999998</v>
      </c>
      <c r="H363" s="25">
        <v>293.14999999999998</v>
      </c>
      <c r="I363" s="25">
        <v>295.14999999999998</v>
      </c>
      <c r="J363" s="25">
        <v>296.64999999999998</v>
      </c>
      <c r="K363" s="25">
        <v>300.64999999999998</v>
      </c>
      <c r="L363" s="25" t="s">
        <v>297</v>
      </c>
      <c r="M363" s="25" t="s">
        <v>297</v>
      </c>
      <c r="N363" s="25" t="s">
        <v>297</v>
      </c>
      <c r="O363" s="25" t="s">
        <v>297</v>
      </c>
      <c r="P363" s="25" t="s">
        <v>297</v>
      </c>
      <c r="Q363" s="25" t="s">
        <v>297</v>
      </c>
    </row>
    <row r="364" spans="1:17" ht="46.8" x14ac:dyDescent="0.25">
      <c r="A364" s="17" t="s">
        <v>144</v>
      </c>
      <c r="B364" s="17" t="s">
        <v>24</v>
      </c>
      <c r="C364" s="17" t="s">
        <v>145</v>
      </c>
      <c r="D364" s="17" t="s">
        <v>390</v>
      </c>
      <c r="E364" s="29">
        <f>SUM(F364:K364)</f>
        <v>34.951039242921205</v>
      </c>
      <c r="F364" s="29">
        <f>F351*F352*'Project Emissions 2022'!F343+(1-F359)*0</f>
        <v>5.9473120676596753</v>
      </c>
      <c r="G364" s="29">
        <f>G351*G352*'Project Emissions 2022'!G343+(1-G359)*0</f>
        <v>5.3249565318705354</v>
      </c>
      <c r="H364" s="29">
        <f>H351*H352*'Project Emissions 2022'!H343+(1-H359)*0</f>
        <v>5.8429373642354836</v>
      </c>
      <c r="I364" s="29">
        <f>I351*I352*'Project Emissions 2022'!I343+(1-I359)*0</f>
        <v>5.7785490140166651</v>
      </c>
      <c r="J364" s="29">
        <f>J351*J352*'Project Emissions 2022'!J343+(1-J359)*0</f>
        <v>6.0842527436596745</v>
      </c>
      <c r="K364" s="29">
        <f>K351*K352*'Project Emissions 2022'!K343+(1-K359)*0</f>
        <v>5.9730315214791672</v>
      </c>
      <c r="L364" s="29" t="s">
        <v>297</v>
      </c>
      <c r="M364" s="29" t="s">
        <v>297</v>
      </c>
      <c r="N364" s="29" t="s">
        <v>297</v>
      </c>
      <c r="O364" s="29" t="s">
        <v>297</v>
      </c>
      <c r="P364" s="29" t="s">
        <v>297</v>
      </c>
      <c r="Q364" s="29" t="s">
        <v>297</v>
      </c>
    </row>
    <row r="365" spans="1:17" x14ac:dyDescent="0.3">
      <c r="A365" s="30"/>
      <c r="E365" s="31"/>
      <c r="F365" s="31"/>
      <c r="G365" s="31"/>
      <c r="H365" s="31"/>
      <c r="I365" s="31"/>
      <c r="J365" s="31"/>
      <c r="K365" s="31"/>
      <c r="L365" s="31"/>
      <c r="M365" s="31"/>
      <c r="N365" s="31"/>
      <c r="O365" s="31"/>
      <c r="P365" s="31"/>
      <c r="Q365" s="31"/>
    </row>
    <row r="366" spans="1:17" x14ac:dyDescent="0.25">
      <c r="A366" s="174" t="s">
        <v>146</v>
      </c>
      <c r="B366" s="174"/>
      <c r="C366" s="175"/>
      <c r="D366" s="175"/>
      <c r="E366" s="195"/>
      <c r="F366" s="32"/>
      <c r="G366" s="32"/>
      <c r="H366" s="32"/>
      <c r="I366" s="32"/>
      <c r="J366" s="32"/>
      <c r="K366" s="32"/>
      <c r="L366" s="32"/>
      <c r="M366" s="32"/>
      <c r="N366" s="32"/>
      <c r="O366" s="32"/>
      <c r="P366" s="32"/>
      <c r="Q366" s="32"/>
    </row>
    <row r="367" spans="1:17" x14ac:dyDescent="0.25">
      <c r="A367" s="33" t="s">
        <v>8</v>
      </c>
      <c r="B367" s="33" t="s">
        <v>9</v>
      </c>
      <c r="C367" s="34" t="s">
        <v>10</v>
      </c>
      <c r="D367" s="34" t="s">
        <v>340</v>
      </c>
      <c r="E367" s="16" t="s">
        <v>65</v>
      </c>
      <c r="F367" s="32"/>
      <c r="G367" s="32"/>
      <c r="H367" s="32"/>
      <c r="I367" s="32"/>
      <c r="J367" s="32"/>
      <c r="K367" s="32"/>
      <c r="L367" s="32"/>
      <c r="M367" s="32"/>
      <c r="N367" s="32"/>
      <c r="O367" s="32"/>
      <c r="P367" s="32"/>
      <c r="Q367" s="32"/>
    </row>
    <row r="368" spans="1:17" ht="46.8" x14ac:dyDescent="0.25">
      <c r="A368" s="15" t="s">
        <v>147</v>
      </c>
      <c r="B368" s="17" t="s">
        <v>95</v>
      </c>
      <c r="C368" s="35" t="s">
        <v>148</v>
      </c>
      <c r="D368" s="35" t="s">
        <v>68</v>
      </c>
      <c r="E368" s="16">
        <v>0</v>
      </c>
      <c r="F368" s="32"/>
      <c r="G368" s="32"/>
      <c r="H368" s="32"/>
      <c r="I368" s="32"/>
      <c r="J368" s="32"/>
      <c r="K368" s="32"/>
      <c r="L368" s="32"/>
      <c r="M368" s="32"/>
      <c r="N368" s="32"/>
      <c r="O368" s="32"/>
      <c r="P368" s="32"/>
      <c r="Q368" s="32"/>
    </row>
    <row r="369" spans="1:19" x14ac:dyDescent="0.25">
      <c r="A369" s="36"/>
      <c r="B369" s="36"/>
      <c r="C369" s="37"/>
      <c r="D369" s="37"/>
      <c r="E369" s="32"/>
      <c r="F369" s="32"/>
      <c r="G369" s="32"/>
      <c r="H369" s="32"/>
      <c r="I369" s="32"/>
      <c r="J369" s="32"/>
      <c r="K369" s="32"/>
      <c r="L369" s="32"/>
      <c r="M369" s="32"/>
      <c r="N369" s="32"/>
      <c r="O369" s="32"/>
      <c r="P369" s="32"/>
      <c r="Q369" s="32"/>
    </row>
    <row r="370" spans="1:19" x14ac:dyDescent="0.25">
      <c r="A370" s="174" t="s">
        <v>149</v>
      </c>
      <c r="B370" s="174"/>
      <c r="C370" s="175"/>
      <c r="D370" s="175"/>
      <c r="E370" s="195"/>
      <c r="F370" s="32"/>
      <c r="G370" s="32"/>
      <c r="H370" s="32"/>
      <c r="I370" s="32"/>
      <c r="J370" s="32"/>
      <c r="K370" s="32"/>
      <c r="L370" s="32"/>
      <c r="M370" s="32"/>
      <c r="N370" s="32"/>
      <c r="O370" s="32"/>
      <c r="P370" s="32"/>
      <c r="Q370" s="32"/>
    </row>
    <row r="371" spans="1:19" x14ac:dyDescent="0.25">
      <c r="A371" s="33" t="s">
        <v>8</v>
      </c>
      <c r="B371" s="33" t="s">
        <v>9</v>
      </c>
      <c r="C371" s="34" t="s">
        <v>10</v>
      </c>
      <c r="D371" s="34" t="s">
        <v>340</v>
      </c>
      <c r="E371" s="16" t="s">
        <v>65</v>
      </c>
      <c r="F371" s="32"/>
      <c r="G371" s="32"/>
      <c r="H371" s="32"/>
      <c r="I371" s="32"/>
      <c r="J371" s="32"/>
      <c r="K371" s="32"/>
      <c r="L371" s="32"/>
      <c r="M371" s="32"/>
      <c r="N371" s="32"/>
      <c r="O371" s="32"/>
      <c r="P371" s="32"/>
      <c r="Q371" s="32"/>
    </row>
    <row r="372" spans="1:19" ht="46.8" x14ac:dyDescent="0.25">
      <c r="A372" s="15" t="s">
        <v>150</v>
      </c>
      <c r="B372" s="17" t="s">
        <v>95</v>
      </c>
      <c r="C372" s="35" t="s">
        <v>151</v>
      </c>
      <c r="D372" s="35" t="s">
        <v>68</v>
      </c>
      <c r="E372" s="16">
        <v>0</v>
      </c>
      <c r="F372" s="32"/>
      <c r="G372" s="32"/>
      <c r="H372" s="32"/>
      <c r="I372" s="32"/>
      <c r="J372" s="32"/>
      <c r="K372" s="32"/>
      <c r="L372" s="32"/>
      <c r="M372" s="32"/>
      <c r="N372" s="32"/>
      <c r="O372" s="32"/>
      <c r="P372" s="32"/>
      <c r="Q372" s="32"/>
    </row>
    <row r="373" spans="1:19" x14ac:dyDescent="0.25">
      <c r="F373" s="32"/>
      <c r="G373" s="32"/>
      <c r="H373" s="32"/>
      <c r="I373" s="32"/>
      <c r="J373" s="32"/>
      <c r="K373" s="32"/>
      <c r="L373" s="32"/>
      <c r="M373" s="32"/>
      <c r="N373" s="32"/>
      <c r="O373" s="32"/>
      <c r="P373" s="32"/>
      <c r="Q373" s="32"/>
    </row>
    <row r="374" spans="1:19" x14ac:dyDescent="0.25">
      <c r="A374" s="174" t="s">
        <v>152</v>
      </c>
      <c r="B374" s="174"/>
      <c r="C374" s="175"/>
      <c r="D374" s="175"/>
      <c r="E374" s="195"/>
      <c r="F374" s="32"/>
      <c r="G374" s="32"/>
      <c r="H374" s="32"/>
      <c r="I374" s="32"/>
      <c r="J374" s="32"/>
      <c r="K374" s="32"/>
      <c r="L374" s="32"/>
      <c r="M374" s="32"/>
      <c r="N374" s="32"/>
      <c r="O374" s="32"/>
      <c r="P374" s="32"/>
      <c r="Q374" s="32"/>
    </row>
    <row r="375" spans="1:19" s="10" customFormat="1" x14ac:dyDescent="0.25">
      <c r="A375" s="15" t="s">
        <v>8</v>
      </c>
      <c r="B375" s="15" t="s">
        <v>9</v>
      </c>
      <c r="C375" s="38" t="s">
        <v>10</v>
      </c>
      <c r="D375" s="38" t="s">
        <v>340</v>
      </c>
      <c r="E375" s="16" t="s">
        <v>65</v>
      </c>
      <c r="F375" s="32"/>
      <c r="G375" s="32"/>
      <c r="H375" s="39"/>
      <c r="I375" s="39"/>
      <c r="J375" s="39"/>
      <c r="K375" s="39"/>
      <c r="L375" s="39"/>
      <c r="M375" s="39"/>
      <c r="N375" s="39"/>
      <c r="O375" s="39"/>
      <c r="P375" s="39"/>
      <c r="Q375" s="39"/>
    </row>
    <row r="376" spans="1:19" s="10" customFormat="1" ht="18" x14ac:dyDescent="0.4">
      <c r="A376" s="40" t="s">
        <v>153</v>
      </c>
      <c r="B376" s="17" t="s">
        <v>103</v>
      </c>
      <c r="C376" s="35" t="s">
        <v>154</v>
      </c>
      <c r="D376" s="35" t="s">
        <v>155</v>
      </c>
      <c r="E376" s="41">
        <f>E377*E379*(1+E378)</f>
        <v>386.971509948</v>
      </c>
      <c r="F376" s="32"/>
      <c r="G376" s="32"/>
      <c r="H376" s="39"/>
      <c r="I376" s="39"/>
      <c r="J376" s="39"/>
      <c r="K376" s="39"/>
      <c r="L376" s="39"/>
      <c r="M376" s="39"/>
      <c r="N376" s="39"/>
      <c r="O376" s="39"/>
      <c r="P376" s="39"/>
      <c r="Q376" s="39"/>
    </row>
    <row r="377" spans="1:19" ht="31.2" x14ac:dyDescent="0.25">
      <c r="A377" s="17" t="s">
        <v>156</v>
      </c>
      <c r="B377" s="17" t="s">
        <v>157</v>
      </c>
      <c r="C377" s="35" t="s">
        <v>158</v>
      </c>
      <c r="D377" s="35" t="s">
        <v>343</v>
      </c>
      <c r="E377" s="20">
        <f>633735.4/1000</f>
        <v>633.73540000000003</v>
      </c>
      <c r="G377" s="42"/>
      <c r="H377" s="43"/>
      <c r="I377" s="43"/>
      <c r="J377" s="43"/>
      <c r="K377" s="43"/>
      <c r="L377" s="43"/>
      <c r="M377" s="43"/>
      <c r="N377" s="43"/>
      <c r="O377" s="43"/>
      <c r="P377" s="43"/>
      <c r="Q377" s="43"/>
      <c r="R377" s="9"/>
      <c r="S377" s="9"/>
    </row>
    <row r="378" spans="1:19" ht="31.2" x14ac:dyDescent="0.25">
      <c r="A378" s="17" t="s">
        <v>159</v>
      </c>
      <c r="B378" s="17" t="s">
        <v>160</v>
      </c>
      <c r="C378" s="35" t="s">
        <v>161</v>
      </c>
      <c r="D378" s="35" t="s">
        <v>162</v>
      </c>
      <c r="E378" s="44">
        <v>0.2</v>
      </c>
      <c r="H378" s="43"/>
      <c r="I378" s="43"/>
      <c r="J378" s="43"/>
      <c r="K378" s="43"/>
      <c r="L378" s="43"/>
      <c r="M378" s="43"/>
      <c r="N378" s="43"/>
      <c r="O378" s="43"/>
      <c r="P378" s="43"/>
      <c r="Q378" s="43"/>
      <c r="R378" s="9"/>
      <c r="S378" s="9"/>
    </row>
    <row r="379" spans="1:19" ht="46.8" x14ac:dyDescent="0.25">
      <c r="A379" s="17" t="s">
        <v>163</v>
      </c>
      <c r="B379" s="17" t="s">
        <v>164</v>
      </c>
      <c r="C379" s="35" t="s">
        <v>165</v>
      </c>
      <c r="D379" s="35" t="s">
        <v>166</v>
      </c>
      <c r="E379" s="45">
        <f>0.5*0.8042+0.5*0.2135</f>
        <v>0.50885000000000002</v>
      </c>
      <c r="F379" s="46"/>
      <c r="G379" s="46"/>
      <c r="H379" s="46"/>
      <c r="I379" s="46"/>
      <c r="J379" s="46"/>
      <c r="K379" s="46"/>
      <c r="L379" s="46"/>
      <c r="M379" s="46"/>
      <c r="N379" s="46"/>
      <c r="O379" s="46"/>
      <c r="P379" s="46"/>
      <c r="Q379" s="46"/>
    </row>
    <row r="380" spans="1:19" ht="31.2" x14ac:dyDescent="0.4">
      <c r="A380" s="40" t="s">
        <v>167</v>
      </c>
      <c r="B380" s="17" t="s">
        <v>103</v>
      </c>
      <c r="C380" s="35" t="s">
        <v>168</v>
      </c>
      <c r="D380" s="35" t="s">
        <v>169</v>
      </c>
      <c r="E380" s="47">
        <v>0</v>
      </c>
      <c r="H380" s="43"/>
      <c r="I380" s="43"/>
      <c r="J380" s="43"/>
      <c r="K380" s="43"/>
      <c r="L380" s="43"/>
      <c r="M380" s="43"/>
      <c r="N380" s="43"/>
      <c r="O380" s="43"/>
      <c r="P380" s="43"/>
      <c r="Q380" s="43"/>
      <c r="R380" s="9"/>
      <c r="S380" s="9"/>
    </row>
    <row r="381" spans="1:19" x14ac:dyDescent="0.3">
      <c r="A381" s="48"/>
      <c r="E381" s="49"/>
      <c r="H381" s="43"/>
      <c r="I381" s="43"/>
      <c r="J381" s="43"/>
      <c r="K381" s="43"/>
      <c r="L381" s="43"/>
      <c r="M381" s="43"/>
      <c r="N381" s="43"/>
      <c r="O381" s="43"/>
      <c r="P381" s="43"/>
      <c r="Q381" s="43"/>
      <c r="R381" s="9"/>
      <c r="S381" s="9"/>
    </row>
    <row r="382" spans="1:19" x14ac:dyDescent="0.25">
      <c r="A382" s="174" t="s">
        <v>170</v>
      </c>
      <c r="B382" s="174"/>
      <c r="C382" s="175"/>
      <c r="D382" s="175"/>
      <c r="E382" s="195"/>
      <c r="F382" s="32"/>
      <c r="G382" s="32"/>
      <c r="H382" s="32"/>
      <c r="I382" s="32"/>
      <c r="J382" s="32"/>
      <c r="K382" s="32"/>
      <c r="L382" s="32"/>
      <c r="M382" s="32"/>
      <c r="N382" s="32"/>
      <c r="O382" s="32"/>
      <c r="P382" s="32"/>
      <c r="Q382" s="32"/>
    </row>
    <row r="383" spans="1:19" x14ac:dyDescent="0.25">
      <c r="A383" s="15" t="s">
        <v>8</v>
      </c>
      <c r="B383" s="15" t="s">
        <v>9</v>
      </c>
      <c r="C383" s="38" t="s">
        <v>10</v>
      </c>
      <c r="D383" s="38" t="s">
        <v>340</v>
      </c>
      <c r="E383" s="16" t="s">
        <v>65</v>
      </c>
      <c r="H383" s="43"/>
      <c r="I383" s="43"/>
      <c r="J383" s="43"/>
      <c r="K383" s="43"/>
      <c r="L383" s="43"/>
      <c r="M383" s="43"/>
      <c r="N383" s="43"/>
      <c r="O383" s="43"/>
      <c r="P383" s="43"/>
      <c r="Q383" s="43"/>
      <c r="R383" s="9"/>
      <c r="S383" s="9"/>
    </row>
    <row r="384" spans="1:19" ht="33.6" x14ac:dyDescent="0.4">
      <c r="A384" s="40" t="s">
        <v>171</v>
      </c>
      <c r="B384" s="17" t="s">
        <v>74</v>
      </c>
      <c r="C384" s="35" t="s">
        <v>172</v>
      </c>
      <c r="D384" s="35" t="s">
        <v>391</v>
      </c>
      <c r="E384" s="50">
        <f>E385*E388*E389*E390*E391*E392</f>
        <v>5.4210569414601597</v>
      </c>
      <c r="H384" s="43"/>
      <c r="I384" s="43"/>
      <c r="J384" s="43"/>
      <c r="K384" s="43"/>
      <c r="L384" s="43"/>
      <c r="M384" s="43"/>
      <c r="N384" s="43"/>
      <c r="O384" s="43"/>
      <c r="P384" s="43"/>
      <c r="Q384" s="43"/>
      <c r="R384" s="9"/>
      <c r="S384" s="9"/>
    </row>
    <row r="385" spans="1:19" ht="46.8" x14ac:dyDescent="0.4">
      <c r="A385" s="51" t="s">
        <v>173</v>
      </c>
      <c r="B385" s="17" t="s">
        <v>76</v>
      </c>
      <c r="C385" s="35" t="s">
        <v>174</v>
      </c>
      <c r="D385" s="35" t="s">
        <v>392</v>
      </c>
      <c r="E385" s="69">
        <f>ROUNDUP(E386/E387,0)</f>
        <v>130</v>
      </c>
      <c r="H385" s="43"/>
      <c r="I385" s="43"/>
      <c r="J385" s="43"/>
      <c r="K385" s="43"/>
      <c r="L385" s="43"/>
      <c r="M385" s="43"/>
      <c r="N385" s="43"/>
      <c r="O385" s="43"/>
      <c r="P385" s="43"/>
      <c r="Q385" s="43"/>
      <c r="R385" s="9"/>
      <c r="S385" s="9"/>
    </row>
    <row r="386" spans="1:19" ht="62.4" x14ac:dyDescent="0.25">
      <c r="A386" s="17" t="s">
        <v>175</v>
      </c>
      <c r="B386" s="17" t="s">
        <v>78</v>
      </c>
      <c r="C386" s="35" t="s">
        <v>176</v>
      </c>
      <c r="D386" s="35" t="s">
        <v>346</v>
      </c>
      <c r="E386" s="52">
        <v>649.452</v>
      </c>
      <c r="H386" s="43"/>
      <c r="I386" s="43"/>
      <c r="J386" s="43"/>
      <c r="K386" s="43"/>
      <c r="L386" s="43"/>
      <c r="M386" s="43"/>
      <c r="N386" s="43"/>
      <c r="O386" s="43"/>
      <c r="P386" s="43"/>
      <c r="Q386" s="43"/>
      <c r="R386" s="9"/>
      <c r="S386" s="9"/>
    </row>
    <row r="387" spans="1:19" ht="62.4" x14ac:dyDescent="0.25">
      <c r="A387" s="17" t="s">
        <v>177</v>
      </c>
      <c r="B387" s="17" t="s">
        <v>80</v>
      </c>
      <c r="C387" s="35" t="s">
        <v>81</v>
      </c>
      <c r="D387" s="35" t="s">
        <v>345</v>
      </c>
      <c r="E387" s="25">
        <f>5</f>
        <v>5</v>
      </c>
      <c r="H387" s="43"/>
      <c r="I387" s="43"/>
      <c r="J387" s="43"/>
      <c r="K387" s="43"/>
      <c r="L387" s="43"/>
      <c r="M387" s="43"/>
      <c r="N387" s="43"/>
      <c r="O387" s="43"/>
      <c r="P387" s="43"/>
      <c r="Q387" s="43"/>
      <c r="R387" s="9"/>
      <c r="S387" s="9"/>
    </row>
    <row r="388" spans="1:19" ht="202.8" x14ac:dyDescent="0.25">
      <c r="A388" s="17" t="s">
        <v>178</v>
      </c>
      <c r="B388" s="17" t="s">
        <v>82</v>
      </c>
      <c r="C388" s="35" t="s">
        <v>179</v>
      </c>
      <c r="D388" s="35" t="s">
        <v>367</v>
      </c>
      <c r="E388" s="25">
        <f>30.8*2</f>
        <v>61.6</v>
      </c>
      <c r="H388" s="43"/>
      <c r="I388" s="43"/>
      <c r="J388" s="43"/>
      <c r="K388" s="43"/>
      <c r="L388" s="43"/>
      <c r="M388" s="43"/>
      <c r="N388" s="43"/>
      <c r="O388" s="43"/>
      <c r="P388" s="43"/>
      <c r="Q388" s="43"/>
      <c r="R388" s="9"/>
      <c r="S388" s="9"/>
    </row>
    <row r="389" spans="1:19" ht="156" x14ac:dyDescent="0.25">
      <c r="A389" s="17" t="s">
        <v>180</v>
      </c>
      <c r="B389" s="17" t="s">
        <v>84</v>
      </c>
      <c r="C389" s="35" t="s">
        <v>85</v>
      </c>
      <c r="D389" s="35" t="s">
        <v>365</v>
      </c>
      <c r="E389" s="25">
        <f>25.1/100</f>
        <v>0.251</v>
      </c>
      <c r="H389" s="43"/>
      <c r="I389" s="43"/>
      <c r="J389" s="43"/>
      <c r="K389" s="43"/>
      <c r="L389" s="43"/>
      <c r="M389" s="43"/>
      <c r="N389" s="43"/>
      <c r="O389" s="43"/>
      <c r="P389" s="43"/>
      <c r="Q389" s="43"/>
      <c r="R389" s="9"/>
      <c r="S389" s="9"/>
    </row>
    <row r="390" spans="1:19" ht="62.4" x14ac:dyDescent="0.25">
      <c r="A390" s="17" t="s">
        <v>86</v>
      </c>
      <c r="B390" s="17" t="s">
        <v>87</v>
      </c>
      <c r="C390" s="35" t="s">
        <v>86</v>
      </c>
      <c r="D390" s="35" t="s">
        <v>215</v>
      </c>
      <c r="E390" s="25">
        <f>0.84/1000</f>
        <v>8.3999999999999993E-4</v>
      </c>
      <c r="H390" s="43"/>
      <c r="I390" s="43"/>
      <c r="J390" s="43"/>
      <c r="K390" s="43"/>
      <c r="L390" s="43"/>
      <c r="M390" s="43"/>
      <c r="N390" s="43"/>
      <c r="O390" s="43"/>
      <c r="P390" s="43"/>
      <c r="Q390" s="43"/>
      <c r="R390" s="9"/>
      <c r="S390" s="9"/>
    </row>
    <row r="391" spans="1:19" ht="124.8" x14ac:dyDescent="0.25">
      <c r="A391" s="17" t="s">
        <v>181</v>
      </c>
      <c r="B391" s="17" t="s">
        <v>88</v>
      </c>
      <c r="C391" s="35" t="s">
        <v>89</v>
      </c>
      <c r="D391" s="35" t="s">
        <v>360</v>
      </c>
      <c r="E391" s="25">
        <f>43.33/1000</f>
        <v>4.333E-2</v>
      </c>
      <c r="H391" s="43"/>
      <c r="I391" s="43"/>
      <c r="J391" s="43"/>
      <c r="K391" s="43"/>
      <c r="L391" s="43"/>
      <c r="M391" s="43"/>
      <c r="N391" s="43"/>
      <c r="O391" s="43"/>
      <c r="P391" s="43"/>
      <c r="Q391" s="43"/>
      <c r="R391" s="9"/>
      <c r="S391" s="9"/>
    </row>
    <row r="392" spans="1:19" ht="33.6" x14ac:dyDescent="0.25">
      <c r="A392" s="17" t="s">
        <v>182</v>
      </c>
      <c r="B392" s="17" t="s">
        <v>90</v>
      </c>
      <c r="C392" s="35" t="s">
        <v>91</v>
      </c>
      <c r="D392" s="35" t="s">
        <v>92</v>
      </c>
      <c r="E392" s="25">
        <v>74.099999999999994</v>
      </c>
      <c r="H392" s="43"/>
      <c r="I392" s="43"/>
      <c r="J392" s="43"/>
      <c r="K392" s="43"/>
      <c r="L392" s="43"/>
      <c r="M392" s="43"/>
      <c r="N392" s="43"/>
      <c r="O392" s="43"/>
      <c r="P392" s="43"/>
      <c r="Q392" s="43"/>
      <c r="R392" s="9"/>
      <c r="S392" s="9"/>
    </row>
    <row r="394" spans="1:19" x14ac:dyDescent="0.25">
      <c r="A394" s="33" t="s">
        <v>8</v>
      </c>
      <c r="B394" s="33" t="s">
        <v>9</v>
      </c>
      <c r="C394" s="34" t="s">
        <v>10</v>
      </c>
      <c r="D394" s="34" t="s">
        <v>340</v>
      </c>
      <c r="E394" s="16" t="s">
        <v>65</v>
      </c>
    </row>
    <row r="395" spans="1:19" ht="18" x14ac:dyDescent="0.25">
      <c r="A395" s="15" t="s">
        <v>183</v>
      </c>
      <c r="B395" s="17" t="s">
        <v>103</v>
      </c>
      <c r="C395" s="35" t="s">
        <v>184</v>
      </c>
      <c r="D395" s="53" t="s">
        <v>393</v>
      </c>
      <c r="E395" s="18">
        <f>ROUNDUP(E344+E368+E372+E376+E384,0)</f>
        <v>393</v>
      </c>
    </row>
    <row r="396" spans="1:19" s="200" customFormat="1" ht="43.2" customHeight="1" x14ac:dyDescent="0.25">
      <c r="A396" s="200" t="s">
        <v>235</v>
      </c>
    </row>
    <row r="397" spans="1:19" ht="23.4" customHeight="1" x14ac:dyDescent="0.25">
      <c r="A397" s="201" t="s">
        <v>105</v>
      </c>
      <c r="B397" s="201"/>
      <c r="C397" s="201"/>
      <c r="D397" s="201"/>
      <c r="E397" s="201"/>
      <c r="F397" s="201"/>
      <c r="G397" s="201"/>
      <c r="H397" s="201"/>
      <c r="I397" s="201"/>
      <c r="J397" s="201"/>
      <c r="K397" s="201"/>
      <c r="L397" s="201"/>
      <c r="M397" s="201"/>
      <c r="N397" s="201"/>
      <c r="O397" s="201"/>
      <c r="P397" s="201"/>
      <c r="Q397" s="202"/>
    </row>
    <row r="398" spans="1:19" s="10" customFormat="1" ht="31.2" x14ac:dyDescent="0.25">
      <c r="A398" s="15" t="s">
        <v>8</v>
      </c>
      <c r="B398" s="15" t="s">
        <v>9</v>
      </c>
      <c r="C398" s="15" t="s">
        <v>10</v>
      </c>
      <c r="D398" s="15" t="s">
        <v>340</v>
      </c>
      <c r="E398" s="16" t="s">
        <v>11</v>
      </c>
      <c r="F398" s="16" t="s">
        <v>322</v>
      </c>
      <c r="G398" s="16" t="s">
        <v>323</v>
      </c>
      <c r="H398" s="16" t="s">
        <v>324</v>
      </c>
      <c r="I398" s="16" t="s">
        <v>325</v>
      </c>
      <c r="J398" s="16" t="s">
        <v>326</v>
      </c>
      <c r="K398" s="16" t="s">
        <v>329</v>
      </c>
      <c r="L398" s="16" t="s">
        <v>292</v>
      </c>
      <c r="M398" s="16" t="s">
        <v>292</v>
      </c>
      <c r="N398" s="16" t="s">
        <v>292</v>
      </c>
      <c r="O398" s="16" t="s">
        <v>292</v>
      </c>
      <c r="P398" s="16" t="s">
        <v>292</v>
      </c>
      <c r="Q398" s="16" t="s">
        <v>292</v>
      </c>
      <c r="R398" s="54"/>
      <c r="S398" s="54"/>
    </row>
    <row r="399" spans="1:19" s="10" customFormat="1" x14ac:dyDescent="0.25">
      <c r="A399" s="203" t="s">
        <v>106</v>
      </c>
      <c r="B399" s="203"/>
      <c r="C399" s="203"/>
      <c r="D399" s="203"/>
      <c r="E399" s="204"/>
      <c r="F399" s="16">
        <v>31</v>
      </c>
      <c r="G399" s="16">
        <v>28</v>
      </c>
      <c r="H399" s="16">
        <v>31</v>
      </c>
      <c r="I399" s="16">
        <v>30</v>
      </c>
      <c r="J399" s="16">
        <v>31</v>
      </c>
      <c r="K399" s="16">
        <v>30</v>
      </c>
      <c r="L399" s="16" t="s">
        <v>292</v>
      </c>
      <c r="M399" s="16" t="s">
        <v>292</v>
      </c>
      <c r="N399" s="16" t="s">
        <v>292</v>
      </c>
      <c r="O399" s="16" t="s">
        <v>292</v>
      </c>
      <c r="P399" s="16" t="s">
        <v>292</v>
      </c>
      <c r="Q399" s="16" t="s">
        <v>292</v>
      </c>
      <c r="R399" s="54"/>
      <c r="S399" s="54"/>
    </row>
    <row r="400" spans="1:19" s="10" customFormat="1" ht="31.2" x14ac:dyDescent="0.25">
      <c r="A400" s="15" t="s">
        <v>107</v>
      </c>
      <c r="B400" s="17" t="s">
        <v>103</v>
      </c>
      <c r="C400" s="17" t="s">
        <v>108</v>
      </c>
      <c r="D400" s="17" t="s">
        <v>381</v>
      </c>
      <c r="E400" s="18">
        <f>E401+E411</f>
        <v>0</v>
      </c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54"/>
      <c r="S400" s="54"/>
    </row>
    <row r="401" spans="1:17" ht="46.8" x14ac:dyDescent="0.25">
      <c r="A401" s="17" t="s">
        <v>109</v>
      </c>
      <c r="B401" s="17" t="s">
        <v>103</v>
      </c>
      <c r="C401" s="17" t="s">
        <v>110</v>
      </c>
      <c r="D401" s="17" t="s">
        <v>382</v>
      </c>
      <c r="E401" s="19">
        <f>SUM(F401:K401)</f>
        <v>0</v>
      </c>
      <c r="F401" s="19">
        <f>IF(F402&gt;=0.8,0,$E$409*$E$410*0.4*(F403-F406)*F399)</f>
        <v>0</v>
      </c>
      <c r="G401" s="19">
        <f t="shared" ref="G401:K401" si="49">IF(G402&gt;=0.8,0,$E$409*$E$410*0.4*(G403-G406)*G399)</f>
        <v>0</v>
      </c>
      <c r="H401" s="19">
        <f t="shared" si="49"/>
        <v>0</v>
      </c>
      <c r="I401" s="19">
        <f t="shared" si="49"/>
        <v>0</v>
      </c>
      <c r="J401" s="19">
        <f t="shared" si="49"/>
        <v>0</v>
      </c>
      <c r="K401" s="19">
        <f t="shared" si="49"/>
        <v>0</v>
      </c>
      <c r="L401" s="19" t="s">
        <v>297</v>
      </c>
      <c r="M401" s="19" t="s">
        <v>297</v>
      </c>
      <c r="N401" s="19" t="s">
        <v>297</v>
      </c>
      <c r="O401" s="19" t="s">
        <v>297</v>
      </c>
      <c r="P401" s="19" t="s">
        <v>297</v>
      </c>
      <c r="Q401" s="19" t="s">
        <v>297</v>
      </c>
    </row>
    <row r="402" spans="1:17" ht="62.4" x14ac:dyDescent="0.25">
      <c r="A402" s="17" t="s">
        <v>111</v>
      </c>
      <c r="B402" s="17" t="s">
        <v>37</v>
      </c>
      <c r="C402" s="17" t="s">
        <v>112</v>
      </c>
      <c r="D402" s="17" t="s">
        <v>383</v>
      </c>
      <c r="E402" s="20">
        <f>AVERAGE(F402:K402)</f>
        <v>0.95419109296896953</v>
      </c>
      <c r="F402" s="20">
        <f>(F403-F406)/F403</f>
        <v>0.95451980861961427</v>
      </c>
      <c r="G402" s="20">
        <f t="shared" ref="G402:K402" si="50">(G403-G406)/G403</f>
        <v>0.95516130398231258</v>
      </c>
      <c r="H402" s="20">
        <f t="shared" si="50"/>
        <v>0.95555798229749056</v>
      </c>
      <c r="I402" s="20">
        <f t="shared" si="50"/>
        <v>0.95405081433266414</v>
      </c>
      <c r="J402" s="20">
        <f t="shared" si="50"/>
        <v>0.9540345883859731</v>
      </c>
      <c r="K402" s="20">
        <f t="shared" si="50"/>
        <v>0.95182206019576188</v>
      </c>
      <c r="L402" s="20" t="s">
        <v>297</v>
      </c>
      <c r="M402" s="20" t="s">
        <v>297</v>
      </c>
      <c r="N402" s="20" t="s">
        <v>297</v>
      </c>
      <c r="O402" s="20" t="s">
        <v>297</v>
      </c>
      <c r="P402" s="20" t="s">
        <v>297</v>
      </c>
      <c r="Q402" s="20" t="s">
        <v>297</v>
      </c>
    </row>
    <row r="403" spans="1:17" ht="46.8" x14ac:dyDescent="0.25">
      <c r="A403" s="17" t="s">
        <v>113</v>
      </c>
      <c r="B403" s="17" t="s">
        <v>24</v>
      </c>
      <c r="C403" s="17" t="s">
        <v>114</v>
      </c>
      <c r="D403" s="17" t="s">
        <v>384</v>
      </c>
      <c r="E403" s="20">
        <f>SUM(F403:K403)</f>
        <v>14.745846031216859</v>
      </c>
      <c r="F403" s="20">
        <f>F404*F405</f>
        <v>2.3727669933469304</v>
      </c>
      <c r="G403" s="20">
        <f t="shared" ref="G403:K403" si="51">G404*G405</f>
        <v>2.3747608473014123</v>
      </c>
      <c r="H403" s="20">
        <f t="shared" si="51"/>
        <v>2.3762645240795353</v>
      </c>
      <c r="I403" s="20">
        <f t="shared" si="51"/>
        <v>2.374471497816407</v>
      </c>
      <c r="J403" s="20">
        <f t="shared" si="51"/>
        <v>2.6818857274045009</v>
      </c>
      <c r="K403" s="20">
        <f t="shared" si="51"/>
        <v>2.5656964412680736</v>
      </c>
      <c r="L403" s="20" t="s">
        <v>297</v>
      </c>
      <c r="M403" s="20" t="s">
        <v>297</v>
      </c>
      <c r="N403" s="20" t="s">
        <v>297</v>
      </c>
      <c r="O403" s="20" t="s">
        <v>297</v>
      </c>
      <c r="P403" s="20" t="s">
        <v>297</v>
      </c>
      <c r="Q403" s="20" t="s">
        <v>297</v>
      </c>
    </row>
    <row r="404" spans="1:17" ht="70.8" customHeight="1" x14ac:dyDescent="0.25">
      <c r="A404" s="17" t="s">
        <v>115</v>
      </c>
      <c r="B404" s="17" t="s">
        <v>116</v>
      </c>
      <c r="C404" s="17" t="s">
        <v>117</v>
      </c>
      <c r="D404" s="17" t="s">
        <v>336</v>
      </c>
      <c r="E404" s="129">
        <f>SUM(F404:K404)</f>
        <v>34878.705504838712</v>
      </c>
      <c r="F404" s="129">
        <f>'Baseline Emissions 2022'!F391</f>
        <v>5572.4495483870978</v>
      </c>
      <c r="G404" s="129">
        <f>'Baseline Emissions 2022'!G391</f>
        <v>5574.4352499999986</v>
      </c>
      <c r="H404" s="129">
        <f>'Baseline Emissions 2022'!H391</f>
        <v>5573.6576774193554</v>
      </c>
      <c r="I404" s="129">
        <f>'Baseline Emissions 2022'!I391</f>
        <v>5573.6841333333323</v>
      </c>
      <c r="J404" s="129">
        <f>'Baseline Emissions 2022'!J391</f>
        <v>6292.683129032258</v>
      </c>
      <c r="K404" s="129">
        <f>'Baseline Emissions 2022'!K391</f>
        <v>6291.7957666666662</v>
      </c>
      <c r="L404" s="21" t="s">
        <v>297</v>
      </c>
      <c r="M404" s="21" t="s">
        <v>297</v>
      </c>
      <c r="N404" s="21" t="s">
        <v>297</v>
      </c>
      <c r="O404" s="21" t="s">
        <v>297</v>
      </c>
      <c r="P404" s="21" t="s">
        <v>297</v>
      </c>
      <c r="Q404" s="21" t="s">
        <v>297</v>
      </c>
    </row>
    <row r="405" spans="1:17" ht="46.8" x14ac:dyDescent="0.25">
      <c r="A405" s="17" t="s">
        <v>118</v>
      </c>
      <c r="B405" s="17" t="s">
        <v>119</v>
      </c>
      <c r="C405" s="17" t="s">
        <v>120</v>
      </c>
      <c r="D405" s="35" t="s">
        <v>338</v>
      </c>
      <c r="E405" s="120">
        <f>AVERAGE(F405:K405)</f>
        <v>4.2302353142601129E-4</v>
      </c>
      <c r="F405" s="130">
        <f>'Baseline Emissions 2022'!F395</f>
        <v>4.258032258064516E-4</v>
      </c>
      <c r="G405" s="130">
        <f>'Baseline Emissions 2022'!G395</f>
        <v>4.2600922619047605E-4</v>
      </c>
      <c r="H405" s="130">
        <f>'Baseline Emissions 2022'!H395</f>
        <v>4.2633844086021504E-4</v>
      </c>
      <c r="I405" s="130">
        <f>'Baseline Emissions 2022'!I395</f>
        <v>4.2601472222222224E-4</v>
      </c>
      <c r="J405" s="130">
        <f>'Baseline Emissions 2022'!J395</f>
        <v>4.2619112903225816E-4</v>
      </c>
      <c r="K405" s="130">
        <f>'Baseline Emissions 2022'!K395</f>
        <v>4.0778444444444442E-4</v>
      </c>
      <c r="L405" s="23" t="s">
        <v>297</v>
      </c>
      <c r="M405" s="23" t="s">
        <v>297</v>
      </c>
      <c r="N405" s="23" t="s">
        <v>297</v>
      </c>
      <c r="O405" s="23" t="s">
        <v>297</v>
      </c>
      <c r="P405" s="23" t="s">
        <v>297</v>
      </c>
      <c r="Q405" s="23" t="s">
        <v>297</v>
      </c>
    </row>
    <row r="406" spans="1:17" ht="46.8" x14ac:dyDescent="0.25">
      <c r="A406" s="17" t="s">
        <v>121</v>
      </c>
      <c r="B406" s="17" t="s">
        <v>24</v>
      </c>
      <c r="C406" s="17" t="s">
        <v>122</v>
      </c>
      <c r="D406" s="17" t="s">
        <v>384</v>
      </c>
      <c r="E406" s="20">
        <f>SUM(F406:K406)</f>
        <v>0.67599004853057842</v>
      </c>
      <c r="F406" s="20">
        <f>SUM(F407*F408)</f>
        <v>0.10791389695848076</v>
      </c>
      <c r="G406" s="20">
        <f t="shared" ref="G406:K406" si="52">SUM(G407*G408)</f>
        <v>0.1064811797468537</v>
      </c>
      <c r="H406" s="20">
        <f t="shared" si="52"/>
        <v>0.10560599004498786</v>
      </c>
      <c r="I406" s="20">
        <f t="shared" si="52"/>
        <v>0.10910503171496296</v>
      </c>
      <c r="J406" s="20">
        <f t="shared" si="52"/>
        <v>0.12327398136193206</v>
      </c>
      <c r="K406" s="20">
        <f t="shared" si="52"/>
        <v>0.12360996870336105</v>
      </c>
      <c r="L406" s="20" t="s">
        <v>297</v>
      </c>
      <c r="M406" s="20" t="s">
        <v>297</v>
      </c>
      <c r="N406" s="20" t="s">
        <v>297</v>
      </c>
      <c r="O406" s="20" t="s">
        <v>297</v>
      </c>
      <c r="P406" s="20" t="s">
        <v>297</v>
      </c>
      <c r="Q406" s="20" t="s">
        <v>297</v>
      </c>
    </row>
    <row r="407" spans="1:17" ht="62.4" x14ac:dyDescent="0.25">
      <c r="A407" s="17" t="s">
        <v>123</v>
      </c>
      <c r="B407" s="17" t="s">
        <v>116</v>
      </c>
      <c r="C407" s="17" t="s">
        <v>124</v>
      </c>
      <c r="D407" s="17" t="s">
        <v>337</v>
      </c>
      <c r="E407" s="129">
        <f>SUM(F407:K407)</f>
        <v>34196.079744854069</v>
      </c>
      <c r="F407" s="129">
        <v>5458.6453548387099</v>
      </c>
      <c r="G407" s="129">
        <v>5458.4072857142837</v>
      </c>
      <c r="H407" s="129">
        <v>5458.6597419354839</v>
      </c>
      <c r="I407" s="129">
        <v>5458.1322666666674</v>
      </c>
      <c r="J407" s="129">
        <v>6181.4791290322592</v>
      </c>
      <c r="K407" s="129">
        <v>6180.7559666666657</v>
      </c>
      <c r="L407" s="21" t="s">
        <v>297</v>
      </c>
      <c r="M407" s="21" t="s">
        <v>297</v>
      </c>
      <c r="N407" s="21" t="s">
        <v>297</v>
      </c>
      <c r="O407" s="21" t="s">
        <v>297</v>
      </c>
      <c r="P407" s="21" t="s">
        <v>297</v>
      </c>
      <c r="Q407" s="21" t="s">
        <v>297</v>
      </c>
    </row>
    <row r="408" spans="1:17" ht="46.8" x14ac:dyDescent="0.25">
      <c r="A408" s="17" t="s">
        <v>125</v>
      </c>
      <c r="B408" s="17" t="s">
        <v>119</v>
      </c>
      <c r="C408" s="17" t="s">
        <v>126</v>
      </c>
      <c r="D408" s="35" t="s">
        <v>339</v>
      </c>
      <c r="E408" s="131">
        <f>AVERAGE(F408:K408)</f>
        <v>1.9759113756613756E-5</v>
      </c>
      <c r="F408" s="131">
        <f>'Baseline Emissions 2022'!F396</f>
        <v>1.9769354838709678E-5</v>
      </c>
      <c r="G408" s="131">
        <f>'Baseline Emissions 2022'!G396</f>
        <v>1.9507738095238094E-5</v>
      </c>
      <c r="H408" s="131">
        <f>'Baseline Emissions 2022'!H396</f>
        <v>1.9346505376344086E-5</v>
      </c>
      <c r="I408" s="131">
        <f>'Baseline Emissions 2022'!I396</f>
        <v>1.9989444444444441E-5</v>
      </c>
      <c r="J408" s="131">
        <f>'Baseline Emissions 2022'!J396</f>
        <v>1.9942473118279573E-5</v>
      </c>
      <c r="K408" s="131">
        <f>'Baseline Emissions 2022'!K396</f>
        <v>1.999916666666666E-5</v>
      </c>
      <c r="L408" s="24" t="s">
        <v>297</v>
      </c>
      <c r="M408" s="24" t="s">
        <v>297</v>
      </c>
      <c r="N408" s="24" t="s">
        <v>297</v>
      </c>
      <c r="O408" s="24" t="s">
        <v>297</v>
      </c>
      <c r="P408" s="24" t="s">
        <v>297</v>
      </c>
      <c r="Q408" s="24" t="s">
        <v>297</v>
      </c>
    </row>
    <row r="409" spans="1:17" ht="31.2" x14ac:dyDescent="0.25">
      <c r="A409" s="17" t="s">
        <v>127</v>
      </c>
      <c r="B409" s="17" t="s">
        <v>128</v>
      </c>
      <c r="C409" s="17" t="s">
        <v>17</v>
      </c>
      <c r="D409" s="17" t="s">
        <v>129</v>
      </c>
      <c r="E409" s="176">
        <v>28</v>
      </c>
      <c r="F409" s="176"/>
      <c r="G409" s="176"/>
      <c r="H409" s="176"/>
      <c r="I409" s="176"/>
      <c r="J409" s="176"/>
      <c r="K409" s="176"/>
      <c r="L409" s="176"/>
      <c r="M409" s="176"/>
      <c r="N409" s="176"/>
      <c r="O409" s="176"/>
      <c r="P409" s="176"/>
      <c r="Q409" s="176"/>
    </row>
    <row r="410" spans="1:17" ht="64.8" x14ac:dyDescent="0.25">
      <c r="A410" s="17" t="s">
        <v>130</v>
      </c>
      <c r="B410" s="17" t="s">
        <v>19</v>
      </c>
      <c r="C410" s="17" t="s">
        <v>131</v>
      </c>
      <c r="D410" s="17" t="s">
        <v>394</v>
      </c>
      <c r="E410" s="176">
        <v>0.21</v>
      </c>
      <c r="F410" s="176"/>
      <c r="G410" s="176"/>
      <c r="H410" s="176"/>
      <c r="I410" s="176"/>
      <c r="J410" s="176"/>
      <c r="K410" s="176"/>
      <c r="L410" s="176"/>
      <c r="M410" s="176"/>
      <c r="N410" s="176"/>
      <c r="O410" s="176"/>
      <c r="P410" s="176"/>
      <c r="Q410" s="176"/>
    </row>
    <row r="411" spans="1:17" ht="46.8" x14ac:dyDescent="0.25">
      <c r="A411" s="17" t="s">
        <v>132</v>
      </c>
      <c r="B411" s="17" t="s">
        <v>103</v>
      </c>
      <c r="C411" s="17" t="s">
        <v>133</v>
      </c>
      <c r="D411" s="17" t="s">
        <v>385</v>
      </c>
      <c r="E411" s="19">
        <f>SUM(F411:K411)</f>
        <v>0</v>
      </c>
      <c r="F411" s="19">
        <f>$E$409*$E$410*F412*F406*F399</f>
        <v>0</v>
      </c>
      <c r="G411" s="19">
        <f t="shared" ref="G411:K411" si="53">$E$409*$E$410*G412*G406*G399</f>
        <v>0</v>
      </c>
      <c r="H411" s="19">
        <f t="shared" si="53"/>
        <v>0</v>
      </c>
      <c r="I411" s="19">
        <f t="shared" si="53"/>
        <v>0</v>
      </c>
      <c r="J411" s="19">
        <f t="shared" si="53"/>
        <v>0</v>
      </c>
      <c r="K411" s="19">
        <f t="shared" si="53"/>
        <v>0</v>
      </c>
      <c r="L411" s="19" t="s">
        <v>297</v>
      </c>
      <c r="M411" s="19" t="s">
        <v>297</v>
      </c>
      <c r="N411" s="19" t="s">
        <v>297</v>
      </c>
      <c r="O411" s="19" t="s">
        <v>297</v>
      </c>
      <c r="P411" s="19" t="s">
        <v>297</v>
      </c>
      <c r="Q411" s="19" t="s">
        <v>297</v>
      </c>
    </row>
    <row r="412" spans="1:17" ht="18" x14ac:dyDescent="0.25">
      <c r="A412" s="17" t="s">
        <v>134</v>
      </c>
      <c r="B412" s="17" t="s">
        <v>37</v>
      </c>
      <c r="C412" s="17" t="s">
        <v>135</v>
      </c>
      <c r="D412" s="17" t="s">
        <v>386</v>
      </c>
      <c r="E412" s="26">
        <f>AVERAGE(F412:K412)</f>
        <v>0</v>
      </c>
      <c r="F412" s="26">
        <f>F413*$E$414*0.89</f>
        <v>0</v>
      </c>
      <c r="G412" s="26">
        <f t="shared" ref="G412:K412" si="54">G413*$E$414*0.89</f>
        <v>0</v>
      </c>
      <c r="H412" s="26">
        <f t="shared" si="54"/>
        <v>0</v>
      </c>
      <c r="I412" s="26">
        <f t="shared" si="54"/>
        <v>0</v>
      </c>
      <c r="J412" s="26">
        <f t="shared" si="54"/>
        <v>0</v>
      </c>
      <c r="K412" s="26">
        <f t="shared" si="54"/>
        <v>0</v>
      </c>
      <c r="L412" s="26" t="s">
        <v>297</v>
      </c>
      <c r="M412" s="26" t="s">
        <v>297</v>
      </c>
      <c r="N412" s="26" t="s">
        <v>297</v>
      </c>
      <c r="O412" s="26" t="s">
        <v>297</v>
      </c>
      <c r="P412" s="26" t="s">
        <v>297</v>
      </c>
      <c r="Q412" s="26" t="s">
        <v>297</v>
      </c>
    </row>
    <row r="413" spans="1:17" ht="31.2" x14ac:dyDescent="0.25">
      <c r="A413" s="17" t="s">
        <v>136</v>
      </c>
      <c r="B413" s="17" t="s">
        <v>37</v>
      </c>
      <c r="C413" s="17" t="s">
        <v>46</v>
      </c>
      <c r="D413" s="17" t="s">
        <v>387</v>
      </c>
      <c r="E413" s="25">
        <v>0</v>
      </c>
      <c r="F413" s="25">
        <v>0</v>
      </c>
      <c r="G413" s="25">
        <v>0</v>
      </c>
      <c r="H413" s="25">
        <v>0</v>
      </c>
      <c r="I413" s="25">
        <v>0</v>
      </c>
      <c r="J413" s="25">
        <v>0</v>
      </c>
      <c r="K413" s="25">
        <v>0</v>
      </c>
      <c r="L413" s="25" t="s">
        <v>297</v>
      </c>
      <c r="M413" s="25" t="s">
        <v>297</v>
      </c>
      <c r="N413" s="25" t="s">
        <v>297</v>
      </c>
      <c r="O413" s="25" t="s">
        <v>297</v>
      </c>
      <c r="P413" s="25" t="s">
        <v>297</v>
      </c>
      <c r="Q413" s="25" t="s">
        <v>297</v>
      </c>
    </row>
    <row r="414" spans="1:17" ht="31.2" x14ac:dyDescent="0.25">
      <c r="A414" s="17" t="s">
        <v>137</v>
      </c>
      <c r="B414" s="17" t="s">
        <v>201</v>
      </c>
      <c r="C414" s="17" t="s">
        <v>138</v>
      </c>
      <c r="D414" s="17" t="s">
        <v>388</v>
      </c>
      <c r="E414" s="196">
        <f>(F415*F420+G415*G420+H415*H420+I415*I420+J415*J420+K415*K420)/(F407*F408*F399+G408*G407*G399+H407*H408*H399+I408*I407*I399+J408*J407*J399+K408*K407*K399)</f>
        <v>0.48813312071150627</v>
      </c>
      <c r="F414" s="196"/>
      <c r="G414" s="196"/>
      <c r="H414" s="196"/>
      <c r="I414" s="196"/>
      <c r="J414" s="196"/>
      <c r="K414" s="196"/>
      <c r="L414" s="196"/>
      <c r="M414" s="196"/>
      <c r="N414" s="196"/>
      <c r="O414" s="196"/>
      <c r="P414" s="196"/>
      <c r="Q414" s="196"/>
    </row>
    <row r="415" spans="1:17" ht="31.2" x14ac:dyDescent="0.25">
      <c r="A415" s="17" t="s">
        <v>139</v>
      </c>
      <c r="B415" s="17" t="s">
        <v>37</v>
      </c>
      <c r="C415" s="17" t="s">
        <v>140</v>
      </c>
      <c r="D415" s="17" t="s">
        <v>375</v>
      </c>
      <c r="E415" s="27">
        <f>AVERAGE(F415:K415)</f>
        <v>0.47566758520675173</v>
      </c>
      <c r="F415" s="27">
        <f>IF(F419&lt;283,0,IF(F419&gt;303,1,EXP(($E$416*(F419-$E$417))/($E$418*$E$417*F419))))</f>
        <v>0.29505266129807517</v>
      </c>
      <c r="G415" s="27">
        <f t="shared" ref="G415:K415" si="55">IF(G419&lt;283,0,IF(G419&gt;303,1,EXP(($E$416*(G419-$E$417))/($E$418*$E$417*G419))))</f>
        <v>0.24547412919519337</v>
      </c>
      <c r="H415" s="27">
        <f t="shared" si="55"/>
        <v>0.42307437878932203</v>
      </c>
      <c r="I415" s="27">
        <f t="shared" si="55"/>
        <v>0.50475941545474445</v>
      </c>
      <c r="J415" s="27">
        <f t="shared" si="55"/>
        <v>0.57531644493802248</v>
      </c>
      <c r="K415" s="27">
        <f t="shared" si="55"/>
        <v>0.81032848156515291</v>
      </c>
      <c r="L415" s="27" t="s">
        <v>297</v>
      </c>
      <c r="M415" s="27" t="s">
        <v>297</v>
      </c>
      <c r="N415" s="27" t="s">
        <v>297</v>
      </c>
      <c r="O415" s="27" t="s">
        <v>297</v>
      </c>
      <c r="P415" s="27" t="s">
        <v>297</v>
      </c>
      <c r="Q415" s="27" t="s">
        <v>297</v>
      </c>
    </row>
    <row r="416" spans="1:17" x14ac:dyDescent="0.25">
      <c r="A416" s="17" t="s">
        <v>51</v>
      </c>
      <c r="B416" s="17" t="s">
        <v>52</v>
      </c>
      <c r="C416" s="17" t="s">
        <v>53</v>
      </c>
      <c r="D416" s="17" t="s">
        <v>389</v>
      </c>
      <c r="E416" s="176">
        <v>15175</v>
      </c>
      <c r="F416" s="176"/>
      <c r="G416" s="176"/>
      <c r="H416" s="176"/>
      <c r="I416" s="176"/>
      <c r="J416" s="176"/>
      <c r="K416" s="176"/>
      <c r="L416" s="176"/>
      <c r="M416" s="176"/>
      <c r="N416" s="176"/>
      <c r="O416" s="176"/>
      <c r="P416" s="176"/>
      <c r="Q416" s="176"/>
    </row>
    <row r="417" spans="1:17" ht="18" x14ac:dyDescent="0.25">
      <c r="A417" s="17" t="s">
        <v>141</v>
      </c>
      <c r="B417" s="17" t="s">
        <v>55</v>
      </c>
      <c r="C417" s="17" t="s">
        <v>56</v>
      </c>
      <c r="D417" s="17" t="s">
        <v>389</v>
      </c>
      <c r="E417" s="176">
        <v>303.16000000000003</v>
      </c>
      <c r="F417" s="176"/>
      <c r="G417" s="176"/>
      <c r="H417" s="176"/>
      <c r="I417" s="176"/>
      <c r="J417" s="176"/>
      <c r="K417" s="176"/>
      <c r="L417" s="176"/>
      <c r="M417" s="176"/>
      <c r="N417" s="176"/>
      <c r="O417" s="176"/>
      <c r="P417" s="176"/>
      <c r="Q417" s="176"/>
    </row>
    <row r="418" spans="1:17" x14ac:dyDescent="0.25">
      <c r="A418" s="17" t="s">
        <v>57</v>
      </c>
      <c r="B418" s="17" t="s">
        <v>58</v>
      </c>
      <c r="C418" s="17" t="s">
        <v>59</v>
      </c>
      <c r="D418" s="17" t="s">
        <v>389</v>
      </c>
      <c r="E418" s="176">
        <v>1.9870000000000001</v>
      </c>
      <c r="F418" s="176"/>
      <c r="G418" s="176"/>
      <c r="H418" s="176"/>
      <c r="I418" s="176"/>
      <c r="J418" s="176"/>
      <c r="K418" s="176"/>
      <c r="L418" s="176"/>
      <c r="M418" s="176"/>
      <c r="N418" s="176"/>
      <c r="O418" s="176"/>
      <c r="P418" s="176"/>
      <c r="Q418" s="176"/>
    </row>
    <row r="419" spans="1:17" ht="18" x14ac:dyDescent="0.25">
      <c r="A419" s="17" t="s">
        <v>142</v>
      </c>
      <c r="B419" s="17" t="s">
        <v>55</v>
      </c>
      <c r="C419" s="17" t="s">
        <v>143</v>
      </c>
      <c r="D419" s="144" t="s">
        <v>363</v>
      </c>
      <c r="E419" s="28">
        <f>AVERAGE(F419:K419)</f>
        <v>293.65000000000003</v>
      </c>
      <c r="F419" s="25">
        <v>289.14999999999998</v>
      </c>
      <c r="G419" s="25">
        <v>287.14999999999998</v>
      </c>
      <c r="H419" s="25">
        <v>293.14999999999998</v>
      </c>
      <c r="I419" s="25">
        <v>295.14999999999998</v>
      </c>
      <c r="J419" s="25">
        <v>296.64999999999998</v>
      </c>
      <c r="K419" s="25">
        <v>300.64999999999998</v>
      </c>
      <c r="L419" s="25" t="s">
        <v>297</v>
      </c>
      <c r="M419" s="25" t="s">
        <v>297</v>
      </c>
      <c r="N419" s="25" t="s">
        <v>297</v>
      </c>
      <c r="O419" s="25" t="s">
        <v>297</v>
      </c>
      <c r="P419" s="25" t="s">
        <v>297</v>
      </c>
      <c r="Q419" s="25" t="s">
        <v>297</v>
      </c>
    </row>
    <row r="420" spans="1:17" ht="46.8" x14ac:dyDescent="0.25">
      <c r="A420" s="17" t="s">
        <v>144</v>
      </c>
      <c r="B420" s="17" t="s">
        <v>24</v>
      </c>
      <c r="C420" s="17" t="s">
        <v>145</v>
      </c>
      <c r="D420" s="17" t="s">
        <v>390</v>
      </c>
      <c r="E420" s="29">
        <f>SUM(F420:K420)</f>
        <v>20.403532964789044</v>
      </c>
      <c r="F420" s="29">
        <f>F407*F408*'Project Emissions 2022'!F399+(1-F415)*0</f>
        <v>3.3453308057129036</v>
      </c>
      <c r="G420" s="29">
        <f>G407*G408*'Project Emissions 2022'!G399+(1-G415)*0</f>
        <v>2.9814730329119037</v>
      </c>
      <c r="H420" s="29">
        <f>H407*H408*'Project Emissions 2022'!H399+(1-H415)*0</f>
        <v>3.2737856913946235</v>
      </c>
      <c r="I420" s="29">
        <f>I407*I408*'Project Emissions 2022'!I399+(1-I415)*0</f>
        <v>3.2731509514488888</v>
      </c>
      <c r="J420" s="29">
        <f>J407*J408*'Project Emissions 2022'!J399+(1-J415)*0</f>
        <v>3.821493422219894</v>
      </c>
      <c r="K420" s="29">
        <f>K407*K408*'Project Emissions 2022'!K399+(1-K415)*0</f>
        <v>3.7082990611008313</v>
      </c>
      <c r="L420" s="29" t="s">
        <v>297</v>
      </c>
      <c r="M420" s="29" t="s">
        <v>297</v>
      </c>
      <c r="N420" s="29" t="s">
        <v>297</v>
      </c>
      <c r="O420" s="29" t="s">
        <v>297</v>
      </c>
      <c r="P420" s="29" t="s">
        <v>297</v>
      </c>
      <c r="Q420" s="29" t="s">
        <v>297</v>
      </c>
    </row>
    <row r="421" spans="1:17" x14ac:dyDescent="0.3">
      <c r="A421" s="30"/>
      <c r="E421" s="31"/>
      <c r="F421" s="31"/>
      <c r="G421" s="31"/>
      <c r="H421" s="31"/>
      <c r="I421" s="31"/>
      <c r="J421" s="31"/>
      <c r="K421" s="31"/>
      <c r="L421" s="31"/>
      <c r="M421" s="31"/>
      <c r="N421" s="31"/>
      <c r="O421" s="31"/>
      <c r="P421" s="31"/>
      <c r="Q421" s="31"/>
    </row>
    <row r="422" spans="1:17" x14ac:dyDescent="0.25">
      <c r="A422" s="174" t="s">
        <v>146</v>
      </c>
      <c r="B422" s="174"/>
      <c r="C422" s="175"/>
      <c r="D422" s="175"/>
      <c r="E422" s="195"/>
      <c r="F422" s="32"/>
      <c r="G422" s="32"/>
      <c r="H422" s="32"/>
      <c r="I422" s="32"/>
      <c r="J422" s="32"/>
      <c r="K422" s="32"/>
      <c r="L422" s="32"/>
      <c r="M422" s="32"/>
      <c r="N422" s="32"/>
      <c r="O422" s="32"/>
      <c r="P422" s="32"/>
      <c r="Q422" s="32"/>
    </row>
    <row r="423" spans="1:17" x14ac:dyDescent="0.25">
      <c r="A423" s="33" t="s">
        <v>8</v>
      </c>
      <c r="B423" s="33" t="s">
        <v>9</v>
      </c>
      <c r="C423" s="34" t="s">
        <v>10</v>
      </c>
      <c r="D423" s="34" t="s">
        <v>340</v>
      </c>
      <c r="E423" s="16" t="s">
        <v>65</v>
      </c>
      <c r="F423" s="32"/>
      <c r="G423" s="32"/>
      <c r="H423" s="32"/>
      <c r="I423" s="32"/>
      <c r="J423" s="32"/>
      <c r="K423" s="32"/>
      <c r="L423" s="32"/>
      <c r="M423" s="32"/>
      <c r="N423" s="32"/>
      <c r="O423" s="32"/>
      <c r="P423" s="32"/>
      <c r="Q423" s="32"/>
    </row>
    <row r="424" spans="1:17" ht="46.8" x14ac:dyDescent="0.25">
      <c r="A424" s="15" t="s">
        <v>147</v>
      </c>
      <c r="B424" s="17" t="s">
        <v>95</v>
      </c>
      <c r="C424" s="35" t="s">
        <v>148</v>
      </c>
      <c r="D424" s="35" t="s">
        <v>68</v>
      </c>
      <c r="E424" s="16">
        <v>0</v>
      </c>
      <c r="F424" s="32"/>
      <c r="G424" s="32"/>
      <c r="H424" s="32"/>
      <c r="I424" s="32"/>
      <c r="J424" s="32"/>
      <c r="K424" s="32"/>
      <c r="L424" s="32"/>
      <c r="M424" s="32"/>
      <c r="N424" s="32"/>
      <c r="O424" s="32"/>
      <c r="P424" s="32"/>
      <c r="Q424" s="32"/>
    </row>
    <row r="425" spans="1:17" x14ac:dyDescent="0.25">
      <c r="A425" s="36"/>
      <c r="B425" s="36"/>
      <c r="C425" s="37"/>
      <c r="D425" s="37"/>
      <c r="E425" s="32"/>
      <c r="F425" s="32"/>
      <c r="G425" s="32"/>
      <c r="H425" s="32"/>
      <c r="I425" s="32"/>
      <c r="J425" s="32"/>
      <c r="K425" s="32"/>
      <c r="L425" s="32"/>
      <c r="M425" s="32"/>
      <c r="N425" s="32"/>
      <c r="O425" s="32"/>
      <c r="P425" s="32"/>
      <c r="Q425" s="32"/>
    </row>
    <row r="426" spans="1:17" x14ac:dyDescent="0.25">
      <c r="A426" s="174" t="s">
        <v>149</v>
      </c>
      <c r="B426" s="174"/>
      <c r="C426" s="175"/>
      <c r="D426" s="175"/>
      <c r="E426" s="195"/>
      <c r="F426" s="32"/>
      <c r="G426" s="32"/>
      <c r="H426" s="32"/>
      <c r="I426" s="32"/>
      <c r="J426" s="32"/>
      <c r="K426" s="32"/>
      <c r="L426" s="32"/>
      <c r="M426" s="32"/>
      <c r="N426" s="32"/>
      <c r="O426" s="32"/>
      <c r="P426" s="32"/>
      <c r="Q426" s="32"/>
    </row>
    <row r="427" spans="1:17" x14ac:dyDescent="0.25">
      <c r="A427" s="33" t="s">
        <v>8</v>
      </c>
      <c r="B427" s="33" t="s">
        <v>9</v>
      </c>
      <c r="C427" s="34" t="s">
        <v>10</v>
      </c>
      <c r="D427" s="34" t="s">
        <v>340</v>
      </c>
      <c r="E427" s="16" t="s">
        <v>65</v>
      </c>
      <c r="F427" s="32"/>
      <c r="G427" s="32"/>
      <c r="H427" s="32"/>
      <c r="I427" s="32"/>
      <c r="J427" s="32"/>
      <c r="K427" s="32"/>
      <c r="L427" s="32"/>
      <c r="M427" s="32"/>
      <c r="N427" s="32"/>
      <c r="O427" s="32"/>
      <c r="P427" s="32"/>
      <c r="Q427" s="32"/>
    </row>
    <row r="428" spans="1:17" ht="46.8" x14ac:dyDescent="0.25">
      <c r="A428" s="15" t="s">
        <v>150</v>
      </c>
      <c r="B428" s="17" t="s">
        <v>95</v>
      </c>
      <c r="C428" s="35" t="s">
        <v>151</v>
      </c>
      <c r="D428" s="35" t="s">
        <v>68</v>
      </c>
      <c r="E428" s="16">
        <v>0</v>
      </c>
      <c r="F428" s="32"/>
      <c r="G428" s="32"/>
      <c r="H428" s="32"/>
      <c r="I428" s="32"/>
      <c r="J428" s="32"/>
      <c r="K428" s="32"/>
      <c r="L428" s="32"/>
      <c r="M428" s="32"/>
      <c r="N428" s="32"/>
      <c r="O428" s="32"/>
      <c r="P428" s="32"/>
      <c r="Q428" s="32"/>
    </row>
    <row r="429" spans="1:17" x14ac:dyDescent="0.25">
      <c r="F429" s="32"/>
      <c r="G429" s="32"/>
      <c r="H429" s="32"/>
      <c r="I429" s="32"/>
      <c r="J429" s="32"/>
      <c r="K429" s="32"/>
      <c r="L429" s="32"/>
      <c r="M429" s="32"/>
      <c r="N429" s="32"/>
      <c r="O429" s="32"/>
      <c r="P429" s="32"/>
      <c r="Q429" s="32"/>
    </row>
    <row r="430" spans="1:17" x14ac:dyDescent="0.25">
      <c r="A430" s="174" t="s">
        <v>152</v>
      </c>
      <c r="B430" s="174"/>
      <c r="C430" s="175"/>
      <c r="D430" s="175"/>
      <c r="E430" s="195"/>
      <c r="F430" s="32"/>
      <c r="G430" s="32"/>
      <c r="H430" s="32"/>
      <c r="I430" s="32"/>
      <c r="J430" s="32"/>
      <c r="K430" s="32"/>
      <c r="L430" s="32"/>
      <c r="M430" s="32"/>
      <c r="N430" s="32"/>
      <c r="O430" s="32"/>
      <c r="P430" s="32"/>
      <c r="Q430" s="32"/>
    </row>
    <row r="431" spans="1:17" s="10" customFormat="1" x14ac:dyDescent="0.25">
      <c r="A431" s="15" t="s">
        <v>8</v>
      </c>
      <c r="B431" s="15" t="s">
        <v>9</v>
      </c>
      <c r="C431" s="38" t="s">
        <v>10</v>
      </c>
      <c r="D431" s="38" t="s">
        <v>340</v>
      </c>
      <c r="E431" s="16" t="s">
        <v>65</v>
      </c>
      <c r="F431" s="32"/>
      <c r="G431" s="32"/>
      <c r="H431" s="39"/>
      <c r="I431" s="39"/>
      <c r="J431" s="39"/>
      <c r="K431" s="39"/>
      <c r="L431" s="39"/>
      <c r="M431" s="39"/>
      <c r="N431" s="39"/>
      <c r="O431" s="39"/>
      <c r="P431" s="39"/>
      <c r="Q431" s="39"/>
    </row>
    <row r="432" spans="1:17" s="10" customFormat="1" ht="18" x14ac:dyDescent="0.4">
      <c r="A432" s="40" t="s">
        <v>153</v>
      </c>
      <c r="B432" s="17" t="s">
        <v>103</v>
      </c>
      <c r="C432" s="35" t="s">
        <v>154</v>
      </c>
      <c r="D432" s="35" t="s">
        <v>155</v>
      </c>
      <c r="E432" s="41">
        <f>E433*E435*(1+E434)</f>
        <v>264.49838796300003</v>
      </c>
      <c r="F432" s="32"/>
      <c r="G432" s="32"/>
      <c r="H432" s="39"/>
      <c r="I432" s="39"/>
      <c r="J432" s="39"/>
      <c r="K432" s="39"/>
      <c r="L432" s="39"/>
      <c r="M432" s="39"/>
      <c r="N432" s="39"/>
      <c r="O432" s="39"/>
      <c r="P432" s="39"/>
      <c r="Q432" s="39"/>
    </row>
    <row r="433" spans="1:19" ht="31.2" x14ac:dyDescent="0.25">
      <c r="A433" s="17" t="s">
        <v>156</v>
      </c>
      <c r="B433" s="17" t="s">
        <v>157</v>
      </c>
      <c r="C433" s="35" t="s">
        <v>158</v>
      </c>
      <c r="D433" s="35" t="s">
        <v>343</v>
      </c>
      <c r="E433" s="64">
        <f>433163.65/1000</f>
        <v>433.16365000000002</v>
      </c>
      <c r="G433" s="42"/>
      <c r="H433" s="43"/>
      <c r="I433" s="43"/>
      <c r="J433" s="43"/>
      <c r="K433" s="43"/>
      <c r="L433" s="43"/>
      <c r="M433" s="43"/>
      <c r="N433" s="43"/>
      <c r="O433" s="43"/>
      <c r="P433" s="43"/>
      <c r="Q433" s="43"/>
      <c r="R433" s="9"/>
      <c r="S433" s="9"/>
    </row>
    <row r="434" spans="1:19" ht="31.2" x14ac:dyDescent="0.25">
      <c r="A434" s="17" t="s">
        <v>159</v>
      </c>
      <c r="B434" s="17" t="s">
        <v>160</v>
      </c>
      <c r="C434" s="35" t="s">
        <v>161</v>
      </c>
      <c r="D434" s="35" t="s">
        <v>162</v>
      </c>
      <c r="E434" s="44">
        <v>0.2</v>
      </c>
      <c r="H434" s="43"/>
      <c r="I434" s="43"/>
      <c r="J434" s="43"/>
      <c r="K434" s="43"/>
      <c r="L434" s="43"/>
      <c r="M434" s="43"/>
      <c r="N434" s="43"/>
      <c r="O434" s="43"/>
      <c r="P434" s="43"/>
      <c r="Q434" s="43"/>
      <c r="R434" s="9"/>
      <c r="S434" s="9"/>
    </row>
    <row r="435" spans="1:19" ht="46.8" x14ac:dyDescent="0.25">
      <c r="A435" s="17" t="s">
        <v>163</v>
      </c>
      <c r="B435" s="17" t="s">
        <v>164</v>
      </c>
      <c r="C435" s="35" t="s">
        <v>165</v>
      </c>
      <c r="D435" s="35" t="s">
        <v>166</v>
      </c>
      <c r="E435" s="45">
        <f>0.5*0.8042+0.5*0.2135</f>
        <v>0.50885000000000002</v>
      </c>
      <c r="F435" s="46"/>
      <c r="G435" s="46"/>
      <c r="H435" s="46"/>
      <c r="I435" s="46"/>
      <c r="J435" s="46"/>
      <c r="K435" s="46"/>
      <c r="L435" s="46"/>
      <c r="M435" s="46"/>
      <c r="N435" s="46"/>
      <c r="O435" s="46"/>
      <c r="P435" s="46"/>
      <c r="Q435" s="46"/>
    </row>
    <row r="436" spans="1:19" ht="31.2" x14ac:dyDescent="0.4">
      <c r="A436" s="40" t="s">
        <v>167</v>
      </c>
      <c r="B436" s="17" t="s">
        <v>103</v>
      </c>
      <c r="C436" s="35" t="s">
        <v>168</v>
      </c>
      <c r="D436" s="35" t="s">
        <v>169</v>
      </c>
      <c r="E436" s="47">
        <v>0</v>
      </c>
      <c r="H436" s="43"/>
      <c r="I436" s="43"/>
      <c r="J436" s="43"/>
      <c r="K436" s="43"/>
      <c r="L436" s="43"/>
      <c r="M436" s="43"/>
      <c r="N436" s="43"/>
      <c r="O436" s="43"/>
      <c r="P436" s="43"/>
      <c r="Q436" s="43"/>
      <c r="R436" s="9"/>
      <c r="S436" s="9"/>
    </row>
    <row r="437" spans="1:19" x14ac:dyDescent="0.3">
      <c r="A437" s="48"/>
      <c r="E437" s="49"/>
      <c r="H437" s="43"/>
      <c r="I437" s="43"/>
      <c r="J437" s="43"/>
      <c r="K437" s="43"/>
      <c r="L437" s="43"/>
      <c r="M437" s="43"/>
      <c r="N437" s="43"/>
      <c r="O437" s="43"/>
      <c r="P437" s="43"/>
      <c r="Q437" s="43"/>
      <c r="R437" s="9"/>
      <c r="S437" s="9"/>
    </row>
    <row r="438" spans="1:19" x14ac:dyDescent="0.25">
      <c r="A438" s="174" t="s">
        <v>170</v>
      </c>
      <c r="B438" s="174"/>
      <c r="C438" s="175"/>
      <c r="D438" s="175"/>
      <c r="E438" s="195"/>
      <c r="F438" s="32"/>
      <c r="G438" s="32"/>
      <c r="H438" s="32"/>
      <c r="I438" s="32"/>
      <c r="J438" s="32"/>
      <c r="K438" s="32"/>
      <c r="L438" s="32"/>
      <c r="M438" s="32"/>
      <c r="N438" s="32"/>
      <c r="O438" s="32"/>
      <c r="P438" s="32"/>
      <c r="Q438" s="32"/>
    </row>
    <row r="439" spans="1:19" x14ac:dyDescent="0.25">
      <c r="A439" s="15" t="s">
        <v>8</v>
      </c>
      <c r="B439" s="15" t="s">
        <v>9</v>
      </c>
      <c r="C439" s="38" t="s">
        <v>10</v>
      </c>
      <c r="D439" s="38" t="s">
        <v>340</v>
      </c>
      <c r="E439" s="16" t="s">
        <v>65</v>
      </c>
      <c r="H439" s="43"/>
      <c r="I439" s="43"/>
      <c r="J439" s="43"/>
      <c r="K439" s="43"/>
      <c r="L439" s="43"/>
      <c r="M439" s="43"/>
      <c r="N439" s="43"/>
      <c r="O439" s="43"/>
      <c r="P439" s="43"/>
      <c r="Q439" s="43"/>
      <c r="R439" s="9"/>
      <c r="S439" s="9"/>
    </row>
    <row r="440" spans="1:19" ht="33.6" x14ac:dyDescent="0.4">
      <c r="A440" s="40" t="s">
        <v>171</v>
      </c>
      <c r="B440" s="17" t="s">
        <v>74</v>
      </c>
      <c r="C440" s="35" t="s">
        <v>172</v>
      </c>
      <c r="D440" s="35" t="s">
        <v>391</v>
      </c>
      <c r="E440" s="50">
        <f>E441*E444*E445*E446*E447*E448</f>
        <v>2.6422913903480638</v>
      </c>
      <c r="H440" s="43"/>
      <c r="I440" s="43"/>
      <c r="J440" s="43"/>
      <c r="K440" s="43"/>
      <c r="L440" s="43"/>
      <c r="M440" s="43"/>
      <c r="N440" s="43"/>
      <c r="O440" s="43"/>
      <c r="P440" s="43"/>
      <c r="Q440" s="43"/>
      <c r="R440" s="9"/>
      <c r="S440" s="9"/>
    </row>
    <row r="441" spans="1:19" ht="46.8" x14ac:dyDescent="0.4">
      <c r="A441" s="51" t="s">
        <v>173</v>
      </c>
      <c r="B441" s="17" t="s">
        <v>76</v>
      </c>
      <c r="C441" s="35" t="s">
        <v>174</v>
      </c>
      <c r="D441" s="35" t="s">
        <v>392</v>
      </c>
      <c r="E441" s="69">
        <f>ROUNDUP(E442/E443,0)</f>
        <v>82</v>
      </c>
      <c r="H441" s="43"/>
      <c r="I441" s="43"/>
      <c r="J441" s="43"/>
      <c r="K441" s="43"/>
      <c r="L441" s="43"/>
      <c r="M441" s="43"/>
      <c r="N441" s="43"/>
      <c r="O441" s="43"/>
      <c r="P441" s="43"/>
      <c r="Q441" s="43"/>
      <c r="R441" s="9"/>
      <c r="S441" s="9"/>
    </row>
    <row r="442" spans="1:19" ht="62.4" x14ac:dyDescent="0.25">
      <c r="A442" s="17" t="s">
        <v>175</v>
      </c>
      <c r="B442" s="17" t="s">
        <v>78</v>
      </c>
      <c r="C442" s="35" t="s">
        <v>176</v>
      </c>
      <c r="D442" s="35" t="s">
        <v>346</v>
      </c>
      <c r="E442" s="52">
        <v>405.31000000000006</v>
      </c>
      <c r="H442" s="43"/>
      <c r="I442" s="43"/>
      <c r="J442" s="43"/>
      <c r="K442" s="43"/>
      <c r="L442" s="43"/>
      <c r="M442" s="43"/>
      <c r="N442" s="43"/>
      <c r="O442" s="43"/>
      <c r="P442" s="43"/>
      <c r="Q442" s="43"/>
      <c r="R442" s="9"/>
      <c r="S442" s="9"/>
    </row>
    <row r="443" spans="1:19" ht="62.4" x14ac:dyDescent="0.25">
      <c r="A443" s="17" t="s">
        <v>177</v>
      </c>
      <c r="B443" s="17" t="s">
        <v>80</v>
      </c>
      <c r="C443" s="35" t="s">
        <v>81</v>
      </c>
      <c r="D443" s="35" t="s">
        <v>345</v>
      </c>
      <c r="E443" s="25">
        <f>5</f>
        <v>5</v>
      </c>
      <c r="H443" s="43"/>
      <c r="I443" s="43"/>
      <c r="J443" s="43"/>
      <c r="K443" s="43"/>
      <c r="L443" s="43"/>
      <c r="M443" s="43"/>
      <c r="N443" s="43"/>
      <c r="O443" s="43"/>
      <c r="P443" s="43"/>
      <c r="Q443" s="43"/>
      <c r="R443" s="9"/>
      <c r="S443" s="9"/>
    </row>
    <row r="444" spans="1:19" ht="202.8" x14ac:dyDescent="0.25">
      <c r="A444" s="17" t="s">
        <v>178</v>
      </c>
      <c r="B444" s="17" t="s">
        <v>82</v>
      </c>
      <c r="C444" s="35" t="s">
        <v>179</v>
      </c>
      <c r="D444" s="35" t="s">
        <v>367</v>
      </c>
      <c r="E444" s="25">
        <v>47.6</v>
      </c>
      <c r="H444" s="43"/>
      <c r="I444" s="43"/>
      <c r="J444" s="43"/>
      <c r="K444" s="43"/>
      <c r="L444" s="43"/>
      <c r="M444" s="43"/>
      <c r="N444" s="43"/>
      <c r="O444" s="43"/>
      <c r="P444" s="43"/>
      <c r="Q444" s="43"/>
      <c r="R444" s="9"/>
      <c r="S444" s="9"/>
    </row>
    <row r="445" spans="1:19" ht="156" x14ac:dyDescent="0.25">
      <c r="A445" s="17" t="s">
        <v>180</v>
      </c>
      <c r="B445" s="17" t="s">
        <v>84</v>
      </c>
      <c r="C445" s="35" t="s">
        <v>85</v>
      </c>
      <c r="D445" s="35" t="s">
        <v>365</v>
      </c>
      <c r="E445" s="25">
        <f>25.1/100</f>
        <v>0.251</v>
      </c>
      <c r="H445" s="43"/>
      <c r="I445" s="43"/>
      <c r="J445" s="43"/>
      <c r="K445" s="43"/>
      <c r="L445" s="43"/>
      <c r="M445" s="43"/>
      <c r="N445" s="43"/>
      <c r="O445" s="43"/>
      <c r="P445" s="43"/>
      <c r="Q445" s="43"/>
      <c r="R445" s="9"/>
      <c r="S445" s="9"/>
    </row>
    <row r="446" spans="1:19" ht="62.4" x14ac:dyDescent="0.25">
      <c r="A446" s="17" t="s">
        <v>86</v>
      </c>
      <c r="B446" s="17" t="s">
        <v>87</v>
      </c>
      <c r="C446" s="35" t="s">
        <v>86</v>
      </c>
      <c r="D446" s="35" t="s">
        <v>215</v>
      </c>
      <c r="E446" s="25">
        <f>0.84/1000</f>
        <v>8.3999999999999993E-4</v>
      </c>
      <c r="H446" s="43"/>
      <c r="I446" s="43"/>
      <c r="J446" s="43"/>
      <c r="K446" s="43"/>
      <c r="L446" s="43"/>
      <c r="M446" s="43"/>
      <c r="N446" s="43"/>
      <c r="O446" s="43"/>
      <c r="P446" s="43"/>
      <c r="Q446" s="43"/>
      <c r="R446" s="9"/>
      <c r="S446" s="9"/>
    </row>
    <row r="447" spans="1:19" ht="124.8" x14ac:dyDescent="0.25">
      <c r="A447" s="17" t="s">
        <v>181</v>
      </c>
      <c r="B447" s="17" t="s">
        <v>88</v>
      </c>
      <c r="C447" s="35" t="s">
        <v>89</v>
      </c>
      <c r="D447" s="35" t="s">
        <v>360</v>
      </c>
      <c r="E447" s="25">
        <f>43.33/1000</f>
        <v>4.333E-2</v>
      </c>
      <c r="H447" s="43"/>
      <c r="I447" s="43"/>
      <c r="J447" s="43"/>
      <c r="K447" s="43"/>
      <c r="L447" s="43"/>
      <c r="M447" s="43"/>
      <c r="N447" s="43"/>
      <c r="O447" s="43"/>
      <c r="P447" s="43"/>
      <c r="Q447" s="43"/>
      <c r="R447" s="9"/>
      <c r="S447" s="9"/>
    </row>
    <row r="448" spans="1:19" ht="33.6" x14ac:dyDescent="0.25">
      <c r="A448" s="17" t="s">
        <v>182</v>
      </c>
      <c r="B448" s="17" t="s">
        <v>90</v>
      </c>
      <c r="C448" s="35" t="s">
        <v>91</v>
      </c>
      <c r="D448" s="35" t="s">
        <v>92</v>
      </c>
      <c r="E448" s="25">
        <v>74.099999999999994</v>
      </c>
      <c r="H448" s="43"/>
      <c r="I448" s="43"/>
      <c r="J448" s="43"/>
      <c r="K448" s="43"/>
      <c r="L448" s="43"/>
      <c r="M448" s="43"/>
      <c r="N448" s="43"/>
      <c r="O448" s="43"/>
      <c r="P448" s="43"/>
      <c r="Q448" s="43"/>
      <c r="R448" s="9"/>
      <c r="S448" s="9"/>
    </row>
    <row r="450" spans="1:19" x14ac:dyDescent="0.25">
      <c r="A450" s="33" t="s">
        <v>8</v>
      </c>
      <c r="B450" s="33" t="s">
        <v>9</v>
      </c>
      <c r="C450" s="34" t="s">
        <v>10</v>
      </c>
      <c r="D450" s="34" t="s">
        <v>340</v>
      </c>
      <c r="E450" s="16" t="s">
        <v>65</v>
      </c>
    </row>
    <row r="451" spans="1:19" ht="18" x14ac:dyDescent="0.25">
      <c r="A451" s="15" t="s">
        <v>183</v>
      </c>
      <c r="B451" s="17" t="s">
        <v>103</v>
      </c>
      <c r="C451" s="35" t="s">
        <v>184</v>
      </c>
      <c r="D451" s="53" t="s">
        <v>393</v>
      </c>
      <c r="E451" s="18">
        <f>ROUNDUP(E400+E424+E428+E432+E440,0)</f>
        <v>268</v>
      </c>
    </row>
    <row r="452" spans="1:19" s="209" customFormat="1" ht="38.4" customHeight="1" x14ac:dyDescent="0.25">
      <c r="A452" s="208" t="s">
        <v>226</v>
      </c>
    </row>
    <row r="453" spans="1:19" ht="23.4" customHeight="1" x14ac:dyDescent="0.25">
      <c r="A453" s="201" t="s">
        <v>105</v>
      </c>
      <c r="B453" s="201"/>
      <c r="C453" s="201"/>
      <c r="D453" s="201"/>
      <c r="E453" s="201"/>
      <c r="F453" s="201"/>
      <c r="G453" s="201"/>
      <c r="H453" s="201"/>
      <c r="I453" s="201"/>
      <c r="J453" s="201"/>
      <c r="K453" s="201"/>
      <c r="L453" s="201"/>
      <c r="M453" s="201"/>
      <c r="N453" s="201"/>
      <c r="O453" s="201"/>
      <c r="P453" s="201"/>
      <c r="Q453" s="202"/>
    </row>
    <row r="454" spans="1:19" s="10" customFormat="1" ht="31.2" x14ac:dyDescent="0.25">
      <c r="A454" s="15" t="s">
        <v>8</v>
      </c>
      <c r="B454" s="15" t="s">
        <v>9</v>
      </c>
      <c r="C454" s="15" t="s">
        <v>10</v>
      </c>
      <c r="D454" s="15" t="s">
        <v>340</v>
      </c>
      <c r="E454" s="16" t="s">
        <v>11</v>
      </c>
      <c r="F454" s="16" t="s">
        <v>322</v>
      </c>
      <c r="G454" s="16" t="s">
        <v>323</v>
      </c>
      <c r="H454" s="16" t="s">
        <v>324</v>
      </c>
      <c r="I454" s="16" t="s">
        <v>325</v>
      </c>
      <c r="J454" s="16" t="s">
        <v>326</v>
      </c>
      <c r="K454" s="16" t="s">
        <v>329</v>
      </c>
      <c r="L454" s="16" t="s">
        <v>292</v>
      </c>
      <c r="M454" s="16" t="s">
        <v>292</v>
      </c>
      <c r="N454" s="16" t="s">
        <v>292</v>
      </c>
      <c r="O454" s="16" t="s">
        <v>292</v>
      </c>
      <c r="P454" s="16" t="s">
        <v>292</v>
      </c>
      <c r="Q454" s="16" t="s">
        <v>292</v>
      </c>
      <c r="R454" s="54"/>
      <c r="S454" s="54"/>
    </row>
    <row r="455" spans="1:19" s="10" customFormat="1" x14ac:dyDescent="0.25">
      <c r="A455" s="203" t="s">
        <v>106</v>
      </c>
      <c r="B455" s="203"/>
      <c r="C455" s="203"/>
      <c r="D455" s="203"/>
      <c r="E455" s="204"/>
      <c r="F455" s="16">
        <v>31</v>
      </c>
      <c r="G455" s="16">
        <v>28</v>
      </c>
      <c r="H455" s="16">
        <v>31</v>
      </c>
      <c r="I455" s="16">
        <v>30</v>
      </c>
      <c r="J455" s="16">
        <v>31</v>
      </c>
      <c r="K455" s="16">
        <v>30</v>
      </c>
      <c r="L455" s="16" t="s">
        <v>292</v>
      </c>
      <c r="M455" s="16" t="s">
        <v>292</v>
      </c>
      <c r="N455" s="16" t="s">
        <v>292</v>
      </c>
      <c r="O455" s="16" t="s">
        <v>292</v>
      </c>
      <c r="P455" s="16" t="s">
        <v>292</v>
      </c>
      <c r="Q455" s="16" t="s">
        <v>292</v>
      </c>
      <c r="R455" s="54"/>
      <c r="S455" s="54"/>
    </row>
    <row r="456" spans="1:19" s="10" customFormat="1" ht="31.2" x14ac:dyDescent="0.25">
      <c r="A456" s="15" t="s">
        <v>107</v>
      </c>
      <c r="B456" s="17" t="s">
        <v>103</v>
      </c>
      <c r="C456" s="17" t="s">
        <v>108</v>
      </c>
      <c r="D456" s="17" t="s">
        <v>381</v>
      </c>
      <c r="E456" s="18">
        <f>E457+E467</f>
        <v>0</v>
      </c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54"/>
      <c r="S456" s="54"/>
    </row>
    <row r="457" spans="1:19" ht="46.8" x14ac:dyDescent="0.25">
      <c r="A457" s="17" t="s">
        <v>109</v>
      </c>
      <c r="B457" s="17" t="s">
        <v>103</v>
      </c>
      <c r="C457" s="17" t="s">
        <v>110</v>
      </c>
      <c r="D457" s="17" t="s">
        <v>382</v>
      </c>
      <c r="E457" s="19">
        <f>SUM(F457:K457)</f>
        <v>0</v>
      </c>
      <c r="F457" s="19">
        <f>IF(F458&gt;=0.8,0,$E$15*$E$16*0.4*(F459-F462)*F455)</f>
        <v>0</v>
      </c>
      <c r="G457" s="19">
        <f t="shared" ref="G457:K457" si="56">IF(G458&gt;=0.8,0,$E$15*$E$16*0.4*(G459-G462)*G455)</f>
        <v>0</v>
      </c>
      <c r="H457" s="19">
        <f t="shared" si="56"/>
        <v>0</v>
      </c>
      <c r="I457" s="19">
        <f t="shared" si="56"/>
        <v>0</v>
      </c>
      <c r="J457" s="19">
        <f t="shared" si="56"/>
        <v>0</v>
      </c>
      <c r="K457" s="19">
        <f t="shared" si="56"/>
        <v>0</v>
      </c>
      <c r="L457" s="19" t="s">
        <v>297</v>
      </c>
      <c r="M457" s="19" t="s">
        <v>297</v>
      </c>
      <c r="N457" s="19" t="s">
        <v>297</v>
      </c>
      <c r="O457" s="19" t="s">
        <v>297</v>
      </c>
      <c r="P457" s="19" t="s">
        <v>297</v>
      </c>
      <c r="Q457" s="19" t="s">
        <v>297</v>
      </c>
    </row>
    <row r="458" spans="1:19" ht="62.4" x14ac:dyDescent="0.25">
      <c r="A458" s="17" t="s">
        <v>111</v>
      </c>
      <c r="B458" s="17" t="s">
        <v>37</v>
      </c>
      <c r="C458" s="17" t="s">
        <v>112</v>
      </c>
      <c r="D458" s="17" t="s">
        <v>383</v>
      </c>
      <c r="E458" s="20">
        <f>AVERAGE(F458:K458)</f>
        <v>0.95342316872969202</v>
      </c>
      <c r="F458" s="20">
        <f>(F459-F462)/F459</f>
        <v>0.95233000922963418</v>
      </c>
      <c r="G458" s="20">
        <f t="shared" ref="G458:K458" si="57">(G459-G462)/G459</f>
        <v>0.95392441369635195</v>
      </c>
      <c r="H458" s="20">
        <f t="shared" si="57"/>
        <v>0.95288132227196642</v>
      </c>
      <c r="I458" s="20">
        <f t="shared" si="57"/>
        <v>0.95315472495913367</v>
      </c>
      <c r="J458" s="20">
        <f t="shared" si="57"/>
        <v>0.95367800909197198</v>
      </c>
      <c r="K458" s="20">
        <f t="shared" si="57"/>
        <v>0.95457053312909435</v>
      </c>
      <c r="L458" s="20" t="s">
        <v>297</v>
      </c>
      <c r="M458" s="20" t="s">
        <v>297</v>
      </c>
      <c r="N458" s="20" t="s">
        <v>297</v>
      </c>
      <c r="O458" s="20" t="s">
        <v>297</v>
      </c>
      <c r="P458" s="20" t="s">
        <v>297</v>
      </c>
      <c r="Q458" s="20" t="s">
        <v>297</v>
      </c>
    </row>
    <row r="459" spans="1:19" ht="46.8" x14ac:dyDescent="0.25">
      <c r="A459" s="17" t="s">
        <v>113</v>
      </c>
      <c r="B459" s="17" t="s">
        <v>24</v>
      </c>
      <c r="C459" s="17" t="s">
        <v>114</v>
      </c>
      <c r="D459" s="17" t="s">
        <v>384</v>
      </c>
      <c r="E459" s="20">
        <f>SUM(F459:K459)</f>
        <v>53.039138088329409</v>
      </c>
      <c r="F459" s="20">
        <f>F460*F461</f>
        <v>8.8675955917286675</v>
      </c>
      <c r="G459" s="20">
        <f t="shared" ref="G459:K459" si="58">G460*G461</f>
        <v>8.8687623838359393</v>
      </c>
      <c r="H459" s="20">
        <f t="shared" si="58"/>
        <v>8.8677007247439459</v>
      </c>
      <c r="I459" s="20">
        <f t="shared" si="58"/>
        <v>8.8809903189845283</v>
      </c>
      <c r="J459" s="20">
        <f t="shared" si="58"/>
        <v>9.2730769377154907</v>
      </c>
      <c r="K459" s="20">
        <f t="shared" si="58"/>
        <v>8.281012131320832</v>
      </c>
      <c r="L459" s="20" t="s">
        <v>297</v>
      </c>
      <c r="M459" s="20" t="s">
        <v>297</v>
      </c>
      <c r="N459" s="20" t="s">
        <v>297</v>
      </c>
      <c r="O459" s="20" t="s">
        <v>297</v>
      </c>
      <c r="P459" s="20" t="s">
        <v>297</v>
      </c>
      <c r="Q459" s="20" t="s">
        <v>297</v>
      </c>
    </row>
    <row r="460" spans="1:19" ht="65.400000000000006" customHeight="1" x14ac:dyDescent="0.25">
      <c r="A460" s="17" t="s">
        <v>115</v>
      </c>
      <c r="B460" s="17" t="s">
        <v>116</v>
      </c>
      <c r="C460" s="17" t="s">
        <v>117</v>
      </c>
      <c r="D460" s="17" t="s">
        <v>336</v>
      </c>
      <c r="E460" s="129">
        <f>SUM(F460:K460)</f>
        <v>115324.54563494623</v>
      </c>
      <c r="F460" s="129">
        <f>'Baseline Emissions 2022'!F446</f>
        <v>18926.600322580642</v>
      </c>
      <c r="G460" s="129">
        <f>'Baseline Emissions 2022'!G446</f>
        <v>18931.385249999999</v>
      </c>
      <c r="H460" s="129">
        <f>'Baseline Emissions 2022'!H446</f>
        <v>18931.028193548387</v>
      </c>
      <c r="I460" s="129">
        <f>'Baseline Emissions 2022'!I446</f>
        <v>18929.365099999995</v>
      </c>
      <c r="J460" s="129">
        <f>'Baseline Emissions 2022'!J446</f>
        <v>19798.686935483871</v>
      </c>
      <c r="K460" s="129">
        <f>'Baseline Emissions 2022'!K446</f>
        <v>19807.479833333331</v>
      </c>
      <c r="L460" s="21" t="s">
        <v>297</v>
      </c>
      <c r="M460" s="21" t="s">
        <v>297</v>
      </c>
      <c r="N460" s="21" t="s">
        <v>297</v>
      </c>
      <c r="O460" s="21" t="s">
        <v>297</v>
      </c>
      <c r="P460" s="21" t="s">
        <v>297</v>
      </c>
      <c r="Q460" s="21" t="s">
        <v>297</v>
      </c>
    </row>
    <row r="461" spans="1:19" ht="46.8" x14ac:dyDescent="0.25">
      <c r="A461" s="17" t="s">
        <v>118</v>
      </c>
      <c r="B461" s="17" t="s">
        <v>119</v>
      </c>
      <c r="C461" s="17" t="s">
        <v>120</v>
      </c>
      <c r="D461" s="35" t="s">
        <v>338</v>
      </c>
      <c r="E461" s="120">
        <f>AVERAGE(F461:K461)</f>
        <v>4.6017063246714461E-4</v>
      </c>
      <c r="F461" s="130">
        <f>'Baseline Emissions 2022'!F450</f>
        <v>4.6852553763440864E-4</v>
      </c>
      <c r="G461" s="130">
        <f>'Baseline Emissions 2022'!G450</f>
        <v>4.6846875000000008E-4</v>
      </c>
      <c r="H461" s="130">
        <f>'Baseline Emissions 2022'!H450</f>
        <v>4.6842150537634402E-4</v>
      </c>
      <c r="I461" s="130">
        <f>'Baseline Emissions 2022'!I450</f>
        <v>4.6916472222222234E-4</v>
      </c>
      <c r="J461" s="130">
        <f>'Baseline Emissions 2022'!J450</f>
        <v>4.6836827956989267E-4</v>
      </c>
      <c r="K461" s="130">
        <f>'Baseline Emissions 2022'!K450</f>
        <v>4.1807500000000001E-4</v>
      </c>
      <c r="L461" s="23" t="s">
        <v>297</v>
      </c>
      <c r="M461" s="23" t="s">
        <v>297</v>
      </c>
      <c r="N461" s="23" t="s">
        <v>297</v>
      </c>
      <c r="O461" s="23" t="s">
        <v>297</v>
      </c>
      <c r="P461" s="23" t="s">
        <v>297</v>
      </c>
      <c r="Q461" s="23" t="s">
        <v>297</v>
      </c>
    </row>
    <row r="462" spans="1:19" ht="46.8" x14ac:dyDescent="0.25">
      <c r="A462" s="17" t="s">
        <v>121</v>
      </c>
      <c r="B462" s="17" t="s">
        <v>24</v>
      </c>
      <c r="C462" s="17" t="s">
        <v>122</v>
      </c>
      <c r="D462" s="17" t="s">
        <v>384</v>
      </c>
      <c r="E462" s="20">
        <f>SUM(F462:K462)</f>
        <v>2.4709677452776919</v>
      </c>
      <c r="F462" s="20">
        <f>SUM(F463*F464)</f>
        <v>0.42271820001304183</v>
      </c>
      <c r="G462" s="20">
        <f t="shared" ref="G462:K462" si="59">SUM(G463*G464)</f>
        <v>0.40863342662298041</v>
      </c>
      <c r="H462" s="20">
        <f t="shared" si="59"/>
        <v>0.41783433263785991</v>
      </c>
      <c r="I462" s="20">
        <f t="shared" si="59"/>
        <v>0.41603243412810181</v>
      </c>
      <c r="J462" s="20">
        <f t="shared" si="59"/>
        <v>0.42954738559830036</v>
      </c>
      <c r="K462" s="20">
        <f t="shared" si="59"/>
        <v>0.37620196627740743</v>
      </c>
      <c r="L462" s="20" t="s">
        <v>297</v>
      </c>
      <c r="M462" s="20" t="s">
        <v>297</v>
      </c>
      <c r="N462" s="20" t="s">
        <v>297</v>
      </c>
      <c r="O462" s="20" t="s">
        <v>297</v>
      </c>
      <c r="P462" s="20" t="s">
        <v>297</v>
      </c>
      <c r="Q462" s="20" t="s">
        <v>297</v>
      </c>
    </row>
    <row r="463" spans="1:19" ht="62.4" x14ac:dyDescent="0.25">
      <c r="A463" s="17" t="s">
        <v>123</v>
      </c>
      <c r="B463" s="17" t="s">
        <v>116</v>
      </c>
      <c r="C463" s="17" t="s">
        <v>124</v>
      </c>
      <c r="D463" s="17" t="s">
        <v>337</v>
      </c>
      <c r="E463" s="129">
        <f>SUM(F463:K463)</f>
        <v>113889.78740207374</v>
      </c>
      <c r="F463" s="129">
        <v>18674.136709677419</v>
      </c>
      <c r="G463" s="129">
        <v>18670.732321428568</v>
      </c>
      <c r="H463" s="129">
        <v>18673.71141935484</v>
      </c>
      <c r="I463" s="129">
        <v>18672.677166666668</v>
      </c>
      <c r="J463" s="129">
        <v>19595.034451612904</v>
      </c>
      <c r="K463" s="21">
        <v>19603.495333333332</v>
      </c>
      <c r="L463" s="21" t="s">
        <v>297</v>
      </c>
      <c r="M463" s="21" t="s">
        <v>297</v>
      </c>
      <c r="N463" s="21" t="s">
        <v>297</v>
      </c>
      <c r="O463" s="21" t="s">
        <v>297</v>
      </c>
      <c r="P463" s="21" t="s">
        <v>297</v>
      </c>
      <c r="Q463" s="21" t="s">
        <v>297</v>
      </c>
    </row>
    <row r="464" spans="1:19" ht="46.8" x14ac:dyDescent="0.25">
      <c r="A464" s="17" t="s">
        <v>125</v>
      </c>
      <c r="B464" s="17" t="s">
        <v>119</v>
      </c>
      <c r="C464" s="17" t="s">
        <v>126</v>
      </c>
      <c r="D464" s="35" t="s">
        <v>339</v>
      </c>
      <c r="E464" s="131">
        <f>AVERAGE(F464:K464)</f>
        <v>2.1715079365079363E-5</v>
      </c>
      <c r="F464" s="131">
        <f>'Baseline Emissions 2022'!F451</f>
        <v>2.263655913978494E-5</v>
      </c>
      <c r="G464" s="131">
        <f>'Baseline Emissions 2022'!G451</f>
        <v>2.1886309523809527E-5</v>
      </c>
      <c r="H464" s="131">
        <f>'Baseline Emissions 2022'!H451</f>
        <v>2.2375537634408603E-5</v>
      </c>
      <c r="I464" s="131">
        <f>'Baseline Emissions 2022'!I451</f>
        <v>2.2280277777777773E-5</v>
      </c>
      <c r="J464" s="131">
        <f>'Baseline Emissions 2022'!J451</f>
        <v>2.1921236559139782E-5</v>
      </c>
      <c r="K464" s="131">
        <f>'Baseline Emissions 2022'!K451</f>
        <v>1.9190555555555557E-5</v>
      </c>
      <c r="L464" s="24" t="s">
        <v>297</v>
      </c>
      <c r="M464" s="24" t="s">
        <v>297</v>
      </c>
      <c r="N464" s="24" t="s">
        <v>297</v>
      </c>
      <c r="O464" s="24" t="s">
        <v>297</v>
      </c>
      <c r="P464" s="24" t="s">
        <v>297</v>
      </c>
      <c r="Q464" s="24" t="s">
        <v>297</v>
      </c>
    </row>
    <row r="465" spans="1:17" ht="31.2" x14ac:dyDescent="0.25">
      <c r="A465" s="17" t="s">
        <v>127</v>
      </c>
      <c r="B465" s="17" t="s">
        <v>128</v>
      </c>
      <c r="C465" s="17" t="s">
        <v>17</v>
      </c>
      <c r="D465" s="17" t="s">
        <v>129</v>
      </c>
      <c r="E465" s="176">
        <v>28</v>
      </c>
      <c r="F465" s="176"/>
      <c r="G465" s="176"/>
      <c r="H465" s="176"/>
      <c r="I465" s="176"/>
      <c r="J465" s="176"/>
      <c r="K465" s="176"/>
      <c r="L465" s="176"/>
      <c r="M465" s="176"/>
      <c r="N465" s="176"/>
      <c r="O465" s="176"/>
      <c r="P465" s="176"/>
      <c r="Q465" s="176"/>
    </row>
    <row r="466" spans="1:17" ht="64.8" x14ac:dyDescent="0.25">
      <c r="A466" s="17" t="s">
        <v>130</v>
      </c>
      <c r="B466" s="17" t="s">
        <v>19</v>
      </c>
      <c r="C466" s="17" t="s">
        <v>131</v>
      </c>
      <c r="D466" s="17" t="s">
        <v>394</v>
      </c>
      <c r="E466" s="176">
        <v>0.21</v>
      </c>
      <c r="F466" s="176"/>
      <c r="G466" s="176"/>
      <c r="H466" s="176"/>
      <c r="I466" s="176"/>
      <c r="J466" s="176"/>
      <c r="K466" s="176"/>
      <c r="L466" s="176"/>
      <c r="M466" s="176"/>
      <c r="N466" s="176"/>
      <c r="O466" s="176"/>
      <c r="P466" s="176"/>
      <c r="Q466" s="176"/>
    </row>
    <row r="467" spans="1:17" ht="46.8" x14ac:dyDescent="0.25">
      <c r="A467" s="17" t="s">
        <v>132</v>
      </c>
      <c r="B467" s="17" t="s">
        <v>103</v>
      </c>
      <c r="C467" s="17" t="s">
        <v>133</v>
      </c>
      <c r="D467" s="17" t="s">
        <v>385</v>
      </c>
      <c r="E467" s="19">
        <f>SUM(F467:K467)</f>
        <v>0</v>
      </c>
      <c r="F467" s="19">
        <f>$E$465*$E$466*F468*F462*F455</f>
        <v>0</v>
      </c>
      <c r="G467" s="19">
        <f t="shared" ref="G467:K467" si="60">$E$465*$E$466*G468*G462*G455</f>
        <v>0</v>
      </c>
      <c r="H467" s="19">
        <f t="shared" si="60"/>
        <v>0</v>
      </c>
      <c r="I467" s="19">
        <f t="shared" si="60"/>
        <v>0</v>
      </c>
      <c r="J467" s="19">
        <f t="shared" si="60"/>
        <v>0</v>
      </c>
      <c r="K467" s="19">
        <f t="shared" si="60"/>
        <v>0</v>
      </c>
      <c r="L467" s="19" t="s">
        <v>297</v>
      </c>
      <c r="M467" s="19" t="s">
        <v>297</v>
      </c>
      <c r="N467" s="19" t="s">
        <v>297</v>
      </c>
      <c r="O467" s="19" t="s">
        <v>297</v>
      </c>
      <c r="P467" s="19" t="s">
        <v>297</v>
      </c>
      <c r="Q467" s="19" t="s">
        <v>297</v>
      </c>
    </row>
    <row r="468" spans="1:17" ht="18" x14ac:dyDescent="0.25">
      <c r="A468" s="17" t="s">
        <v>134</v>
      </c>
      <c r="B468" s="17" t="s">
        <v>37</v>
      </c>
      <c r="C468" s="17" t="s">
        <v>135</v>
      </c>
      <c r="D468" s="17" t="s">
        <v>386</v>
      </c>
      <c r="E468" s="26">
        <f>AVERAGE(F468:K468)</f>
        <v>0</v>
      </c>
      <c r="F468" s="26">
        <f>F469*$E$470*0.89</f>
        <v>0</v>
      </c>
      <c r="G468" s="26">
        <f t="shared" ref="G468:K468" si="61">G469*$E$470*0.89</f>
        <v>0</v>
      </c>
      <c r="H468" s="26">
        <f t="shared" si="61"/>
        <v>0</v>
      </c>
      <c r="I468" s="26">
        <f t="shared" si="61"/>
        <v>0</v>
      </c>
      <c r="J468" s="26">
        <f t="shared" si="61"/>
        <v>0</v>
      </c>
      <c r="K468" s="26">
        <f t="shared" si="61"/>
        <v>0</v>
      </c>
      <c r="L468" s="26" t="s">
        <v>297</v>
      </c>
      <c r="M468" s="26" t="s">
        <v>297</v>
      </c>
      <c r="N468" s="26" t="s">
        <v>297</v>
      </c>
      <c r="O468" s="26" t="s">
        <v>297</v>
      </c>
      <c r="P468" s="26" t="s">
        <v>297</v>
      </c>
      <c r="Q468" s="26" t="s">
        <v>297</v>
      </c>
    </row>
    <row r="469" spans="1:17" ht="31.2" x14ac:dyDescent="0.25">
      <c r="A469" s="17" t="s">
        <v>136</v>
      </c>
      <c r="B469" s="17" t="s">
        <v>37</v>
      </c>
      <c r="C469" s="17" t="s">
        <v>46</v>
      </c>
      <c r="D469" s="17" t="s">
        <v>387</v>
      </c>
      <c r="E469" s="25">
        <v>0</v>
      </c>
      <c r="F469" s="25">
        <v>0</v>
      </c>
      <c r="G469" s="25">
        <v>0</v>
      </c>
      <c r="H469" s="25">
        <v>0</v>
      </c>
      <c r="I469" s="25">
        <v>0</v>
      </c>
      <c r="J469" s="25">
        <v>0</v>
      </c>
      <c r="K469" s="25">
        <v>0</v>
      </c>
      <c r="L469" s="25" t="s">
        <v>297</v>
      </c>
      <c r="M469" s="25" t="s">
        <v>297</v>
      </c>
      <c r="N469" s="25" t="s">
        <v>297</v>
      </c>
      <c r="O469" s="25" t="s">
        <v>297</v>
      </c>
      <c r="P469" s="25" t="s">
        <v>297</v>
      </c>
      <c r="Q469" s="25" t="s">
        <v>297</v>
      </c>
    </row>
    <row r="470" spans="1:17" ht="31.2" x14ac:dyDescent="0.25">
      <c r="A470" s="17" t="s">
        <v>137</v>
      </c>
      <c r="B470" s="17" t="s">
        <v>201</v>
      </c>
      <c r="C470" s="17" t="s">
        <v>138</v>
      </c>
      <c r="D470" s="17" t="s">
        <v>388</v>
      </c>
      <c r="E470" s="196">
        <f>(F471*F476+G471*G476+H471*H476+I471*I476+J471*J476+K471*K476)/(F463*F464*F455+G464*G463*G455+H463*H464*H455+I464*I463*I455+J464*J463*J455+K464*K463*K455)</f>
        <v>0.51420976683287034</v>
      </c>
      <c r="F470" s="196"/>
      <c r="G470" s="196"/>
      <c r="H470" s="196"/>
      <c r="I470" s="196"/>
      <c r="J470" s="196"/>
      <c r="K470" s="196"/>
      <c r="L470" s="196"/>
      <c r="M470" s="196"/>
      <c r="N470" s="196"/>
      <c r="O470" s="196"/>
      <c r="P470" s="196"/>
      <c r="Q470" s="196"/>
    </row>
    <row r="471" spans="1:17" ht="31.2" x14ac:dyDescent="0.25">
      <c r="A471" s="17" t="s">
        <v>139</v>
      </c>
      <c r="B471" s="17" t="s">
        <v>37</v>
      </c>
      <c r="C471" s="17" t="s">
        <v>140</v>
      </c>
      <c r="D471" s="17" t="s">
        <v>375</v>
      </c>
      <c r="E471" s="27">
        <f>AVERAGE(F471:K471)</f>
        <v>0.51692418859489864</v>
      </c>
      <c r="F471" s="27">
        <f>IF(F475&lt;283,0,IF(F475&gt;303,1,EXP(($E$472*(F475-$E$473))/($E$474*$E$473*F475))))</f>
        <v>0.28185768352625201</v>
      </c>
      <c r="G471" s="27">
        <f t="shared" ref="G471:K471" si="62">IF(G475&lt;283,0,IF(G475&gt;303,1,EXP(($E$472*(G475-$E$473))/($E$474*$E$473*G475))))</f>
        <v>0.21347704492026076</v>
      </c>
      <c r="H471" s="27">
        <f t="shared" si="62"/>
        <v>0.50475941545474445</v>
      </c>
      <c r="I471" s="27">
        <f t="shared" si="62"/>
        <v>0.52733825786216582</v>
      </c>
      <c r="J471" s="27">
        <f t="shared" si="62"/>
        <v>0.65487347206548807</v>
      </c>
      <c r="K471" s="27">
        <f t="shared" si="62"/>
        <v>0.91923925774048054</v>
      </c>
      <c r="L471" s="27" t="s">
        <v>297</v>
      </c>
      <c r="M471" s="27" t="s">
        <v>297</v>
      </c>
      <c r="N471" s="27" t="s">
        <v>297</v>
      </c>
      <c r="O471" s="27" t="s">
        <v>297</v>
      </c>
      <c r="P471" s="27" t="s">
        <v>297</v>
      </c>
      <c r="Q471" s="27" t="s">
        <v>297</v>
      </c>
    </row>
    <row r="472" spans="1:17" x14ac:dyDescent="0.25">
      <c r="A472" s="17" t="s">
        <v>51</v>
      </c>
      <c r="B472" s="17" t="s">
        <v>52</v>
      </c>
      <c r="C472" s="17" t="s">
        <v>53</v>
      </c>
      <c r="D472" s="17" t="s">
        <v>389</v>
      </c>
      <c r="E472" s="176">
        <v>15175</v>
      </c>
      <c r="F472" s="176"/>
      <c r="G472" s="176"/>
      <c r="H472" s="176"/>
      <c r="I472" s="176"/>
      <c r="J472" s="176"/>
      <c r="K472" s="176"/>
      <c r="L472" s="176"/>
      <c r="M472" s="176"/>
      <c r="N472" s="176"/>
      <c r="O472" s="176"/>
      <c r="P472" s="176"/>
      <c r="Q472" s="176"/>
    </row>
    <row r="473" spans="1:17" ht="18" x14ac:dyDescent="0.25">
      <c r="A473" s="17" t="s">
        <v>141</v>
      </c>
      <c r="B473" s="17" t="s">
        <v>55</v>
      </c>
      <c r="C473" s="17" t="s">
        <v>56</v>
      </c>
      <c r="D473" s="17" t="s">
        <v>389</v>
      </c>
      <c r="E473" s="176">
        <v>303.16000000000003</v>
      </c>
      <c r="F473" s="176"/>
      <c r="G473" s="176"/>
      <c r="H473" s="176"/>
      <c r="I473" s="176"/>
      <c r="J473" s="176"/>
      <c r="K473" s="176"/>
      <c r="L473" s="176"/>
      <c r="M473" s="176"/>
      <c r="N473" s="176"/>
      <c r="O473" s="176"/>
      <c r="P473" s="176"/>
      <c r="Q473" s="176"/>
    </row>
    <row r="474" spans="1:17" x14ac:dyDescent="0.25">
      <c r="A474" s="17" t="s">
        <v>57</v>
      </c>
      <c r="B474" s="17" t="s">
        <v>58</v>
      </c>
      <c r="C474" s="17" t="s">
        <v>59</v>
      </c>
      <c r="D474" s="17" t="s">
        <v>389</v>
      </c>
      <c r="E474" s="176">
        <v>1.9870000000000001</v>
      </c>
      <c r="F474" s="176"/>
      <c r="G474" s="176"/>
      <c r="H474" s="176"/>
      <c r="I474" s="176"/>
      <c r="J474" s="176"/>
      <c r="K474" s="176"/>
      <c r="L474" s="176"/>
      <c r="M474" s="176"/>
      <c r="N474" s="176"/>
      <c r="O474" s="176"/>
      <c r="P474" s="176"/>
      <c r="Q474" s="176"/>
    </row>
    <row r="475" spans="1:17" ht="18" x14ac:dyDescent="0.25">
      <c r="A475" s="17" t="s">
        <v>142</v>
      </c>
      <c r="B475" s="17" t="s">
        <v>55</v>
      </c>
      <c r="C475" s="17" t="s">
        <v>143</v>
      </c>
      <c r="D475" s="144" t="s">
        <v>364</v>
      </c>
      <c r="E475" s="28">
        <f>AVERAGE(F475:K475)</f>
        <v>294.23333333333335</v>
      </c>
      <c r="F475" s="25">
        <v>288.64999999999998</v>
      </c>
      <c r="G475" s="25">
        <v>285.64999999999998</v>
      </c>
      <c r="H475" s="25">
        <v>295.14999999999998</v>
      </c>
      <c r="I475" s="25">
        <v>295.64999999999998</v>
      </c>
      <c r="J475" s="25">
        <v>298.14999999999998</v>
      </c>
      <c r="K475" s="25">
        <v>302.14999999999998</v>
      </c>
      <c r="L475" s="25" t="s">
        <v>297</v>
      </c>
      <c r="M475" s="25" t="s">
        <v>297</v>
      </c>
      <c r="N475" s="25" t="s">
        <v>297</v>
      </c>
      <c r="O475" s="25" t="s">
        <v>297</v>
      </c>
      <c r="P475" s="25" t="s">
        <v>297</v>
      </c>
      <c r="Q475" s="25" t="s">
        <v>297</v>
      </c>
    </row>
    <row r="476" spans="1:17" ht="46.8" x14ac:dyDescent="0.25">
      <c r="A476" s="17" t="s">
        <v>144</v>
      </c>
      <c r="B476" s="17" t="s">
        <v>24</v>
      </c>
      <c r="C476" s="17" t="s">
        <v>145</v>
      </c>
      <c r="D476" s="17" t="s">
        <v>390</v>
      </c>
      <c r="E476" s="29">
        <f>SUM(F476:K476)</f>
        <v>74.581865423333994</v>
      </c>
      <c r="F476" s="29">
        <f>F463*F464*'Project Emissions 2022'!F455+(1-F471)*0</f>
        <v>13.104264200404296</v>
      </c>
      <c r="G476" s="29">
        <f>G463*G464*'Project Emissions 2022'!G455+(1-G471)*0</f>
        <v>11.441735945443451</v>
      </c>
      <c r="H476" s="29">
        <f>H463*H464*'Project Emissions 2022'!H455+(1-H471)*0</f>
        <v>12.952864311773657</v>
      </c>
      <c r="I476" s="29">
        <f>I463*I464*'Project Emissions 2022'!I455+(1-I471)*0</f>
        <v>12.480973023843054</v>
      </c>
      <c r="J476" s="29">
        <f>J463*J464*'Project Emissions 2022'!J455+(1-J471)*0</f>
        <v>13.31596895354731</v>
      </c>
      <c r="K476" s="29">
        <f>K463*K464*'Project Emissions 2022'!K455+(1-K471)*0</f>
        <v>11.286058988322223</v>
      </c>
      <c r="L476" s="29" t="s">
        <v>297</v>
      </c>
      <c r="M476" s="29" t="s">
        <v>297</v>
      </c>
      <c r="N476" s="29" t="s">
        <v>297</v>
      </c>
      <c r="O476" s="29" t="s">
        <v>297</v>
      </c>
      <c r="P476" s="29" t="s">
        <v>297</v>
      </c>
      <c r="Q476" s="29" t="s">
        <v>297</v>
      </c>
    </row>
    <row r="477" spans="1:17" x14ac:dyDescent="0.3">
      <c r="A477" s="30"/>
      <c r="E477" s="31"/>
      <c r="F477" s="31"/>
      <c r="G477" s="31"/>
      <c r="H477" s="31"/>
      <c r="I477" s="31"/>
      <c r="J477" s="31"/>
      <c r="K477" s="31"/>
      <c r="L477" s="31"/>
      <c r="M477" s="31"/>
      <c r="N477" s="31"/>
      <c r="O477" s="31"/>
      <c r="P477" s="31"/>
      <c r="Q477" s="31"/>
    </row>
    <row r="478" spans="1:17" x14ac:dyDescent="0.25">
      <c r="A478" s="174" t="s">
        <v>146</v>
      </c>
      <c r="B478" s="174"/>
      <c r="C478" s="175"/>
      <c r="D478" s="175"/>
      <c r="E478" s="195"/>
      <c r="F478" s="32"/>
      <c r="G478" s="32"/>
      <c r="H478" s="32"/>
      <c r="I478" s="32"/>
      <c r="J478" s="32"/>
      <c r="K478" s="32"/>
      <c r="L478" s="32"/>
      <c r="M478" s="32"/>
      <c r="N478" s="32"/>
      <c r="O478" s="32"/>
      <c r="P478" s="32"/>
      <c r="Q478" s="32"/>
    </row>
    <row r="479" spans="1:17" x14ac:dyDescent="0.25">
      <c r="A479" s="33" t="s">
        <v>8</v>
      </c>
      <c r="B479" s="33" t="s">
        <v>9</v>
      </c>
      <c r="C479" s="34" t="s">
        <v>10</v>
      </c>
      <c r="D479" s="34" t="s">
        <v>340</v>
      </c>
      <c r="E479" s="16" t="s">
        <v>65</v>
      </c>
      <c r="F479" s="32"/>
      <c r="G479" s="32"/>
      <c r="H479" s="32"/>
      <c r="I479" s="32"/>
      <c r="J479" s="32"/>
      <c r="K479" s="32"/>
      <c r="L479" s="32"/>
      <c r="M479" s="32"/>
      <c r="N479" s="32"/>
      <c r="O479" s="32"/>
      <c r="P479" s="32"/>
      <c r="Q479" s="32"/>
    </row>
    <row r="480" spans="1:17" ht="46.8" x14ac:dyDescent="0.25">
      <c r="A480" s="15" t="s">
        <v>147</v>
      </c>
      <c r="B480" s="17" t="s">
        <v>95</v>
      </c>
      <c r="C480" s="35" t="s">
        <v>148</v>
      </c>
      <c r="D480" s="35" t="s">
        <v>68</v>
      </c>
      <c r="E480" s="16">
        <v>0</v>
      </c>
      <c r="F480" s="32"/>
      <c r="G480" s="32"/>
      <c r="H480" s="32"/>
      <c r="I480" s="32"/>
      <c r="J480" s="32"/>
      <c r="K480" s="32"/>
      <c r="L480" s="32"/>
      <c r="M480" s="32"/>
      <c r="N480" s="32"/>
      <c r="O480" s="32"/>
      <c r="P480" s="32"/>
      <c r="Q480" s="32"/>
    </row>
    <row r="481" spans="1:19" x14ac:dyDescent="0.25">
      <c r="A481" s="36"/>
      <c r="B481" s="36"/>
      <c r="C481" s="37"/>
      <c r="D481" s="37"/>
      <c r="E481" s="32"/>
      <c r="F481" s="32"/>
      <c r="G481" s="32"/>
      <c r="H481" s="32"/>
      <c r="I481" s="32"/>
      <c r="J481" s="32"/>
      <c r="K481" s="32"/>
      <c r="L481" s="32"/>
      <c r="M481" s="32"/>
      <c r="N481" s="32"/>
      <c r="O481" s="32"/>
      <c r="P481" s="32"/>
      <c r="Q481" s="32"/>
    </row>
    <row r="482" spans="1:19" x14ac:dyDescent="0.25">
      <c r="A482" s="174" t="s">
        <v>149</v>
      </c>
      <c r="B482" s="174"/>
      <c r="C482" s="175"/>
      <c r="D482" s="175"/>
      <c r="E482" s="195"/>
      <c r="F482" s="32"/>
      <c r="G482" s="32"/>
      <c r="H482" s="32"/>
      <c r="I482" s="32"/>
      <c r="J482" s="32"/>
      <c r="K482" s="32"/>
      <c r="L482" s="32"/>
      <c r="M482" s="32"/>
      <c r="N482" s="32"/>
      <c r="O482" s="32"/>
      <c r="P482" s="32"/>
      <c r="Q482" s="32"/>
    </row>
    <row r="483" spans="1:19" x14ac:dyDescent="0.25">
      <c r="A483" s="33" t="s">
        <v>8</v>
      </c>
      <c r="B483" s="33" t="s">
        <v>9</v>
      </c>
      <c r="C483" s="34" t="s">
        <v>10</v>
      </c>
      <c r="D483" s="34" t="s">
        <v>340</v>
      </c>
      <c r="E483" s="16" t="s">
        <v>65</v>
      </c>
      <c r="F483" s="32"/>
      <c r="G483" s="32"/>
      <c r="H483" s="32"/>
      <c r="I483" s="32"/>
      <c r="J483" s="32"/>
      <c r="K483" s="32"/>
      <c r="L483" s="32"/>
      <c r="M483" s="32"/>
      <c r="N483" s="32"/>
      <c r="O483" s="32"/>
      <c r="P483" s="32"/>
      <c r="Q483" s="32"/>
    </row>
    <row r="484" spans="1:19" ht="46.8" x14ac:dyDescent="0.25">
      <c r="A484" s="15" t="s">
        <v>150</v>
      </c>
      <c r="B484" s="17" t="s">
        <v>95</v>
      </c>
      <c r="C484" s="35" t="s">
        <v>151</v>
      </c>
      <c r="D484" s="35" t="s">
        <v>68</v>
      </c>
      <c r="E484" s="16">
        <v>0</v>
      </c>
      <c r="F484" s="32"/>
      <c r="G484" s="32"/>
      <c r="H484" s="32"/>
      <c r="I484" s="32"/>
      <c r="J484" s="32"/>
      <c r="K484" s="32"/>
      <c r="L484" s="32"/>
      <c r="M484" s="32"/>
      <c r="N484" s="32"/>
      <c r="O484" s="32"/>
      <c r="P484" s="32"/>
      <c r="Q484" s="32"/>
    </row>
    <row r="485" spans="1:19" x14ac:dyDescent="0.25">
      <c r="F485" s="32"/>
      <c r="G485" s="32"/>
      <c r="H485" s="32"/>
      <c r="I485" s="32"/>
      <c r="J485" s="32"/>
      <c r="K485" s="32"/>
      <c r="L485" s="32"/>
      <c r="M485" s="32"/>
      <c r="N485" s="32"/>
      <c r="O485" s="32"/>
      <c r="P485" s="32"/>
      <c r="Q485" s="32"/>
    </row>
    <row r="486" spans="1:19" x14ac:dyDescent="0.25">
      <c r="A486" s="174" t="s">
        <v>152</v>
      </c>
      <c r="B486" s="174"/>
      <c r="C486" s="175"/>
      <c r="D486" s="175"/>
      <c r="E486" s="195"/>
      <c r="F486" s="32"/>
      <c r="G486" s="32"/>
      <c r="H486" s="32"/>
      <c r="I486" s="32"/>
      <c r="J486" s="32"/>
      <c r="K486" s="32"/>
      <c r="L486" s="32"/>
      <c r="M486" s="32"/>
      <c r="N486" s="32"/>
      <c r="O486" s="32"/>
      <c r="P486" s="32"/>
      <c r="Q486" s="32"/>
    </row>
    <row r="487" spans="1:19" s="10" customFormat="1" x14ac:dyDescent="0.25">
      <c r="A487" s="15" t="s">
        <v>8</v>
      </c>
      <c r="B487" s="15" t="s">
        <v>9</v>
      </c>
      <c r="C487" s="38" t="s">
        <v>10</v>
      </c>
      <c r="D487" s="38" t="s">
        <v>340</v>
      </c>
      <c r="E487" s="16" t="s">
        <v>65</v>
      </c>
      <c r="F487" s="32"/>
      <c r="G487" s="32"/>
      <c r="H487" s="39"/>
      <c r="I487" s="39"/>
      <c r="J487" s="39"/>
      <c r="K487" s="39"/>
      <c r="L487" s="39"/>
      <c r="M487" s="39"/>
      <c r="N487" s="39"/>
      <c r="O487" s="39"/>
      <c r="P487" s="39"/>
      <c r="Q487" s="39"/>
    </row>
    <row r="488" spans="1:19" s="10" customFormat="1" ht="18" x14ac:dyDescent="0.4">
      <c r="A488" s="40" t="s">
        <v>153</v>
      </c>
      <c r="B488" s="17" t="s">
        <v>103</v>
      </c>
      <c r="C488" s="35" t="s">
        <v>154</v>
      </c>
      <c r="D488" s="35" t="s">
        <v>155</v>
      </c>
      <c r="E488" s="41">
        <f>E489*E491*(1+E490)</f>
        <v>979.82480051639993</v>
      </c>
      <c r="F488" s="32"/>
      <c r="G488" s="32"/>
      <c r="H488" s="39"/>
      <c r="I488" s="39"/>
      <c r="J488" s="39"/>
      <c r="K488" s="39"/>
      <c r="L488" s="39"/>
      <c r="M488" s="39"/>
      <c r="N488" s="39"/>
      <c r="O488" s="39"/>
      <c r="P488" s="39"/>
      <c r="Q488" s="39"/>
    </row>
    <row r="489" spans="1:19" ht="31.2" x14ac:dyDescent="0.25">
      <c r="A489" s="17" t="s">
        <v>156</v>
      </c>
      <c r="B489" s="17" t="s">
        <v>157</v>
      </c>
      <c r="C489" s="35" t="s">
        <v>158</v>
      </c>
      <c r="D489" s="35" t="s">
        <v>343</v>
      </c>
      <c r="E489" s="20">
        <f>1604639.22/1000</f>
        <v>1604.63922</v>
      </c>
      <c r="G489" s="42"/>
      <c r="H489" s="43"/>
      <c r="I489" s="43"/>
      <c r="J489" s="43"/>
      <c r="K489" s="43"/>
      <c r="L489" s="43"/>
      <c r="M489" s="43"/>
      <c r="N489" s="43"/>
      <c r="O489" s="43"/>
      <c r="P489" s="43"/>
      <c r="Q489" s="43"/>
      <c r="R489" s="9"/>
      <c r="S489" s="9"/>
    </row>
    <row r="490" spans="1:19" ht="31.2" x14ac:dyDescent="0.25">
      <c r="A490" s="17" t="s">
        <v>159</v>
      </c>
      <c r="B490" s="17" t="s">
        <v>160</v>
      </c>
      <c r="C490" s="35" t="s">
        <v>161</v>
      </c>
      <c r="D490" s="35" t="s">
        <v>162</v>
      </c>
      <c r="E490" s="44">
        <v>0.2</v>
      </c>
      <c r="H490" s="43"/>
      <c r="I490" s="43"/>
      <c r="J490" s="43"/>
      <c r="K490" s="43"/>
      <c r="L490" s="43"/>
      <c r="M490" s="43"/>
      <c r="N490" s="43"/>
      <c r="O490" s="43"/>
      <c r="P490" s="43"/>
      <c r="Q490" s="43"/>
      <c r="R490" s="9"/>
      <c r="S490" s="9"/>
    </row>
    <row r="491" spans="1:19" ht="46.8" x14ac:dyDescent="0.25">
      <c r="A491" s="17" t="s">
        <v>163</v>
      </c>
      <c r="B491" s="17" t="s">
        <v>164</v>
      </c>
      <c r="C491" s="35" t="s">
        <v>165</v>
      </c>
      <c r="D491" s="35" t="s">
        <v>166</v>
      </c>
      <c r="E491" s="45">
        <f>0.5*0.8042+0.5*0.2135</f>
        <v>0.50885000000000002</v>
      </c>
      <c r="F491" s="46"/>
      <c r="G491" s="46"/>
      <c r="H491" s="46"/>
      <c r="I491" s="46"/>
      <c r="J491" s="46"/>
      <c r="K491" s="46"/>
      <c r="L491" s="46"/>
      <c r="M491" s="46"/>
      <c r="N491" s="46"/>
      <c r="O491" s="46"/>
      <c r="P491" s="46"/>
      <c r="Q491" s="46"/>
    </row>
    <row r="492" spans="1:19" ht="31.2" x14ac:dyDescent="0.4">
      <c r="A492" s="40" t="s">
        <v>167</v>
      </c>
      <c r="B492" s="17" t="s">
        <v>103</v>
      </c>
      <c r="C492" s="35" t="s">
        <v>168</v>
      </c>
      <c r="D492" s="35" t="s">
        <v>169</v>
      </c>
      <c r="E492" s="47">
        <v>0</v>
      </c>
      <c r="H492" s="43"/>
      <c r="I492" s="43"/>
      <c r="J492" s="43"/>
      <c r="K492" s="43"/>
      <c r="L492" s="43"/>
      <c r="M492" s="43"/>
      <c r="N492" s="43"/>
      <c r="O492" s="43"/>
      <c r="P492" s="43"/>
      <c r="Q492" s="43"/>
      <c r="R492" s="9"/>
      <c r="S492" s="9"/>
    </row>
    <row r="493" spans="1:19" x14ac:dyDescent="0.3">
      <c r="A493" s="48"/>
      <c r="E493" s="49"/>
      <c r="H493" s="43"/>
      <c r="I493" s="43"/>
      <c r="J493" s="43"/>
      <c r="K493" s="43"/>
      <c r="L493" s="43"/>
      <c r="M493" s="43"/>
      <c r="N493" s="43"/>
      <c r="O493" s="43"/>
      <c r="P493" s="43"/>
      <c r="Q493" s="43"/>
      <c r="R493" s="9"/>
      <c r="S493" s="9"/>
    </row>
    <row r="494" spans="1:19" x14ac:dyDescent="0.25">
      <c r="A494" s="174" t="s">
        <v>170</v>
      </c>
      <c r="B494" s="174"/>
      <c r="C494" s="175"/>
      <c r="D494" s="175"/>
      <c r="E494" s="195"/>
      <c r="F494" s="32"/>
      <c r="G494" s="32"/>
      <c r="H494" s="32"/>
      <c r="I494" s="32"/>
      <c r="J494" s="32"/>
      <c r="K494" s="32"/>
      <c r="L494" s="32"/>
      <c r="M494" s="32"/>
      <c r="N494" s="32"/>
      <c r="O494" s="32"/>
      <c r="P494" s="32"/>
      <c r="Q494" s="32"/>
    </row>
    <row r="495" spans="1:19" x14ac:dyDescent="0.25">
      <c r="A495" s="15" t="s">
        <v>8</v>
      </c>
      <c r="B495" s="15" t="s">
        <v>9</v>
      </c>
      <c r="C495" s="38" t="s">
        <v>10</v>
      </c>
      <c r="D495" s="38" t="s">
        <v>340</v>
      </c>
      <c r="E495" s="16" t="s">
        <v>65</v>
      </c>
      <c r="H495" s="43"/>
      <c r="I495" s="43"/>
      <c r="J495" s="43"/>
      <c r="K495" s="43"/>
      <c r="L495" s="43"/>
      <c r="M495" s="43"/>
      <c r="N495" s="43"/>
      <c r="O495" s="43"/>
      <c r="P495" s="43"/>
      <c r="Q495" s="43"/>
      <c r="R495" s="9"/>
      <c r="S495" s="9"/>
    </row>
    <row r="496" spans="1:19" ht="33.6" x14ac:dyDescent="0.4">
      <c r="A496" s="40" t="s">
        <v>171</v>
      </c>
      <c r="B496" s="17" t="s">
        <v>74</v>
      </c>
      <c r="C496" s="35" t="s">
        <v>172</v>
      </c>
      <c r="D496" s="35" t="s">
        <v>391</v>
      </c>
      <c r="E496" s="50">
        <f>E497*E500*E501*E502*E503*E504</f>
        <v>4.3122043852523992</v>
      </c>
      <c r="H496" s="43"/>
      <c r="I496" s="43"/>
      <c r="J496" s="43"/>
      <c r="K496" s="43"/>
      <c r="L496" s="43"/>
      <c r="M496" s="43"/>
      <c r="N496" s="43"/>
      <c r="O496" s="43"/>
      <c r="P496" s="43"/>
      <c r="Q496" s="43"/>
      <c r="R496" s="9"/>
      <c r="S496" s="9"/>
    </row>
    <row r="497" spans="1:19" ht="46.8" x14ac:dyDescent="0.4">
      <c r="A497" s="51" t="s">
        <v>173</v>
      </c>
      <c r="B497" s="17" t="s">
        <v>76</v>
      </c>
      <c r="C497" s="35" t="s">
        <v>174</v>
      </c>
      <c r="D497" s="35" t="s">
        <v>392</v>
      </c>
      <c r="E497" s="69">
        <f>ROUNDUP(E498/E499,0)</f>
        <v>350</v>
      </c>
      <c r="H497" s="43"/>
      <c r="I497" s="43"/>
      <c r="J497" s="43"/>
      <c r="K497" s="43"/>
      <c r="L497" s="43"/>
      <c r="M497" s="43"/>
      <c r="N497" s="43"/>
      <c r="O497" s="43"/>
      <c r="P497" s="43"/>
      <c r="Q497" s="43"/>
      <c r="R497" s="9"/>
      <c r="S497" s="9"/>
    </row>
    <row r="498" spans="1:19" ht="62.4" x14ac:dyDescent="0.25">
      <c r="A498" s="17" t="s">
        <v>175</v>
      </c>
      <c r="B498" s="17" t="s">
        <v>78</v>
      </c>
      <c r="C498" s="35" t="s">
        <v>176</v>
      </c>
      <c r="D498" s="35" t="s">
        <v>346</v>
      </c>
      <c r="E498" s="52">
        <v>1747.3809999999999</v>
      </c>
      <c r="H498" s="43"/>
      <c r="I498" s="43"/>
      <c r="J498" s="43"/>
      <c r="K498" s="43"/>
      <c r="L498" s="43"/>
      <c r="M498" s="43"/>
      <c r="N498" s="43"/>
      <c r="O498" s="43"/>
      <c r="P498" s="43"/>
      <c r="Q498" s="43"/>
      <c r="R498" s="9"/>
      <c r="S498" s="9"/>
    </row>
    <row r="499" spans="1:19" ht="62.4" x14ac:dyDescent="0.25">
      <c r="A499" s="17" t="s">
        <v>177</v>
      </c>
      <c r="B499" s="17" t="s">
        <v>80</v>
      </c>
      <c r="C499" s="35" t="s">
        <v>81</v>
      </c>
      <c r="D499" s="35" t="s">
        <v>345</v>
      </c>
      <c r="E499" s="25">
        <f>5</f>
        <v>5</v>
      </c>
      <c r="H499" s="43"/>
      <c r="I499" s="43"/>
      <c r="J499" s="43"/>
      <c r="K499" s="43"/>
      <c r="L499" s="43"/>
      <c r="M499" s="43"/>
      <c r="N499" s="43"/>
      <c r="O499" s="43"/>
      <c r="P499" s="43"/>
      <c r="Q499" s="43"/>
      <c r="R499" s="9"/>
      <c r="S499" s="9"/>
    </row>
    <row r="500" spans="1:19" ht="202.8" x14ac:dyDescent="0.25">
      <c r="A500" s="17" t="s">
        <v>178</v>
      </c>
      <c r="B500" s="17" t="s">
        <v>82</v>
      </c>
      <c r="C500" s="35" t="s">
        <v>179</v>
      </c>
      <c r="D500" s="35" t="s">
        <v>367</v>
      </c>
      <c r="E500" s="25">
        <v>18.2</v>
      </c>
      <c r="H500" s="43"/>
      <c r="I500" s="43"/>
      <c r="J500" s="43"/>
      <c r="K500" s="43"/>
      <c r="L500" s="43"/>
      <c r="M500" s="43"/>
      <c r="N500" s="43"/>
      <c r="O500" s="43"/>
      <c r="P500" s="43"/>
      <c r="Q500" s="43"/>
      <c r="R500" s="9"/>
      <c r="S500" s="9"/>
    </row>
    <row r="501" spans="1:19" ht="156" x14ac:dyDescent="0.25">
      <c r="A501" s="17" t="s">
        <v>180</v>
      </c>
      <c r="B501" s="17" t="s">
        <v>84</v>
      </c>
      <c r="C501" s="35" t="s">
        <v>85</v>
      </c>
      <c r="D501" s="35" t="s">
        <v>365</v>
      </c>
      <c r="E501" s="25">
        <f>25.1/100</f>
        <v>0.251</v>
      </c>
      <c r="H501" s="43"/>
      <c r="I501" s="43"/>
      <c r="J501" s="43"/>
      <c r="K501" s="43"/>
      <c r="L501" s="43"/>
      <c r="M501" s="43"/>
      <c r="N501" s="43"/>
      <c r="O501" s="43"/>
      <c r="P501" s="43"/>
      <c r="Q501" s="43"/>
      <c r="R501" s="9"/>
      <c r="S501" s="9"/>
    </row>
    <row r="502" spans="1:19" ht="62.4" x14ac:dyDescent="0.25">
      <c r="A502" s="17" t="s">
        <v>86</v>
      </c>
      <c r="B502" s="17" t="s">
        <v>87</v>
      </c>
      <c r="C502" s="35" t="s">
        <v>86</v>
      </c>
      <c r="D502" s="35" t="s">
        <v>215</v>
      </c>
      <c r="E502" s="25">
        <f>0.84/1000</f>
        <v>8.3999999999999993E-4</v>
      </c>
      <c r="H502" s="43"/>
      <c r="I502" s="43"/>
      <c r="J502" s="43"/>
      <c r="K502" s="43"/>
      <c r="L502" s="43"/>
      <c r="M502" s="43"/>
      <c r="N502" s="43"/>
      <c r="O502" s="43"/>
      <c r="P502" s="43"/>
      <c r="Q502" s="43"/>
      <c r="R502" s="9"/>
      <c r="S502" s="9"/>
    </row>
    <row r="503" spans="1:19" ht="124.8" x14ac:dyDescent="0.25">
      <c r="A503" s="17" t="s">
        <v>181</v>
      </c>
      <c r="B503" s="17" t="s">
        <v>88</v>
      </c>
      <c r="C503" s="35" t="s">
        <v>89</v>
      </c>
      <c r="D503" s="35" t="s">
        <v>360</v>
      </c>
      <c r="E503" s="25">
        <f>43.33/1000</f>
        <v>4.333E-2</v>
      </c>
      <c r="H503" s="43"/>
      <c r="I503" s="43"/>
      <c r="J503" s="43"/>
      <c r="K503" s="43"/>
      <c r="L503" s="43"/>
      <c r="M503" s="43"/>
      <c r="N503" s="43"/>
      <c r="O503" s="43"/>
      <c r="P503" s="43"/>
      <c r="Q503" s="43"/>
      <c r="R503" s="9"/>
      <c r="S503" s="9"/>
    </row>
    <row r="504" spans="1:19" ht="33.6" x14ac:dyDescent="0.25">
      <c r="A504" s="17" t="s">
        <v>182</v>
      </c>
      <c r="B504" s="17" t="s">
        <v>90</v>
      </c>
      <c r="C504" s="35" t="s">
        <v>91</v>
      </c>
      <c r="D504" s="35" t="s">
        <v>92</v>
      </c>
      <c r="E504" s="25">
        <v>74.099999999999994</v>
      </c>
      <c r="H504" s="43"/>
      <c r="I504" s="43"/>
      <c r="J504" s="43"/>
      <c r="K504" s="43"/>
      <c r="L504" s="43"/>
      <c r="M504" s="43"/>
      <c r="N504" s="43"/>
      <c r="O504" s="43"/>
      <c r="P504" s="43"/>
      <c r="Q504" s="43"/>
      <c r="R504" s="9"/>
      <c r="S504" s="9"/>
    </row>
    <row r="506" spans="1:19" x14ac:dyDescent="0.25">
      <c r="A506" s="33" t="s">
        <v>8</v>
      </c>
      <c r="B506" s="33" t="s">
        <v>9</v>
      </c>
      <c r="C506" s="34" t="s">
        <v>10</v>
      </c>
      <c r="D506" s="34" t="s">
        <v>340</v>
      </c>
      <c r="E506" s="16" t="s">
        <v>65</v>
      </c>
    </row>
    <row r="507" spans="1:19" ht="18" x14ac:dyDescent="0.25">
      <c r="A507" s="15" t="s">
        <v>183</v>
      </c>
      <c r="B507" s="17" t="s">
        <v>103</v>
      </c>
      <c r="C507" s="35" t="s">
        <v>184</v>
      </c>
      <c r="D507" s="53" t="s">
        <v>393</v>
      </c>
      <c r="E507" s="18">
        <f>ROUNDUP(E456+E480+E484+E488+E496,0)</f>
        <v>985</v>
      </c>
    </row>
    <row r="508" spans="1:19" s="209" customFormat="1" ht="38.4" customHeight="1" x14ac:dyDescent="0.25">
      <c r="A508" s="208" t="s">
        <v>227</v>
      </c>
    </row>
    <row r="509" spans="1:19" s="200" customFormat="1" ht="43.2" customHeight="1" x14ac:dyDescent="0.25">
      <c r="A509" s="200" t="s">
        <v>228</v>
      </c>
    </row>
    <row r="510" spans="1:19" ht="23.4" customHeight="1" x14ac:dyDescent="0.25">
      <c r="A510" s="201" t="s">
        <v>105</v>
      </c>
      <c r="B510" s="201"/>
      <c r="C510" s="201"/>
      <c r="D510" s="201"/>
      <c r="E510" s="201"/>
      <c r="F510" s="201"/>
      <c r="G510" s="201"/>
      <c r="H510" s="201"/>
      <c r="I510" s="201"/>
      <c r="J510" s="201"/>
      <c r="K510" s="201"/>
      <c r="L510" s="201"/>
      <c r="M510" s="201"/>
      <c r="N510" s="201"/>
      <c r="O510" s="201"/>
      <c r="P510" s="201"/>
      <c r="Q510" s="202"/>
    </row>
    <row r="511" spans="1:19" s="10" customFormat="1" ht="31.2" x14ac:dyDescent="0.25">
      <c r="A511" s="15" t="s">
        <v>8</v>
      </c>
      <c r="B511" s="15" t="s">
        <v>9</v>
      </c>
      <c r="C511" s="15" t="s">
        <v>10</v>
      </c>
      <c r="D511" s="15" t="s">
        <v>340</v>
      </c>
      <c r="E511" s="16" t="s">
        <v>11</v>
      </c>
      <c r="F511" s="16" t="s">
        <v>322</v>
      </c>
      <c r="G511" s="16" t="s">
        <v>323</v>
      </c>
      <c r="H511" s="16" t="s">
        <v>324</v>
      </c>
      <c r="I511" s="16" t="s">
        <v>325</v>
      </c>
      <c r="J511" s="16" t="s">
        <v>326</v>
      </c>
      <c r="K511" s="16" t="s">
        <v>329</v>
      </c>
      <c r="L511" s="16" t="s">
        <v>292</v>
      </c>
      <c r="M511" s="16" t="s">
        <v>292</v>
      </c>
      <c r="N511" s="16" t="s">
        <v>292</v>
      </c>
      <c r="O511" s="16" t="s">
        <v>292</v>
      </c>
      <c r="P511" s="16" t="s">
        <v>292</v>
      </c>
      <c r="Q511" s="16" t="s">
        <v>292</v>
      </c>
      <c r="R511" s="54"/>
      <c r="S511" s="54"/>
    </row>
    <row r="512" spans="1:19" s="10" customFormat="1" x14ac:dyDescent="0.25">
      <c r="A512" s="203" t="s">
        <v>106</v>
      </c>
      <c r="B512" s="203"/>
      <c r="C512" s="203"/>
      <c r="D512" s="203"/>
      <c r="E512" s="204"/>
      <c r="F512" s="16">
        <v>31</v>
      </c>
      <c r="G512" s="16">
        <v>28</v>
      </c>
      <c r="H512" s="16">
        <v>31</v>
      </c>
      <c r="I512" s="16">
        <v>30</v>
      </c>
      <c r="J512" s="16">
        <v>31</v>
      </c>
      <c r="K512" s="16">
        <v>30</v>
      </c>
      <c r="L512" s="16" t="s">
        <v>292</v>
      </c>
      <c r="M512" s="16" t="s">
        <v>292</v>
      </c>
      <c r="N512" s="16" t="s">
        <v>292</v>
      </c>
      <c r="O512" s="16" t="s">
        <v>292</v>
      </c>
      <c r="P512" s="16" t="s">
        <v>292</v>
      </c>
      <c r="Q512" s="16" t="s">
        <v>292</v>
      </c>
      <c r="R512" s="54"/>
      <c r="S512" s="54"/>
    </row>
    <row r="513" spans="1:19" s="10" customFormat="1" ht="31.2" x14ac:dyDescent="0.25">
      <c r="A513" s="15" t="s">
        <v>107</v>
      </c>
      <c r="B513" s="17" t="s">
        <v>103</v>
      </c>
      <c r="C513" s="17" t="s">
        <v>108</v>
      </c>
      <c r="D513" s="17" t="s">
        <v>381</v>
      </c>
      <c r="E513" s="18">
        <f>E514+E524</f>
        <v>0</v>
      </c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54"/>
      <c r="S513" s="54"/>
    </row>
    <row r="514" spans="1:19" ht="46.8" x14ac:dyDescent="0.25">
      <c r="A514" s="17" t="s">
        <v>109</v>
      </c>
      <c r="B514" s="17" t="s">
        <v>103</v>
      </c>
      <c r="C514" s="17" t="s">
        <v>110</v>
      </c>
      <c r="D514" s="17" t="s">
        <v>382</v>
      </c>
      <c r="E514" s="19">
        <f>SUM(F514:K514)</f>
        <v>0</v>
      </c>
      <c r="F514" s="19">
        <f>IF(F515&gt;=0.8,0,$E$522*$E$523*0.4*(F516-F519)*F512)</f>
        <v>0</v>
      </c>
      <c r="G514" s="19">
        <f t="shared" ref="G514:K514" si="63">IF(G515&gt;=0.8,0,$E$522*$E$523*0.4*(G516-G519)*G512)</f>
        <v>0</v>
      </c>
      <c r="H514" s="19">
        <f t="shared" si="63"/>
        <v>0</v>
      </c>
      <c r="I514" s="19">
        <f t="shared" si="63"/>
        <v>0</v>
      </c>
      <c r="J514" s="19">
        <f t="shared" si="63"/>
        <v>0</v>
      </c>
      <c r="K514" s="19">
        <f t="shared" si="63"/>
        <v>0</v>
      </c>
      <c r="L514" s="19" t="s">
        <v>297</v>
      </c>
      <c r="M514" s="19" t="s">
        <v>297</v>
      </c>
      <c r="N514" s="19" t="s">
        <v>297</v>
      </c>
      <c r="O514" s="19" t="s">
        <v>297</v>
      </c>
      <c r="P514" s="19" t="s">
        <v>297</v>
      </c>
      <c r="Q514" s="19" t="s">
        <v>297</v>
      </c>
    </row>
    <row r="515" spans="1:19" ht="62.4" x14ac:dyDescent="0.25">
      <c r="A515" s="17" t="s">
        <v>111</v>
      </c>
      <c r="B515" s="17" t="s">
        <v>37</v>
      </c>
      <c r="C515" s="17" t="s">
        <v>112</v>
      </c>
      <c r="D515" s="17" t="s">
        <v>383</v>
      </c>
      <c r="E515" s="20">
        <f>AVERAGE(F515:K515)</f>
        <v>0.95423141610947415</v>
      </c>
      <c r="F515" s="20">
        <f>(F516-F519)/F516</f>
        <v>0.95338244243669679</v>
      </c>
      <c r="G515" s="20">
        <f t="shared" ref="G515:K515" si="64">(G516-G519)/G516</f>
        <v>0.95461599858331381</v>
      </c>
      <c r="H515" s="20">
        <f t="shared" si="64"/>
        <v>0.95427910382382997</v>
      </c>
      <c r="I515" s="20">
        <f t="shared" si="64"/>
        <v>0.95479824746018638</v>
      </c>
      <c r="J515" s="20">
        <f t="shared" si="64"/>
        <v>0.95524857316215084</v>
      </c>
      <c r="K515" s="20">
        <f t="shared" si="64"/>
        <v>0.95306413119066746</v>
      </c>
      <c r="L515" s="20" t="s">
        <v>297</v>
      </c>
      <c r="M515" s="20" t="s">
        <v>297</v>
      </c>
      <c r="N515" s="20" t="s">
        <v>297</v>
      </c>
      <c r="O515" s="20" t="s">
        <v>297</v>
      </c>
      <c r="P515" s="20" t="s">
        <v>297</v>
      </c>
      <c r="Q515" s="20" t="s">
        <v>297</v>
      </c>
    </row>
    <row r="516" spans="1:19" ht="46.8" x14ac:dyDescent="0.25">
      <c r="A516" s="17" t="s">
        <v>113</v>
      </c>
      <c r="B516" s="17" t="s">
        <v>24</v>
      </c>
      <c r="C516" s="17" t="s">
        <v>114</v>
      </c>
      <c r="D516" s="17" t="s">
        <v>384</v>
      </c>
      <c r="E516" s="20">
        <f>SUM(F516:K516)</f>
        <v>12.711995427701305</v>
      </c>
      <c r="F516" s="20">
        <f>F517*F518</f>
        <v>2.0682415809369399</v>
      </c>
      <c r="G516" s="20">
        <f t="shared" ref="G516:K516" si="65">G517*G518</f>
        <v>2.0668781774674532</v>
      </c>
      <c r="H516" s="20">
        <f t="shared" si="65"/>
        <v>2.0670340783102321</v>
      </c>
      <c r="I516" s="20">
        <f t="shared" si="65"/>
        <v>2.0675217115829998</v>
      </c>
      <c r="J516" s="20">
        <f t="shared" si="65"/>
        <v>2.2718276682588452</v>
      </c>
      <c r="K516" s="20">
        <f t="shared" si="65"/>
        <v>2.1704922111448339</v>
      </c>
      <c r="L516" s="20" t="s">
        <v>297</v>
      </c>
      <c r="M516" s="20" t="s">
        <v>297</v>
      </c>
      <c r="N516" s="20" t="s">
        <v>297</v>
      </c>
      <c r="O516" s="20" t="s">
        <v>297</v>
      </c>
      <c r="P516" s="20" t="s">
        <v>297</v>
      </c>
      <c r="Q516" s="20" t="s">
        <v>297</v>
      </c>
    </row>
    <row r="517" spans="1:19" ht="68.400000000000006" customHeight="1" x14ac:dyDescent="0.25">
      <c r="A517" s="17" t="s">
        <v>115</v>
      </c>
      <c r="B517" s="17" t="s">
        <v>116</v>
      </c>
      <c r="C517" s="17" t="s">
        <v>117</v>
      </c>
      <c r="D517" s="17" t="s">
        <v>336</v>
      </c>
      <c r="E517" s="129">
        <f>SUM(F517:K517)</f>
        <v>30060.742404377881</v>
      </c>
      <c r="F517" s="129">
        <f>'Baseline Emissions 2022'!F501</f>
        <v>4850.9131290322566</v>
      </c>
      <c r="G517" s="129">
        <f>'Baseline Emissions 2022'!G501</f>
        <v>4849.8411785714288</v>
      </c>
      <c r="H517" s="129">
        <f>'Baseline Emissions 2022'!H501</f>
        <v>4850.4725161290326</v>
      </c>
      <c r="I517" s="129">
        <f>'Baseline Emissions 2022'!I501</f>
        <v>4850.5572000000002</v>
      </c>
      <c r="J517" s="129">
        <f>'Baseline Emissions 2022'!J501</f>
        <v>5329.992580645162</v>
      </c>
      <c r="K517" s="129">
        <f>'Baseline Emissions 2022'!K501</f>
        <v>5328.9658000000009</v>
      </c>
      <c r="L517" s="21" t="s">
        <v>297</v>
      </c>
      <c r="M517" s="21" t="s">
        <v>297</v>
      </c>
      <c r="N517" s="21" t="s">
        <v>297</v>
      </c>
      <c r="O517" s="21" t="s">
        <v>297</v>
      </c>
      <c r="P517" s="21" t="s">
        <v>297</v>
      </c>
      <c r="Q517" s="21" t="s">
        <v>297</v>
      </c>
    </row>
    <row r="518" spans="1:19" ht="46.8" x14ac:dyDescent="0.25">
      <c r="A518" s="17" t="s">
        <v>118</v>
      </c>
      <c r="B518" s="17" t="s">
        <v>119</v>
      </c>
      <c r="C518" s="17" t="s">
        <v>120</v>
      </c>
      <c r="D518" s="35" t="s">
        <v>338</v>
      </c>
      <c r="E518" s="120">
        <f>AVERAGE(F518:K518)</f>
        <v>4.2307774129544295E-4</v>
      </c>
      <c r="F518" s="130">
        <f>'Baseline Emissions 2022'!F505</f>
        <v>4.2636129032258064E-4</v>
      </c>
      <c r="G518" s="130">
        <f>'Baseline Emissions 2022'!G505</f>
        <v>4.2617440476190469E-4</v>
      </c>
      <c r="H518" s="130">
        <f>'Baseline Emissions 2022'!H505</f>
        <v>4.2615107526881716E-4</v>
      </c>
      <c r="I518" s="130">
        <f>'Baseline Emissions 2022'!I505</f>
        <v>4.2624416666666657E-4</v>
      </c>
      <c r="J518" s="130">
        <f>'Baseline Emissions 2022'!J505</f>
        <v>4.2623467741935482E-4</v>
      </c>
      <c r="K518" s="130">
        <f>'Baseline Emissions 2022'!K505</f>
        <v>4.0730083333333336E-4</v>
      </c>
      <c r="L518" s="23" t="s">
        <v>297</v>
      </c>
      <c r="M518" s="23" t="s">
        <v>297</v>
      </c>
      <c r="N518" s="23" t="s">
        <v>297</v>
      </c>
      <c r="O518" s="23" t="s">
        <v>297</v>
      </c>
      <c r="P518" s="23" t="s">
        <v>297</v>
      </c>
      <c r="Q518" s="23" t="s">
        <v>297</v>
      </c>
    </row>
    <row r="519" spans="1:19" ht="46.8" x14ac:dyDescent="0.25">
      <c r="A519" s="17" t="s">
        <v>121</v>
      </c>
      <c r="B519" s="17" t="s">
        <v>24</v>
      </c>
      <c r="C519" s="17" t="s">
        <v>122</v>
      </c>
      <c r="D519" s="17" t="s">
        <v>384</v>
      </c>
      <c r="E519" s="20">
        <f>SUM(F519:K519)</f>
        <v>0.58172329571139914</v>
      </c>
      <c r="F519" s="20">
        <f>SUM(F520*F521)</f>
        <v>9.6416370954145014E-2</v>
      </c>
      <c r="G519" s="20">
        <f t="shared" ref="G519:K519" si="66">SUM(G520*G521)</f>
        <v>9.3803202134300614E-2</v>
      </c>
      <c r="H519" s="20">
        <f t="shared" si="66"/>
        <v>9.4506650487027388E-2</v>
      </c>
      <c r="I519" s="20">
        <f t="shared" si="66"/>
        <v>9.3455604777666665E-2</v>
      </c>
      <c r="J519" s="20">
        <f t="shared" si="66"/>
        <v>0.10166752968428719</v>
      </c>
      <c r="K519" s="20">
        <f t="shared" si="66"/>
        <v>0.10187393767397224</v>
      </c>
      <c r="L519" s="20" t="s">
        <v>297</v>
      </c>
      <c r="M519" s="20" t="s">
        <v>297</v>
      </c>
      <c r="N519" s="20" t="s">
        <v>297</v>
      </c>
      <c r="O519" s="20" t="s">
        <v>297</v>
      </c>
      <c r="P519" s="20" t="s">
        <v>297</v>
      </c>
      <c r="Q519" s="20" t="s">
        <v>297</v>
      </c>
    </row>
    <row r="520" spans="1:19" ht="62.4" x14ac:dyDescent="0.25">
      <c r="A520" s="17" t="s">
        <v>123</v>
      </c>
      <c r="B520" s="17" t="s">
        <v>116</v>
      </c>
      <c r="C520" s="17" t="s">
        <v>124</v>
      </c>
      <c r="D520" s="17" t="s">
        <v>337</v>
      </c>
      <c r="E520" s="129">
        <f>SUM(F520:K520)</f>
        <v>29376.61009485407</v>
      </c>
      <c r="F520" s="129">
        <v>4738.7189677419365</v>
      </c>
      <c r="G520" s="129">
        <v>4737.0370357142856</v>
      </c>
      <c r="H520" s="129">
        <v>4737.303129032256</v>
      </c>
      <c r="I520" s="129">
        <v>4739.5286000000006</v>
      </c>
      <c r="J520" s="129">
        <v>5212.8571290322579</v>
      </c>
      <c r="K520" s="129">
        <v>5211.1652333333341</v>
      </c>
      <c r="L520" s="21" t="s">
        <v>297</v>
      </c>
      <c r="M520" s="21" t="s">
        <v>297</v>
      </c>
      <c r="N520" s="21" t="s">
        <v>297</v>
      </c>
      <c r="O520" s="21" t="s">
        <v>297</v>
      </c>
      <c r="P520" s="21" t="s">
        <v>297</v>
      </c>
      <c r="Q520" s="21" t="s">
        <v>297</v>
      </c>
    </row>
    <row r="521" spans="1:19" ht="46.8" x14ac:dyDescent="0.25">
      <c r="A521" s="17" t="s">
        <v>125</v>
      </c>
      <c r="B521" s="17" t="s">
        <v>119</v>
      </c>
      <c r="C521" s="17" t="s">
        <v>126</v>
      </c>
      <c r="D521" s="35" t="s">
        <v>339</v>
      </c>
      <c r="E521" s="131">
        <f>AVERAGE(F521:K521)</f>
        <v>1.9811462813620074E-5</v>
      </c>
      <c r="F521" s="131">
        <f>'Baseline Emissions 2022'!F506</f>
        <v>2.0346505376344087E-5</v>
      </c>
      <c r="G521" s="131">
        <f>'Baseline Emissions 2022'!G506</f>
        <v>1.9802083333333338E-5</v>
      </c>
      <c r="H521" s="131">
        <f>'Baseline Emissions 2022'!H506</f>
        <v>1.9949462365591403E-5</v>
      </c>
      <c r="I521" s="131">
        <f>'Baseline Emissions 2022'!I506</f>
        <v>1.9718333333333331E-5</v>
      </c>
      <c r="J521" s="131">
        <f>'Baseline Emissions 2022'!J506</f>
        <v>1.9503225806451611E-5</v>
      </c>
      <c r="K521" s="131">
        <f>'Baseline Emissions 2022'!K506</f>
        <v>1.9549166666666666E-5</v>
      </c>
      <c r="L521" s="24" t="s">
        <v>297</v>
      </c>
      <c r="M521" s="24" t="s">
        <v>297</v>
      </c>
      <c r="N521" s="24" t="s">
        <v>297</v>
      </c>
      <c r="O521" s="24" t="s">
        <v>297</v>
      </c>
      <c r="P521" s="24" t="s">
        <v>297</v>
      </c>
      <c r="Q521" s="24" t="s">
        <v>297</v>
      </c>
    </row>
    <row r="522" spans="1:19" ht="31.2" x14ac:dyDescent="0.25">
      <c r="A522" s="17" t="s">
        <v>127</v>
      </c>
      <c r="B522" s="17" t="s">
        <v>128</v>
      </c>
      <c r="C522" s="17" t="s">
        <v>17</v>
      </c>
      <c r="D522" s="17" t="s">
        <v>129</v>
      </c>
      <c r="E522" s="176">
        <v>28</v>
      </c>
      <c r="F522" s="176"/>
      <c r="G522" s="176"/>
      <c r="H522" s="176"/>
      <c r="I522" s="176"/>
      <c r="J522" s="176"/>
      <c r="K522" s="176"/>
      <c r="L522" s="176"/>
      <c r="M522" s="176"/>
      <c r="N522" s="176"/>
      <c r="O522" s="176"/>
      <c r="P522" s="176"/>
      <c r="Q522" s="176"/>
    </row>
    <row r="523" spans="1:19" ht="64.8" x14ac:dyDescent="0.25">
      <c r="A523" s="17" t="s">
        <v>130</v>
      </c>
      <c r="B523" s="17" t="s">
        <v>19</v>
      </c>
      <c r="C523" s="17" t="s">
        <v>131</v>
      </c>
      <c r="D523" s="17" t="s">
        <v>394</v>
      </c>
      <c r="E523" s="176">
        <v>0.21</v>
      </c>
      <c r="F523" s="176"/>
      <c r="G523" s="176"/>
      <c r="H523" s="176"/>
      <c r="I523" s="176"/>
      <c r="J523" s="176"/>
      <c r="K523" s="176"/>
      <c r="L523" s="176"/>
      <c r="M523" s="176"/>
      <c r="N523" s="176"/>
      <c r="O523" s="176"/>
      <c r="P523" s="176"/>
      <c r="Q523" s="176"/>
    </row>
    <row r="524" spans="1:19" ht="46.8" x14ac:dyDescent="0.25">
      <c r="A524" s="17" t="s">
        <v>132</v>
      </c>
      <c r="B524" s="17" t="s">
        <v>103</v>
      </c>
      <c r="C524" s="17" t="s">
        <v>133</v>
      </c>
      <c r="D524" s="17" t="s">
        <v>385</v>
      </c>
      <c r="E524" s="19">
        <f>SUM(F524:K524)</f>
        <v>0</v>
      </c>
      <c r="F524" s="19">
        <f>$E$522*$E$523*F525*F519*F512</f>
        <v>0</v>
      </c>
      <c r="G524" s="19">
        <f t="shared" ref="G524:K524" si="67">$E$522*$E$523*G525*G519*G512</f>
        <v>0</v>
      </c>
      <c r="H524" s="19">
        <f t="shared" si="67"/>
        <v>0</v>
      </c>
      <c r="I524" s="19">
        <f t="shared" si="67"/>
        <v>0</v>
      </c>
      <c r="J524" s="19">
        <f t="shared" si="67"/>
        <v>0</v>
      </c>
      <c r="K524" s="19">
        <f t="shared" si="67"/>
        <v>0</v>
      </c>
      <c r="L524" s="19" t="s">
        <v>297</v>
      </c>
      <c r="M524" s="19" t="s">
        <v>297</v>
      </c>
      <c r="N524" s="19" t="s">
        <v>297</v>
      </c>
      <c r="O524" s="19" t="s">
        <v>297</v>
      </c>
      <c r="P524" s="19" t="s">
        <v>297</v>
      </c>
      <c r="Q524" s="19" t="s">
        <v>297</v>
      </c>
    </row>
    <row r="525" spans="1:19" ht="18" x14ac:dyDescent="0.25">
      <c r="A525" s="17" t="s">
        <v>134</v>
      </c>
      <c r="B525" s="17" t="s">
        <v>37</v>
      </c>
      <c r="C525" s="17" t="s">
        <v>135</v>
      </c>
      <c r="D525" s="17" t="s">
        <v>386</v>
      </c>
      <c r="E525" s="26">
        <f>AVERAGE(F525:K525)</f>
        <v>0</v>
      </c>
      <c r="F525" s="26">
        <f>F526*$E$527*0.89</f>
        <v>0</v>
      </c>
      <c r="G525" s="26">
        <f t="shared" ref="G525:K525" si="68">G526*$E$527*0.89</f>
        <v>0</v>
      </c>
      <c r="H525" s="26">
        <f t="shared" si="68"/>
        <v>0</v>
      </c>
      <c r="I525" s="26">
        <f t="shared" si="68"/>
        <v>0</v>
      </c>
      <c r="J525" s="26">
        <f t="shared" si="68"/>
        <v>0</v>
      </c>
      <c r="K525" s="26">
        <f t="shared" si="68"/>
        <v>0</v>
      </c>
      <c r="L525" s="26" t="s">
        <v>297</v>
      </c>
      <c r="M525" s="26" t="s">
        <v>297</v>
      </c>
      <c r="N525" s="26" t="s">
        <v>297</v>
      </c>
      <c r="O525" s="26" t="s">
        <v>297</v>
      </c>
      <c r="P525" s="26" t="s">
        <v>297</v>
      </c>
      <c r="Q525" s="26" t="s">
        <v>297</v>
      </c>
    </row>
    <row r="526" spans="1:19" ht="31.2" x14ac:dyDescent="0.25">
      <c r="A526" s="17" t="s">
        <v>136</v>
      </c>
      <c r="B526" s="17" t="s">
        <v>37</v>
      </c>
      <c r="C526" s="17" t="s">
        <v>46</v>
      </c>
      <c r="D526" s="17" t="s">
        <v>387</v>
      </c>
      <c r="E526" s="25">
        <v>0</v>
      </c>
      <c r="F526" s="25">
        <v>0</v>
      </c>
      <c r="G526" s="25">
        <v>0</v>
      </c>
      <c r="H526" s="25">
        <v>0</v>
      </c>
      <c r="I526" s="25">
        <v>0</v>
      </c>
      <c r="J526" s="25">
        <v>0</v>
      </c>
      <c r="K526" s="25">
        <v>0</v>
      </c>
      <c r="L526" s="25" t="s">
        <v>297</v>
      </c>
      <c r="M526" s="25" t="s">
        <v>297</v>
      </c>
      <c r="N526" s="25" t="s">
        <v>297</v>
      </c>
      <c r="O526" s="25" t="s">
        <v>297</v>
      </c>
      <c r="P526" s="25" t="s">
        <v>297</v>
      </c>
      <c r="Q526" s="25" t="s">
        <v>297</v>
      </c>
    </row>
    <row r="527" spans="1:19" ht="31.2" x14ac:dyDescent="0.25">
      <c r="A527" s="17" t="s">
        <v>137</v>
      </c>
      <c r="B527" s="17" t="s">
        <v>201</v>
      </c>
      <c r="C527" s="17" t="s">
        <v>138</v>
      </c>
      <c r="D527" s="17" t="s">
        <v>388</v>
      </c>
      <c r="E527" s="196">
        <f>(F528*F533+G528*G533+H528*H533+I528*I533+J528*J533+K528*K533)/(F520*F521*F512+G521*G520*G512+H520*H521*H512+I521*I520*I512+J521*J520*J512+K521*K520*K512)</f>
        <v>0.49266224930113733</v>
      </c>
      <c r="F527" s="196"/>
      <c r="G527" s="196"/>
      <c r="H527" s="196"/>
      <c r="I527" s="196"/>
      <c r="J527" s="196"/>
      <c r="K527" s="196"/>
      <c r="L527" s="196"/>
      <c r="M527" s="196"/>
      <c r="N527" s="196"/>
      <c r="O527" s="196"/>
      <c r="P527" s="196"/>
      <c r="Q527" s="196"/>
    </row>
    <row r="528" spans="1:19" ht="31.2" x14ac:dyDescent="0.25">
      <c r="A528" s="17" t="s">
        <v>139</v>
      </c>
      <c r="B528" s="17" t="s">
        <v>37</v>
      </c>
      <c r="C528" s="17" t="s">
        <v>140</v>
      </c>
      <c r="D528" s="17" t="s">
        <v>375</v>
      </c>
      <c r="E528" s="27">
        <f>AVERAGE(F528:K528)</f>
        <v>0.4842798201038388</v>
      </c>
      <c r="F528" s="27">
        <f>IF(F532&lt;283,0,IF(F532&gt;303,1,EXP(($E$529*(F532-$E$530))/($E$531*$E$530*F532))))</f>
        <v>0.26921004737855481</v>
      </c>
      <c r="G528" s="27">
        <f t="shared" ref="G528:K528" si="69">IF(G532&lt;283,0,IF(G532&gt;303,1,EXP(($E$529*(G532-$E$530))/($E$531*$E$530*G532))))</f>
        <v>0.19433887196192873</v>
      </c>
      <c r="H528" s="27">
        <f t="shared" si="69"/>
        <v>0.44226396815696317</v>
      </c>
      <c r="I528" s="27">
        <f t="shared" si="69"/>
        <v>0.52733825786216582</v>
      </c>
      <c r="J528" s="27">
        <f t="shared" si="69"/>
        <v>0.62729263560178183</v>
      </c>
      <c r="K528" s="27">
        <f t="shared" si="69"/>
        <v>0.84523513966163832</v>
      </c>
      <c r="L528" s="27" t="s">
        <v>297</v>
      </c>
      <c r="M528" s="27" t="s">
        <v>297</v>
      </c>
      <c r="N528" s="27" t="s">
        <v>297</v>
      </c>
      <c r="O528" s="27" t="s">
        <v>297</v>
      </c>
      <c r="P528" s="27" t="s">
        <v>297</v>
      </c>
      <c r="Q528" s="27" t="s">
        <v>297</v>
      </c>
    </row>
    <row r="529" spans="1:17" x14ac:dyDescent="0.25">
      <c r="A529" s="17" t="s">
        <v>51</v>
      </c>
      <c r="B529" s="17" t="s">
        <v>52</v>
      </c>
      <c r="C529" s="17" t="s">
        <v>53</v>
      </c>
      <c r="D529" s="17" t="s">
        <v>389</v>
      </c>
      <c r="E529" s="176">
        <v>15175</v>
      </c>
      <c r="F529" s="176"/>
      <c r="G529" s="176"/>
      <c r="H529" s="176"/>
      <c r="I529" s="176"/>
      <c r="J529" s="176"/>
      <c r="K529" s="176"/>
      <c r="L529" s="176"/>
      <c r="M529" s="176"/>
      <c r="N529" s="176"/>
      <c r="O529" s="176"/>
      <c r="P529" s="176"/>
      <c r="Q529" s="176"/>
    </row>
    <row r="530" spans="1:17" ht="18" x14ac:dyDescent="0.25">
      <c r="A530" s="17" t="s">
        <v>141</v>
      </c>
      <c r="B530" s="17" t="s">
        <v>55</v>
      </c>
      <c r="C530" s="17" t="s">
        <v>56</v>
      </c>
      <c r="D530" s="17" t="s">
        <v>389</v>
      </c>
      <c r="E530" s="176">
        <v>303.16000000000003</v>
      </c>
      <c r="F530" s="176"/>
      <c r="G530" s="176"/>
      <c r="H530" s="176"/>
      <c r="I530" s="176"/>
      <c r="J530" s="176"/>
      <c r="K530" s="176"/>
      <c r="L530" s="176"/>
      <c r="M530" s="176"/>
      <c r="N530" s="176"/>
      <c r="O530" s="176"/>
      <c r="P530" s="176"/>
      <c r="Q530" s="176"/>
    </row>
    <row r="531" spans="1:17" x14ac:dyDescent="0.25">
      <c r="A531" s="17" t="s">
        <v>57</v>
      </c>
      <c r="B531" s="17" t="s">
        <v>58</v>
      </c>
      <c r="C531" s="17" t="s">
        <v>59</v>
      </c>
      <c r="D531" s="17" t="s">
        <v>389</v>
      </c>
      <c r="E531" s="176">
        <v>1.9870000000000001</v>
      </c>
      <c r="F531" s="176"/>
      <c r="G531" s="176"/>
      <c r="H531" s="176"/>
      <c r="I531" s="176"/>
      <c r="J531" s="176"/>
      <c r="K531" s="176"/>
      <c r="L531" s="176"/>
      <c r="M531" s="176"/>
      <c r="N531" s="176"/>
      <c r="O531" s="176"/>
      <c r="P531" s="176"/>
      <c r="Q531" s="176"/>
    </row>
    <row r="532" spans="1:17" ht="18" x14ac:dyDescent="0.25">
      <c r="A532" s="17" t="s">
        <v>142</v>
      </c>
      <c r="B532" s="17" t="s">
        <v>55</v>
      </c>
      <c r="C532" s="17" t="s">
        <v>143</v>
      </c>
      <c r="D532" s="144" t="s">
        <v>363</v>
      </c>
      <c r="E532" s="28">
        <f>AVERAGE(F532:K532)</f>
        <v>293.48333333333335</v>
      </c>
      <c r="F532" s="25">
        <v>288.14999999999998</v>
      </c>
      <c r="G532" s="25">
        <v>284.64999999999998</v>
      </c>
      <c r="H532" s="25">
        <v>293.64999999999998</v>
      </c>
      <c r="I532" s="25">
        <v>295.64999999999998</v>
      </c>
      <c r="J532" s="25">
        <v>297.64999999999998</v>
      </c>
      <c r="K532" s="25">
        <v>301.14999999999998</v>
      </c>
      <c r="L532" s="25" t="s">
        <v>297</v>
      </c>
      <c r="M532" s="25" t="s">
        <v>297</v>
      </c>
      <c r="N532" s="25" t="s">
        <v>297</v>
      </c>
      <c r="O532" s="25" t="s">
        <v>297</v>
      </c>
      <c r="P532" s="25" t="s">
        <v>297</v>
      </c>
      <c r="Q532" s="25" t="s">
        <v>297</v>
      </c>
    </row>
    <row r="533" spans="1:17" ht="46.8" x14ac:dyDescent="0.25">
      <c r="A533" s="17" t="s">
        <v>144</v>
      </c>
      <c r="B533" s="17" t="s">
        <v>24</v>
      </c>
      <c r="C533" s="17" t="s">
        <v>145</v>
      </c>
      <c r="D533" s="17" t="s">
        <v>390</v>
      </c>
      <c r="E533" s="29">
        <f>SUM(F533:K533)</f>
        <v>17.556683018198832</v>
      </c>
      <c r="F533" s="29">
        <f>F520*F521*'Project Emissions 2022'!F512+(1-F528)*0</f>
        <v>2.9889074995784952</v>
      </c>
      <c r="G533" s="29">
        <f>G520*G521*'Project Emissions 2022'!G512+(1-G528)*0</f>
        <v>2.6264896597604173</v>
      </c>
      <c r="H533" s="29">
        <f>H520*H521*'Project Emissions 2022'!H512+(1-H528)*0</f>
        <v>2.9297061650978491</v>
      </c>
      <c r="I533" s="29">
        <f>I520*I521*'Project Emissions 2022'!I512+(1-I528)*0</f>
        <v>2.8036681433299999</v>
      </c>
      <c r="J533" s="29">
        <f>J520*J521*'Project Emissions 2022'!J512+(1-J528)*0</f>
        <v>3.151693420212903</v>
      </c>
      <c r="K533" s="29">
        <f>K520*K521*'Project Emissions 2022'!K512+(1-K528)*0</f>
        <v>3.0562181302191673</v>
      </c>
      <c r="L533" s="29" t="s">
        <v>297</v>
      </c>
      <c r="M533" s="29" t="s">
        <v>297</v>
      </c>
      <c r="N533" s="29" t="s">
        <v>297</v>
      </c>
      <c r="O533" s="29" t="s">
        <v>297</v>
      </c>
      <c r="P533" s="29" t="s">
        <v>297</v>
      </c>
      <c r="Q533" s="29" t="s">
        <v>297</v>
      </c>
    </row>
    <row r="534" spans="1:17" x14ac:dyDescent="0.3">
      <c r="A534" s="30"/>
      <c r="E534" s="31"/>
      <c r="F534" s="31"/>
      <c r="G534" s="31"/>
      <c r="H534" s="31"/>
      <c r="I534" s="31"/>
      <c r="J534" s="31"/>
      <c r="K534" s="31"/>
      <c r="L534" s="31"/>
      <c r="M534" s="31"/>
      <c r="N534" s="31"/>
      <c r="O534" s="31"/>
      <c r="P534" s="31"/>
      <c r="Q534" s="31"/>
    </row>
    <row r="535" spans="1:17" x14ac:dyDescent="0.25">
      <c r="A535" s="174" t="s">
        <v>146</v>
      </c>
      <c r="B535" s="174"/>
      <c r="C535" s="175"/>
      <c r="D535" s="175"/>
      <c r="E535" s="195"/>
      <c r="F535" s="32"/>
      <c r="G535" s="32"/>
      <c r="H535" s="32"/>
      <c r="I535" s="32"/>
      <c r="J535" s="32"/>
      <c r="K535" s="32"/>
      <c r="L535" s="32"/>
      <c r="M535" s="32"/>
      <c r="N535" s="32"/>
      <c r="O535" s="32"/>
      <c r="P535" s="32"/>
      <c r="Q535" s="32"/>
    </row>
    <row r="536" spans="1:17" x14ac:dyDescent="0.25">
      <c r="A536" s="33" t="s">
        <v>8</v>
      </c>
      <c r="B536" s="33" t="s">
        <v>9</v>
      </c>
      <c r="C536" s="34" t="s">
        <v>10</v>
      </c>
      <c r="D536" s="34" t="s">
        <v>340</v>
      </c>
      <c r="E536" s="16" t="s">
        <v>65</v>
      </c>
      <c r="F536" s="32"/>
      <c r="G536" s="32"/>
      <c r="H536" s="32"/>
      <c r="I536" s="32"/>
      <c r="J536" s="32"/>
      <c r="K536" s="32"/>
      <c r="L536" s="32"/>
      <c r="M536" s="32"/>
      <c r="N536" s="32"/>
      <c r="O536" s="32"/>
      <c r="P536" s="32"/>
      <c r="Q536" s="32"/>
    </row>
    <row r="537" spans="1:17" ht="46.8" x14ac:dyDescent="0.25">
      <c r="A537" s="15" t="s">
        <v>147</v>
      </c>
      <c r="B537" s="17" t="s">
        <v>95</v>
      </c>
      <c r="C537" s="35" t="s">
        <v>148</v>
      </c>
      <c r="D537" s="35" t="s">
        <v>68</v>
      </c>
      <c r="E537" s="16">
        <v>0</v>
      </c>
      <c r="F537" s="32"/>
      <c r="G537" s="32"/>
      <c r="H537" s="32"/>
      <c r="I537" s="32"/>
      <c r="J537" s="32"/>
      <c r="K537" s="32"/>
      <c r="L537" s="32"/>
      <c r="M537" s="32"/>
      <c r="N537" s="32"/>
      <c r="O537" s="32"/>
      <c r="P537" s="32"/>
      <c r="Q537" s="32"/>
    </row>
    <row r="538" spans="1:17" x14ac:dyDescent="0.25">
      <c r="A538" s="36"/>
      <c r="B538" s="36"/>
      <c r="C538" s="37"/>
      <c r="D538" s="37"/>
      <c r="E538" s="32"/>
      <c r="F538" s="32"/>
      <c r="G538" s="32"/>
      <c r="H538" s="32"/>
      <c r="I538" s="32"/>
      <c r="J538" s="32"/>
      <c r="K538" s="32"/>
      <c r="L538" s="32"/>
      <c r="M538" s="32"/>
      <c r="N538" s="32"/>
      <c r="O538" s="32"/>
      <c r="P538" s="32"/>
      <c r="Q538" s="32"/>
    </row>
    <row r="539" spans="1:17" x14ac:dyDescent="0.25">
      <c r="A539" s="174" t="s">
        <v>149</v>
      </c>
      <c r="B539" s="174"/>
      <c r="C539" s="175"/>
      <c r="D539" s="175"/>
      <c r="E539" s="195"/>
      <c r="F539" s="32"/>
      <c r="G539" s="32"/>
      <c r="H539" s="32"/>
      <c r="I539" s="32"/>
      <c r="J539" s="32"/>
      <c r="K539" s="32"/>
      <c r="L539" s="32"/>
      <c r="M539" s="32"/>
      <c r="N539" s="32"/>
      <c r="O539" s="32"/>
      <c r="P539" s="32"/>
      <c r="Q539" s="32"/>
    </row>
    <row r="540" spans="1:17" x14ac:dyDescent="0.25">
      <c r="A540" s="33" t="s">
        <v>8</v>
      </c>
      <c r="B540" s="33" t="s">
        <v>9</v>
      </c>
      <c r="C540" s="34" t="s">
        <v>10</v>
      </c>
      <c r="D540" s="34" t="s">
        <v>340</v>
      </c>
      <c r="E540" s="16" t="s">
        <v>65</v>
      </c>
      <c r="F540" s="32"/>
      <c r="G540" s="32"/>
      <c r="H540" s="32"/>
      <c r="I540" s="32"/>
      <c r="J540" s="32"/>
      <c r="K540" s="32"/>
      <c r="L540" s="32"/>
      <c r="M540" s="32"/>
      <c r="N540" s="32"/>
      <c r="O540" s="32"/>
      <c r="P540" s="32"/>
      <c r="Q540" s="32"/>
    </row>
    <row r="541" spans="1:17" ht="46.8" x14ac:dyDescent="0.25">
      <c r="A541" s="15" t="s">
        <v>150</v>
      </c>
      <c r="B541" s="17" t="s">
        <v>95</v>
      </c>
      <c r="C541" s="35" t="s">
        <v>151</v>
      </c>
      <c r="D541" s="35" t="s">
        <v>68</v>
      </c>
      <c r="E541" s="16">
        <v>0</v>
      </c>
      <c r="F541" s="32"/>
      <c r="G541" s="32"/>
      <c r="H541" s="32"/>
      <c r="I541" s="32"/>
      <c r="J541" s="32"/>
      <c r="K541" s="32"/>
      <c r="L541" s="32"/>
      <c r="M541" s="32"/>
      <c r="N541" s="32"/>
      <c r="O541" s="32"/>
      <c r="P541" s="32"/>
      <c r="Q541" s="32"/>
    </row>
    <row r="542" spans="1:17" x14ac:dyDescent="0.25">
      <c r="F542" s="32"/>
      <c r="G542" s="32"/>
      <c r="H542" s="32"/>
      <c r="I542" s="32"/>
      <c r="J542" s="32"/>
      <c r="K542" s="32"/>
      <c r="L542" s="32"/>
      <c r="M542" s="32"/>
      <c r="N542" s="32"/>
      <c r="O542" s="32"/>
      <c r="P542" s="32"/>
      <c r="Q542" s="32"/>
    </row>
    <row r="543" spans="1:17" x14ac:dyDescent="0.25">
      <c r="A543" s="174" t="s">
        <v>152</v>
      </c>
      <c r="B543" s="174"/>
      <c r="C543" s="175"/>
      <c r="D543" s="175"/>
      <c r="E543" s="195"/>
      <c r="F543" s="32"/>
      <c r="G543" s="32"/>
      <c r="H543" s="32"/>
      <c r="I543" s="32"/>
      <c r="J543" s="32"/>
      <c r="K543" s="32"/>
      <c r="L543" s="32"/>
      <c r="M543" s="32"/>
      <c r="N543" s="32"/>
      <c r="O543" s="32"/>
      <c r="P543" s="32"/>
      <c r="Q543" s="32"/>
    </row>
    <row r="544" spans="1:17" s="10" customFormat="1" x14ac:dyDescent="0.25">
      <c r="A544" s="15" t="s">
        <v>8</v>
      </c>
      <c r="B544" s="15" t="s">
        <v>9</v>
      </c>
      <c r="C544" s="38" t="s">
        <v>10</v>
      </c>
      <c r="D544" s="38" t="s">
        <v>340</v>
      </c>
      <c r="E544" s="16" t="s">
        <v>65</v>
      </c>
      <c r="F544" s="32"/>
      <c r="G544" s="32"/>
      <c r="H544" s="39"/>
      <c r="I544" s="39"/>
      <c r="J544" s="39"/>
      <c r="K544" s="39"/>
      <c r="L544" s="39"/>
      <c r="M544" s="39"/>
      <c r="N544" s="39"/>
      <c r="O544" s="39"/>
      <c r="P544" s="39"/>
      <c r="Q544" s="39"/>
    </row>
    <row r="545" spans="1:19" s="10" customFormat="1" ht="18" x14ac:dyDescent="0.4">
      <c r="A545" s="40" t="s">
        <v>153</v>
      </c>
      <c r="B545" s="17" t="s">
        <v>103</v>
      </c>
      <c r="C545" s="35" t="s">
        <v>154</v>
      </c>
      <c r="D545" s="35" t="s">
        <v>155</v>
      </c>
      <c r="E545" s="41">
        <f>E546*E548*(1+E547)</f>
        <v>205.88204318699999</v>
      </c>
      <c r="F545" s="32"/>
      <c r="G545" s="32"/>
      <c r="H545" s="39"/>
      <c r="I545" s="39"/>
      <c r="J545" s="39"/>
      <c r="K545" s="39"/>
      <c r="L545" s="39"/>
      <c r="M545" s="39"/>
      <c r="N545" s="39"/>
      <c r="O545" s="39"/>
      <c r="P545" s="39"/>
      <c r="Q545" s="39"/>
    </row>
    <row r="546" spans="1:19" ht="31.2" x14ac:dyDescent="0.25">
      <c r="A546" s="17" t="s">
        <v>156</v>
      </c>
      <c r="B546" s="17" t="s">
        <v>157</v>
      </c>
      <c r="C546" s="35" t="s">
        <v>158</v>
      </c>
      <c r="D546" s="35" t="s">
        <v>343</v>
      </c>
      <c r="E546" s="20">
        <f>337168.85/1000</f>
        <v>337.16884999999996</v>
      </c>
      <c r="G546" s="42"/>
      <c r="H546" s="43"/>
      <c r="I546" s="43"/>
      <c r="J546" s="43"/>
      <c r="K546" s="43"/>
      <c r="L546" s="43"/>
      <c r="M546" s="43"/>
      <c r="N546" s="43"/>
      <c r="O546" s="43"/>
      <c r="P546" s="43"/>
      <c r="Q546" s="43"/>
      <c r="R546" s="9"/>
      <c r="S546" s="9"/>
    </row>
    <row r="547" spans="1:19" ht="31.2" x14ac:dyDescent="0.25">
      <c r="A547" s="17" t="s">
        <v>159</v>
      </c>
      <c r="B547" s="17" t="s">
        <v>160</v>
      </c>
      <c r="C547" s="35" t="s">
        <v>161</v>
      </c>
      <c r="D547" s="35" t="s">
        <v>162</v>
      </c>
      <c r="E547" s="44">
        <v>0.2</v>
      </c>
      <c r="H547" s="43"/>
      <c r="I547" s="43"/>
      <c r="J547" s="43"/>
      <c r="K547" s="43"/>
      <c r="L547" s="43"/>
      <c r="M547" s="43"/>
      <c r="N547" s="43"/>
      <c r="O547" s="43"/>
      <c r="P547" s="43"/>
      <c r="Q547" s="43"/>
      <c r="R547" s="9"/>
      <c r="S547" s="9"/>
    </row>
    <row r="548" spans="1:19" ht="46.8" x14ac:dyDescent="0.25">
      <c r="A548" s="17" t="s">
        <v>163</v>
      </c>
      <c r="B548" s="17" t="s">
        <v>164</v>
      </c>
      <c r="C548" s="35" t="s">
        <v>165</v>
      </c>
      <c r="D548" s="35" t="s">
        <v>166</v>
      </c>
      <c r="E548" s="45">
        <f>0.5*0.8042+0.5*0.2135</f>
        <v>0.50885000000000002</v>
      </c>
      <c r="F548" s="46"/>
      <c r="G548" s="46"/>
      <c r="H548" s="46"/>
      <c r="I548" s="46"/>
      <c r="J548" s="46"/>
      <c r="K548" s="46"/>
      <c r="L548" s="46"/>
      <c r="M548" s="46"/>
      <c r="N548" s="46"/>
      <c r="O548" s="46"/>
      <c r="P548" s="46"/>
      <c r="Q548" s="46"/>
    </row>
    <row r="549" spans="1:19" ht="31.2" x14ac:dyDescent="0.4">
      <c r="A549" s="40" t="s">
        <v>167</v>
      </c>
      <c r="B549" s="17" t="s">
        <v>103</v>
      </c>
      <c r="C549" s="35" t="s">
        <v>168</v>
      </c>
      <c r="D549" s="35" t="s">
        <v>169</v>
      </c>
      <c r="E549" s="47">
        <v>0</v>
      </c>
      <c r="H549" s="43"/>
      <c r="I549" s="43"/>
      <c r="J549" s="43"/>
      <c r="K549" s="43"/>
      <c r="L549" s="43"/>
      <c r="M549" s="43"/>
      <c r="N549" s="43"/>
      <c r="O549" s="43"/>
      <c r="P549" s="43"/>
      <c r="Q549" s="43"/>
      <c r="R549" s="9"/>
      <c r="S549" s="9"/>
    </row>
    <row r="550" spans="1:19" x14ac:dyDescent="0.3">
      <c r="A550" s="48"/>
      <c r="E550" s="49"/>
      <c r="H550" s="43"/>
      <c r="I550" s="43"/>
      <c r="J550" s="43"/>
      <c r="K550" s="43"/>
      <c r="L550" s="43"/>
      <c r="M550" s="43"/>
      <c r="N550" s="43"/>
      <c r="O550" s="43"/>
      <c r="P550" s="43"/>
      <c r="Q550" s="43"/>
      <c r="R550" s="9"/>
      <c r="S550" s="9"/>
    </row>
    <row r="551" spans="1:19" x14ac:dyDescent="0.25">
      <c r="A551" s="174" t="s">
        <v>170</v>
      </c>
      <c r="B551" s="174"/>
      <c r="C551" s="175"/>
      <c r="D551" s="175"/>
      <c r="E551" s="195"/>
      <c r="F551" s="32"/>
      <c r="G551" s="32"/>
      <c r="H551" s="32"/>
      <c r="I551" s="32"/>
      <c r="J551" s="32"/>
      <c r="K551" s="32"/>
      <c r="L551" s="32"/>
      <c r="M551" s="32"/>
      <c r="N551" s="32"/>
      <c r="O551" s="32"/>
      <c r="P551" s="32"/>
      <c r="Q551" s="32"/>
    </row>
    <row r="552" spans="1:19" x14ac:dyDescent="0.25">
      <c r="A552" s="15" t="s">
        <v>8</v>
      </c>
      <c r="B552" s="15" t="s">
        <v>9</v>
      </c>
      <c r="C552" s="38" t="s">
        <v>10</v>
      </c>
      <c r="D552" s="38" t="s">
        <v>340</v>
      </c>
      <c r="E552" s="16" t="s">
        <v>65</v>
      </c>
      <c r="H552" s="43"/>
      <c r="I552" s="43"/>
      <c r="J552" s="43"/>
      <c r="K552" s="43"/>
      <c r="L552" s="43"/>
      <c r="M552" s="43"/>
      <c r="N552" s="43"/>
      <c r="O552" s="43"/>
      <c r="P552" s="43"/>
      <c r="Q552" s="43"/>
      <c r="R552" s="9"/>
      <c r="S552" s="9"/>
    </row>
    <row r="553" spans="1:19" ht="33.6" x14ac:dyDescent="0.4">
      <c r="A553" s="40" t="s">
        <v>171</v>
      </c>
      <c r="B553" s="17" t="s">
        <v>74</v>
      </c>
      <c r="C553" s="35" t="s">
        <v>172</v>
      </c>
      <c r="D553" s="35" t="s">
        <v>391</v>
      </c>
      <c r="E553" s="50">
        <f>E554*E557*E558*E559*E560*E561</f>
        <v>11.719176991481229</v>
      </c>
      <c r="H553" s="43"/>
      <c r="I553" s="43"/>
      <c r="J553" s="43"/>
      <c r="K553" s="43"/>
      <c r="L553" s="43"/>
      <c r="M553" s="43"/>
      <c r="N553" s="43"/>
      <c r="O553" s="43"/>
      <c r="P553" s="43"/>
      <c r="Q553" s="43"/>
      <c r="R553" s="9"/>
      <c r="S553" s="9"/>
    </row>
    <row r="554" spans="1:19" ht="46.8" x14ac:dyDescent="0.4">
      <c r="A554" s="51" t="s">
        <v>173</v>
      </c>
      <c r="B554" s="17" t="s">
        <v>76</v>
      </c>
      <c r="C554" s="35" t="s">
        <v>174</v>
      </c>
      <c r="D554" s="35" t="s">
        <v>392</v>
      </c>
      <c r="E554" s="69">
        <f>ROUNDUP(E555/E556,0)</f>
        <v>113</v>
      </c>
      <c r="H554" s="43"/>
      <c r="I554" s="43"/>
      <c r="J554" s="43"/>
      <c r="K554" s="43"/>
      <c r="L554" s="43"/>
      <c r="M554" s="43"/>
      <c r="N554" s="43"/>
      <c r="O554" s="43"/>
      <c r="P554" s="43"/>
      <c r="Q554" s="43"/>
      <c r="R554" s="9"/>
      <c r="S554" s="9"/>
    </row>
    <row r="555" spans="1:19" ht="62.4" x14ac:dyDescent="0.25">
      <c r="A555" s="17" t="s">
        <v>175</v>
      </c>
      <c r="B555" s="17" t="s">
        <v>78</v>
      </c>
      <c r="C555" s="35" t="s">
        <v>176</v>
      </c>
      <c r="D555" s="35" t="s">
        <v>346</v>
      </c>
      <c r="E555" s="52">
        <v>561.32899999999995</v>
      </c>
      <c r="H555" s="43"/>
      <c r="I555" s="43"/>
      <c r="J555" s="43"/>
      <c r="K555" s="43"/>
      <c r="L555" s="43"/>
      <c r="M555" s="43"/>
      <c r="N555" s="43"/>
      <c r="O555" s="43"/>
      <c r="P555" s="43"/>
      <c r="Q555" s="43"/>
      <c r="R555" s="9"/>
      <c r="S555" s="9"/>
    </row>
    <row r="556" spans="1:19" ht="62.4" x14ac:dyDescent="0.25">
      <c r="A556" s="17" t="s">
        <v>177</v>
      </c>
      <c r="B556" s="17" t="s">
        <v>80</v>
      </c>
      <c r="C556" s="35" t="s">
        <v>81</v>
      </c>
      <c r="D556" s="35" t="s">
        <v>345</v>
      </c>
      <c r="E556" s="25">
        <f>5</f>
        <v>5</v>
      </c>
      <c r="H556" s="43"/>
      <c r="I556" s="43"/>
      <c r="J556" s="43"/>
      <c r="K556" s="43"/>
      <c r="L556" s="43"/>
      <c r="M556" s="43"/>
      <c r="N556" s="43"/>
      <c r="O556" s="43"/>
      <c r="P556" s="43"/>
      <c r="Q556" s="43"/>
      <c r="R556" s="9"/>
      <c r="S556" s="9"/>
    </row>
    <row r="557" spans="1:19" ht="202.8" x14ac:dyDescent="0.25">
      <c r="A557" s="17" t="s">
        <v>178</v>
      </c>
      <c r="B557" s="17" t="s">
        <v>82</v>
      </c>
      <c r="C557" s="35" t="s">
        <v>179</v>
      </c>
      <c r="D557" s="35" t="s">
        <v>367</v>
      </c>
      <c r="E557" s="25">
        <v>153.19999999999999</v>
      </c>
      <c r="H557" s="43"/>
      <c r="I557" s="43"/>
      <c r="J557" s="43"/>
      <c r="K557" s="43"/>
      <c r="L557" s="43"/>
      <c r="M557" s="43"/>
      <c r="N557" s="43"/>
      <c r="O557" s="43"/>
      <c r="P557" s="43"/>
      <c r="Q557" s="43"/>
      <c r="R557" s="9"/>
      <c r="S557" s="9"/>
    </row>
    <row r="558" spans="1:19" ht="156" x14ac:dyDescent="0.25">
      <c r="A558" s="17" t="s">
        <v>180</v>
      </c>
      <c r="B558" s="17" t="s">
        <v>84</v>
      </c>
      <c r="C558" s="35" t="s">
        <v>85</v>
      </c>
      <c r="D558" s="35" t="s">
        <v>365</v>
      </c>
      <c r="E558" s="25">
        <f>25.1/100</f>
        <v>0.251</v>
      </c>
      <c r="H558" s="43"/>
      <c r="I558" s="43"/>
      <c r="J558" s="43"/>
      <c r="K558" s="43"/>
      <c r="L558" s="43"/>
      <c r="M558" s="43"/>
      <c r="N558" s="43"/>
      <c r="O558" s="43"/>
      <c r="P558" s="43"/>
      <c r="Q558" s="43"/>
      <c r="R558" s="9"/>
      <c r="S558" s="9"/>
    </row>
    <row r="559" spans="1:19" ht="62.4" x14ac:dyDescent="0.25">
      <c r="A559" s="17" t="s">
        <v>86</v>
      </c>
      <c r="B559" s="17" t="s">
        <v>87</v>
      </c>
      <c r="C559" s="35" t="s">
        <v>86</v>
      </c>
      <c r="D559" s="35" t="s">
        <v>215</v>
      </c>
      <c r="E559" s="25">
        <f>0.84/1000</f>
        <v>8.3999999999999993E-4</v>
      </c>
      <c r="H559" s="43"/>
      <c r="I559" s="43"/>
      <c r="J559" s="43"/>
      <c r="K559" s="43"/>
      <c r="L559" s="43"/>
      <c r="M559" s="43"/>
      <c r="N559" s="43"/>
      <c r="O559" s="43"/>
      <c r="P559" s="43"/>
      <c r="Q559" s="43"/>
      <c r="R559" s="9"/>
      <c r="S559" s="9"/>
    </row>
    <row r="560" spans="1:19" ht="124.8" x14ac:dyDescent="0.25">
      <c r="A560" s="17" t="s">
        <v>181</v>
      </c>
      <c r="B560" s="17" t="s">
        <v>88</v>
      </c>
      <c r="C560" s="35" t="s">
        <v>89</v>
      </c>
      <c r="D560" s="35" t="s">
        <v>360</v>
      </c>
      <c r="E560" s="25">
        <f>43.33/1000</f>
        <v>4.333E-2</v>
      </c>
      <c r="H560" s="43"/>
      <c r="I560" s="43"/>
      <c r="J560" s="43"/>
      <c r="K560" s="43"/>
      <c r="L560" s="43"/>
      <c r="M560" s="43"/>
      <c r="N560" s="43"/>
      <c r="O560" s="43"/>
      <c r="P560" s="43"/>
      <c r="Q560" s="43"/>
      <c r="R560" s="9"/>
      <c r="S560" s="9"/>
    </row>
    <row r="561" spans="1:133" ht="33.6" x14ac:dyDescent="0.25">
      <c r="A561" s="17" t="s">
        <v>182</v>
      </c>
      <c r="B561" s="17" t="s">
        <v>90</v>
      </c>
      <c r="C561" s="35" t="s">
        <v>91</v>
      </c>
      <c r="D561" s="35" t="s">
        <v>92</v>
      </c>
      <c r="E561" s="25">
        <v>74.099999999999994</v>
      </c>
      <c r="H561" s="43"/>
      <c r="I561" s="43"/>
      <c r="J561" s="43"/>
      <c r="K561" s="43"/>
      <c r="L561" s="43"/>
      <c r="M561" s="43"/>
      <c r="N561" s="43"/>
      <c r="O561" s="43"/>
      <c r="P561" s="43"/>
      <c r="Q561" s="43"/>
      <c r="R561" s="9"/>
      <c r="S561" s="9"/>
    </row>
    <row r="563" spans="1:133" x14ac:dyDescent="0.25">
      <c r="A563" s="33" t="s">
        <v>8</v>
      </c>
      <c r="B563" s="33" t="s">
        <v>9</v>
      </c>
      <c r="C563" s="34" t="s">
        <v>10</v>
      </c>
      <c r="D563" s="34" t="s">
        <v>340</v>
      </c>
      <c r="E563" s="16" t="s">
        <v>65</v>
      </c>
    </row>
    <row r="564" spans="1:133" ht="18" x14ac:dyDescent="0.25">
      <c r="A564" s="15" t="s">
        <v>183</v>
      </c>
      <c r="B564" s="17" t="s">
        <v>103</v>
      </c>
      <c r="C564" s="35" t="s">
        <v>184</v>
      </c>
      <c r="D564" s="53" t="s">
        <v>393</v>
      </c>
      <c r="E564" s="18">
        <f>ROUNDUP(E513+E537+E541+E545+E553,0)</f>
        <v>218</v>
      </c>
    </row>
    <row r="565" spans="1:133" s="200" customFormat="1" ht="43.2" customHeight="1" x14ac:dyDescent="0.25">
      <c r="A565" s="197" t="s">
        <v>229</v>
      </c>
      <c r="B565" s="198"/>
      <c r="C565" s="198"/>
      <c r="D565" s="198"/>
      <c r="E565" s="198"/>
      <c r="F565" s="198"/>
      <c r="G565" s="198"/>
      <c r="H565" s="198"/>
      <c r="I565" s="198"/>
      <c r="J565" s="198"/>
      <c r="K565" s="198"/>
      <c r="L565" s="198"/>
      <c r="M565" s="198"/>
      <c r="N565" s="198"/>
      <c r="O565" s="198"/>
      <c r="P565" s="198"/>
      <c r="Q565" s="198"/>
      <c r="R565" s="198"/>
      <c r="S565" s="198"/>
      <c r="T565" s="198"/>
      <c r="U565" s="198"/>
      <c r="V565" s="198"/>
      <c r="W565" s="198"/>
      <c r="X565" s="198"/>
      <c r="Y565" s="198"/>
      <c r="Z565" s="198"/>
      <c r="AA565" s="198"/>
      <c r="AB565" s="198"/>
      <c r="AC565" s="198"/>
      <c r="AD565" s="198"/>
      <c r="AE565" s="198"/>
      <c r="AF565" s="198"/>
      <c r="AG565" s="198"/>
      <c r="AH565" s="198"/>
      <c r="AI565" s="198"/>
      <c r="AJ565" s="198"/>
      <c r="AK565" s="198"/>
      <c r="AL565" s="198"/>
      <c r="AM565" s="198"/>
      <c r="AN565" s="198"/>
      <c r="AO565" s="198"/>
      <c r="AP565" s="198"/>
      <c r="AQ565" s="198"/>
      <c r="AR565" s="198"/>
      <c r="AS565" s="198"/>
      <c r="AT565" s="198"/>
      <c r="AU565" s="198"/>
      <c r="AV565" s="198"/>
      <c r="AW565" s="198"/>
      <c r="AX565" s="198"/>
      <c r="AY565" s="198"/>
      <c r="AZ565" s="198"/>
      <c r="BA565" s="198"/>
      <c r="BB565" s="198"/>
      <c r="BC565" s="198"/>
      <c r="BD565" s="198"/>
      <c r="BE565" s="198"/>
      <c r="BF565" s="198"/>
      <c r="BG565" s="198"/>
      <c r="BH565" s="198"/>
      <c r="BI565" s="198"/>
      <c r="BJ565" s="198"/>
      <c r="BK565" s="198"/>
      <c r="BL565" s="198"/>
      <c r="BM565" s="198"/>
      <c r="BN565" s="198"/>
      <c r="BO565" s="198"/>
      <c r="BP565" s="198"/>
      <c r="BQ565" s="198"/>
      <c r="BR565" s="198"/>
      <c r="BS565" s="198"/>
      <c r="BT565" s="198"/>
      <c r="BU565" s="198"/>
      <c r="BV565" s="198"/>
      <c r="BW565" s="198"/>
      <c r="BX565" s="198"/>
      <c r="BY565" s="198"/>
      <c r="BZ565" s="198"/>
      <c r="CA565" s="198"/>
      <c r="CB565" s="198"/>
      <c r="CC565" s="198"/>
      <c r="CD565" s="198"/>
      <c r="CE565" s="198"/>
      <c r="CF565" s="198"/>
      <c r="CG565" s="198"/>
      <c r="CH565" s="198"/>
      <c r="CI565" s="198"/>
      <c r="CJ565" s="198"/>
      <c r="CK565" s="198"/>
      <c r="CL565" s="198"/>
      <c r="CM565" s="198"/>
      <c r="CN565" s="198"/>
      <c r="CO565" s="198"/>
      <c r="CP565" s="198"/>
      <c r="CQ565" s="198"/>
      <c r="CR565" s="198"/>
      <c r="CS565" s="198"/>
      <c r="CT565" s="198"/>
      <c r="CU565" s="198"/>
      <c r="CV565" s="198"/>
      <c r="CW565" s="198"/>
      <c r="CX565" s="198"/>
      <c r="CY565" s="198"/>
      <c r="CZ565" s="198"/>
      <c r="DA565" s="198"/>
      <c r="DB565" s="198"/>
      <c r="DC565" s="198"/>
      <c r="DD565" s="198"/>
      <c r="DE565" s="198"/>
      <c r="DF565" s="198"/>
      <c r="DG565" s="198"/>
      <c r="DH565" s="198"/>
      <c r="DI565" s="198"/>
      <c r="DJ565" s="198"/>
      <c r="DK565" s="198"/>
      <c r="DL565" s="198"/>
      <c r="DM565" s="198"/>
      <c r="DN565" s="198"/>
      <c r="DO565" s="198"/>
      <c r="DP565" s="198"/>
      <c r="DQ565" s="198"/>
      <c r="DR565" s="198"/>
      <c r="DS565" s="198"/>
      <c r="DT565" s="198"/>
      <c r="DU565" s="198"/>
      <c r="DV565" s="198"/>
      <c r="DW565" s="198"/>
      <c r="DX565" s="198"/>
      <c r="DY565" s="198"/>
      <c r="DZ565" s="198"/>
      <c r="EA565" s="198"/>
      <c r="EB565" s="198"/>
      <c r="EC565" s="199"/>
    </row>
    <row r="566" spans="1:133" ht="23.4" customHeight="1" x14ac:dyDescent="0.25">
      <c r="A566" s="201" t="s">
        <v>105</v>
      </c>
      <c r="B566" s="201"/>
      <c r="C566" s="201"/>
      <c r="D566" s="201"/>
      <c r="E566" s="201"/>
      <c r="F566" s="201"/>
      <c r="G566" s="201"/>
      <c r="H566" s="201"/>
      <c r="I566" s="201"/>
      <c r="J566" s="201"/>
      <c r="K566" s="201"/>
      <c r="L566" s="201"/>
      <c r="M566" s="201"/>
      <c r="N566" s="201"/>
      <c r="O566" s="201"/>
      <c r="P566" s="201"/>
      <c r="Q566" s="202"/>
    </row>
    <row r="567" spans="1:133" s="10" customFormat="1" ht="31.2" x14ac:dyDescent="0.25">
      <c r="A567" s="15" t="s">
        <v>8</v>
      </c>
      <c r="B567" s="15" t="s">
        <v>9</v>
      </c>
      <c r="C567" s="15" t="s">
        <v>10</v>
      </c>
      <c r="D567" s="15" t="s">
        <v>340</v>
      </c>
      <c r="E567" s="16" t="s">
        <v>11</v>
      </c>
      <c r="F567" s="16" t="s">
        <v>322</v>
      </c>
      <c r="G567" s="16" t="s">
        <v>323</v>
      </c>
      <c r="H567" s="16" t="s">
        <v>324</v>
      </c>
      <c r="I567" s="16" t="s">
        <v>325</v>
      </c>
      <c r="J567" s="16" t="s">
        <v>326</v>
      </c>
      <c r="K567" s="16" t="s">
        <v>329</v>
      </c>
      <c r="L567" s="16" t="s">
        <v>292</v>
      </c>
      <c r="M567" s="16" t="s">
        <v>292</v>
      </c>
      <c r="N567" s="16" t="s">
        <v>292</v>
      </c>
      <c r="O567" s="16" t="s">
        <v>292</v>
      </c>
      <c r="P567" s="16" t="s">
        <v>292</v>
      </c>
      <c r="Q567" s="16" t="s">
        <v>292</v>
      </c>
      <c r="R567" s="54"/>
      <c r="S567" s="54"/>
    </row>
    <row r="568" spans="1:133" s="10" customFormat="1" x14ac:dyDescent="0.25">
      <c r="A568" s="203" t="s">
        <v>106</v>
      </c>
      <c r="B568" s="203"/>
      <c r="C568" s="203"/>
      <c r="D568" s="203"/>
      <c r="E568" s="204"/>
      <c r="F568" s="16">
        <v>31</v>
      </c>
      <c r="G568" s="16">
        <v>28</v>
      </c>
      <c r="H568" s="16">
        <v>31</v>
      </c>
      <c r="I568" s="16">
        <v>30</v>
      </c>
      <c r="J568" s="16">
        <v>31</v>
      </c>
      <c r="K568" s="16">
        <v>30</v>
      </c>
      <c r="L568" s="16" t="s">
        <v>292</v>
      </c>
      <c r="M568" s="16" t="s">
        <v>292</v>
      </c>
      <c r="N568" s="16" t="s">
        <v>292</v>
      </c>
      <c r="O568" s="16" t="s">
        <v>292</v>
      </c>
      <c r="P568" s="16" t="s">
        <v>292</v>
      </c>
      <c r="Q568" s="16" t="s">
        <v>292</v>
      </c>
      <c r="R568" s="54"/>
      <c r="S568" s="54"/>
    </row>
    <row r="569" spans="1:133" s="10" customFormat="1" ht="31.2" x14ac:dyDescent="0.25">
      <c r="A569" s="15" t="s">
        <v>107</v>
      </c>
      <c r="B569" s="17" t="s">
        <v>103</v>
      </c>
      <c r="C569" s="17" t="s">
        <v>108</v>
      </c>
      <c r="D569" s="17" t="s">
        <v>381</v>
      </c>
      <c r="E569" s="18">
        <f>E570+E580</f>
        <v>0</v>
      </c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54"/>
      <c r="S569" s="54"/>
    </row>
    <row r="570" spans="1:133" ht="46.8" x14ac:dyDescent="0.25">
      <c r="A570" s="17" t="s">
        <v>109</v>
      </c>
      <c r="B570" s="17" t="s">
        <v>103</v>
      </c>
      <c r="C570" s="17" t="s">
        <v>110</v>
      </c>
      <c r="D570" s="17" t="s">
        <v>382</v>
      </c>
      <c r="E570" s="19">
        <f>SUM(F570:K570)</f>
        <v>0</v>
      </c>
      <c r="F570" s="19">
        <f>IF(F571&gt;=0.8,0,$E$578*$E$579*0.4*(F572-F575)*F568)</f>
        <v>0</v>
      </c>
      <c r="G570" s="19">
        <f t="shared" ref="G570:K570" si="70">IF(G571&gt;=0.8,0,$E$578*$E$579*0.4*(G572-G575)*G568)</f>
        <v>0</v>
      </c>
      <c r="H570" s="19">
        <f t="shared" si="70"/>
        <v>0</v>
      </c>
      <c r="I570" s="19">
        <f t="shared" si="70"/>
        <v>0</v>
      </c>
      <c r="J570" s="19">
        <f t="shared" si="70"/>
        <v>0</v>
      </c>
      <c r="K570" s="19">
        <f t="shared" si="70"/>
        <v>0</v>
      </c>
      <c r="L570" s="19" t="s">
        <v>297</v>
      </c>
      <c r="M570" s="19" t="s">
        <v>297</v>
      </c>
      <c r="N570" s="19" t="s">
        <v>297</v>
      </c>
      <c r="O570" s="19" t="s">
        <v>297</v>
      </c>
      <c r="P570" s="19" t="s">
        <v>297</v>
      </c>
      <c r="Q570" s="19" t="s">
        <v>297</v>
      </c>
    </row>
    <row r="571" spans="1:133" ht="62.4" x14ac:dyDescent="0.25">
      <c r="A571" s="17" t="s">
        <v>111</v>
      </c>
      <c r="B571" s="17" t="s">
        <v>37</v>
      </c>
      <c r="C571" s="17" t="s">
        <v>112</v>
      </c>
      <c r="D571" s="17" t="s">
        <v>383</v>
      </c>
      <c r="E571" s="20">
        <f>AVERAGE(F571:K571)</f>
        <v>0.95361054842881832</v>
      </c>
      <c r="F571" s="20">
        <f>(F572-F575)/F572</f>
        <v>0.95398615256110886</v>
      </c>
      <c r="G571" s="20">
        <f t="shared" ref="G571:K571" si="71">(G572-G575)/G572</f>
        <v>0.95367310184186704</v>
      </c>
      <c r="H571" s="20">
        <f t="shared" si="71"/>
        <v>0.95355009554096659</v>
      </c>
      <c r="I571" s="20">
        <f t="shared" si="71"/>
        <v>0.95379221457947416</v>
      </c>
      <c r="J571" s="20">
        <f t="shared" si="71"/>
        <v>0.95365457597572034</v>
      </c>
      <c r="K571" s="20">
        <f t="shared" si="71"/>
        <v>0.95300715007377335</v>
      </c>
      <c r="L571" s="20" t="s">
        <v>297</v>
      </c>
      <c r="M571" s="20" t="s">
        <v>297</v>
      </c>
      <c r="N571" s="20" t="s">
        <v>297</v>
      </c>
      <c r="O571" s="20" t="s">
        <v>297</v>
      </c>
      <c r="P571" s="20" t="s">
        <v>297</v>
      </c>
      <c r="Q571" s="20" t="s">
        <v>297</v>
      </c>
    </row>
    <row r="572" spans="1:133" ht="46.8" x14ac:dyDescent="0.25">
      <c r="A572" s="17" t="s">
        <v>113</v>
      </c>
      <c r="B572" s="17" t="s">
        <v>24</v>
      </c>
      <c r="C572" s="17" t="s">
        <v>114</v>
      </c>
      <c r="D572" s="17" t="s">
        <v>384</v>
      </c>
      <c r="E572" s="20">
        <f>SUM(F572:K572)</f>
        <v>14.772412818750707</v>
      </c>
      <c r="F572" s="20">
        <f>F573*F574</f>
        <v>2.4017959633436012</v>
      </c>
      <c r="G572" s="20">
        <f t="shared" ref="G572:K572" si="72">G573*G574</f>
        <v>2.3984485056147959</v>
      </c>
      <c r="H572" s="20">
        <f t="shared" si="72"/>
        <v>2.3978578559516488</v>
      </c>
      <c r="I572" s="20">
        <f t="shared" si="72"/>
        <v>2.3966461445776388</v>
      </c>
      <c r="J572" s="20">
        <f t="shared" si="72"/>
        <v>2.7359518600828556</v>
      </c>
      <c r="K572" s="20">
        <f t="shared" si="72"/>
        <v>2.4417124891801669</v>
      </c>
      <c r="L572" s="20" t="s">
        <v>297</v>
      </c>
      <c r="M572" s="20" t="s">
        <v>297</v>
      </c>
      <c r="N572" s="20" t="s">
        <v>297</v>
      </c>
      <c r="O572" s="20" t="s">
        <v>297</v>
      </c>
      <c r="P572" s="20" t="s">
        <v>297</v>
      </c>
      <c r="Q572" s="20" t="s">
        <v>297</v>
      </c>
    </row>
    <row r="573" spans="1:133" ht="69" customHeight="1" x14ac:dyDescent="0.25">
      <c r="A573" s="17" t="s">
        <v>115</v>
      </c>
      <c r="B573" s="17" t="s">
        <v>116</v>
      </c>
      <c r="C573" s="17" t="s">
        <v>117</v>
      </c>
      <c r="D573" s="17" t="s">
        <v>336</v>
      </c>
      <c r="E573" s="129">
        <f>SUM(F573:K573)</f>
        <v>32174.811110906303</v>
      </c>
      <c r="F573" s="129">
        <f>'Baseline Emissions 2022'!F555</f>
        <v>5125.148129032259</v>
      </c>
      <c r="G573" s="129">
        <f>'Baseline Emissions 2022'!G555</f>
        <v>5122.7398571428575</v>
      </c>
      <c r="H573" s="129">
        <f>'Baseline Emissions 2022'!H555</f>
        <v>5121.2510645161301</v>
      </c>
      <c r="I573" s="129">
        <f>'Baseline Emissions 2022'!I555</f>
        <v>5120.7864999999993</v>
      </c>
      <c r="J573" s="129">
        <f>'Baseline Emissions 2022'!J555</f>
        <v>5842.8391935483869</v>
      </c>
      <c r="K573" s="129">
        <f>'Baseline Emissions 2022'!K555</f>
        <v>5842.0463666666683</v>
      </c>
      <c r="L573" s="21" t="s">
        <v>297</v>
      </c>
      <c r="M573" s="21" t="s">
        <v>297</v>
      </c>
      <c r="N573" s="21" t="s">
        <v>297</v>
      </c>
      <c r="O573" s="21" t="s">
        <v>297</v>
      </c>
      <c r="P573" s="21" t="s">
        <v>297</v>
      </c>
      <c r="Q573" s="21" t="s">
        <v>297</v>
      </c>
    </row>
    <row r="574" spans="1:133" ht="46.8" x14ac:dyDescent="0.25">
      <c r="A574" s="17" t="s">
        <v>118</v>
      </c>
      <c r="B574" s="17" t="s">
        <v>119</v>
      </c>
      <c r="C574" s="17" t="s">
        <v>120</v>
      </c>
      <c r="D574" s="35" t="s">
        <v>338</v>
      </c>
      <c r="E574" s="120">
        <f>AVERAGE(F574:K574)</f>
        <v>4.5987975273084142E-4</v>
      </c>
      <c r="F574" s="130">
        <f>'Baseline Emissions 2022'!F559</f>
        <v>4.6862956989247319E-4</v>
      </c>
      <c r="G574" s="130">
        <f>'Baseline Emissions 2022'!G559</f>
        <v>4.6819642857142855E-4</v>
      </c>
      <c r="H574" s="130">
        <f>'Baseline Emissions 2022'!H559</f>
        <v>4.682172043010754E-4</v>
      </c>
      <c r="I574" s="130">
        <f>'Baseline Emissions 2022'!I559</f>
        <v>4.6802305555555563E-4</v>
      </c>
      <c r="J574" s="130">
        <f>'Baseline Emissions 2022'!J559</f>
        <v>4.6825725806451602E-4</v>
      </c>
      <c r="K574" s="130">
        <f>'Baseline Emissions 2022'!K559</f>
        <v>4.1795499999999996E-4</v>
      </c>
      <c r="L574" s="23" t="s">
        <v>297</v>
      </c>
      <c r="M574" s="23" t="s">
        <v>297</v>
      </c>
      <c r="N574" s="23" t="s">
        <v>297</v>
      </c>
      <c r="O574" s="23" t="s">
        <v>297</v>
      </c>
      <c r="P574" s="23" t="s">
        <v>297</v>
      </c>
      <c r="Q574" s="23" t="s">
        <v>297</v>
      </c>
    </row>
    <row r="575" spans="1:133" ht="46.8" x14ac:dyDescent="0.25">
      <c r="A575" s="17" t="s">
        <v>121</v>
      </c>
      <c r="B575" s="17" t="s">
        <v>24</v>
      </c>
      <c r="C575" s="17" t="s">
        <v>122</v>
      </c>
      <c r="D575" s="17" t="s">
        <v>384</v>
      </c>
      <c r="E575" s="20">
        <f>SUM(F575:K575)</f>
        <v>0.68529440941924435</v>
      </c>
      <c r="F575" s="20">
        <f>SUM(F576*F577)</f>
        <v>0.11051587303663715</v>
      </c>
      <c r="G575" s="20">
        <f t="shared" ref="G575:K575" si="73">SUM(G576*G577)</f>
        <v>0.11111267965714287</v>
      </c>
      <c r="H575" s="20">
        <f t="shared" si="73"/>
        <v>0.11138026831529661</v>
      </c>
      <c r="I575" s="20">
        <f t="shared" si="73"/>
        <v>0.11074371077757406</v>
      </c>
      <c r="J575" s="20">
        <f t="shared" si="73"/>
        <v>0.12679884906555669</v>
      </c>
      <c r="K575" s="20">
        <f t="shared" si="73"/>
        <v>0.11474302856703705</v>
      </c>
      <c r="L575" s="20" t="s">
        <v>297</v>
      </c>
      <c r="M575" s="20" t="s">
        <v>297</v>
      </c>
      <c r="N575" s="20" t="s">
        <v>297</v>
      </c>
      <c r="O575" s="20" t="s">
        <v>297</v>
      </c>
      <c r="P575" s="20" t="s">
        <v>297</v>
      </c>
      <c r="Q575" s="20" t="s">
        <v>297</v>
      </c>
    </row>
    <row r="576" spans="1:133" ht="62.4" x14ac:dyDescent="0.25">
      <c r="A576" s="17" t="s">
        <v>123</v>
      </c>
      <c r="B576" s="17" t="s">
        <v>116</v>
      </c>
      <c r="C576" s="17" t="s">
        <v>124</v>
      </c>
      <c r="D576" s="17" t="s">
        <v>337</v>
      </c>
      <c r="E576" s="129">
        <f>SUM(F576:K576)</f>
        <v>31421.545251612901</v>
      </c>
      <c r="F576" s="129">
        <v>5011.0191935483863</v>
      </c>
      <c r="G576" s="129">
        <v>5011.5255000000006</v>
      </c>
      <c r="H576" s="129">
        <v>5011.1825806451634</v>
      </c>
      <c r="I576" s="129">
        <v>5009.9571333333324</v>
      </c>
      <c r="J576" s="129">
        <v>5686.869677419354</v>
      </c>
      <c r="K576" s="129">
        <v>5690.9911666666667</v>
      </c>
      <c r="L576" s="21" t="s">
        <v>297</v>
      </c>
      <c r="M576" s="21" t="s">
        <v>297</v>
      </c>
      <c r="N576" s="21" t="s">
        <v>297</v>
      </c>
      <c r="O576" s="21" t="s">
        <v>297</v>
      </c>
      <c r="P576" s="21" t="s">
        <v>297</v>
      </c>
      <c r="Q576" s="21" t="s">
        <v>297</v>
      </c>
    </row>
    <row r="577" spans="1:17" ht="46.8" x14ac:dyDescent="0.25">
      <c r="A577" s="17" t="s">
        <v>125</v>
      </c>
      <c r="B577" s="17" t="s">
        <v>119</v>
      </c>
      <c r="C577" s="17" t="s">
        <v>126</v>
      </c>
      <c r="D577" s="35" t="s">
        <v>339</v>
      </c>
      <c r="E577" s="131">
        <f>AVERAGE(F577:K577)</f>
        <v>2.1836010197986006E-5</v>
      </c>
      <c r="F577" s="131">
        <f>'Baseline Emissions 2022'!F560</f>
        <v>2.2054569892473116E-5</v>
      </c>
      <c r="G577" s="131">
        <f>'Baseline Emissions 2022'!G560</f>
        <v>2.2171428571428571E-5</v>
      </c>
      <c r="H577" s="131">
        <f>'Baseline Emissions 2022'!H560</f>
        <v>2.2226344086021506E-5</v>
      </c>
      <c r="I577" s="131">
        <f>'Baseline Emissions 2022'!I560</f>
        <v>2.2104722222222223E-5</v>
      </c>
      <c r="J577" s="131">
        <f>'Baseline Emissions 2022'!J560</f>
        <v>2.2296774193548386E-5</v>
      </c>
      <c r="K577" s="131">
        <f>'Baseline Emissions 2022'!K560</f>
        <v>2.0162222222222226E-5</v>
      </c>
      <c r="L577" s="24" t="s">
        <v>297</v>
      </c>
      <c r="M577" s="24" t="s">
        <v>297</v>
      </c>
      <c r="N577" s="24" t="s">
        <v>297</v>
      </c>
      <c r="O577" s="24" t="s">
        <v>297</v>
      </c>
      <c r="P577" s="24" t="s">
        <v>297</v>
      </c>
      <c r="Q577" s="24" t="s">
        <v>297</v>
      </c>
    </row>
    <row r="578" spans="1:17" ht="31.2" x14ac:dyDescent="0.25">
      <c r="A578" s="17" t="s">
        <v>127</v>
      </c>
      <c r="B578" s="17" t="s">
        <v>128</v>
      </c>
      <c r="C578" s="17" t="s">
        <v>17</v>
      </c>
      <c r="D578" s="17" t="s">
        <v>129</v>
      </c>
      <c r="E578" s="176">
        <v>28</v>
      </c>
      <c r="F578" s="176"/>
      <c r="G578" s="176"/>
      <c r="H578" s="176"/>
      <c r="I578" s="176"/>
      <c r="J578" s="176"/>
      <c r="K578" s="176"/>
      <c r="L578" s="176"/>
      <c r="M578" s="176"/>
      <c r="N578" s="176"/>
      <c r="O578" s="176"/>
      <c r="P578" s="176"/>
      <c r="Q578" s="176"/>
    </row>
    <row r="579" spans="1:17" ht="64.8" x14ac:dyDescent="0.25">
      <c r="A579" s="17" t="s">
        <v>130</v>
      </c>
      <c r="B579" s="17" t="s">
        <v>19</v>
      </c>
      <c r="C579" s="17" t="s">
        <v>131</v>
      </c>
      <c r="D579" s="17" t="s">
        <v>394</v>
      </c>
      <c r="E579" s="176">
        <v>0.21</v>
      </c>
      <c r="F579" s="176"/>
      <c r="G579" s="176"/>
      <c r="H579" s="176"/>
      <c r="I579" s="176"/>
      <c r="J579" s="176"/>
      <c r="K579" s="176"/>
      <c r="L579" s="176"/>
      <c r="M579" s="176"/>
      <c r="N579" s="176"/>
      <c r="O579" s="176"/>
      <c r="P579" s="176"/>
      <c r="Q579" s="176"/>
    </row>
    <row r="580" spans="1:17" ht="46.8" x14ac:dyDescent="0.25">
      <c r="A580" s="17" t="s">
        <v>132</v>
      </c>
      <c r="B580" s="17" t="s">
        <v>103</v>
      </c>
      <c r="C580" s="17" t="s">
        <v>133</v>
      </c>
      <c r="D580" s="17" t="s">
        <v>385</v>
      </c>
      <c r="E580" s="19">
        <f>SUM(F580:K580)</f>
        <v>0</v>
      </c>
      <c r="F580" s="19">
        <f>$E$578*$E$579*F581*F575*F568</f>
        <v>0</v>
      </c>
      <c r="G580" s="19">
        <f t="shared" ref="G580:K580" si="74">$E$578*$E$579*G581*G575*G568</f>
        <v>0</v>
      </c>
      <c r="H580" s="19">
        <f t="shared" si="74"/>
        <v>0</v>
      </c>
      <c r="I580" s="19">
        <f t="shared" si="74"/>
        <v>0</v>
      </c>
      <c r="J580" s="19">
        <f t="shared" si="74"/>
        <v>0</v>
      </c>
      <c r="K580" s="19">
        <f t="shared" si="74"/>
        <v>0</v>
      </c>
      <c r="L580" s="19" t="s">
        <v>297</v>
      </c>
      <c r="M580" s="19" t="s">
        <v>297</v>
      </c>
      <c r="N580" s="19" t="s">
        <v>297</v>
      </c>
      <c r="O580" s="19" t="s">
        <v>297</v>
      </c>
      <c r="P580" s="19" t="s">
        <v>297</v>
      </c>
      <c r="Q580" s="19" t="s">
        <v>297</v>
      </c>
    </row>
    <row r="581" spans="1:17" ht="18" x14ac:dyDescent="0.25">
      <c r="A581" s="17" t="s">
        <v>134</v>
      </c>
      <c r="B581" s="17" t="s">
        <v>37</v>
      </c>
      <c r="C581" s="17" t="s">
        <v>135</v>
      </c>
      <c r="D581" s="17" t="s">
        <v>386</v>
      </c>
      <c r="E581" s="26">
        <f>AVERAGE(F581:K581)</f>
        <v>0</v>
      </c>
      <c r="F581" s="26">
        <f>F582*$E$583*0.89</f>
        <v>0</v>
      </c>
      <c r="G581" s="26">
        <f t="shared" ref="G581:K581" si="75">G582*$E$583*0.89</f>
        <v>0</v>
      </c>
      <c r="H581" s="26">
        <f t="shared" si="75"/>
        <v>0</v>
      </c>
      <c r="I581" s="26">
        <f t="shared" si="75"/>
        <v>0</v>
      </c>
      <c r="J581" s="26">
        <f t="shared" si="75"/>
        <v>0</v>
      </c>
      <c r="K581" s="26">
        <f t="shared" si="75"/>
        <v>0</v>
      </c>
      <c r="L581" s="26" t="s">
        <v>297</v>
      </c>
      <c r="M581" s="26" t="s">
        <v>297</v>
      </c>
      <c r="N581" s="26" t="s">
        <v>297</v>
      </c>
      <c r="O581" s="26" t="s">
        <v>297</v>
      </c>
      <c r="P581" s="26" t="s">
        <v>297</v>
      </c>
      <c r="Q581" s="26" t="s">
        <v>297</v>
      </c>
    </row>
    <row r="582" spans="1:17" ht="31.2" x14ac:dyDescent="0.25">
      <c r="A582" s="17" t="s">
        <v>136</v>
      </c>
      <c r="B582" s="17" t="s">
        <v>37</v>
      </c>
      <c r="C582" s="17" t="s">
        <v>46</v>
      </c>
      <c r="D582" s="17" t="s">
        <v>387</v>
      </c>
      <c r="E582" s="25">
        <v>0</v>
      </c>
      <c r="F582" s="25">
        <v>0</v>
      </c>
      <c r="G582" s="25">
        <v>0</v>
      </c>
      <c r="H582" s="25">
        <v>0</v>
      </c>
      <c r="I582" s="25">
        <v>0</v>
      </c>
      <c r="J582" s="25">
        <v>0</v>
      </c>
      <c r="K582" s="25">
        <v>0</v>
      </c>
      <c r="L582" s="25" t="s">
        <v>297</v>
      </c>
      <c r="M582" s="25" t="s">
        <v>297</v>
      </c>
      <c r="N582" s="25" t="s">
        <v>297</v>
      </c>
      <c r="O582" s="25" t="s">
        <v>297</v>
      </c>
      <c r="P582" s="25" t="s">
        <v>297</v>
      </c>
      <c r="Q582" s="25" t="s">
        <v>297</v>
      </c>
    </row>
    <row r="583" spans="1:17" ht="31.2" x14ac:dyDescent="0.25">
      <c r="A583" s="17" t="s">
        <v>137</v>
      </c>
      <c r="B583" s="17" t="s">
        <v>201</v>
      </c>
      <c r="C583" s="17" t="s">
        <v>138</v>
      </c>
      <c r="D583" s="17" t="s">
        <v>388</v>
      </c>
      <c r="E583" s="196">
        <f>(F584*F589+G584*G589+H584*H589+I584*I589+J584*J589+K584*K589)/(F576*F577*F568+G577*G576*G568+H576*H577*H568+I577*I576*I568+J577*J576*J568+K577*K576*K568)</f>
        <v>0.49219684196985891</v>
      </c>
      <c r="F583" s="196"/>
      <c r="G583" s="196"/>
      <c r="H583" s="196"/>
      <c r="I583" s="196"/>
      <c r="J583" s="196"/>
      <c r="K583" s="196"/>
      <c r="L583" s="196"/>
      <c r="M583" s="196"/>
      <c r="N583" s="196"/>
      <c r="O583" s="196"/>
      <c r="P583" s="196"/>
      <c r="Q583" s="196"/>
    </row>
    <row r="584" spans="1:17" ht="31.2" x14ac:dyDescent="0.25">
      <c r="A584" s="17" t="s">
        <v>139</v>
      </c>
      <c r="B584" s="17" t="s">
        <v>37</v>
      </c>
      <c r="C584" s="17" t="s">
        <v>140</v>
      </c>
      <c r="D584" s="17" t="s">
        <v>375</v>
      </c>
      <c r="E584" s="27">
        <f>AVERAGE(F584:K584)</f>
        <v>0.4842798201038388</v>
      </c>
      <c r="F584" s="27">
        <f>IF(F588&lt;283,0,IF(F588&gt;303,1,EXP(($E$585*(F588-$E$586))/($E$587*$E$586*F588))))</f>
        <v>0.26921004737855481</v>
      </c>
      <c r="G584" s="27">
        <f t="shared" ref="G584:K584" si="76">IF(G588&lt;283,0,IF(G588&gt;303,1,EXP(($E$585*(G588-$E$586))/($E$587*$E$586*G588))))</f>
        <v>0.19433887196192873</v>
      </c>
      <c r="H584" s="27">
        <f t="shared" si="76"/>
        <v>0.44226396815696317</v>
      </c>
      <c r="I584" s="27">
        <f t="shared" si="76"/>
        <v>0.52733825786216582</v>
      </c>
      <c r="J584" s="27">
        <f t="shared" si="76"/>
        <v>0.62729263560178183</v>
      </c>
      <c r="K584" s="27">
        <f t="shared" si="76"/>
        <v>0.84523513966163832</v>
      </c>
      <c r="L584" s="27" t="s">
        <v>297</v>
      </c>
      <c r="M584" s="27" t="s">
        <v>297</v>
      </c>
      <c r="N584" s="27" t="s">
        <v>297</v>
      </c>
      <c r="O584" s="27" t="s">
        <v>297</v>
      </c>
      <c r="P584" s="27" t="s">
        <v>297</v>
      </c>
      <c r="Q584" s="27" t="s">
        <v>297</v>
      </c>
    </row>
    <row r="585" spans="1:17" x14ac:dyDescent="0.25">
      <c r="A585" s="17" t="s">
        <v>51</v>
      </c>
      <c r="B585" s="17" t="s">
        <v>52</v>
      </c>
      <c r="C585" s="17" t="s">
        <v>53</v>
      </c>
      <c r="D585" s="17" t="s">
        <v>389</v>
      </c>
      <c r="E585" s="176">
        <v>15175</v>
      </c>
      <c r="F585" s="176"/>
      <c r="G585" s="176"/>
      <c r="H585" s="176"/>
      <c r="I585" s="176"/>
      <c r="J585" s="176"/>
      <c r="K585" s="176"/>
      <c r="L585" s="176"/>
      <c r="M585" s="176"/>
      <c r="N585" s="176"/>
      <c r="O585" s="176"/>
      <c r="P585" s="176"/>
      <c r="Q585" s="176"/>
    </row>
    <row r="586" spans="1:17" ht="18" x14ac:dyDescent="0.25">
      <c r="A586" s="17" t="s">
        <v>141</v>
      </c>
      <c r="B586" s="17" t="s">
        <v>55</v>
      </c>
      <c r="C586" s="17" t="s">
        <v>56</v>
      </c>
      <c r="D586" s="17" t="s">
        <v>389</v>
      </c>
      <c r="E586" s="176">
        <v>303.16000000000003</v>
      </c>
      <c r="F586" s="176"/>
      <c r="G586" s="176"/>
      <c r="H586" s="176"/>
      <c r="I586" s="176"/>
      <c r="J586" s="176"/>
      <c r="K586" s="176"/>
      <c r="L586" s="176"/>
      <c r="M586" s="176"/>
      <c r="N586" s="176"/>
      <c r="O586" s="176"/>
      <c r="P586" s="176"/>
      <c r="Q586" s="176"/>
    </row>
    <row r="587" spans="1:17" x14ac:dyDescent="0.25">
      <c r="A587" s="17" t="s">
        <v>57</v>
      </c>
      <c r="B587" s="17" t="s">
        <v>58</v>
      </c>
      <c r="C587" s="17" t="s">
        <v>59</v>
      </c>
      <c r="D587" s="17" t="s">
        <v>389</v>
      </c>
      <c r="E587" s="176">
        <v>1.9870000000000001</v>
      </c>
      <c r="F587" s="176"/>
      <c r="G587" s="176"/>
      <c r="H587" s="176"/>
      <c r="I587" s="176"/>
      <c r="J587" s="176"/>
      <c r="K587" s="176"/>
      <c r="L587" s="176"/>
      <c r="M587" s="176"/>
      <c r="N587" s="176"/>
      <c r="O587" s="176"/>
      <c r="P587" s="176"/>
      <c r="Q587" s="176"/>
    </row>
    <row r="588" spans="1:17" ht="18" x14ac:dyDescent="0.25">
      <c r="A588" s="17" t="s">
        <v>142</v>
      </c>
      <c r="B588" s="17" t="s">
        <v>55</v>
      </c>
      <c r="C588" s="17" t="s">
        <v>143</v>
      </c>
      <c r="D588" s="144" t="s">
        <v>363</v>
      </c>
      <c r="E588" s="28">
        <f>AVERAGE(F588:K588)</f>
        <v>293.48333333333335</v>
      </c>
      <c r="F588" s="25">
        <v>288.14999999999998</v>
      </c>
      <c r="G588" s="25">
        <v>284.64999999999998</v>
      </c>
      <c r="H588" s="25">
        <v>293.64999999999998</v>
      </c>
      <c r="I588" s="25">
        <v>295.64999999999998</v>
      </c>
      <c r="J588" s="25">
        <v>297.64999999999998</v>
      </c>
      <c r="K588" s="25">
        <v>301.14999999999998</v>
      </c>
      <c r="L588" s="25" t="s">
        <v>297</v>
      </c>
      <c r="M588" s="25" t="s">
        <v>297</v>
      </c>
      <c r="N588" s="25" t="s">
        <v>297</v>
      </c>
      <c r="O588" s="25" t="s">
        <v>297</v>
      </c>
      <c r="P588" s="25" t="s">
        <v>297</v>
      </c>
      <c r="Q588" s="25" t="s">
        <v>297</v>
      </c>
    </row>
    <row r="589" spans="1:17" ht="46.8" x14ac:dyDescent="0.25">
      <c r="A589" s="17" t="s">
        <v>144</v>
      </c>
      <c r="B589" s="17" t="s">
        <v>24</v>
      </c>
      <c r="C589" s="17" t="s">
        <v>145</v>
      </c>
      <c r="D589" s="17" t="s">
        <v>390</v>
      </c>
      <c r="E589" s="29">
        <f>SUM(F589:K589)</f>
        <v>20.68530191368054</v>
      </c>
      <c r="F589" s="29">
        <f>F576*F577*'Project Emissions 2022'!F568+(1-F584)*0</f>
        <v>3.4259920641357517</v>
      </c>
      <c r="G589" s="29">
        <f>G576*G577*'Project Emissions 2022'!G568+(1-G584)*0</f>
        <v>3.1111550304000004</v>
      </c>
      <c r="H589" s="29">
        <f>H576*H577*'Project Emissions 2022'!H568+(1-H584)*0</f>
        <v>3.4527883177741949</v>
      </c>
      <c r="I589" s="29">
        <f>I576*I577*'Project Emissions 2022'!I568+(1-I584)*0</f>
        <v>3.3223113233272219</v>
      </c>
      <c r="J589" s="29">
        <f>J576*J577*'Project Emissions 2022'!J568+(1-J584)*0</f>
        <v>3.9307643210322576</v>
      </c>
      <c r="K589" s="29">
        <f>K576*K577*'Project Emissions 2022'!K568+(1-K584)*0</f>
        <v>3.4422908570111117</v>
      </c>
      <c r="L589" s="29" t="s">
        <v>297</v>
      </c>
      <c r="M589" s="29" t="s">
        <v>297</v>
      </c>
      <c r="N589" s="29" t="s">
        <v>297</v>
      </c>
      <c r="O589" s="29" t="s">
        <v>297</v>
      </c>
      <c r="P589" s="29" t="s">
        <v>297</v>
      </c>
      <c r="Q589" s="29" t="s">
        <v>297</v>
      </c>
    </row>
    <row r="590" spans="1:17" x14ac:dyDescent="0.3">
      <c r="A590" s="30"/>
      <c r="E590" s="31"/>
      <c r="F590" s="31"/>
      <c r="G590" s="31"/>
      <c r="H590" s="31"/>
      <c r="I590" s="31"/>
      <c r="J590" s="31"/>
      <c r="K590" s="31"/>
      <c r="L590" s="31"/>
      <c r="M590" s="31"/>
      <c r="N590" s="31"/>
      <c r="O590" s="31"/>
      <c r="P590" s="31"/>
      <c r="Q590" s="31"/>
    </row>
    <row r="591" spans="1:17" x14ac:dyDescent="0.25">
      <c r="A591" s="174" t="s">
        <v>146</v>
      </c>
      <c r="B591" s="174"/>
      <c r="C591" s="175"/>
      <c r="D591" s="175"/>
      <c r="E591" s="195"/>
      <c r="F591" s="32"/>
      <c r="G591" s="32"/>
      <c r="H591" s="32"/>
      <c r="I591" s="32"/>
      <c r="J591" s="32"/>
      <c r="K591" s="32"/>
      <c r="L591" s="32"/>
      <c r="M591" s="32"/>
      <c r="N591" s="32"/>
      <c r="O591" s="32"/>
      <c r="P591" s="32"/>
      <c r="Q591" s="32"/>
    </row>
    <row r="592" spans="1:17" x14ac:dyDescent="0.25">
      <c r="A592" s="33" t="s">
        <v>8</v>
      </c>
      <c r="B592" s="33" t="s">
        <v>9</v>
      </c>
      <c r="C592" s="34" t="s">
        <v>10</v>
      </c>
      <c r="D592" s="34" t="s">
        <v>340</v>
      </c>
      <c r="E592" s="16" t="s">
        <v>65</v>
      </c>
      <c r="F592" s="32"/>
      <c r="G592" s="32"/>
      <c r="H592" s="32"/>
      <c r="I592" s="32"/>
      <c r="J592" s="32"/>
      <c r="K592" s="32"/>
      <c r="L592" s="32"/>
      <c r="M592" s="32"/>
      <c r="N592" s="32"/>
      <c r="O592" s="32"/>
      <c r="P592" s="32"/>
      <c r="Q592" s="32"/>
    </row>
    <row r="593" spans="1:19" ht="46.8" x14ac:dyDescent="0.25">
      <c r="A593" s="15" t="s">
        <v>147</v>
      </c>
      <c r="B593" s="17" t="s">
        <v>95</v>
      </c>
      <c r="C593" s="35" t="s">
        <v>148</v>
      </c>
      <c r="D593" s="35" t="s">
        <v>68</v>
      </c>
      <c r="E593" s="16">
        <v>0</v>
      </c>
      <c r="F593" s="32"/>
      <c r="G593" s="32"/>
      <c r="H593" s="32"/>
      <c r="I593" s="32"/>
      <c r="J593" s="32"/>
      <c r="K593" s="32"/>
      <c r="L593" s="32"/>
      <c r="M593" s="32"/>
      <c r="N593" s="32"/>
      <c r="O593" s="32"/>
      <c r="P593" s="32"/>
      <c r="Q593" s="32"/>
    </row>
    <row r="594" spans="1:19" x14ac:dyDescent="0.25">
      <c r="A594" s="36"/>
      <c r="B594" s="36"/>
      <c r="C594" s="37"/>
      <c r="D594" s="37"/>
      <c r="E594" s="32"/>
      <c r="F594" s="32"/>
      <c r="G594" s="32"/>
      <c r="H594" s="32"/>
      <c r="I594" s="32"/>
      <c r="J594" s="32"/>
      <c r="K594" s="32"/>
      <c r="L594" s="32"/>
      <c r="M594" s="32"/>
      <c r="N594" s="32"/>
      <c r="O594" s="32"/>
      <c r="P594" s="32"/>
      <c r="Q594" s="32"/>
    </row>
    <row r="595" spans="1:19" x14ac:dyDescent="0.25">
      <c r="A595" s="174" t="s">
        <v>149</v>
      </c>
      <c r="B595" s="174"/>
      <c r="C595" s="175"/>
      <c r="D595" s="175"/>
      <c r="E595" s="195"/>
      <c r="F595" s="32"/>
      <c r="G595" s="32"/>
      <c r="H595" s="32"/>
      <c r="I595" s="32"/>
      <c r="J595" s="32"/>
      <c r="K595" s="32"/>
      <c r="L595" s="32"/>
      <c r="M595" s="32"/>
      <c r="N595" s="32"/>
      <c r="O595" s="32"/>
      <c r="P595" s="32"/>
      <c r="Q595" s="32"/>
    </row>
    <row r="596" spans="1:19" x14ac:dyDescent="0.25">
      <c r="A596" s="33" t="s">
        <v>8</v>
      </c>
      <c r="B596" s="33" t="s">
        <v>9</v>
      </c>
      <c r="C596" s="34" t="s">
        <v>10</v>
      </c>
      <c r="D596" s="34" t="s">
        <v>340</v>
      </c>
      <c r="E596" s="16" t="s">
        <v>65</v>
      </c>
      <c r="F596" s="32"/>
      <c r="G596" s="32"/>
      <c r="H596" s="32"/>
      <c r="I596" s="32"/>
      <c r="J596" s="32"/>
      <c r="K596" s="32"/>
      <c r="L596" s="32"/>
      <c r="M596" s="32"/>
      <c r="N596" s="32"/>
      <c r="O596" s="32"/>
      <c r="P596" s="32"/>
      <c r="Q596" s="32"/>
    </row>
    <row r="597" spans="1:19" ht="46.8" x14ac:dyDescent="0.25">
      <c r="A597" s="15" t="s">
        <v>150</v>
      </c>
      <c r="B597" s="17" t="s">
        <v>95</v>
      </c>
      <c r="C597" s="35" t="s">
        <v>151</v>
      </c>
      <c r="D597" s="35" t="s">
        <v>68</v>
      </c>
      <c r="E597" s="16">
        <v>0</v>
      </c>
      <c r="F597" s="32"/>
      <c r="G597" s="32"/>
      <c r="H597" s="32"/>
      <c r="I597" s="32"/>
      <c r="J597" s="32"/>
      <c r="K597" s="32"/>
      <c r="L597" s="32"/>
      <c r="M597" s="32"/>
      <c r="N597" s="32"/>
      <c r="O597" s="32"/>
      <c r="P597" s="32"/>
      <c r="Q597" s="32"/>
    </row>
    <row r="598" spans="1:19" x14ac:dyDescent="0.25">
      <c r="F598" s="32"/>
      <c r="G598" s="32"/>
      <c r="H598" s="32"/>
      <c r="I598" s="32"/>
      <c r="J598" s="32"/>
      <c r="K598" s="32"/>
      <c r="L598" s="32"/>
      <c r="M598" s="32"/>
      <c r="N598" s="32"/>
      <c r="O598" s="32"/>
      <c r="P598" s="32"/>
      <c r="Q598" s="32"/>
    </row>
    <row r="599" spans="1:19" x14ac:dyDescent="0.25">
      <c r="A599" s="174" t="s">
        <v>152</v>
      </c>
      <c r="B599" s="174"/>
      <c r="C599" s="175"/>
      <c r="D599" s="175"/>
      <c r="E599" s="195"/>
      <c r="F599" s="32"/>
      <c r="G599" s="32"/>
      <c r="H599" s="32"/>
      <c r="I599" s="32"/>
      <c r="J599" s="32"/>
      <c r="K599" s="32"/>
      <c r="L599" s="32"/>
      <c r="M599" s="32"/>
      <c r="N599" s="32"/>
      <c r="O599" s="32"/>
      <c r="P599" s="32"/>
      <c r="Q599" s="32"/>
    </row>
    <row r="600" spans="1:19" s="10" customFormat="1" x14ac:dyDescent="0.25">
      <c r="A600" s="15" t="s">
        <v>8</v>
      </c>
      <c r="B600" s="15" t="s">
        <v>9</v>
      </c>
      <c r="C600" s="38" t="s">
        <v>10</v>
      </c>
      <c r="D600" s="38" t="s">
        <v>340</v>
      </c>
      <c r="E600" s="16" t="s">
        <v>65</v>
      </c>
      <c r="F600" s="32"/>
      <c r="G600" s="32"/>
      <c r="H600" s="39"/>
      <c r="I600" s="39"/>
      <c r="J600" s="39"/>
      <c r="K600" s="39"/>
      <c r="L600" s="39"/>
      <c r="M600" s="39"/>
      <c r="N600" s="39"/>
      <c r="O600" s="39"/>
      <c r="P600" s="39"/>
      <c r="Q600" s="39"/>
    </row>
    <row r="601" spans="1:19" s="10" customFormat="1" ht="18" x14ac:dyDescent="0.4">
      <c r="A601" s="40" t="s">
        <v>153</v>
      </c>
      <c r="B601" s="17" t="s">
        <v>103</v>
      </c>
      <c r="C601" s="35" t="s">
        <v>154</v>
      </c>
      <c r="D601" s="35" t="s">
        <v>155</v>
      </c>
      <c r="E601" s="41">
        <f>E602*E604*(1+E603)</f>
        <v>227.05292248139997</v>
      </c>
      <c r="F601" s="32"/>
      <c r="G601" s="32"/>
      <c r="H601" s="39"/>
      <c r="I601" s="39"/>
      <c r="J601" s="39"/>
      <c r="K601" s="39"/>
      <c r="L601" s="39"/>
      <c r="M601" s="39"/>
      <c r="N601" s="39"/>
      <c r="O601" s="39"/>
      <c r="P601" s="39"/>
      <c r="Q601" s="39"/>
    </row>
    <row r="602" spans="1:19" ht="31.2" x14ac:dyDescent="0.25">
      <c r="A602" s="17" t="s">
        <v>156</v>
      </c>
      <c r="B602" s="17" t="s">
        <v>157</v>
      </c>
      <c r="C602" s="35" t="s">
        <v>158</v>
      </c>
      <c r="D602" s="35" t="s">
        <v>343</v>
      </c>
      <c r="E602" s="20">
        <f>371839.97/1000</f>
        <v>371.83996999999999</v>
      </c>
      <c r="G602" s="42"/>
      <c r="H602" s="43"/>
      <c r="I602" s="43"/>
      <c r="J602" s="43"/>
      <c r="K602" s="43"/>
      <c r="L602" s="43"/>
      <c r="M602" s="43"/>
      <c r="N602" s="43"/>
      <c r="O602" s="43"/>
      <c r="P602" s="43"/>
      <c r="Q602" s="43"/>
      <c r="R602" s="9"/>
      <c r="S602" s="9"/>
    </row>
    <row r="603" spans="1:19" ht="31.2" x14ac:dyDescent="0.25">
      <c r="A603" s="17" t="s">
        <v>159</v>
      </c>
      <c r="B603" s="17" t="s">
        <v>160</v>
      </c>
      <c r="C603" s="35" t="s">
        <v>161</v>
      </c>
      <c r="D603" s="35" t="s">
        <v>162</v>
      </c>
      <c r="E603" s="44">
        <v>0.2</v>
      </c>
      <c r="H603" s="43"/>
      <c r="I603" s="43"/>
      <c r="J603" s="43"/>
      <c r="K603" s="43"/>
      <c r="L603" s="43"/>
      <c r="M603" s="43"/>
      <c r="N603" s="43"/>
      <c r="O603" s="43"/>
      <c r="P603" s="43"/>
      <c r="Q603" s="43"/>
      <c r="R603" s="9"/>
      <c r="S603" s="9"/>
    </row>
    <row r="604" spans="1:19" ht="46.8" x14ac:dyDescent="0.25">
      <c r="A604" s="17" t="s">
        <v>163</v>
      </c>
      <c r="B604" s="17" t="s">
        <v>164</v>
      </c>
      <c r="C604" s="35" t="s">
        <v>165</v>
      </c>
      <c r="D604" s="35" t="s">
        <v>166</v>
      </c>
      <c r="E604" s="45">
        <f>0.5*0.8042+0.5*0.2135</f>
        <v>0.50885000000000002</v>
      </c>
      <c r="F604" s="46"/>
      <c r="G604" s="46"/>
      <c r="H604" s="46"/>
      <c r="I604" s="46"/>
      <c r="J604" s="46"/>
      <c r="K604" s="46"/>
      <c r="L604" s="46"/>
      <c r="M604" s="46"/>
      <c r="N604" s="46"/>
      <c r="O604" s="46"/>
      <c r="P604" s="46"/>
      <c r="Q604" s="46"/>
    </row>
    <row r="605" spans="1:19" ht="31.2" x14ac:dyDescent="0.4">
      <c r="A605" s="40" t="s">
        <v>167</v>
      </c>
      <c r="B605" s="17" t="s">
        <v>103</v>
      </c>
      <c r="C605" s="35" t="s">
        <v>168</v>
      </c>
      <c r="D605" s="35" t="s">
        <v>169</v>
      </c>
      <c r="E605" s="47">
        <v>0</v>
      </c>
      <c r="H605" s="43"/>
      <c r="I605" s="43"/>
      <c r="J605" s="43"/>
      <c r="K605" s="43"/>
      <c r="L605" s="43"/>
      <c r="M605" s="43"/>
      <c r="N605" s="43"/>
      <c r="O605" s="43"/>
      <c r="P605" s="43"/>
      <c r="Q605" s="43"/>
      <c r="R605" s="9"/>
      <c r="S605" s="9"/>
    </row>
    <row r="606" spans="1:19" x14ac:dyDescent="0.3">
      <c r="A606" s="48"/>
      <c r="E606" s="49"/>
      <c r="H606" s="43"/>
      <c r="I606" s="43"/>
      <c r="J606" s="43"/>
      <c r="K606" s="43"/>
      <c r="L606" s="43"/>
      <c r="M606" s="43"/>
      <c r="N606" s="43"/>
      <c r="O606" s="43"/>
      <c r="P606" s="43"/>
      <c r="Q606" s="43"/>
      <c r="R606" s="9"/>
      <c r="S606" s="9"/>
    </row>
    <row r="607" spans="1:19" x14ac:dyDescent="0.25">
      <c r="A607" s="174" t="s">
        <v>170</v>
      </c>
      <c r="B607" s="174"/>
      <c r="C607" s="175"/>
      <c r="D607" s="175"/>
      <c r="E607" s="195"/>
      <c r="F607" s="32"/>
      <c r="G607" s="32"/>
      <c r="H607" s="32"/>
      <c r="I607" s="32"/>
      <c r="J607" s="32"/>
      <c r="K607" s="32"/>
      <c r="L607" s="32"/>
      <c r="M607" s="32"/>
      <c r="N607" s="32"/>
      <c r="O607" s="32"/>
      <c r="P607" s="32"/>
      <c r="Q607" s="32"/>
    </row>
    <row r="608" spans="1:19" x14ac:dyDescent="0.25">
      <c r="A608" s="15" t="s">
        <v>8</v>
      </c>
      <c r="B608" s="15" t="s">
        <v>9</v>
      </c>
      <c r="C608" s="38" t="s">
        <v>10</v>
      </c>
      <c r="D608" s="38" t="s">
        <v>340</v>
      </c>
      <c r="E608" s="16" t="s">
        <v>65</v>
      </c>
      <c r="H608" s="43"/>
      <c r="I608" s="43"/>
      <c r="J608" s="43"/>
      <c r="K608" s="43"/>
      <c r="L608" s="43"/>
      <c r="M608" s="43"/>
      <c r="N608" s="43"/>
      <c r="O608" s="43"/>
      <c r="P608" s="43"/>
      <c r="Q608" s="43"/>
      <c r="R608" s="9"/>
      <c r="S608" s="9"/>
    </row>
    <row r="609" spans="1:133" ht="33.6" x14ac:dyDescent="0.4">
      <c r="A609" s="40" t="s">
        <v>171</v>
      </c>
      <c r="B609" s="17" t="s">
        <v>74</v>
      </c>
      <c r="C609" s="35" t="s">
        <v>172</v>
      </c>
      <c r="D609" s="35" t="s">
        <v>391</v>
      </c>
      <c r="E609" s="50">
        <f>E610*E613*E614*E615*E616*E617</f>
        <v>11.825865125094383</v>
      </c>
      <c r="H609" s="43"/>
      <c r="I609" s="43"/>
      <c r="J609" s="43"/>
      <c r="K609" s="43"/>
      <c r="L609" s="43"/>
      <c r="M609" s="43"/>
      <c r="N609" s="43"/>
      <c r="O609" s="43"/>
      <c r="P609" s="43"/>
      <c r="Q609" s="43"/>
      <c r="R609" s="9"/>
      <c r="S609" s="9"/>
    </row>
    <row r="610" spans="1:133" ht="46.8" x14ac:dyDescent="0.4">
      <c r="A610" s="51" t="s">
        <v>173</v>
      </c>
      <c r="B610" s="17" t="s">
        <v>76</v>
      </c>
      <c r="C610" s="35" t="s">
        <v>174</v>
      </c>
      <c r="D610" s="35" t="s">
        <v>392</v>
      </c>
      <c r="E610" s="69">
        <f>ROUNDUP(E611/E612,0)</f>
        <v>119</v>
      </c>
      <c r="H610" s="43"/>
      <c r="I610" s="43"/>
      <c r="J610" s="43"/>
      <c r="K610" s="43"/>
      <c r="L610" s="43"/>
      <c r="M610" s="43"/>
      <c r="N610" s="43"/>
      <c r="O610" s="43"/>
      <c r="P610" s="43"/>
      <c r="Q610" s="43"/>
      <c r="R610" s="9"/>
      <c r="S610" s="9"/>
    </row>
    <row r="611" spans="1:133" ht="62.4" x14ac:dyDescent="0.25">
      <c r="A611" s="17" t="s">
        <v>175</v>
      </c>
      <c r="B611" s="17" t="s">
        <v>78</v>
      </c>
      <c r="C611" s="35" t="s">
        <v>176</v>
      </c>
      <c r="D611" s="35" t="s">
        <v>346</v>
      </c>
      <c r="E611" s="52">
        <v>594.33699999999988</v>
      </c>
      <c r="H611" s="43"/>
      <c r="I611" s="43"/>
      <c r="J611" s="43"/>
      <c r="K611" s="43"/>
      <c r="L611" s="43"/>
      <c r="M611" s="43"/>
      <c r="N611" s="43"/>
      <c r="O611" s="43"/>
      <c r="P611" s="43"/>
      <c r="Q611" s="43"/>
      <c r="R611" s="9"/>
      <c r="S611" s="9"/>
    </row>
    <row r="612" spans="1:133" ht="62.4" x14ac:dyDescent="0.25">
      <c r="A612" s="17" t="s">
        <v>177</v>
      </c>
      <c r="B612" s="17" t="s">
        <v>80</v>
      </c>
      <c r="C612" s="35" t="s">
        <v>81</v>
      </c>
      <c r="D612" s="35" t="s">
        <v>345</v>
      </c>
      <c r="E612" s="25">
        <f>5</f>
        <v>5</v>
      </c>
      <c r="H612" s="43"/>
      <c r="I612" s="43"/>
      <c r="J612" s="43"/>
      <c r="K612" s="43"/>
      <c r="L612" s="43"/>
      <c r="M612" s="43"/>
      <c r="N612" s="43"/>
      <c r="O612" s="43"/>
      <c r="P612" s="43"/>
      <c r="Q612" s="43"/>
      <c r="R612" s="9"/>
      <c r="S612" s="9"/>
    </row>
    <row r="613" spans="1:133" ht="202.8" x14ac:dyDescent="0.25">
      <c r="A613" s="17" t="s">
        <v>178</v>
      </c>
      <c r="B613" s="17" t="s">
        <v>82</v>
      </c>
      <c r="C613" s="35" t="s">
        <v>179</v>
      </c>
      <c r="D613" s="35" t="s">
        <v>367</v>
      </c>
      <c r="E613" s="25">
        <v>146.80000000000001</v>
      </c>
      <c r="H613" s="43"/>
      <c r="I613" s="43"/>
      <c r="J613" s="43"/>
      <c r="K613" s="43"/>
      <c r="L613" s="43"/>
      <c r="M613" s="43"/>
      <c r="N613" s="43"/>
      <c r="O613" s="43"/>
      <c r="P613" s="43"/>
      <c r="Q613" s="43"/>
      <c r="R613" s="9"/>
      <c r="S613" s="9"/>
    </row>
    <row r="614" spans="1:133" ht="156" x14ac:dyDescent="0.25">
      <c r="A614" s="17" t="s">
        <v>180</v>
      </c>
      <c r="B614" s="17" t="s">
        <v>84</v>
      </c>
      <c r="C614" s="35" t="s">
        <v>85</v>
      </c>
      <c r="D614" s="35" t="s">
        <v>365</v>
      </c>
      <c r="E614" s="25">
        <f>25.1/100</f>
        <v>0.251</v>
      </c>
      <c r="H614" s="43"/>
      <c r="I614" s="43"/>
      <c r="J614" s="43"/>
      <c r="K614" s="43"/>
      <c r="L614" s="43"/>
      <c r="M614" s="43"/>
      <c r="N614" s="43"/>
      <c r="O614" s="43"/>
      <c r="P614" s="43"/>
      <c r="Q614" s="43"/>
      <c r="R614" s="9"/>
      <c r="S614" s="9"/>
    </row>
    <row r="615" spans="1:133" ht="62.4" x14ac:dyDescent="0.25">
      <c r="A615" s="17" t="s">
        <v>86</v>
      </c>
      <c r="B615" s="17" t="s">
        <v>87</v>
      </c>
      <c r="C615" s="35" t="s">
        <v>86</v>
      </c>
      <c r="D615" s="35" t="s">
        <v>215</v>
      </c>
      <c r="E615" s="25">
        <f>0.84/1000</f>
        <v>8.3999999999999993E-4</v>
      </c>
      <c r="H615" s="43"/>
      <c r="I615" s="43"/>
      <c r="J615" s="43"/>
      <c r="K615" s="43"/>
      <c r="L615" s="43"/>
      <c r="M615" s="43"/>
      <c r="N615" s="43"/>
      <c r="O615" s="43"/>
      <c r="P615" s="43"/>
      <c r="Q615" s="43"/>
      <c r="R615" s="9"/>
      <c r="S615" s="9"/>
    </row>
    <row r="616" spans="1:133" ht="124.8" x14ac:dyDescent="0.25">
      <c r="A616" s="17" t="s">
        <v>181</v>
      </c>
      <c r="B616" s="17" t="s">
        <v>88</v>
      </c>
      <c r="C616" s="35" t="s">
        <v>89</v>
      </c>
      <c r="D616" s="35" t="s">
        <v>360</v>
      </c>
      <c r="E616" s="25">
        <f>43.33/1000</f>
        <v>4.333E-2</v>
      </c>
      <c r="H616" s="43"/>
      <c r="I616" s="43"/>
      <c r="J616" s="43"/>
      <c r="K616" s="43"/>
      <c r="L616" s="43"/>
      <c r="M616" s="43"/>
      <c r="N616" s="43"/>
      <c r="O616" s="43"/>
      <c r="P616" s="43"/>
      <c r="Q616" s="43"/>
      <c r="R616" s="9"/>
      <c r="S616" s="9"/>
    </row>
    <row r="617" spans="1:133" ht="33.6" x14ac:dyDescent="0.25">
      <c r="A617" s="17" t="s">
        <v>182</v>
      </c>
      <c r="B617" s="17" t="s">
        <v>90</v>
      </c>
      <c r="C617" s="35" t="s">
        <v>91</v>
      </c>
      <c r="D617" s="35" t="s">
        <v>92</v>
      </c>
      <c r="E617" s="25">
        <v>74.099999999999994</v>
      </c>
      <c r="H617" s="43"/>
      <c r="I617" s="43"/>
      <c r="J617" s="43"/>
      <c r="K617" s="43"/>
      <c r="L617" s="43"/>
      <c r="M617" s="43"/>
      <c r="N617" s="43"/>
      <c r="O617" s="43"/>
      <c r="P617" s="43"/>
      <c r="Q617" s="43"/>
      <c r="R617" s="9"/>
      <c r="S617" s="9"/>
    </row>
    <row r="619" spans="1:133" x14ac:dyDescent="0.25">
      <c r="A619" s="33" t="s">
        <v>8</v>
      </c>
      <c r="B619" s="33" t="s">
        <v>9</v>
      </c>
      <c r="C619" s="34" t="s">
        <v>10</v>
      </c>
      <c r="D619" s="34" t="s">
        <v>340</v>
      </c>
      <c r="E619" s="16" t="s">
        <v>65</v>
      </c>
    </row>
    <row r="620" spans="1:133" ht="18" x14ac:dyDescent="0.25">
      <c r="A620" s="15" t="s">
        <v>183</v>
      </c>
      <c r="B620" s="17" t="s">
        <v>103</v>
      </c>
      <c r="C620" s="35" t="s">
        <v>184</v>
      </c>
      <c r="D620" s="53" t="s">
        <v>393</v>
      </c>
      <c r="E620" s="18">
        <f>ROUNDUP(E569+E593+E597+E601+E609,0)</f>
        <v>239</v>
      </c>
    </row>
    <row r="621" spans="1:133" s="208" customFormat="1" ht="38.4" customHeight="1" x14ac:dyDescent="0.25">
      <c r="A621" s="205" t="s">
        <v>230</v>
      </c>
      <c r="B621" s="206"/>
      <c r="C621" s="206"/>
      <c r="D621" s="206"/>
      <c r="E621" s="206"/>
      <c r="F621" s="206"/>
      <c r="G621" s="206"/>
      <c r="H621" s="206"/>
      <c r="I621" s="206"/>
      <c r="J621" s="206"/>
      <c r="K621" s="206"/>
      <c r="L621" s="206"/>
      <c r="M621" s="206"/>
      <c r="N621" s="206"/>
      <c r="O621" s="206"/>
      <c r="P621" s="206"/>
      <c r="Q621" s="206"/>
      <c r="R621" s="206"/>
      <c r="S621" s="206"/>
      <c r="T621" s="206"/>
      <c r="U621" s="206"/>
      <c r="V621" s="206"/>
      <c r="W621" s="206"/>
      <c r="X621" s="206"/>
      <c r="Y621" s="206"/>
      <c r="Z621" s="206"/>
      <c r="AA621" s="206"/>
      <c r="AB621" s="206"/>
      <c r="AC621" s="206"/>
      <c r="AD621" s="206"/>
      <c r="AE621" s="206"/>
      <c r="AF621" s="206"/>
      <c r="AG621" s="206"/>
      <c r="AH621" s="206"/>
      <c r="AI621" s="206"/>
      <c r="AJ621" s="206"/>
      <c r="AK621" s="206"/>
      <c r="AL621" s="206"/>
      <c r="AM621" s="206"/>
      <c r="AN621" s="206"/>
      <c r="AO621" s="206"/>
      <c r="AP621" s="206"/>
      <c r="AQ621" s="206"/>
      <c r="AR621" s="206"/>
      <c r="AS621" s="206"/>
      <c r="AT621" s="206"/>
      <c r="AU621" s="206"/>
      <c r="AV621" s="206"/>
      <c r="AW621" s="206"/>
      <c r="AX621" s="206"/>
      <c r="AY621" s="206"/>
      <c r="AZ621" s="206"/>
      <c r="BA621" s="206"/>
      <c r="BB621" s="206"/>
      <c r="BC621" s="206"/>
      <c r="BD621" s="206"/>
      <c r="BE621" s="206"/>
      <c r="BF621" s="206"/>
      <c r="BG621" s="206"/>
      <c r="BH621" s="206"/>
      <c r="BI621" s="206"/>
      <c r="BJ621" s="206"/>
      <c r="BK621" s="206"/>
      <c r="BL621" s="206"/>
      <c r="BM621" s="206"/>
      <c r="BN621" s="206"/>
      <c r="BO621" s="206"/>
      <c r="BP621" s="206"/>
      <c r="BQ621" s="206"/>
      <c r="BR621" s="206"/>
      <c r="BS621" s="206"/>
      <c r="BT621" s="206"/>
      <c r="BU621" s="206"/>
      <c r="BV621" s="206"/>
      <c r="BW621" s="206"/>
      <c r="BX621" s="206"/>
      <c r="BY621" s="206"/>
      <c r="BZ621" s="206"/>
      <c r="CA621" s="206"/>
      <c r="CB621" s="206"/>
      <c r="CC621" s="206"/>
      <c r="CD621" s="206"/>
      <c r="CE621" s="206"/>
      <c r="CF621" s="206"/>
      <c r="CG621" s="206"/>
      <c r="CH621" s="206"/>
      <c r="CI621" s="206"/>
      <c r="CJ621" s="206"/>
      <c r="CK621" s="206"/>
      <c r="CL621" s="206"/>
      <c r="CM621" s="206"/>
      <c r="CN621" s="206"/>
      <c r="CO621" s="206"/>
      <c r="CP621" s="206"/>
      <c r="CQ621" s="206"/>
      <c r="CR621" s="206"/>
      <c r="CS621" s="206"/>
      <c r="CT621" s="206"/>
      <c r="CU621" s="206"/>
      <c r="CV621" s="206"/>
      <c r="CW621" s="206"/>
      <c r="CX621" s="206"/>
      <c r="CY621" s="206"/>
      <c r="CZ621" s="206"/>
      <c r="DA621" s="206"/>
      <c r="DB621" s="206"/>
      <c r="DC621" s="206"/>
      <c r="DD621" s="206"/>
      <c r="DE621" s="206"/>
      <c r="DF621" s="206"/>
      <c r="DG621" s="206"/>
      <c r="DH621" s="206"/>
      <c r="DI621" s="206"/>
      <c r="DJ621" s="206"/>
      <c r="DK621" s="206"/>
      <c r="DL621" s="206"/>
      <c r="DM621" s="206"/>
      <c r="DN621" s="206"/>
      <c r="DO621" s="206"/>
      <c r="DP621" s="206"/>
      <c r="DQ621" s="206"/>
      <c r="DR621" s="206"/>
      <c r="DS621" s="206"/>
      <c r="DT621" s="206"/>
      <c r="DU621" s="206"/>
      <c r="DV621" s="206"/>
      <c r="DW621" s="206"/>
      <c r="DX621" s="206"/>
      <c r="DY621" s="206"/>
      <c r="DZ621" s="206"/>
      <c r="EA621" s="206"/>
      <c r="EB621" s="206"/>
      <c r="EC621" s="207"/>
    </row>
    <row r="622" spans="1:133" s="200" customFormat="1" ht="43.2" customHeight="1" x14ac:dyDescent="0.25">
      <c r="A622" s="197" t="s">
        <v>231</v>
      </c>
      <c r="B622" s="198"/>
      <c r="C622" s="198"/>
      <c r="D622" s="198"/>
      <c r="E622" s="198"/>
      <c r="F622" s="198"/>
      <c r="G622" s="198"/>
      <c r="H622" s="198"/>
      <c r="I622" s="198"/>
      <c r="J622" s="198"/>
      <c r="K622" s="198"/>
      <c r="L622" s="198"/>
      <c r="M622" s="198"/>
      <c r="N622" s="198"/>
      <c r="O622" s="198"/>
      <c r="P622" s="198"/>
      <c r="Q622" s="198"/>
      <c r="R622" s="198"/>
      <c r="S622" s="198"/>
      <c r="T622" s="198"/>
      <c r="U622" s="198"/>
      <c r="V622" s="198"/>
      <c r="W622" s="198"/>
      <c r="X622" s="198"/>
      <c r="Y622" s="198"/>
      <c r="Z622" s="198"/>
      <c r="AA622" s="198"/>
      <c r="AB622" s="198"/>
      <c r="AC622" s="198"/>
      <c r="AD622" s="198"/>
      <c r="AE622" s="198"/>
      <c r="AF622" s="198"/>
      <c r="AG622" s="198"/>
      <c r="AH622" s="198"/>
      <c r="AI622" s="198"/>
      <c r="AJ622" s="198"/>
      <c r="AK622" s="198"/>
      <c r="AL622" s="198"/>
      <c r="AM622" s="198"/>
      <c r="AN622" s="198"/>
      <c r="AO622" s="198"/>
      <c r="AP622" s="198"/>
      <c r="AQ622" s="198"/>
      <c r="AR622" s="198"/>
      <c r="AS622" s="198"/>
      <c r="AT622" s="198"/>
      <c r="AU622" s="198"/>
      <c r="AV622" s="198"/>
      <c r="AW622" s="198"/>
      <c r="AX622" s="198"/>
      <c r="AY622" s="198"/>
      <c r="AZ622" s="198"/>
      <c r="BA622" s="198"/>
      <c r="BB622" s="198"/>
      <c r="BC622" s="198"/>
      <c r="BD622" s="198"/>
      <c r="BE622" s="198"/>
      <c r="BF622" s="198"/>
      <c r="BG622" s="198"/>
      <c r="BH622" s="198"/>
      <c r="BI622" s="198"/>
      <c r="BJ622" s="198"/>
      <c r="BK622" s="198"/>
      <c r="BL622" s="198"/>
      <c r="BM622" s="198"/>
      <c r="BN622" s="198"/>
      <c r="BO622" s="198"/>
      <c r="BP622" s="198"/>
      <c r="BQ622" s="198"/>
      <c r="BR622" s="198"/>
      <c r="BS622" s="198"/>
      <c r="BT622" s="198"/>
      <c r="BU622" s="198"/>
      <c r="BV622" s="198"/>
      <c r="BW622" s="198"/>
      <c r="BX622" s="198"/>
      <c r="BY622" s="198"/>
      <c r="BZ622" s="198"/>
      <c r="CA622" s="198"/>
      <c r="CB622" s="198"/>
      <c r="CC622" s="198"/>
      <c r="CD622" s="198"/>
      <c r="CE622" s="198"/>
      <c r="CF622" s="198"/>
      <c r="CG622" s="198"/>
      <c r="CH622" s="198"/>
      <c r="CI622" s="198"/>
      <c r="CJ622" s="198"/>
      <c r="CK622" s="198"/>
      <c r="CL622" s="198"/>
      <c r="CM622" s="198"/>
      <c r="CN622" s="198"/>
      <c r="CO622" s="198"/>
      <c r="CP622" s="198"/>
      <c r="CQ622" s="198"/>
      <c r="CR622" s="198"/>
      <c r="CS622" s="198"/>
      <c r="CT622" s="198"/>
      <c r="CU622" s="198"/>
      <c r="CV622" s="198"/>
      <c r="CW622" s="198"/>
      <c r="CX622" s="198"/>
      <c r="CY622" s="198"/>
      <c r="CZ622" s="198"/>
      <c r="DA622" s="198"/>
      <c r="DB622" s="198"/>
      <c r="DC622" s="198"/>
      <c r="DD622" s="198"/>
      <c r="DE622" s="198"/>
      <c r="DF622" s="198"/>
      <c r="DG622" s="198"/>
      <c r="DH622" s="198"/>
      <c r="DI622" s="198"/>
      <c r="DJ622" s="198"/>
      <c r="DK622" s="198"/>
      <c r="DL622" s="198"/>
      <c r="DM622" s="198"/>
      <c r="DN622" s="198"/>
      <c r="DO622" s="198"/>
      <c r="DP622" s="198"/>
      <c r="DQ622" s="198"/>
      <c r="DR622" s="198"/>
      <c r="DS622" s="198"/>
      <c r="DT622" s="198"/>
      <c r="DU622" s="198"/>
      <c r="DV622" s="198"/>
      <c r="DW622" s="198"/>
      <c r="DX622" s="198"/>
      <c r="DY622" s="198"/>
      <c r="DZ622" s="198"/>
      <c r="EA622" s="198"/>
      <c r="EB622" s="198"/>
      <c r="EC622" s="199"/>
    </row>
    <row r="623" spans="1:133" ht="23.4" customHeight="1" x14ac:dyDescent="0.25">
      <c r="A623" s="201" t="s">
        <v>105</v>
      </c>
      <c r="B623" s="201"/>
      <c r="C623" s="201"/>
      <c r="D623" s="201"/>
      <c r="E623" s="201"/>
      <c r="F623" s="201"/>
      <c r="G623" s="201"/>
      <c r="H623" s="201"/>
      <c r="I623" s="201"/>
      <c r="J623" s="201"/>
      <c r="K623" s="201"/>
      <c r="L623" s="201"/>
      <c r="M623" s="201"/>
      <c r="N623" s="201"/>
      <c r="O623" s="201"/>
      <c r="P623" s="201"/>
      <c r="Q623" s="202"/>
    </row>
    <row r="624" spans="1:133" s="10" customFormat="1" ht="31.2" x14ac:dyDescent="0.25">
      <c r="A624" s="15" t="s">
        <v>8</v>
      </c>
      <c r="B624" s="15" t="s">
        <v>9</v>
      </c>
      <c r="C624" s="15" t="s">
        <v>10</v>
      </c>
      <c r="D624" s="15" t="s">
        <v>340</v>
      </c>
      <c r="E624" s="16" t="s">
        <v>11</v>
      </c>
      <c r="F624" s="16" t="s">
        <v>322</v>
      </c>
      <c r="G624" s="16" t="s">
        <v>323</v>
      </c>
      <c r="H624" s="16" t="s">
        <v>324</v>
      </c>
      <c r="I624" s="16" t="s">
        <v>325</v>
      </c>
      <c r="J624" s="16" t="s">
        <v>326</v>
      </c>
      <c r="K624" s="16" t="s">
        <v>329</v>
      </c>
      <c r="L624" s="16" t="s">
        <v>292</v>
      </c>
      <c r="M624" s="16" t="s">
        <v>292</v>
      </c>
      <c r="N624" s="16" t="s">
        <v>292</v>
      </c>
      <c r="O624" s="16" t="s">
        <v>292</v>
      </c>
      <c r="P624" s="16" t="s">
        <v>292</v>
      </c>
      <c r="Q624" s="16" t="s">
        <v>292</v>
      </c>
      <c r="R624" s="54"/>
      <c r="S624" s="54"/>
    </row>
    <row r="625" spans="1:19" s="10" customFormat="1" x14ac:dyDescent="0.25">
      <c r="A625" s="203" t="s">
        <v>106</v>
      </c>
      <c r="B625" s="203"/>
      <c r="C625" s="203"/>
      <c r="D625" s="203"/>
      <c r="E625" s="204"/>
      <c r="F625" s="16">
        <v>31</v>
      </c>
      <c r="G625" s="16">
        <v>28</v>
      </c>
      <c r="H625" s="16">
        <v>31</v>
      </c>
      <c r="I625" s="16">
        <v>30</v>
      </c>
      <c r="J625" s="16">
        <v>31</v>
      </c>
      <c r="K625" s="16">
        <v>30</v>
      </c>
      <c r="L625" s="16" t="s">
        <v>292</v>
      </c>
      <c r="M625" s="16" t="s">
        <v>292</v>
      </c>
      <c r="N625" s="16" t="s">
        <v>292</v>
      </c>
      <c r="O625" s="16" t="s">
        <v>292</v>
      </c>
      <c r="P625" s="16" t="s">
        <v>292</v>
      </c>
      <c r="Q625" s="16" t="s">
        <v>292</v>
      </c>
      <c r="R625" s="54"/>
      <c r="S625" s="54"/>
    </row>
    <row r="626" spans="1:19" s="10" customFormat="1" ht="31.2" x14ac:dyDescent="0.25">
      <c r="A626" s="15" t="s">
        <v>107</v>
      </c>
      <c r="B626" s="17" t="s">
        <v>103</v>
      </c>
      <c r="C626" s="17" t="s">
        <v>108</v>
      </c>
      <c r="D626" s="17" t="s">
        <v>381</v>
      </c>
      <c r="E626" s="18">
        <f>E627+E637</f>
        <v>0</v>
      </c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54"/>
      <c r="S626" s="54"/>
    </row>
    <row r="627" spans="1:19" ht="46.8" x14ac:dyDescent="0.25">
      <c r="A627" s="17" t="s">
        <v>109</v>
      </c>
      <c r="B627" s="17" t="s">
        <v>103</v>
      </c>
      <c r="C627" s="17" t="s">
        <v>110</v>
      </c>
      <c r="D627" s="17" t="s">
        <v>382</v>
      </c>
      <c r="E627" s="19">
        <f>SUM(F627:K627)</f>
        <v>0</v>
      </c>
      <c r="F627" s="19">
        <f>IF(F628&gt;=0.8,0,$E$635*$E$636*0.4*(F629-F632)*F625)</f>
        <v>0</v>
      </c>
      <c r="G627" s="19">
        <f t="shared" ref="G627:K627" si="77">IF(G628&gt;=0.8,0,$E$635*$E$636*0.4*(G629-G632)*G625)</f>
        <v>0</v>
      </c>
      <c r="H627" s="19">
        <f t="shared" si="77"/>
        <v>0</v>
      </c>
      <c r="I627" s="19">
        <f t="shared" si="77"/>
        <v>0</v>
      </c>
      <c r="J627" s="19">
        <f t="shared" si="77"/>
        <v>0</v>
      </c>
      <c r="K627" s="19">
        <f t="shared" si="77"/>
        <v>0</v>
      </c>
      <c r="L627" s="19" t="s">
        <v>297</v>
      </c>
      <c r="M627" s="19" t="s">
        <v>297</v>
      </c>
      <c r="N627" s="19" t="s">
        <v>297</v>
      </c>
      <c r="O627" s="19" t="s">
        <v>297</v>
      </c>
      <c r="P627" s="19" t="s">
        <v>297</v>
      </c>
      <c r="Q627" s="19" t="s">
        <v>297</v>
      </c>
    </row>
    <row r="628" spans="1:19" ht="62.4" x14ac:dyDescent="0.25">
      <c r="A628" s="17" t="s">
        <v>111</v>
      </c>
      <c r="B628" s="17" t="s">
        <v>37</v>
      </c>
      <c r="C628" s="17" t="s">
        <v>112</v>
      </c>
      <c r="D628" s="17" t="s">
        <v>383</v>
      </c>
      <c r="E628" s="20">
        <f>AVERAGE(F628:K628)</f>
        <v>0.95305297827166713</v>
      </c>
      <c r="F628" s="20">
        <f>(F629-F632)/F629</f>
        <v>0.95333959016038894</v>
      </c>
      <c r="G628" s="20">
        <f t="shared" ref="G628:K628" si="78">(G629-G632)/G629</f>
        <v>0.95449202354356377</v>
      </c>
      <c r="H628" s="20">
        <f t="shared" si="78"/>
        <v>0.9529088628053406</v>
      </c>
      <c r="I628" s="20">
        <f t="shared" si="78"/>
        <v>0.95244810157820847</v>
      </c>
      <c r="J628" s="20">
        <f t="shared" si="78"/>
        <v>0.95553646429323424</v>
      </c>
      <c r="K628" s="20">
        <f t="shared" si="78"/>
        <v>0.94959282724926608</v>
      </c>
      <c r="L628" s="20" t="s">
        <v>297</v>
      </c>
      <c r="M628" s="20" t="s">
        <v>297</v>
      </c>
      <c r="N628" s="20" t="s">
        <v>297</v>
      </c>
      <c r="O628" s="20" t="s">
        <v>297</v>
      </c>
      <c r="P628" s="20" t="s">
        <v>297</v>
      </c>
      <c r="Q628" s="20" t="s">
        <v>297</v>
      </c>
    </row>
    <row r="629" spans="1:19" ht="46.8" x14ac:dyDescent="0.25">
      <c r="A629" s="17" t="s">
        <v>113</v>
      </c>
      <c r="B629" s="17" t="s">
        <v>24</v>
      </c>
      <c r="C629" s="17" t="s">
        <v>114</v>
      </c>
      <c r="D629" s="17" t="s">
        <v>384</v>
      </c>
      <c r="E629" s="20">
        <f>SUM(F629:K629)</f>
        <v>10.29927305108675</v>
      </c>
      <c r="F629" s="20">
        <f>F630*F631</f>
        <v>1.6680928992017334</v>
      </c>
      <c r="G629" s="20">
        <f t="shared" ref="G629:K629" si="79">G630*G631</f>
        <v>1.6687748932838968</v>
      </c>
      <c r="H629" s="20">
        <f t="shared" si="79"/>
        <v>1.6667724453899406</v>
      </c>
      <c r="I629" s="20">
        <f t="shared" si="79"/>
        <v>1.6674889585074999</v>
      </c>
      <c r="J629" s="20">
        <f t="shared" si="79"/>
        <v>1.9012705896178459</v>
      </c>
      <c r="K629" s="20">
        <f t="shared" si="79"/>
        <v>1.7268732650858338</v>
      </c>
      <c r="L629" s="20" t="s">
        <v>297</v>
      </c>
      <c r="M629" s="20" t="s">
        <v>297</v>
      </c>
      <c r="N629" s="20" t="s">
        <v>297</v>
      </c>
      <c r="O629" s="20" t="s">
        <v>297</v>
      </c>
      <c r="P629" s="20" t="s">
        <v>297</v>
      </c>
      <c r="Q629" s="20" t="s">
        <v>297</v>
      </c>
    </row>
    <row r="630" spans="1:19" ht="71.400000000000006" customHeight="1" x14ac:dyDescent="0.25">
      <c r="A630" s="17" t="s">
        <v>115</v>
      </c>
      <c r="B630" s="17" t="s">
        <v>116</v>
      </c>
      <c r="C630" s="17" t="s">
        <v>117</v>
      </c>
      <c r="D630" s="17" t="s">
        <v>336</v>
      </c>
      <c r="E630" s="129">
        <f>SUM(F630:K630)</f>
        <v>32172.476606682027</v>
      </c>
      <c r="F630" s="129">
        <f>'Baseline Emissions 2022'!F610</f>
        <v>5121.9218064516117</v>
      </c>
      <c r="G630" s="129">
        <f>'Baseline Emissions 2022'!G610</f>
        <v>5120.722535714287</v>
      </c>
      <c r="H630" s="129">
        <f>'Baseline Emissions 2022'!H610</f>
        <v>5120.902193548387</v>
      </c>
      <c r="I630" s="129">
        <f>'Baseline Emissions 2022'!I610</f>
        <v>5122.9850999999999</v>
      </c>
      <c r="J630" s="129">
        <f>'Baseline Emissions 2022'!J610</f>
        <v>5843.6348709677404</v>
      </c>
      <c r="K630" s="129">
        <f>'Baseline Emissions 2022'!K610</f>
        <v>5842.3100999999997</v>
      </c>
      <c r="L630" s="21" t="s">
        <v>297</v>
      </c>
      <c r="M630" s="21" t="s">
        <v>297</v>
      </c>
      <c r="N630" s="21" t="s">
        <v>297</v>
      </c>
      <c r="O630" s="21" t="s">
        <v>297</v>
      </c>
      <c r="P630" s="21" t="s">
        <v>297</v>
      </c>
      <c r="Q630" s="21" t="s">
        <v>297</v>
      </c>
    </row>
    <row r="631" spans="1:19" ht="46.8" x14ac:dyDescent="0.25">
      <c r="A631" s="17" t="s">
        <v>118</v>
      </c>
      <c r="B631" s="17" t="s">
        <v>119</v>
      </c>
      <c r="C631" s="17" t="s">
        <v>120</v>
      </c>
      <c r="D631" s="35" t="s">
        <v>338</v>
      </c>
      <c r="E631" s="120">
        <f>AVERAGE(F631:K631)</f>
        <v>3.2057960776156344E-4</v>
      </c>
      <c r="F631" s="130">
        <f>'Baseline Emissions 2022'!F614</f>
        <v>3.256771505376343E-4</v>
      </c>
      <c r="G631" s="130">
        <f>'Baseline Emissions 2022'!G614</f>
        <v>3.258866071428571E-4</v>
      </c>
      <c r="H631" s="130">
        <f>'Baseline Emissions 2022'!H614</f>
        <v>3.2548413978494617E-4</v>
      </c>
      <c r="I631" s="130">
        <f>'Baseline Emissions 2022'!I614</f>
        <v>3.2549166666666666E-4</v>
      </c>
      <c r="J631" s="130">
        <f>'Baseline Emissions 2022'!J614</f>
        <v>3.2535752688172051E-4</v>
      </c>
      <c r="K631" s="130">
        <f>'Baseline Emissions 2022'!K614</f>
        <v>2.9558055555555565E-4</v>
      </c>
      <c r="L631" s="23" t="s">
        <v>297</v>
      </c>
      <c r="M631" s="23" t="s">
        <v>297</v>
      </c>
      <c r="N631" s="23" t="s">
        <v>297</v>
      </c>
      <c r="O631" s="23" t="s">
        <v>297</v>
      </c>
      <c r="P631" s="23" t="s">
        <v>297</v>
      </c>
      <c r="Q631" s="23" t="s">
        <v>297</v>
      </c>
    </row>
    <row r="632" spans="1:19" ht="46.8" x14ac:dyDescent="0.25">
      <c r="A632" s="17" t="s">
        <v>121</v>
      </c>
      <c r="B632" s="17" t="s">
        <v>24</v>
      </c>
      <c r="C632" s="17" t="s">
        <v>122</v>
      </c>
      <c r="D632" s="17" t="s">
        <v>384</v>
      </c>
      <c r="E632" s="20">
        <f>SUM(F632:K632)</f>
        <v>0.48314295409599861</v>
      </c>
      <c r="F632" s="20">
        <f>SUM(F633*F634)</f>
        <v>7.7833898327297951E-2</v>
      </c>
      <c r="G632" s="20">
        <f t="shared" ref="G632:K632" si="80">SUM(G633*G634)</f>
        <v>7.5942568554655615E-2</v>
      </c>
      <c r="H632" s="20">
        <f t="shared" si="80"/>
        <v>7.8490209898135627E-2</v>
      </c>
      <c r="I632" s="20">
        <f t="shared" si="80"/>
        <v>7.9292265574407411E-2</v>
      </c>
      <c r="J632" s="20">
        <f t="shared" si="80"/>
        <v>8.45372127496965E-2</v>
      </c>
      <c r="K632" s="20">
        <f t="shared" si="80"/>
        <v>8.7046798991805535E-2</v>
      </c>
      <c r="L632" s="20" t="s">
        <v>297</v>
      </c>
      <c r="M632" s="20" t="s">
        <v>297</v>
      </c>
      <c r="N632" s="20" t="s">
        <v>297</v>
      </c>
      <c r="O632" s="20" t="s">
        <v>297</v>
      </c>
      <c r="P632" s="20" t="s">
        <v>297</v>
      </c>
      <c r="Q632" s="20" t="s">
        <v>297</v>
      </c>
    </row>
    <row r="633" spans="1:19" ht="62.4" x14ac:dyDescent="0.25">
      <c r="A633" s="17" t="s">
        <v>123</v>
      </c>
      <c r="B633" s="17" t="s">
        <v>116</v>
      </c>
      <c r="C633" s="17" t="s">
        <v>124</v>
      </c>
      <c r="D633" s="17" t="s">
        <v>337</v>
      </c>
      <c r="E633" s="129">
        <f>SUM(F633:K633)</f>
        <v>31405.332483794162</v>
      </c>
      <c r="F633" s="129">
        <v>5011.4598064516122</v>
      </c>
      <c r="G633" s="129">
        <v>5009.7583214285714</v>
      </c>
      <c r="H633" s="129">
        <v>5012.3355161290319</v>
      </c>
      <c r="I633" s="129">
        <v>5010.9215333333341</v>
      </c>
      <c r="J633" s="129">
        <v>5685.2288064516124</v>
      </c>
      <c r="K633" s="129">
        <v>5675.6284999999989</v>
      </c>
      <c r="L633" s="21" t="s">
        <v>297</v>
      </c>
      <c r="M633" s="21" t="s">
        <v>297</v>
      </c>
      <c r="N633" s="21" t="s">
        <v>297</v>
      </c>
      <c r="O633" s="21" t="s">
        <v>297</v>
      </c>
      <c r="P633" s="21" t="s">
        <v>297</v>
      </c>
      <c r="Q633" s="21" t="s">
        <v>297</v>
      </c>
    </row>
    <row r="634" spans="1:19" ht="46.8" x14ac:dyDescent="0.25">
      <c r="A634" s="17" t="s">
        <v>125</v>
      </c>
      <c r="B634" s="17" t="s">
        <v>119</v>
      </c>
      <c r="C634" s="17" t="s">
        <v>126</v>
      </c>
      <c r="D634" s="35" t="s">
        <v>339</v>
      </c>
      <c r="E634" s="131">
        <f>AVERAGE(F634:K634)</f>
        <v>1.5396662826420892E-5</v>
      </c>
      <c r="F634" s="131">
        <f>'Baseline Emissions 2022'!F615</f>
        <v>1.5531182795698928E-5</v>
      </c>
      <c r="G634" s="131">
        <f>'Baseline Emissions 2022'!G615</f>
        <v>1.5158928571428572E-5</v>
      </c>
      <c r="H634" s="131">
        <f>'Baseline Emissions 2022'!H615</f>
        <v>1.5659408602150538E-5</v>
      </c>
      <c r="I634" s="131">
        <f>'Baseline Emissions 2022'!I615</f>
        <v>1.5823888888888887E-5</v>
      </c>
      <c r="J634" s="131">
        <f>'Baseline Emissions 2022'!J615</f>
        <v>1.486962365591398E-5</v>
      </c>
      <c r="K634" s="131">
        <f>'Baseline Emissions 2022'!K615</f>
        <v>1.5336944444444444E-5</v>
      </c>
      <c r="L634" s="24" t="s">
        <v>297</v>
      </c>
      <c r="M634" s="24" t="s">
        <v>297</v>
      </c>
      <c r="N634" s="24" t="s">
        <v>297</v>
      </c>
      <c r="O634" s="24" t="s">
        <v>297</v>
      </c>
      <c r="P634" s="24" t="s">
        <v>297</v>
      </c>
      <c r="Q634" s="24" t="s">
        <v>297</v>
      </c>
    </row>
    <row r="635" spans="1:19" ht="31.2" x14ac:dyDescent="0.25">
      <c r="A635" s="17" t="s">
        <v>127</v>
      </c>
      <c r="B635" s="17" t="s">
        <v>128</v>
      </c>
      <c r="C635" s="17" t="s">
        <v>17</v>
      </c>
      <c r="D635" s="17" t="s">
        <v>129</v>
      </c>
      <c r="E635" s="176">
        <v>28</v>
      </c>
      <c r="F635" s="176"/>
      <c r="G635" s="176"/>
      <c r="H635" s="176"/>
      <c r="I635" s="176"/>
      <c r="J635" s="176"/>
      <c r="K635" s="176"/>
      <c r="L635" s="176"/>
      <c r="M635" s="176"/>
      <c r="N635" s="176"/>
      <c r="O635" s="176"/>
      <c r="P635" s="176"/>
      <c r="Q635" s="176"/>
    </row>
    <row r="636" spans="1:19" ht="64.8" x14ac:dyDescent="0.25">
      <c r="A636" s="17" t="s">
        <v>130</v>
      </c>
      <c r="B636" s="17" t="s">
        <v>19</v>
      </c>
      <c r="C636" s="17" t="s">
        <v>131</v>
      </c>
      <c r="D636" s="17" t="s">
        <v>394</v>
      </c>
      <c r="E636" s="176">
        <v>0.21</v>
      </c>
      <c r="F636" s="176"/>
      <c r="G636" s="176"/>
      <c r="H636" s="176"/>
      <c r="I636" s="176"/>
      <c r="J636" s="176"/>
      <c r="K636" s="176"/>
      <c r="L636" s="176"/>
      <c r="M636" s="176"/>
      <c r="N636" s="176"/>
      <c r="O636" s="176"/>
      <c r="P636" s="176"/>
      <c r="Q636" s="176"/>
    </row>
    <row r="637" spans="1:19" ht="46.8" x14ac:dyDescent="0.25">
      <c r="A637" s="17" t="s">
        <v>132</v>
      </c>
      <c r="B637" s="17" t="s">
        <v>103</v>
      </c>
      <c r="C637" s="17" t="s">
        <v>133</v>
      </c>
      <c r="D637" s="17" t="s">
        <v>385</v>
      </c>
      <c r="E637" s="19">
        <f>SUM(F637:K637)</f>
        <v>0</v>
      </c>
      <c r="F637" s="19">
        <f>$E$635*$E$636*F638*F632*F625</f>
        <v>0</v>
      </c>
      <c r="G637" s="19">
        <f t="shared" ref="G637:K637" si="81">$E$635*$E$636*G638*G632*G625</f>
        <v>0</v>
      </c>
      <c r="H637" s="19">
        <f t="shared" si="81"/>
        <v>0</v>
      </c>
      <c r="I637" s="19">
        <f t="shared" si="81"/>
        <v>0</v>
      </c>
      <c r="J637" s="19">
        <f t="shared" si="81"/>
        <v>0</v>
      </c>
      <c r="K637" s="19">
        <f t="shared" si="81"/>
        <v>0</v>
      </c>
      <c r="L637" s="19" t="s">
        <v>297</v>
      </c>
      <c r="M637" s="19" t="s">
        <v>297</v>
      </c>
      <c r="N637" s="19" t="s">
        <v>297</v>
      </c>
      <c r="O637" s="19" t="s">
        <v>297</v>
      </c>
      <c r="P637" s="19" t="s">
        <v>297</v>
      </c>
      <c r="Q637" s="19" t="s">
        <v>297</v>
      </c>
    </row>
    <row r="638" spans="1:19" ht="18" x14ac:dyDescent="0.25">
      <c r="A638" s="17" t="s">
        <v>134</v>
      </c>
      <c r="B638" s="17" t="s">
        <v>37</v>
      </c>
      <c r="C638" s="17" t="s">
        <v>135</v>
      </c>
      <c r="D638" s="17" t="s">
        <v>386</v>
      </c>
      <c r="E638" s="26">
        <f>AVERAGE(F638:K638)</f>
        <v>0</v>
      </c>
      <c r="F638" s="26">
        <f>F639*$E$640*0.89</f>
        <v>0</v>
      </c>
      <c r="G638" s="26">
        <f t="shared" ref="G638:K638" si="82">G639*$E$640*0.89</f>
        <v>0</v>
      </c>
      <c r="H638" s="26">
        <f t="shared" si="82"/>
        <v>0</v>
      </c>
      <c r="I638" s="26">
        <f t="shared" si="82"/>
        <v>0</v>
      </c>
      <c r="J638" s="26">
        <f t="shared" si="82"/>
        <v>0</v>
      </c>
      <c r="K638" s="26">
        <f t="shared" si="82"/>
        <v>0</v>
      </c>
      <c r="L638" s="26" t="s">
        <v>297</v>
      </c>
      <c r="M638" s="26" t="s">
        <v>297</v>
      </c>
      <c r="N638" s="26" t="s">
        <v>297</v>
      </c>
      <c r="O638" s="26" t="s">
        <v>297</v>
      </c>
      <c r="P638" s="26" t="s">
        <v>297</v>
      </c>
      <c r="Q638" s="26" t="s">
        <v>297</v>
      </c>
    </row>
    <row r="639" spans="1:19" ht="31.2" x14ac:dyDescent="0.25">
      <c r="A639" s="17" t="s">
        <v>136</v>
      </c>
      <c r="B639" s="17" t="s">
        <v>37</v>
      </c>
      <c r="C639" s="17" t="s">
        <v>46</v>
      </c>
      <c r="D639" s="17" t="s">
        <v>387</v>
      </c>
      <c r="E639" s="25">
        <v>0</v>
      </c>
      <c r="F639" s="25">
        <v>0</v>
      </c>
      <c r="G639" s="25">
        <v>0</v>
      </c>
      <c r="H639" s="25">
        <v>0</v>
      </c>
      <c r="I639" s="25">
        <v>0</v>
      </c>
      <c r="J639" s="25">
        <v>0</v>
      </c>
      <c r="K639" s="25">
        <v>0</v>
      </c>
      <c r="L639" s="25" t="s">
        <v>297</v>
      </c>
      <c r="M639" s="25" t="s">
        <v>297</v>
      </c>
      <c r="N639" s="25" t="s">
        <v>297</v>
      </c>
      <c r="O639" s="25" t="s">
        <v>297</v>
      </c>
      <c r="P639" s="25" t="s">
        <v>297</v>
      </c>
      <c r="Q639" s="25" t="s">
        <v>297</v>
      </c>
    </row>
    <row r="640" spans="1:19" ht="31.2" x14ac:dyDescent="0.25">
      <c r="A640" s="17" t="s">
        <v>137</v>
      </c>
      <c r="B640" s="17" t="s">
        <v>201</v>
      </c>
      <c r="C640" s="17" t="s">
        <v>138</v>
      </c>
      <c r="D640" s="17" t="s">
        <v>388</v>
      </c>
      <c r="E640" s="196">
        <f>(F641*F646+G641*G646+H641*H646+I641*I646+J641*J646+K641*K646)/(F633*F634*F625+G634*G633*G625+H633*H634*H625+I634*I633*I625+J634*J633*J625+K634*K633*K625)</f>
        <v>0.46878006047290088</v>
      </c>
      <c r="F640" s="196"/>
      <c r="G640" s="196"/>
      <c r="H640" s="196"/>
      <c r="I640" s="196"/>
      <c r="J640" s="196"/>
      <c r="K640" s="196"/>
      <c r="L640" s="196"/>
      <c r="M640" s="196"/>
      <c r="N640" s="196"/>
      <c r="O640" s="196"/>
      <c r="P640" s="196"/>
      <c r="Q640" s="196"/>
    </row>
    <row r="641" spans="1:17" ht="31.2" x14ac:dyDescent="0.25">
      <c r="A641" s="17" t="s">
        <v>139</v>
      </c>
      <c r="B641" s="17" t="s">
        <v>37</v>
      </c>
      <c r="C641" s="17" t="s">
        <v>140</v>
      </c>
      <c r="D641" s="17" t="s">
        <v>375</v>
      </c>
      <c r="E641" s="27">
        <f>AVERAGE(F641:K641)</f>
        <v>0.45657243431138023</v>
      </c>
      <c r="F641" s="27">
        <f>IF(F645&lt;283,0,IF(F645&gt;303,1,EXP(($E$642*(F645-$E$643))/($E$644*$E$643*F645))))</f>
        <v>0.22368662668957603</v>
      </c>
      <c r="G641" s="27">
        <f t="shared" ref="G641:K641" si="83">IF(G645&lt;283,0,IF(G645&gt;303,1,EXP(($E$642*(G645-$E$643))/($E$644*$E$643*G645))))</f>
        <v>0.17679930526069626</v>
      </c>
      <c r="H641" s="27">
        <f t="shared" si="83"/>
        <v>0.42307437878932203</v>
      </c>
      <c r="I641" s="27">
        <f t="shared" si="83"/>
        <v>0.50475941545474445</v>
      </c>
      <c r="J641" s="27">
        <f t="shared" si="83"/>
        <v>0.60078639810878987</v>
      </c>
      <c r="K641" s="27">
        <f t="shared" si="83"/>
        <v>0.81032848156515291</v>
      </c>
      <c r="L641" s="27" t="s">
        <v>297</v>
      </c>
      <c r="M641" s="27" t="s">
        <v>297</v>
      </c>
      <c r="N641" s="27" t="s">
        <v>297</v>
      </c>
      <c r="O641" s="27" t="s">
        <v>297</v>
      </c>
      <c r="P641" s="27" t="s">
        <v>297</v>
      </c>
      <c r="Q641" s="27" t="s">
        <v>297</v>
      </c>
    </row>
    <row r="642" spans="1:17" x14ac:dyDescent="0.25">
      <c r="A642" s="17" t="s">
        <v>51</v>
      </c>
      <c r="B642" s="17" t="s">
        <v>52</v>
      </c>
      <c r="C642" s="17" t="s">
        <v>53</v>
      </c>
      <c r="D642" s="17" t="s">
        <v>389</v>
      </c>
      <c r="E642" s="176">
        <v>15175</v>
      </c>
      <c r="F642" s="176"/>
      <c r="G642" s="176"/>
      <c r="H642" s="176"/>
      <c r="I642" s="176"/>
      <c r="J642" s="176"/>
      <c r="K642" s="176"/>
      <c r="L642" s="176"/>
      <c r="M642" s="176"/>
      <c r="N642" s="176"/>
      <c r="O642" s="176"/>
      <c r="P642" s="176"/>
      <c r="Q642" s="176"/>
    </row>
    <row r="643" spans="1:17" ht="18" x14ac:dyDescent="0.25">
      <c r="A643" s="17" t="s">
        <v>141</v>
      </c>
      <c r="B643" s="17" t="s">
        <v>55</v>
      </c>
      <c r="C643" s="17" t="s">
        <v>56</v>
      </c>
      <c r="D643" s="17" t="s">
        <v>389</v>
      </c>
      <c r="E643" s="176">
        <v>303.16000000000003</v>
      </c>
      <c r="F643" s="176"/>
      <c r="G643" s="176"/>
      <c r="H643" s="176"/>
      <c r="I643" s="176"/>
      <c r="J643" s="176"/>
      <c r="K643" s="176"/>
      <c r="L643" s="176"/>
      <c r="M643" s="176"/>
      <c r="N643" s="176"/>
      <c r="O643" s="176"/>
      <c r="P643" s="176"/>
      <c r="Q643" s="176"/>
    </row>
    <row r="644" spans="1:17" x14ac:dyDescent="0.25">
      <c r="A644" s="17" t="s">
        <v>57</v>
      </c>
      <c r="B644" s="17" t="s">
        <v>58</v>
      </c>
      <c r="C644" s="17" t="s">
        <v>59</v>
      </c>
      <c r="D644" s="17" t="s">
        <v>389</v>
      </c>
      <c r="E644" s="176">
        <v>1.9870000000000001</v>
      </c>
      <c r="F644" s="176"/>
      <c r="G644" s="176"/>
      <c r="H644" s="176"/>
      <c r="I644" s="176"/>
      <c r="J644" s="176"/>
      <c r="K644" s="176"/>
      <c r="L644" s="176"/>
      <c r="M644" s="176"/>
      <c r="N644" s="176"/>
      <c r="O644" s="176"/>
      <c r="P644" s="176"/>
      <c r="Q644" s="176"/>
    </row>
    <row r="645" spans="1:17" ht="18" x14ac:dyDescent="0.25">
      <c r="A645" s="17" t="s">
        <v>142</v>
      </c>
      <c r="B645" s="17" t="s">
        <v>55</v>
      </c>
      <c r="C645" s="17" t="s">
        <v>143</v>
      </c>
      <c r="D645" s="144" t="s">
        <v>363</v>
      </c>
      <c r="E645" s="28">
        <f>AVERAGE(F645:K645)</f>
        <v>292.65000000000003</v>
      </c>
      <c r="F645" s="25">
        <v>286.14999999999998</v>
      </c>
      <c r="G645" s="25">
        <v>283.64999999999998</v>
      </c>
      <c r="H645" s="25">
        <v>293.14999999999998</v>
      </c>
      <c r="I645" s="25">
        <v>295.14999999999998</v>
      </c>
      <c r="J645" s="25">
        <v>297.14999999999998</v>
      </c>
      <c r="K645" s="25">
        <v>300.64999999999998</v>
      </c>
      <c r="L645" s="25" t="s">
        <v>297</v>
      </c>
      <c r="M645" s="25" t="s">
        <v>297</v>
      </c>
      <c r="N645" s="25" t="s">
        <v>297</v>
      </c>
      <c r="O645" s="25" t="s">
        <v>297</v>
      </c>
      <c r="P645" s="25" t="s">
        <v>297</v>
      </c>
      <c r="Q645" s="25" t="s">
        <v>297</v>
      </c>
    </row>
    <row r="646" spans="1:17" ht="46.8" x14ac:dyDescent="0.25">
      <c r="A646" s="17" t="s">
        <v>144</v>
      </c>
      <c r="B646" s="17" t="s">
        <v>24</v>
      </c>
      <c r="C646" s="17" t="s">
        <v>145</v>
      </c>
      <c r="D646" s="17" t="s">
        <v>390</v>
      </c>
      <c r="E646" s="29">
        <f>SUM(F646:K646)</f>
        <v>14.583264806745778</v>
      </c>
      <c r="F646" s="29">
        <f>F633*F634*'Project Emissions 2022'!F625+(1-F641)*0</f>
        <v>2.4128508481462365</v>
      </c>
      <c r="G646" s="29">
        <f>G633*G634*'Project Emissions 2022'!G625+(1-G641)*0</f>
        <v>2.1263919195303571</v>
      </c>
      <c r="H646" s="29">
        <f>H633*H634*'Project Emissions 2022'!H625+(1-H641)*0</f>
        <v>2.4331965068422043</v>
      </c>
      <c r="I646" s="29">
        <f>I633*I634*'Project Emissions 2022'!I625+(1-I641)*0</f>
        <v>2.3787679672322222</v>
      </c>
      <c r="J646" s="29">
        <f>J633*J634*'Project Emissions 2022'!J625+(1-J641)*0</f>
        <v>2.6206535952405914</v>
      </c>
      <c r="K646" s="29">
        <f>K633*K634*'Project Emissions 2022'!K625+(1-K641)*0</f>
        <v>2.611403969754166</v>
      </c>
      <c r="L646" s="29" t="s">
        <v>297</v>
      </c>
      <c r="M646" s="29" t="s">
        <v>297</v>
      </c>
      <c r="N646" s="29" t="s">
        <v>297</v>
      </c>
      <c r="O646" s="29" t="s">
        <v>297</v>
      </c>
      <c r="P646" s="29" t="s">
        <v>297</v>
      </c>
      <c r="Q646" s="29" t="s">
        <v>297</v>
      </c>
    </row>
    <row r="647" spans="1:17" x14ac:dyDescent="0.3">
      <c r="A647" s="30"/>
      <c r="E647" s="31"/>
      <c r="F647" s="31"/>
      <c r="G647" s="31"/>
      <c r="H647" s="31"/>
      <c r="I647" s="31"/>
      <c r="J647" s="31"/>
      <c r="K647" s="31"/>
      <c r="L647" s="31"/>
      <c r="M647" s="31"/>
      <c r="N647" s="31"/>
      <c r="O647" s="31"/>
      <c r="P647" s="31"/>
      <c r="Q647" s="31"/>
    </row>
    <row r="648" spans="1:17" x14ac:dyDescent="0.25">
      <c r="A648" s="174" t="s">
        <v>146</v>
      </c>
      <c r="B648" s="174"/>
      <c r="C648" s="175"/>
      <c r="D648" s="175"/>
      <c r="E648" s="195"/>
      <c r="F648" s="32"/>
      <c r="G648" s="32"/>
      <c r="H648" s="32"/>
      <c r="I648" s="32"/>
      <c r="J648" s="32"/>
      <c r="K648" s="32"/>
      <c r="L648" s="32"/>
      <c r="M648" s="32"/>
      <c r="N648" s="32"/>
      <c r="O648" s="32"/>
      <c r="P648" s="32"/>
      <c r="Q648" s="32"/>
    </row>
    <row r="649" spans="1:17" x14ac:dyDescent="0.25">
      <c r="A649" s="33" t="s">
        <v>8</v>
      </c>
      <c r="B649" s="33" t="s">
        <v>9</v>
      </c>
      <c r="C649" s="34" t="s">
        <v>10</v>
      </c>
      <c r="D649" s="34" t="s">
        <v>340</v>
      </c>
      <c r="E649" s="16" t="s">
        <v>65</v>
      </c>
      <c r="F649" s="32"/>
      <c r="G649" s="32"/>
      <c r="H649" s="32"/>
      <c r="I649" s="32"/>
      <c r="J649" s="32"/>
      <c r="K649" s="32"/>
      <c r="L649" s="32"/>
      <c r="M649" s="32"/>
      <c r="N649" s="32"/>
      <c r="O649" s="32"/>
      <c r="P649" s="32"/>
      <c r="Q649" s="32"/>
    </row>
    <row r="650" spans="1:17" ht="46.8" x14ac:dyDescent="0.25">
      <c r="A650" s="15" t="s">
        <v>147</v>
      </c>
      <c r="B650" s="17" t="s">
        <v>95</v>
      </c>
      <c r="C650" s="35" t="s">
        <v>148</v>
      </c>
      <c r="D650" s="35" t="s">
        <v>68</v>
      </c>
      <c r="E650" s="16">
        <v>0</v>
      </c>
      <c r="F650" s="32"/>
      <c r="G650" s="32"/>
      <c r="H650" s="32"/>
      <c r="I650" s="32"/>
      <c r="J650" s="32"/>
      <c r="K650" s="32"/>
      <c r="L650" s="32"/>
      <c r="M650" s="32"/>
      <c r="N650" s="32"/>
      <c r="O650" s="32"/>
      <c r="P650" s="32"/>
      <c r="Q650" s="32"/>
    </row>
    <row r="651" spans="1:17" x14ac:dyDescent="0.25">
      <c r="A651" s="36"/>
      <c r="B651" s="36"/>
      <c r="C651" s="37"/>
      <c r="D651" s="37"/>
      <c r="E651" s="32"/>
      <c r="F651" s="32"/>
      <c r="G651" s="32"/>
      <c r="H651" s="32"/>
      <c r="I651" s="32"/>
      <c r="J651" s="32"/>
      <c r="K651" s="32"/>
      <c r="L651" s="32"/>
      <c r="M651" s="32"/>
      <c r="N651" s="32"/>
      <c r="O651" s="32"/>
      <c r="P651" s="32"/>
      <c r="Q651" s="32"/>
    </row>
    <row r="652" spans="1:17" x14ac:dyDescent="0.25">
      <c r="A652" s="174" t="s">
        <v>149</v>
      </c>
      <c r="B652" s="174"/>
      <c r="C652" s="175"/>
      <c r="D652" s="175"/>
      <c r="E652" s="195"/>
      <c r="F652" s="32"/>
      <c r="G652" s="32"/>
      <c r="H652" s="32"/>
      <c r="I652" s="32"/>
      <c r="J652" s="32"/>
      <c r="K652" s="32"/>
      <c r="L652" s="32"/>
      <c r="M652" s="32"/>
      <c r="N652" s="32"/>
      <c r="O652" s="32"/>
      <c r="P652" s="32"/>
      <c r="Q652" s="32"/>
    </row>
    <row r="653" spans="1:17" x14ac:dyDescent="0.25">
      <c r="A653" s="33" t="s">
        <v>8</v>
      </c>
      <c r="B653" s="33" t="s">
        <v>9</v>
      </c>
      <c r="C653" s="34" t="s">
        <v>10</v>
      </c>
      <c r="D653" s="34" t="s">
        <v>340</v>
      </c>
      <c r="E653" s="16" t="s">
        <v>65</v>
      </c>
      <c r="F653" s="32"/>
      <c r="G653" s="32"/>
      <c r="H653" s="32"/>
      <c r="I653" s="32"/>
      <c r="J653" s="32"/>
      <c r="K653" s="32"/>
      <c r="L653" s="32"/>
      <c r="M653" s="32"/>
      <c r="N653" s="32"/>
      <c r="O653" s="32"/>
      <c r="P653" s="32"/>
      <c r="Q653" s="32"/>
    </row>
    <row r="654" spans="1:17" ht="46.8" x14ac:dyDescent="0.25">
      <c r="A654" s="15" t="s">
        <v>150</v>
      </c>
      <c r="B654" s="17" t="s">
        <v>95</v>
      </c>
      <c r="C654" s="35" t="s">
        <v>151</v>
      </c>
      <c r="D654" s="35" t="s">
        <v>68</v>
      </c>
      <c r="E654" s="16">
        <v>0</v>
      </c>
      <c r="F654" s="32"/>
      <c r="G654" s="32"/>
      <c r="H654" s="32"/>
      <c r="I654" s="32"/>
      <c r="J654" s="32"/>
      <c r="K654" s="32"/>
      <c r="L654" s="32"/>
      <c r="M654" s="32"/>
      <c r="N654" s="32"/>
      <c r="O654" s="32"/>
      <c r="P654" s="32"/>
      <c r="Q654" s="32"/>
    </row>
    <row r="655" spans="1:17" x14ac:dyDescent="0.25">
      <c r="F655" s="32"/>
      <c r="G655" s="32"/>
      <c r="H655" s="32"/>
      <c r="I655" s="32"/>
      <c r="J655" s="32"/>
      <c r="K655" s="32"/>
      <c r="L655" s="32"/>
      <c r="M655" s="32"/>
      <c r="N655" s="32"/>
      <c r="O655" s="32"/>
      <c r="P655" s="32"/>
      <c r="Q655" s="32"/>
    </row>
    <row r="656" spans="1:17" x14ac:dyDescent="0.25">
      <c r="A656" s="174" t="s">
        <v>152</v>
      </c>
      <c r="B656" s="174"/>
      <c r="C656" s="175"/>
      <c r="D656" s="175"/>
      <c r="E656" s="195"/>
      <c r="F656" s="32"/>
      <c r="G656" s="32"/>
      <c r="H656" s="32"/>
      <c r="I656" s="32"/>
      <c r="J656" s="32"/>
      <c r="K656" s="32"/>
      <c r="L656" s="32"/>
      <c r="M656" s="32"/>
      <c r="N656" s="32"/>
      <c r="O656" s="32"/>
      <c r="P656" s="32"/>
      <c r="Q656" s="32"/>
    </row>
    <row r="657" spans="1:19" s="10" customFormat="1" x14ac:dyDescent="0.25">
      <c r="A657" s="15" t="s">
        <v>8</v>
      </c>
      <c r="B657" s="15" t="s">
        <v>9</v>
      </c>
      <c r="C657" s="38" t="s">
        <v>10</v>
      </c>
      <c r="D657" s="38" t="s">
        <v>340</v>
      </c>
      <c r="E657" s="16" t="s">
        <v>65</v>
      </c>
      <c r="F657" s="32"/>
      <c r="G657" s="32"/>
      <c r="H657" s="39"/>
      <c r="I657" s="39"/>
      <c r="J657" s="39"/>
      <c r="K657" s="39"/>
      <c r="L657" s="39"/>
      <c r="M657" s="39"/>
      <c r="N657" s="39"/>
      <c r="O657" s="39"/>
      <c r="P657" s="39"/>
      <c r="Q657" s="39"/>
    </row>
    <row r="658" spans="1:19" s="10" customFormat="1" ht="18" x14ac:dyDescent="0.4">
      <c r="A658" s="40" t="s">
        <v>153</v>
      </c>
      <c r="B658" s="17" t="s">
        <v>103</v>
      </c>
      <c r="C658" s="35" t="s">
        <v>154</v>
      </c>
      <c r="D658" s="35" t="s">
        <v>155</v>
      </c>
      <c r="E658" s="41">
        <f>E659*E661*(1+E660)</f>
        <v>226.72316936280001</v>
      </c>
      <c r="F658" s="32"/>
      <c r="G658" s="32"/>
      <c r="H658" s="39"/>
      <c r="I658" s="39"/>
      <c r="J658" s="39"/>
      <c r="K658" s="39"/>
      <c r="L658" s="39"/>
      <c r="M658" s="39"/>
      <c r="N658" s="39"/>
      <c r="O658" s="39"/>
      <c r="P658" s="39"/>
      <c r="Q658" s="39"/>
    </row>
    <row r="659" spans="1:19" ht="31.2" x14ac:dyDescent="0.25">
      <c r="A659" s="17" t="s">
        <v>156</v>
      </c>
      <c r="B659" s="17" t="s">
        <v>157</v>
      </c>
      <c r="C659" s="35" t="s">
        <v>158</v>
      </c>
      <c r="D659" s="35" t="s">
        <v>343</v>
      </c>
      <c r="E659" s="20">
        <f>371299.94/1000</f>
        <v>371.29993999999999</v>
      </c>
      <c r="G659" s="42"/>
      <c r="H659" s="43"/>
      <c r="I659" s="43"/>
      <c r="J659" s="43"/>
      <c r="K659" s="43"/>
      <c r="L659" s="43"/>
      <c r="M659" s="43"/>
      <c r="N659" s="43"/>
      <c r="O659" s="43"/>
      <c r="P659" s="43"/>
      <c r="Q659" s="43"/>
      <c r="R659" s="9"/>
      <c r="S659" s="9"/>
    </row>
    <row r="660" spans="1:19" ht="31.2" x14ac:dyDescent="0.25">
      <c r="A660" s="17" t="s">
        <v>159</v>
      </c>
      <c r="B660" s="17" t="s">
        <v>160</v>
      </c>
      <c r="C660" s="35" t="s">
        <v>161</v>
      </c>
      <c r="D660" s="35" t="s">
        <v>162</v>
      </c>
      <c r="E660" s="44">
        <v>0.2</v>
      </c>
      <c r="H660" s="43"/>
      <c r="I660" s="43"/>
      <c r="J660" s="43"/>
      <c r="K660" s="43"/>
      <c r="L660" s="43"/>
      <c r="M660" s="43"/>
      <c r="N660" s="43"/>
      <c r="O660" s="43"/>
      <c r="P660" s="43"/>
      <c r="Q660" s="43"/>
      <c r="R660" s="9"/>
      <c r="S660" s="9"/>
    </row>
    <row r="661" spans="1:19" ht="46.8" x14ac:dyDescent="0.25">
      <c r="A661" s="17" t="s">
        <v>163</v>
      </c>
      <c r="B661" s="17" t="s">
        <v>164</v>
      </c>
      <c r="C661" s="35" t="s">
        <v>165</v>
      </c>
      <c r="D661" s="35" t="s">
        <v>166</v>
      </c>
      <c r="E661" s="45">
        <f>0.5*0.8042+0.5*0.2135</f>
        <v>0.50885000000000002</v>
      </c>
      <c r="F661" s="46"/>
      <c r="G661" s="46"/>
      <c r="H661" s="46"/>
      <c r="I661" s="46"/>
      <c r="J661" s="46"/>
      <c r="K661" s="46"/>
      <c r="L661" s="46"/>
      <c r="M661" s="46"/>
      <c r="N661" s="46"/>
      <c r="O661" s="46"/>
      <c r="P661" s="46"/>
      <c r="Q661" s="46"/>
    </row>
    <row r="662" spans="1:19" ht="31.2" x14ac:dyDescent="0.4">
      <c r="A662" s="40" t="s">
        <v>167</v>
      </c>
      <c r="B662" s="17" t="s">
        <v>103</v>
      </c>
      <c r="C662" s="35" t="s">
        <v>168</v>
      </c>
      <c r="D662" s="35" t="s">
        <v>169</v>
      </c>
      <c r="E662" s="47">
        <v>0</v>
      </c>
      <c r="H662" s="43"/>
      <c r="I662" s="43"/>
      <c r="J662" s="43"/>
      <c r="K662" s="43"/>
      <c r="L662" s="43"/>
      <c r="M662" s="43"/>
      <c r="N662" s="43"/>
      <c r="O662" s="43"/>
      <c r="P662" s="43"/>
      <c r="Q662" s="43"/>
      <c r="R662" s="9"/>
      <c r="S662" s="9"/>
    </row>
    <row r="663" spans="1:19" x14ac:dyDescent="0.3">
      <c r="A663" s="48"/>
      <c r="E663" s="49"/>
      <c r="H663" s="43"/>
      <c r="I663" s="43"/>
      <c r="J663" s="43"/>
      <c r="K663" s="43"/>
      <c r="L663" s="43"/>
      <c r="M663" s="43"/>
      <c r="N663" s="43"/>
      <c r="O663" s="43"/>
      <c r="P663" s="43"/>
      <c r="Q663" s="43"/>
      <c r="R663" s="9"/>
      <c r="S663" s="9"/>
    </row>
    <row r="664" spans="1:19" x14ac:dyDescent="0.25">
      <c r="A664" s="174" t="s">
        <v>170</v>
      </c>
      <c r="B664" s="174"/>
      <c r="C664" s="175"/>
      <c r="D664" s="175"/>
      <c r="E664" s="195"/>
      <c r="F664" s="32"/>
      <c r="G664" s="32"/>
      <c r="H664" s="32"/>
      <c r="I664" s="32"/>
      <c r="J664" s="32"/>
      <c r="K664" s="32"/>
      <c r="L664" s="32"/>
      <c r="M664" s="32"/>
      <c r="N664" s="32"/>
      <c r="O664" s="32"/>
      <c r="P664" s="32"/>
      <c r="Q664" s="32"/>
    </row>
    <row r="665" spans="1:19" x14ac:dyDescent="0.25">
      <c r="A665" s="15" t="s">
        <v>8</v>
      </c>
      <c r="B665" s="15" t="s">
        <v>9</v>
      </c>
      <c r="C665" s="38" t="s">
        <v>10</v>
      </c>
      <c r="D665" s="38" t="s">
        <v>340</v>
      </c>
      <c r="E665" s="16" t="s">
        <v>65</v>
      </c>
      <c r="H665" s="43"/>
      <c r="I665" s="43"/>
      <c r="J665" s="43"/>
      <c r="K665" s="43"/>
      <c r="L665" s="43"/>
      <c r="M665" s="43"/>
      <c r="N665" s="43"/>
      <c r="O665" s="43"/>
      <c r="P665" s="43"/>
      <c r="Q665" s="43"/>
      <c r="R665" s="9"/>
      <c r="S665" s="9"/>
    </row>
    <row r="666" spans="1:19" ht="33.6" x14ac:dyDescent="0.4">
      <c r="A666" s="40" t="s">
        <v>171</v>
      </c>
      <c r="B666" s="17" t="s">
        <v>74</v>
      </c>
      <c r="C666" s="35" t="s">
        <v>172</v>
      </c>
      <c r="D666" s="35" t="s">
        <v>391</v>
      </c>
      <c r="E666" s="50">
        <f>E667*E670*E671*E672*E673*E674</f>
        <v>6.6620511453918239</v>
      </c>
      <c r="H666" s="43"/>
      <c r="I666" s="43"/>
      <c r="J666" s="43"/>
      <c r="K666" s="43"/>
      <c r="L666" s="43"/>
      <c r="M666" s="43"/>
      <c r="N666" s="43"/>
      <c r="O666" s="43"/>
      <c r="P666" s="43"/>
      <c r="Q666" s="43"/>
      <c r="R666" s="9"/>
      <c r="S666" s="9"/>
    </row>
    <row r="667" spans="1:19" ht="46.8" x14ac:dyDescent="0.4">
      <c r="A667" s="51" t="s">
        <v>173</v>
      </c>
      <c r="B667" s="17" t="s">
        <v>76</v>
      </c>
      <c r="C667" s="35" t="s">
        <v>174</v>
      </c>
      <c r="D667" s="35" t="s">
        <v>392</v>
      </c>
      <c r="E667" s="69">
        <f>ROUNDUP(E668/E669,0)</f>
        <v>118</v>
      </c>
      <c r="H667" s="43"/>
      <c r="I667" s="43"/>
      <c r="J667" s="43"/>
      <c r="K667" s="43"/>
      <c r="L667" s="43"/>
      <c r="M667" s="43"/>
      <c r="N667" s="43"/>
      <c r="O667" s="43"/>
      <c r="P667" s="43"/>
      <c r="Q667" s="43"/>
      <c r="R667" s="9"/>
      <c r="S667" s="9"/>
    </row>
    <row r="668" spans="1:19" ht="62.4" x14ac:dyDescent="0.25">
      <c r="A668" s="17" t="s">
        <v>175</v>
      </c>
      <c r="B668" s="17" t="s">
        <v>78</v>
      </c>
      <c r="C668" s="35" t="s">
        <v>176</v>
      </c>
      <c r="D668" s="35" t="s">
        <v>346</v>
      </c>
      <c r="E668" s="52">
        <v>589.22299999999996</v>
      </c>
      <c r="H668" s="43"/>
      <c r="I668" s="43"/>
      <c r="J668" s="43"/>
      <c r="K668" s="43"/>
      <c r="L668" s="43"/>
      <c r="M668" s="43"/>
      <c r="N668" s="43"/>
      <c r="O668" s="43"/>
      <c r="P668" s="43"/>
      <c r="Q668" s="43"/>
      <c r="R668" s="9"/>
      <c r="S668" s="9"/>
    </row>
    <row r="669" spans="1:19" ht="62.4" x14ac:dyDescent="0.25">
      <c r="A669" s="17" t="s">
        <v>177</v>
      </c>
      <c r="B669" s="17" t="s">
        <v>80</v>
      </c>
      <c r="C669" s="35" t="s">
        <v>81</v>
      </c>
      <c r="D669" s="35" t="s">
        <v>345</v>
      </c>
      <c r="E669" s="25">
        <f>5</f>
        <v>5</v>
      </c>
      <c r="H669" s="43"/>
      <c r="I669" s="43"/>
      <c r="J669" s="43"/>
      <c r="K669" s="43"/>
      <c r="L669" s="43"/>
      <c r="M669" s="43"/>
      <c r="N669" s="43"/>
      <c r="O669" s="43"/>
      <c r="P669" s="43"/>
      <c r="Q669" s="43"/>
      <c r="R669" s="9"/>
      <c r="S669" s="9"/>
    </row>
    <row r="670" spans="1:19" ht="202.8" x14ac:dyDescent="0.25">
      <c r="A670" s="17" t="s">
        <v>178</v>
      </c>
      <c r="B670" s="17" t="s">
        <v>82</v>
      </c>
      <c r="C670" s="35" t="s">
        <v>179</v>
      </c>
      <c r="D670" s="35" t="s">
        <v>367</v>
      </c>
      <c r="E670" s="25">
        <v>83.4</v>
      </c>
      <c r="H670" s="43"/>
      <c r="I670" s="43"/>
      <c r="J670" s="43"/>
      <c r="K670" s="43"/>
      <c r="L670" s="43"/>
      <c r="M670" s="43"/>
      <c r="N670" s="43"/>
      <c r="O670" s="43"/>
      <c r="P670" s="43"/>
      <c r="Q670" s="43"/>
      <c r="R670" s="9"/>
      <c r="S670" s="9"/>
    </row>
    <row r="671" spans="1:19" ht="156" x14ac:dyDescent="0.25">
      <c r="A671" s="17" t="s">
        <v>180</v>
      </c>
      <c r="B671" s="17" t="s">
        <v>84</v>
      </c>
      <c r="C671" s="35" t="s">
        <v>85</v>
      </c>
      <c r="D671" s="35" t="s">
        <v>365</v>
      </c>
      <c r="E671" s="25">
        <f>25.1/100</f>
        <v>0.251</v>
      </c>
      <c r="H671" s="43"/>
      <c r="I671" s="43"/>
      <c r="J671" s="43"/>
      <c r="K671" s="43"/>
      <c r="L671" s="43"/>
      <c r="M671" s="43"/>
      <c r="N671" s="43"/>
      <c r="O671" s="43"/>
      <c r="P671" s="43"/>
      <c r="Q671" s="43"/>
      <c r="R671" s="9"/>
      <c r="S671" s="9"/>
    </row>
    <row r="672" spans="1:19" ht="62.4" x14ac:dyDescent="0.25">
      <c r="A672" s="17" t="s">
        <v>86</v>
      </c>
      <c r="B672" s="17" t="s">
        <v>87</v>
      </c>
      <c r="C672" s="35" t="s">
        <v>86</v>
      </c>
      <c r="D672" s="35" t="s">
        <v>215</v>
      </c>
      <c r="E672" s="25">
        <f>0.84/1000</f>
        <v>8.3999999999999993E-4</v>
      </c>
      <c r="H672" s="43"/>
      <c r="I672" s="43"/>
      <c r="J672" s="43"/>
      <c r="K672" s="43"/>
      <c r="L672" s="43"/>
      <c r="M672" s="43"/>
      <c r="N672" s="43"/>
      <c r="O672" s="43"/>
      <c r="P672" s="43"/>
      <c r="Q672" s="43"/>
      <c r="R672" s="9"/>
      <c r="S672" s="9"/>
    </row>
    <row r="673" spans="1:133" ht="124.8" x14ac:dyDescent="0.25">
      <c r="A673" s="17" t="s">
        <v>181</v>
      </c>
      <c r="B673" s="17" t="s">
        <v>88</v>
      </c>
      <c r="C673" s="35" t="s">
        <v>89</v>
      </c>
      <c r="D673" s="35" t="s">
        <v>360</v>
      </c>
      <c r="E673" s="25">
        <f>43.33/1000</f>
        <v>4.333E-2</v>
      </c>
      <c r="H673" s="43"/>
      <c r="I673" s="43"/>
      <c r="J673" s="43"/>
      <c r="K673" s="43"/>
      <c r="L673" s="43"/>
      <c r="M673" s="43"/>
      <c r="N673" s="43"/>
      <c r="O673" s="43"/>
      <c r="P673" s="43"/>
      <c r="Q673" s="43"/>
      <c r="R673" s="9"/>
      <c r="S673" s="9"/>
    </row>
    <row r="674" spans="1:133" ht="33.6" x14ac:dyDescent="0.25">
      <c r="A674" s="17" t="s">
        <v>182</v>
      </c>
      <c r="B674" s="17" t="s">
        <v>90</v>
      </c>
      <c r="C674" s="35" t="s">
        <v>91</v>
      </c>
      <c r="D674" s="35" t="s">
        <v>92</v>
      </c>
      <c r="E674" s="25">
        <v>74.099999999999994</v>
      </c>
      <c r="H674" s="43"/>
      <c r="I674" s="43"/>
      <c r="J674" s="43"/>
      <c r="K674" s="43"/>
      <c r="L674" s="43"/>
      <c r="M674" s="43"/>
      <c r="N674" s="43"/>
      <c r="O674" s="43"/>
      <c r="P674" s="43"/>
      <c r="Q674" s="43"/>
      <c r="R674" s="9"/>
      <c r="S674" s="9"/>
    </row>
    <row r="676" spans="1:133" x14ac:dyDescent="0.25">
      <c r="A676" s="33" t="s">
        <v>8</v>
      </c>
      <c r="B676" s="33" t="s">
        <v>9</v>
      </c>
      <c r="C676" s="34" t="s">
        <v>10</v>
      </c>
      <c r="D676" s="34" t="s">
        <v>340</v>
      </c>
      <c r="E676" s="16" t="s">
        <v>65</v>
      </c>
    </row>
    <row r="677" spans="1:133" ht="18" x14ac:dyDescent="0.25">
      <c r="A677" s="15" t="s">
        <v>183</v>
      </c>
      <c r="B677" s="17" t="s">
        <v>103</v>
      </c>
      <c r="C677" s="35" t="s">
        <v>184</v>
      </c>
      <c r="D677" s="53" t="s">
        <v>393</v>
      </c>
      <c r="E677" s="18">
        <f>ROUNDUP(E626+E650+E654+E658+E666,0)</f>
        <v>234</v>
      </c>
    </row>
    <row r="678" spans="1:133" s="200" customFormat="1" ht="43.2" customHeight="1" x14ac:dyDescent="0.25">
      <c r="A678" s="197" t="s">
        <v>232</v>
      </c>
      <c r="B678" s="198"/>
      <c r="C678" s="198"/>
      <c r="D678" s="198"/>
      <c r="E678" s="198"/>
      <c r="F678" s="198"/>
      <c r="G678" s="198"/>
      <c r="H678" s="198"/>
      <c r="I678" s="198"/>
      <c r="J678" s="198"/>
      <c r="K678" s="198"/>
      <c r="L678" s="198"/>
      <c r="M678" s="198"/>
      <c r="N678" s="198"/>
      <c r="O678" s="198"/>
      <c r="P678" s="198"/>
      <c r="Q678" s="198"/>
      <c r="R678" s="198"/>
      <c r="S678" s="198"/>
      <c r="T678" s="198"/>
      <c r="U678" s="198"/>
      <c r="V678" s="198"/>
      <c r="W678" s="198"/>
      <c r="X678" s="198"/>
      <c r="Y678" s="198"/>
      <c r="Z678" s="198"/>
      <c r="AA678" s="198"/>
      <c r="AB678" s="198"/>
      <c r="AC678" s="198"/>
      <c r="AD678" s="198"/>
      <c r="AE678" s="198"/>
      <c r="AF678" s="198"/>
      <c r="AG678" s="198"/>
      <c r="AH678" s="198"/>
      <c r="AI678" s="198"/>
      <c r="AJ678" s="198"/>
      <c r="AK678" s="198"/>
      <c r="AL678" s="198"/>
      <c r="AM678" s="198"/>
      <c r="AN678" s="198"/>
      <c r="AO678" s="198"/>
      <c r="AP678" s="198"/>
      <c r="AQ678" s="198"/>
      <c r="AR678" s="198"/>
      <c r="AS678" s="198"/>
      <c r="AT678" s="198"/>
      <c r="AU678" s="198"/>
      <c r="AV678" s="198"/>
      <c r="AW678" s="198"/>
      <c r="AX678" s="198"/>
      <c r="AY678" s="198"/>
      <c r="AZ678" s="198"/>
      <c r="BA678" s="198"/>
      <c r="BB678" s="198"/>
      <c r="BC678" s="198"/>
      <c r="BD678" s="198"/>
      <c r="BE678" s="198"/>
      <c r="BF678" s="198"/>
      <c r="BG678" s="198"/>
      <c r="BH678" s="198"/>
      <c r="BI678" s="198"/>
      <c r="BJ678" s="198"/>
      <c r="BK678" s="198"/>
      <c r="BL678" s="198"/>
      <c r="BM678" s="198"/>
      <c r="BN678" s="198"/>
      <c r="BO678" s="198"/>
      <c r="BP678" s="198"/>
      <c r="BQ678" s="198"/>
      <c r="BR678" s="198"/>
      <c r="BS678" s="198"/>
      <c r="BT678" s="198"/>
      <c r="BU678" s="198"/>
      <c r="BV678" s="198"/>
      <c r="BW678" s="198"/>
      <c r="BX678" s="198"/>
      <c r="BY678" s="198"/>
      <c r="BZ678" s="198"/>
      <c r="CA678" s="198"/>
      <c r="CB678" s="198"/>
      <c r="CC678" s="198"/>
      <c r="CD678" s="198"/>
      <c r="CE678" s="198"/>
      <c r="CF678" s="198"/>
      <c r="CG678" s="198"/>
      <c r="CH678" s="198"/>
      <c r="CI678" s="198"/>
      <c r="CJ678" s="198"/>
      <c r="CK678" s="198"/>
      <c r="CL678" s="198"/>
      <c r="CM678" s="198"/>
      <c r="CN678" s="198"/>
      <c r="CO678" s="198"/>
      <c r="CP678" s="198"/>
      <c r="CQ678" s="198"/>
      <c r="CR678" s="198"/>
      <c r="CS678" s="198"/>
      <c r="CT678" s="198"/>
      <c r="CU678" s="198"/>
      <c r="CV678" s="198"/>
      <c r="CW678" s="198"/>
      <c r="CX678" s="198"/>
      <c r="CY678" s="198"/>
      <c r="CZ678" s="198"/>
      <c r="DA678" s="198"/>
      <c r="DB678" s="198"/>
      <c r="DC678" s="198"/>
      <c r="DD678" s="198"/>
      <c r="DE678" s="198"/>
      <c r="DF678" s="198"/>
      <c r="DG678" s="198"/>
      <c r="DH678" s="198"/>
      <c r="DI678" s="198"/>
      <c r="DJ678" s="198"/>
      <c r="DK678" s="198"/>
      <c r="DL678" s="198"/>
      <c r="DM678" s="198"/>
      <c r="DN678" s="198"/>
      <c r="DO678" s="198"/>
      <c r="DP678" s="198"/>
      <c r="DQ678" s="198"/>
      <c r="DR678" s="198"/>
      <c r="DS678" s="198"/>
      <c r="DT678" s="198"/>
      <c r="DU678" s="198"/>
      <c r="DV678" s="198"/>
      <c r="DW678" s="198"/>
      <c r="DX678" s="198"/>
      <c r="DY678" s="198"/>
      <c r="DZ678" s="198"/>
      <c r="EA678" s="198"/>
      <c r="EB678" s="198"/>
      <c r="EC678" s="199"/>
    </row>
    <row r="679" spans="1:133" ht="23.4" customHeight="1" x14ac:dyDescent="0.25">
      <c r="A679" s="201" t="s">
        <v>105</v>
      </c>
      <c r="B679" s="201"/>
      <c r="C679" s="201"/>
      <c r="D679" s="201"/>
      <c r="E679" s="201"/>
      <c r="F679" s="201"/>
      <c r="G679" s="201"/>
      <c r="H679" s="201"/>
      <c r="I679" s="201"/>
      <c r="J679" s="201"/>
      <c r="K679" s="201"/>
      <c r="L679" s="201"/>
      <c r="M679" s="201"/>
      <c r="N679" s="201"/>
      <c r="O679" s="201"/>
      <c r="P679" s="201"/>
      <c r="Q679" s="202"/>
    </row>
    <row r="680" spans="1:133" s="10" customFormat="1" ht="31.2" x14ac:dyDescent="0.25">
      <c r="A680" s="15" t="s">
        <v>8</v>
      </c>
      <c r="B680" s="15" t="s">
        <v>9</v>
      </c>
      <c r="C680" s="15" t="s">
        <v>10</v>
      </c>
      <c r="D680" s="15" t="s">
        <v>340</v>
      </c>
      <c r="E680" s="16" t="s">
        <v>11</v>
      </c>
      <c r="F680" s="16" t="s">
        <v>322</v>
      </c>
      <c r="G680" s="16" t="s">
        <v>323</v>
      </c>
      <c r="H680" s="16" t="s">
        <v>324</v>
      </c>
      <c r="I680" s="16" t="s">
        <v>325</v>
      </c>
      <c r="J680" s="16" t="s">
        <v>326</v>
      </c>
      <c r="K680" s="16" t="s">
        <v>329</v>
      </c>
      <c r="L680" s="16" t="s">
        <v>292</v>
      </c>
      <c r="M680" s="16" t="s">
        <v>292</v>
      </c>
      <c r="N680" s="16" t="s">
        <v>292</v>
      </c>
      <c r="O680" s="16" t="s">
        <v>292</v>
      </c>
      <c r="P680" s="16" t="s">
        <v>292</v>
      </c>
      <c r="Q680" s="16" t="s">
        <v>292</v>
      </c>
      <c r="R680" s="54"/>
      <c r="S680" s="54"/>
    </row>
    <row r="681" spans="1:133" s="10" customFormat="1" x14ac:dyDescent="0.25">
      <c r="A681" s="203" t="s">
        <v>106</v>
      </c>
      <c r="B681" s="203"/>
      <c r="C681" s="203"/>
      <c r="D681" s="203"/>
      <c r="E681" s="204"/>
      <c r="F681" s="16">
        <v>31</v>
      </c>
      <c r="G681" s="16">
        <v>28</v>
      </c>
      <c r="H681" s="16">
        <v>31</v>
      </c>
      <c r="I681" s="16">
        <v>30</v>
      </c>
      <c r="J681" s="16">
        <v>31</v>
      </c>
      <c r="K681" s="16">
        <v>30</v>
      </c>
      <c r="L681" s="16" t="s">
        <v>292</v>
      </c>
      <c r="M681" s="16" t="s">
        <v>292</v>
      </c>
      <c r="N681" s="16" t="s">
        <v>292</v>
      </c>
      <c r="O681" s="16" t="s">
        <v>292</v>
      </c>
      <c r="P681" s="16" t="s">
        <v>292</v>
      </c>
      <c r="Q681" s="16" t="s">
        <v>292</v>
      </c>
      <c r="R681" s="54"/>
      <c r="S681" s="54"/>
    </row>
    <row r="682" spans="1:133" s="10" customFormat="1" ht="31.2" x14ac:dyDescent="0.25">
      <c r="A682" s="15" t="s">
        <v>107</v>
      </c>
      <c r="B682" s="17" t="s">
        <v>103</v>
      </c>
      <c r="C682" s="17" t="s">
        <v>108</v>
      </c>
      <c r="D682" s="17" t="s">
        <v>381</v>
      </c>
      <c r="E682" s="18">
        <f>E683+E693</f>
        <v>0</v>
      </c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54"/>
      <c r="S682" s="54"/>
    </row>
    <row r="683" spans="1:133" ht="46.8" x14ac:dyDescent="0.25">
      <c r="A683" s="17" t="s">
        <v>109</v>
      </c>
      <c r="B683" s="17" t="s">
        <v>103</v>
      </c>
      <c r="C683" s="17" t="s">
        <v>110</v>
      </c>
      <c r="D683" s="17" t="s">
        <v>382</v>
      </c>
      <c r="E683" s="19">
        <f>SUM(F683:K683)</f>
        <v>0</v>
      </c>
      <c r="F683" s="19">
        <f>IF(F684&gt;=0.8,0,$E$691*$E$692*0.4*(F685-F688)*F681)</f>
        <v>0</v>
      </c>
      <c r="G683" s="19">
        <f t="shared" ref="G683:K683" si="84">IF(G684&gt;=0.8,0,$E$691*$E$692*0.4*(G685-G688)*G681)</f>
        <v>0</v>
      </c>
      <c r="H683" s="19">
        <f t="shared" si="84"/>
        <v>0</v>
      </c>
      <c r="I683" s="19">
        <f t="shared" si="84"/>
        <v>0</v>
      </c>
      <c r="J683" s="19">
        <f t="shared" si="84"/>
        <v>0</v>
      </c>
      <c r="K683" s="19">
        <f t="shared" si="84"/>
        <v>0</v>
      </c>
      <c r="L683" s="19" t="s">
        <v>297</v>
      </c>
      <c r="M683" s="19" t="s">
        <v>297</v>
      </c>
      <c r="N683" s="19" t="s">
        <v>297</v>
      </c>
      <c r="O683" s="19" t="s">
        <v>297</v>
      </c>
      <c r="P683" s="19" t="s">
        <v>297</v>
      </c>
      <c r="Q683" s="19" t="s">
        <v>297</v>
      </c>
    </row>
    <row r="684" spans="1:133" ht="62.4" x14ac:dyDescent="0.25">
      <c r="A684" s="17" t="s">
        <v>111</v>
      </c>
      <c r="B684" s="17" t="s">
        <v>37</v>
      </c>
      <c r="C684" s="17" t="s">
        <v>112</v>
      </c>
      <c r="D684" s="17" t="s">
        <v>383</v>
      </c>
      <c r="E684" s="20">
        <f>AVERAGE(F684:K684)</f>
        <v>0.96124833028013124</v>
      </c>
      <c r="F684" s="20">
        <f>(F685-F688)/F685</f>
        <v>0.96261766699513618</v>
      </c>
      <c r="G684" s="20">
        <f t="shared" ref="G684:K684" si="85">(G685-G688)/G685</f>
        <v>0.96236397997058587</v>
      </c>
      <c r="H684" s="20">
        <f t="shared" si="85"/>
        <v>0.96089781638325356</v>
      </c>
      <c r="I684" s="20">
        <f t="shared" si="85"/>
        <v>0.96260848443394331</v>
      </c>
      <c r="J684" s="20">
        <f t="shared" si="85"/>
        <v>0.9614846747627368</v>
      </c>
      <c r="K684" s="20">
        <f t="shared" si="85"/>
        <v>0.9575173591351317</v>
      </c>
      <c r="L684" s="20" t="s">
        <v>297</v>
      </c>
      <c r="M684" s="20" t="s">
        <v>297</v>
      </c>
      <c r="N684" s="20" t="s">
        <v>297</v>
      </c>
      <c r="O684" s="20" t="s">
        <v>297</v>
      </c>
      <c r="P684" s="20" t="s">
        <v>297</v>
      </c>
      <c r="Q684" s="20" t="s">
        <v>297</v>
      </c>
    </row>
    <row r="685" spans="1:133" ht="46.8" x14ac:dyDescent="0.25">
      <c r="A685" s="17" t="s">
        <v>113</v>
      </c>
      <c r="B685" s="17" t="s">
        <v>24</v>
      </c>
      <c r="C685" s="17" t="s">
        <v>114</v>
      </c>
      <c r="D685" s="17" t="s">
        <v>384</v>
      </c>
      <c r="E685" s="20">
        <f>SUM(F685:K685)</f>
        <v>18.724898246850717</v>
      </c>
      <c r="F685" s="20">
        <f>F686*F687</f>
        <v>3.063249475955645</v>
      </c>
      <c r="G685" s="20">
        <f t="shared" ref="G685:K685" si="86">G686*G687</f>
        <v>3.0636225886004467</v>
      </c>
      <c r="H685" s="20">
        <f t="shared" si="86"/>
        <v>3.0631539164533041</v>
      </c>
      <c r="I685" s="20">
        <f t="shared" si="86"/>
        <v>3.0620979522976945</v>
      </c>
      <c r="J685" s="20">
        <f t="shared" si="86"/>
        <v>3.4310833723169609</v>
      </c>
      <c r="K685" s="20">
        <f t="shared" si="86"/>
        <v>3.0416909412266677</v>
      </c>
      <c r="L685" s="20" t="s">
        <v>297</v>
      </c>
      <c r="M685" s="20" t="s">
        <v>297</v>
      </c>
      <c r="N685" s="20" t="s">
        <v>297</v>
      </c>
      <c r="O685" s="20" t="s">
        <v>297</v>
      </c>
      <c r="P685" s="20" t="s">
        <v>297</v>
      </c>
      <c r="Q685" s="20" t="s">
        <v>297</v>
      </c>
    </row>
    <row r="686" spans="1:133" ht="71.400000000000006" customHeight="1" x14ac:dyDescent="0.25">
      <c r="A686" s="17" t="s">
        <v>115</v>
      </c>
      <c r="B686" s="17" t="s">
        <v>116</v>
      </c>
      <c r="C686" s="17" t="s">
        <v>117</v>
      </c>
      <c r="D686" s="17" t="s">
        <v>336</v>
      </c>
      <c r="E686" s="129">
        <f>SUM(F686:K686)</f>
        <v>37076.752774731183</v>
      </c>
      <c r="F686" s="129">
        <f>'Baseline Emissions 2022'!F664</f>
        <v>5940.7049999999999</v>
      </c>
      <c r="G686" s="129">
        <f>'Baseline Emissions 2022'!G664</f>
        <v>5941.8797500000001</v>
      </c>
      <c r="H686" s="129">
        <f>'Baseline Emissions 2022'!H664</f>
        <v>5940.8108064516127</v>
      </c>
      <c r="I686" s="129">
        <f>'Baseline Emissions 2022'!I664</f>
        <v>5939.7757666666657</v>
      </c>
      <c r="J686" s="129">
        <f>'Baseline Emissions 2022'!J664</f>
        <v>6657.3494516129022</v>
      </c>
      <c r="K686" s="129">
        <f>'Baseline Emissions 2022'!K664</f>
        <v>6656.2320000000018</v>
      </c>
      <c r="L686" s="21" t="s">
        <v>297</v>
      </c>
      <c r="M686" s="21" t="s">
        <v>297</v>
      </c>
      <c r="N686" s="21" t="s">
        <v>297</v>
      </c>
      <c r="O686" s="21" t="s">
        <v>297</v>
      </c>
      <c r="P686" s="21" t="s">
        <v>297</v>
      </c>
      <c r="Q686" s="21" t="s">
        <v>297</v>
      </c>
    </row>
    <row r="687" spans="1:133" ht="46.8" x14ac:dyDescent="0.25">
      <c r="A687" s="17" t="s">
        <v>118</v>
      </c>
      <c r="B687" s="17" t="s">
        <v>119</v>
      </c>
      <c r="C687" s="17" t="s">
        <v>120</v>
      </c>
      <c r="D687" s="35" t="s">
        <v>338</v>
      </c>
      <c r="E687" s="120">
        <f>AVERAGE(F687:K687)</f>
        <v>5.0578725465096443E-4</v>
      </c>
      <c r="F687" s="130">
        <f>'Baseline Emissions 2022'!F668</f>
        <v>5.1563736559139786E-4</v>
      </c>
      <c r="G687" s="130">
        <f>'Baseline Emissions 2022'!G668</f>
        <v>5.1559821428571431E-4</v>
      </c>
      <c r="H687" s="130">
        <f>'Baseline Emissions 2022'!H668</f>
        <v>5.1561209677419362E-4</v>
      </c>
      <c r="I687" s="130">
        <f>'Baseline Emissions 2022'!I668</f>
        <v>5.1552416666666675E-4</v>
      </c>
      <c r="J687" s="130">
        <f>'Baseline Emissions 2022'!J668</f>
        <v>5.1538279569892471E-4</v>
      </c>
      <c r="K687" s="130">
        <f>'Baseline Emissions 2022'!K668</f>
        <v>4.5696888888888891E-4</v>
      </c>
      <c r="L687" s="23" t="s">
        <v>297</v>
      </c>
      <c r="M687" s="23" t="s">
        <v>297</v>
      </c>
      <c r="N687" s="23" t="s">
        <v>297</v>
      </c>
      <c r="O687" s="23" t="s">
        <v>297</v>
      </c>
      <c r="P687" s="23" t="s">
        <v>297</v>
      </c>
      <c r="Q687" s="23" t="s">
        <v>297</v>
      </c>
    </row>
    <row r="688" spans="1:133" ht="46.8" x14ac:dyDescent="0.25">
      <c r="A688" s="17" t="s">
        <v>121</v>
      </c>
      <c r="B688" s="17" t="s">
        <v>24</v>
      </c>
      <c r="C688" s="17" t="s">
        <v>122</v>
      </c>
      <c r="D688" s="17" t="s">
        <v>384</v>
      </c>
      <c r="E688" s="20">
        <f>SUM(F688:K688)</f>
        <v>0.72545481910893317</v>
      </c>
      <c r="F688" s="20">
        <f>SUM(F689*F690)</f>
        <v>0.11451141198714883</v>
      </c>
      <c r="G688" s="20">
        <f t="shared" ref="G688:K688" si="87">SUM(G689*G690)</f>
        <v>0.11530256110713222</v>
      </c>
      <c r="H688" s="20">
        <f t="shared" si="87"/>
        <v>0.11977600688751301</v>
      </c>
      <c r="I688" s="20">
        <f t="shared" si="87"/>
        <v>0.11449648324812967</v>
      </c>
      <c r="J688" s="20">
        <f t="shared" si="87"/>
        <v>0.13214929200095388</v>
      </c>
      <c r="K688" s="20">
        <f t="shared" si="87"/>
        <v>0.12921906387805557</v>
      </c>
      <c r="L688" s="20" t="s">
        <v>297</v>
      </c>
      <c r="M688" s="20" t="s">
        <v>297</v>
      </c>
      <c r="N688" s="20" t="s">
        <v>297</v>
      </c>
      <c r="O688" s="20" t="s">
        <v>297</v>
      </c>
      <c r="P688" s="20" t="s">
        <v>297</v>
      </c>
      <c r="Q688" s="20" t="s">
        <v>297</v>
      </c>
    </row>
    <row r="689" spans="1:17" ht="62.4" x14ac:dyDescent="0.25">
      <c r="A689" s="17" t="s">
        <v>123</v>
      </c>
      <c r="B689" s="17" t="s">
        <v>116</v>
      </c>
      <c r="C689" s="17" t="s">
        <v>124</v>
      </c>
      <c r="D689" s="17" t="s">
        <v>337</v>
      </c>
      <c r="E689" s="129">
        <f>SUM(F689:K689)</f>
        <v>35978.329219738873</v>
      </c>
      <c r="F689" s="129">
        <v>5750.3807096774199</v>
      </c>
      <c r="G689" s="129">
        <v>5750.3243928571437</v>
      </c>
      <c r="H689" s="129">
        <v>5750.8808387096778</v>
      </c>
      <c r="I689" s="129">
        <v>5752.2271333333347</v>
      </c>
      <c r="J689" s="129">
        <v>6486.7106451612908</v>
      </c>
      <c r="K689" s="129">
        <v>6487.8055000000004</v>
      </c>
      <c r="L689" s="21" t="s">
        <v>297</v>
      </c>
      <c r="M689" s="21" t="s">
        <v>297</v>
      </c>
      <c r="N689" s="21" t="s">
        <v>297</v>
      </c>
      <c r="O689" s="21" t="s">
        <v>297</v>
      </c>
      <c r="P689" s="21" t="s">
        <v>297</v>
      </c>
      <c r="Q689" s="21" t="s">
        <v>297</v>
      </c>
    </row>
    <row r="690" spans="1:17" ht="46.8" x14ac:dyDescent="0.25">
      <c r="A690" s="17" t="s">
        <v>125</v>
      </c>
      <c r="B690" s="17" t="s">
        <v>119</v>
      </c>
      <c r="C690" s="17" t="s">
        <v>126</v>
      </c>
      <c r="D690" s="35" t="s">
        <v>339</v>
      </c>
      <c r="E690" s="131">
        <f>AVERAGE(F690:K690)</f>
        <v>2.0164478899982931E-5</v>
      </c>
      <c r="F690" s="131">
        <f>'Baseline Emissions 2022'!F669</f>
        <v>1.9913709677419357E-5</v>
      </c>
      <c r="G690" s="131">
        <f>'Baseline Emissions 2022'!G669</f>
        <v>2.0051488095238091E-5</v>
      </c>
      <c r="H690" s="131">
        <f>'Baseline Emissions 2022'!H669</f>
        <v>2.0827419354838709E-5</v>
      </c>
      <c r="I690" s="131">
        <f>'Baseline Emissions 2022'!I669</f>
        <v>1.9904722222222224E-5</v>
      </c>
      <c r="J690" s="131">
        <f>'Baseline Emissions 2022'!J669</f>
        <v>2.0372311827956991E-5</v>
      </c>
      <c r="K690" s="131">
        <f>'Baseline Emissions 2022'!K669</f>
        <v>1.9917222222222221E-5</v>
      </c>
      <c r="L690" s="24" t="s">
        <v>297</v>
      </c>
      <c r="M690" s="24" t="s">
        <v>297</v>
      </c>
      <c r="N690" s="24" t="s">
        <v>297</v>
      </c>
      <c r="O690" s="24" t="s">
        <v>297</v>
      </c>
      <c r="P690" s="24" t="s">
        <v>297</v>
      </c>
      <c r="Q690" s="24" t="s">
        <v>297</v>
      </c>
    </row>
    <row r="691" spans="1:17" ht="31.2" x14ac:dyDescent="0.25">
      <c r="A691" s="17" t="s">
        <v>127</v>
      </c>
      <c r="B691" s="17" t="s">
        <v>128</v>
      </c>
      <c r="C691" s="17" t="s">
        <v>17</v>
      </c>
      <c r="D691" s="17" t="s">
        <v>129</v>
      </c>
      <c r="E691" s="176">
        <v>28</v>
      </c>
      <c r="F691" s="176"/>
      <c r="G691" s="176"/>
      <c r="H691" s="176"/>
      <c r="I691" s="176"/>
      <c r="J691" s="176"/>
      <c r="K691" s="176"/>
      <c r="L691" s="176"/>
      <c r="M691" s="176"/>
      <c r="N691" s="176"/>
      <c r="O691" s="176"/>
      <c r="P691" s="176"/>
      <c r="Q691" s="176"/>
    </row>
    <row r="692" spans="1:17" ht="64.8" x14ac:dyDescent="0.25">
      <c r="A692" s="17" t="s">
        <v>130</v>
      </c>
      <c r="B692" s="17" t="s">
        <v>19</v>
      </c>
      <c r="C692" s="17" t="s">
        <v>131</v>
      </c>
      <c r="D692" s="17" t="s">
        <v>394</v>
      </c>
      <c r="E692" s="176">
        <v>0.21</v>
      </c>
      <c r="F692" s="176"/>
      <c r="G692" s="176"/>
      <c r="H692" s="176"/>
      <c r="I692" s="176"/>
      <c r="J692" s="176"/>
      <c r="K692" s="176"/>
      <c r="L692" s="176"/>
      <c r="M692" s="176"/>
      <c r="N692" s="176"/>
      <c r="O692" s="176"/>
      <c r="P692" s="176"/>
      <c r="Q692" s="176"/>
    </row>
    <row r="693" spans="1:17" ht="46.8" x14ac:dyDescent="0.25">
      <c r="A693" s="17" t="s">
        <v>132</v>
      </c>
      <c r="B693" s="17" t="s">
        <v>103</v>
      </c>
      <c r="C693" s="17" t="s">
        <v>133</v>
      </c>
      <c r="D693" s="17" t="s">
        <v>385</v>
      </c>
      <c r="E693" s="19">
        <f>SUM(F693:K693)</f>
        <v>0</v>
      </c>
      <c r="F693" s="19">
        <f>$E$691*$E$692*F694*F688*F681</f>
        <v>0</v>
      </c>
      <c r="G693" s="19">
        <f t="shared" ref="G693:K693" si="88">$E$691*$E$692*G694*G688*G681</f>
        <v>0</v>
      </c>
      <c r="H693" s="19">
        <f t="shared" si="88"/>
        <v>0</v>
      </c>
      <c r="I693" s="19">
        <f t="shared" si="88"/>
        <v>0</v>
      </c>
      <c r="J693" s="19">
        <f t="shared" si="88"/>
        <v>0</v>
      </c>
      <c r="K693" s="19">
        <f t="shared" si="88"/>
        <v>0</v>
      </c>
      <c r="L693" s="19" t="s">
        <v>297</v>
      </c>
      <c r="M693" s="19" t="s">
        <v>297</v>
      </c>
      <c r="N693" s="19" t="s">
        <v>297</v>
      </c>
      <c r="O693" s="19" t="s">
        <v>297</v>
      </c>
      <c r="P693" s="19" t="s">
        <v>297</v>
      </c>
      <c r="Q693" s="19" t="s">
        <v>297</v>
      </c>
    </row>
    <row r="694" spans="1:17" ht="18" x14ac:dyDescent="0.25">
      <c r="A694" s="17" t="s">
        <v>134</v>
      </c>
      <c r="B694" s="17" t="s">
        <v>37</v>
      </c>
      <c r="C694" s="17" t="s">
        <v>135</v>
      </c>
      <c r="D694" s="17" t="s">
        <v>386</v>
      </c>
      <c r="E694" s="26">
        <f>AVERAGE(F694:K694)</f>
        <v>0</v>
      </c>
      <c r="F694" s="26">
        <f>F695*$E$696*0.89</f>
        <v>0</v>
      </c>
      <c r="G694" s="26">
        <f t="shared" ref="G694:K694" si="89">G695*$E$696*0.89</f>
        <v>0</v>
      </c>
      <c r="H694" s="26">
        <f t="shared" si="89"/>
        <v>0</v>
      </c>
      <c r="I694" s="26">
        <f t="shared" si="89"/>
        <v>0</v>
      </c>
      <c r="J694" s="26">
        <f t="shared" si="89"/>
        <v>0</v>
      </c>
      <c r="K694" s="26">
        <f t="shared" si="89"/>
        <v>0</v>
      </c>
      <c r="L694" s="26" t="s">
        <v>297</v>
      </c>
      <c r="M694" s="26" t="s">
        <v>297</v>
      </c>
      <c r="N694" s="26" t="s">
        <v>297</v>
      </c>
      <c r="O694" s="26" t="s">
        <v>297</v>
      </c>
      <c r="P694" s="26" t="s">
        <v>297</v>
      </c>
      <c r="Q694" s="26" t="s">
        <v>297</v>
      </c>
    </row>
    <row r="695" spans="1:17" ht="31.2" x14ac:dyDescent="0.25">
      <c r="A695" s="17" t="s">
        <v>136</v>
      </c>
      <c r="B695" s="17" t="s">
        <v>37</v>
      </c>
      <c r="C695" s="17" t="s">
        <v>46</v>
      </c>
      <c r="D695" s="17" t="s">
        <v>387</v>
      </c>
      <c r="E695" s="25">
        <v>0</v>
      </c>
      <c r="F695" s="25">
        <v>0</v>
      </c>
      <c r="G695" s="25">
        <v>0</v>
      </c>
      <c r="H695" s="25">
        <v>0</v>
      </c>
      <c r="I695" s="25">
        <v>0</v>
      </c>
      <c r="J695" s="25">
        <v>0</v>
      </c>
      <c r="K695" s="25">
        <v>0</v>
      </c>
      <c r="L695" s="25" t="s">
        <v>297</v>
      </c>
      <c r="M695" s="25" t="s">
        <v>297</v>
      </c>
      <c r="N695" s="25" t="s">
        <v>297</v>
      </c>
      <c r="O695" s="25" t="s">
        <v>297</v>
      </c>
      <c r="P695" s="25" t="s">
        <v>297</v>
      </c>
      <c r="Q695" s="25" t="s">
        <v>297</v>
      </c>
    </row>
    <row r="696" spans="1:17" ht="31.2" x14ac:dyDescent="0.25">
      <c r="A696" s="17" t="s">
        <v>137</v>
      </c>
      <c r="B696" s="17" t="s">
        <v>201</v>
      </c>
      <c r="C696" s="17" t="s">
        <v>138</v>
      </c>
      <c r="D696" s="17" t="s">
        <v>388</v>
      </c>
      <c r="E696" s="196">
        <f>(F697*F702+G697*G702+H697*H702+I697*I702+J697*J702+K697*K702)/(F689*F690*F681+G690*G689*G681+H689*H690*H681+I690*I689*I681+J690*J689*J681+K690*K689*K681)</f>
        <v>0.46905394590508132</v>
      </c>
      <c r="F696" s="196"/>
      <c r="G696" s="196"/>
      <c r="H696" s="196"/>
      <c r="I696" s="196"/>
      <c r="J696" s="196"/>
      <c r="K696" s="196"/>
      <c r="L696" s="196"/>
      <c r="M696" s="196"/>
      <c r="N696" s="196"/>
      <c r="O696" s="196"/>
      <c r="P696" s="196"/>
      <c r="Q696" s="196"/>
    </row>
    <row r="697" spans="1:17" ht="31.2" x14ac:dyDescent="0.25">
      <c r="A697" s="17" t="s">
        <v>139</v>
      </c>
      <c r="B697" s="17" t="s">
        <v>37</v>
      </c>
      <c r="C697" s="17" t="s">
        <v>140</v>
      </c>
      <c r="D697" s="17" t="s">
        <v>375</v>
      </c>
      <c r="E697" s="27">
        <f>AVERAGE(F697:K697)</f>
        <v>0.45657243431138023</v>
      </c>
      <c r="F697" s="27">
        <f>IF(F701&lt;283,0,IF(F701&gt;303,1,EXP(($E$698*(F701-$E$699))/($E$700*$E$699*F701))))</f>
        <v>0.22368662668957603</v>
      </c>
      <c r="G697" s="27">
        <f t="shared" ref="G697:K697" si="90">IF(G701&lt;283,0,IF(G701&gt;303,1,EXP(($E$698*(G701-$E$699))/($E$700*$E$699*G701))))</f>
        <v>0.17679930526069626</v>
      </c>
      <c r="H697" s="27">
        <f t="shared" si="90"/>
        <v>0.42307437878932203</v>
      </c>
      <c r="I697" s="27">
        <f t="shared" si="90"/>
        <v>0.50475941545474445</v>
      </c>
      <c r="J697" s="27">
        <f t="shared" si="90"/>
        <v>0.60078639810878987</v>
      </c>
      <c r="K697" s="27">
        <f t="shared" si="90"/>
        <v>0.81032848156515291</v>
      </c>
      <c r="L697" s="27" t="s">
        <v>297</v>
      </c>
      <c r="M697" s="27" t="s">
        <v>297</v>
      </c>
      <c r="N697" s="27" t="s">
        <v>297</v>
      </c>
      <c r="O697" s="27" t="s">
        <v>297</v>
      </c>
      <c r="P697" s="27" t="s">
        <v>297</v>
      </c>
      <c r="Q697" s="27" t="s">
        <v>297</v>
      </c>
    </row>
    <row r="698" spans="1:17" x14ac:dyDescent="0.25">
      <c r="A698" s="17" t="s">
        <v>51</v>
      </c>
      <c r="B698" s="17" t="s">
        <v>52</v>
      </c>
      <c r="C698" s="17" t="s">
        <v>53</v>
      </c>
      <c r="D698" s="17" t="s">
        <v>389</v>
      </c>
      <c r="E698" s="176">
        <v>15175</v>
      </c>
      <c r="F698" s="176"/>
      <c r="G698" s="176"/>
      <c r="H698" s="176"/>
      <c r="I698" s="176"/>
      <c r="J698" s="176"/>
      <c r="K698" s="176"/>
      <c r="L698" s="176"/>
      <c r="M698" s="176"/>
      <c r="N698" s="176"/>
      <c r="O698" s="176"/>
      <c r="P698" s="176"/>
      <c r="Q698" s="176"/>
    </row>
    <row r="699" spans="1:17" ht="18" x14ac:dyDescent="0.25">
      <c r="A699" s="17" t="s">
        <v>141</v>
      </c>
      <c r="B699" s="17" t="s">
        <v>55</v>
      </c>
      <c r="C699" s="17" t="s">
        <v>56</v>
      </c>
      <c r="D699" s="17" t="s">
        <v>389</v>
      </c>
      <c r="E699" s="176">
        <v>303.16000000000003</v>
      </c>
      <c r="F699" s="176"/>
      <c r="G699" s="176"/>
      <c r="H699" s="176"/>
      <c r="I699" s="176"/>
      <c r="J699" s="176"/>
      <c r="K699" s="176"/>
      <c r="L699" s="176"/>
      <c r="M699" s="176"/>
      <c r="N699" s="176"/>
      <c r="O699" s="176"/>
      <c r="P699" s="176"/>
      <c r="Q699" s="176"/>
    </row>
    <row r="700" spans="1:17" x14ac:dyDescent="0.25">
      <c r="A700" s="17" t="s">
        <v>57</v>
      </c>
      <c r="B700" s="17" t="s">
        <v>58</v>
      </c>
      <c r="C700" s="17" t="s">
        <v>59</v>
      </c>
      <c r="D700" s="17" t="s">
        <v>389</v>
      </c>
      <c r="E700" s="176">
        <v>1.9870000000000001</v>
      </c>
      <c r="F700" s="176"/>
      <c r="G700" s="176"/>
      <c r="H700" s="176"/>
      <c r="I700" s="176"/>
      <c r="J700" s="176"/>
      <c r="K700" s="176"/>
      <c r="L700" s="176"/>
      <c r="M700" s="176"/>
      <c r="N700" s="176"/>
      <c r="O700" s="176"/>
      <c r="P700" s="176"/>
      <c r="Q700" s="176"/>
    </row>
    <row r="701" spans="1:17" ht="18" x14ac:dyDescent="0.25">
      <c r="A701" s="17" t="s">
        <v>142</v>
      </c>
      <c r="B701" s="17" t="s">
        <v>55</v>
      </c>
      <c r="C701" s="17" t="s">
        <v>143</v>
      </c>
      <c r="D701" s="144" t="s">
        <v>364</v>
      </c>
      <c r="E701" s="28">
        <f>AVERAGE(F701:K701)</f>
        <v>292.65000000000003</v>
      </c>
      <c r="F701" s="25">
        <v>286.14999999999998</v>
      </c>
      <c r="G701" s="25">
        <v>283.64999999999998</v>
      </c>
      <c r="H701" s="25">
        <v>293.14999999999998</v>
      </c>
      <c r="I701" s="25">
        <v>295.14999999999998</v>
      </c>
      <c r="J701" s="25">
        <v>297.14999999999998</v>
      </c>
      <c r="K701" s="25">
        <v>300.64999999999998</v>
      </c>
      <c r="L701" s="25" t="s">
        <v>297</v>
      </c>
      <c r="M701" s="25" t="s">
        <v>297</v>
      </c>
      <c r="N701" s="25" t="s">
        <v>297</v>
      </c>
      <c r="O701" s="25" t="s">
        <v>297</v>
      </c>
      <c r="P701" s="25" t="s">
        <v>297</v>
      </c>
      <c r="Q701" s="25" t="s">
        <v>297</v>
      </c>
    </row>
    <row r="702" spans="1:17" ht="46.8" x14ac:dyDescent="0.25">
      <c r="A702" s="17" t="s">
        <v>144</v>
      </c>
      <c r="B702" s="17" t="s">
        <v>24</v>
      </c>
      <c r="C702" s="17" t="s">
        <v>145</v>
      </c>
      <c r="D702" s="17" t="s">
        <v>390</v>
      </c>
      <c r="E702" s="29">
        <f>SUM(F702:K702)</f>
        <v>21.899476161929346</v>
      </c>
      <c r="F702" s="29">
        <f>F689*F690*'Project Emissions 2022'!F681+(1-F697)*0</f>
        <v>3.5498537716016139</v>
      </c>
      <c r="G702" s="29">
        <f>G689*G690*'Project Emissions 2022'!G681+(1-G697)*0</f>
        <v>3.2284717109997021</v>
      </c>
      <c r="H702" s="29">
        <f>H689*H690*'Project Emissions 2022'!H681+(1-H697)*0</f>
        <v>3.7130562135129033</v>
      </c>
      <c r="I702" s="29">
        <f>I689*I690*'Project Emissions 2022'!I681+(1-I697)*0</f>
        <v>3.43489449744389</v>
      </c>
      <c r="J702" s="29">
        <f>J689*J690*'Project Emissions 2022'!J681+(1-J697)*0</f>
        <v>4.0966280520295699</v>
      </c>
      <c r="K702" s="29">
        <f>K689*K690*'Project Emissions 2022'!K681+(1-K697)*0</f>
        <v>3.8765719163416672</v>
      </c>
      <c r="L702" s="29" t="s">
        <v>297</v>
      </c>
      <c r="M702" s="29" t="s">
        <v>297</v>
      </c>
      <c r="N702" s="29" t="s">
        <v>297</v>
      </c>
      <c r="O702" s="29" t="s">
        <v>297</v>
      </c>
      <c r="P702" s="29" t="s">
        <v>297</v>
      </c>
      <c r="Q702" s="29" t="s">
        <v>297</v>
      </c>
    </row>
    <row r="703" spans="1:17" x14ac:dyDescent="0.3">
      <c r="A703" s="30"/>
      <c r="E703" s="31"/>
      <c r="F703" s="31"/>
      <c r="G703" s="31"/>
      <c r="H703" s="31"/>
      <c r="I703" s="31"/>
      <c r="J703" s="31"/>
      <c r="K703" s="31"/>
      <c r="L703" s="31"/>
      <c r="M703" s="31"/>
      <c r="N703" s="31"/>
      <c r="O703" s="31"/>
      <c r="P703" s="31"/>
      <c r="Q703" s="31"/>
    </row>
    <row r="704" spans="1:17" x14ac:dyDescent="0.25">
      <c r="A704" s="174" t="s">
        <v>146</v>
      </c>
      <c r="B704" s="174"/>
      <c r="C704" s="175"/>
      <c r="D704" s="175"/>
      <c r="E704" s="195"/>
      <c r="F704" s="32"/>
      <c r="G704" s="32"/>
      <c r="H704" s="32"/>
      <c r="I704" s="32"/>
      <c r="J704" s="32"/>
      <c r="K704" s="32"/>
      <c r="L704" s="32"/>
      <c r="M704" s="32"/>
      <c r="N704" s="32"/>
      <c r="O704" s="32"/>
      <c r="P704" s="32"/>
      <c r="Q704" s="32"/>
    </row>
    <row r="705" spans="1:19" x14ac:dyDescent="0.25">
      <c r="A705" s="33" t="s">
        <v>8</v>
      </c>
      <c r="B705" s="33" t="s">
        <v>9</v>
      </c>
      <c r="C705" s="34" t="s">
        <v>10</v>
      </c>
      <c r="D705" s="34" t="s">
        <v>340</v>
      </c>
      <c r="E705" s="16" t="s">
        <v>65</v>
      </c>
      <c r="F705" s="32"/>
      <c r="G705" s="32"/>
      <c r="H705" s="32"/>
      <c r="I705" s="32"/>
      <c r="J705" s="32"/>
      <c r="K705" s="32"/>
      <c r="L705" s="32"/>
      <c r="M705" s="32"/>
      <c r="N705" s="32"/>
      <c r="O705" s="32"/>
      <c r="P705" s="32"/>
      <c r="Q705" s="32"/>
    </row>
    <row r="706" spans="1:19" ht="46.8" x14ac:dyDescent="0.25">
      <c r="A706" s="15" t="s">
        <v>147</v>
      </c>
      <c r="B706" s="17" t="s">
        <v>95</v>
      </c>
      <c r="C706" s="35" t="s">
        <v>148</v>
      </c>
      <c r="D706" s="35" t="s">
        <v>68</v>
      </c>
      <c r="E706" s="16">
        <v>0</v>
      </c>
      <c r="F706" s="32"/>
      <c r="G706" s="32"/>
      <c r="H706" s="32"/>
      <c r="I706" s="32"/>
      <c r="J706" s="32"/>
      <c r="K706" s="32"/>
      <c r="L706" s="32"/>
      <c r="M706" s="32"/>
      <c r="N706" s="32"/>
      <c r="O706" s="32"/>
      <c r="P706" s="32"/>
      <c r="Q706" s="32"/>
    </row>
    <row r="707" spans="1:19" x14ac:dyDescent="0.25">
      <c r="A707" s="36"/>
      <c r="B707" s="36"/>
      <c r="C707" s="37"/>
      <c r="D707" s="37"/>
      <c r="E707" s="32"/>
      <c r="F707" s="32"/>
      <c r="G707" s="32"/>
      <c r="H707" s="32"/>
      <c r="I707" s="32"/>
      <c r="J707" s="32"/>
      <c r="K707" s="32"/>
      <c r="L707" s="32"/>
      <c r="M707" s="32"/>
      <c r="N707" s="32"/>
      <c r="O707" s="32"/>
      <c r="P707" s="32"/>
      <c r="Q707" s="32"/>
    </row>
    <row r="708" spans="1:19" x14ac:dyDescent="0.25">
      <c r="A708" s="174" t="s">
        <v>149</v>
      </c>
      <c r="B708" s="174"/>
      <c r="C708" s="175"/>
      <c r="D708" s="175"/>
      <c r="E708" s="195"/>
      <c r="F708" s="32"/>
      <c r="G708" s="32"/>
      <c r="H708" s="32"/>
      <c r="I708" s="32"/>
      <c r="J708" s="32"/>
      <c r="K708" s="32"/>
      <c r="L708" s="32"/>
      <c r="M708" s="32"/>
      <c r="N708" s="32"/>
      <c r="O708" s="32"/>
      <c r="P708" s="32"/>
      <c r="Q708" s="32"/>
    </row>
    <row r="709" spans="1:19" x14ac:dyDescent="0.25">
      <c r="A709" s="33" t="s">
        <v>8</v>
      </c>
      <c r="B709" s="33" t="s">
        <v>9</v>
      </c>
      <c r="C709" s="34" t="s">
        <v>10</v>
      </c>
      <c r="D709" s="34" t="s">
        <v>340</v>
      </c>
      <c r="E709" s="16" t="s">
        <v>65</v>
      </c>
      <c r="F709" s="32"/>
      <c r="G709" s="32"/>
      <c r="H709" s="32"/>
      <c r="I709" s="32"/>
      <c r="J709" s="32"/>
      <c r="K709" s="32"/>
      <c r="L709" s="32"/>
      <c r="M709" s="32"/>
      <c r="N709" s="32"/>
      <c r="O709" s="32"/>
      <c r="P709" s="32"/>
      <c r="Q709" s="32"/>
    </row>
    <row r="710" spans="1:19" ht="46.8" x14ac:dyDescent="0.25">
      <c r="A710" s="15" t="s">
        <v>150</v>
      </c>
      <c r="B710" s="17" t="s">
        <v>95</v>
      </c>
      <c r="C710" s="35" t="s">
        <v>151</v>
      </c>
      <c r="D710" s="35" t="s">
        <v>68</v>
      </c>
      <c r="E710" s="16">
        <v>0</v>
      </c>
      <c r="F710" s="32"/>
      <c r="G710" s="32"/>
      <c r="H710" s="32"/>
      <c r="I710" s="32"/>
      <c r="J710" s="32"/>
      <c r="K710" s="32"/>
      <c r="L710" s="32"/>
      <c r="M710" s="32"/>
      <c r="N710" s="32"/>
      <c r="O710" s="32"/>
      <c r="P710" s="32"/>
      <c r="Q710" s="32"/>
    </row>
    <row r="711" spans="1:19" x14ac:dyDescent="0.25">
      <c r="F711" s="32"/>
      <c r="G711" s="32"/>
      <c r="H711" s="32"/>
      <c r="I711" s="32"/>
      <c r="J711" s="32"/>
      <c r="K711" s="32"/>
      <c r="L711" s="32"/>
      <c r="M711" s="32"/>
      <c r="N711" s="32"/>
      <c r="O711" s="32"/>
      <c r="P711" s="32"/>
      <c r="Q711" s="32"/>
    </row>
    <row r="712" spans="1:19" x14ac:dyDescent="0.25">
      <c r="A712" s="174" t="s">
        <v>152</v>
      </c>
      <c r="B712" s="174"/>
      <c r="C712" s="175"/>
      <c r="D712" s="175"/>
      <c r="E712" s="195"/>
      <c r="F712" s="32"/>
      <c r="G712" s="32"/>
      <c r="H712" s="32"/>
      <c r="I712" s="32"/>
      <c r="J712" s="32"/>
      <c r="K712" s="32"/>
      <c r="L712" s="32"/>
      <c r="M712" s="32"/>
      <c r="N712" s="32"/>
      <c r="O712" s="32"/>
      <c r="P712" s="32"/>
      <c r="Q712" s="32"/>
    </row>
    <row r="713" spans="1:19" s="10" customFormat="1" x14ac:dyDescent="0.25">
      <c r="A713" s="15" t="s">
        <v>8</v>
      </c>
      <c r="B713" s="15" t="s">
        <v>9</v>
      </c>
      <c r="C713" s="38" t="s">
        <v>10</v>
      </c>
      <c r="D713" s="38" t="s">
        <v>340</v>
      </c>
      <c r="E713" s="16" t="s">
        <v>65</v>
      </c>
      <c r="F713" s="32"/>
      <c r="G713" s="32"/>
      <c r="H713" s="39"/>
      <c r="I713" s="39"/>
      <c r="J713" s="39"/>
      <c r="K713" s="39"/>
      <c r="L713" s="39"/>
      <c r="M713" s="39"/>
      <c r="N713" s="39"/>
      <c r="O713" s="39"/>
      <c r="P713" s="39"/>
      <c r="Q713" s="39"/>
    </row>
    <row r="714" spans="1:19" s="10" customFormat="1" ht="18" x14ac:dyDescent="0.4">
      <c r="A714" s="40" t="s">
        <v>153</v>
      </c>
      <c r="B714" s="17" t="s">
        <v>103</v>
      </c>
      <c r="C714" s="35" t="s">
        <v>154</v>
      </c>
      <c r="D714" s="35" t="s">
        <v>155</v>
      </c>
      <c r="E714" s="41">
        <f>E715*E717*(1+E716)</f>
        <v>275.19063115440002</v>
      </c>
      <c r="F714" s="32"/>
      <c r="G714" s="32"/>
      <c r="H714" s="39"/>
      <c r="I714" s="39"/>
      <c r="J714" s="39"/>
      <c r="K714" s="39"/>
      <c r="L714" s="39"/>
      <c r="M714" s="39"/>
      <c r="N714" s="39"/>
      <c r="O714" s="39"/>
      <c r="P714" s="39"/>
      <c r="Q714" s="39"/>
    </row>
    <row r="715" spans="1:19" ht="31.2" x14ac:dyDescent="0.25">
      <c r="A715" s="17" t="s">
        <v>156</v>
      </c>
      <c r="B715" s="17" t="s">
        <v>157</v>
      </c>
      <c r="C715" s="35" t="s">
        <v>158</v>
      </c>
      <c r="D715" s="35" t="s">
        <v>343</v>
      </c>
      <c r="E715" s="20">
        <f>450674.12/1000</f>
        <v>450.67412000000002</v>
      </c>
      <c r="G715" s="42"/>
      <c r="H715" s="43"/>
      <c r="I715" s="43"/>
      <c r="J715" s="43"/>
      <c r="K715" s="43"/>
      <c r="L715" s="43"/>
      <c r="M715" s="43"/>
      <c r="N715" s="43"/>
      <c r="O715" s="43"/>
      <c r="P715" s="43"/>
      <c r="Q715" s="43"/>
      <c r="R715" s="9"/>
      <c r="S715" s="9"/>
    </row>
    <row r="716" spans="1:19" ht="31.2" x14ac:dyDescent="0.25">
      <c r="A716" s="17" t="s">
        <v>159</v>
      </c>
      <c r="B716" s="17" t="s">
        <v>160</v>
      </c>
      <c r="C716" s="35" t="s">
        <v>161</v>
      </c>
      <c r="D716" s="35" t="s">
        <v>162</v>
      </c>
      <c r="E716" s="44">
        <v>0.2</v>
      </c>
      <c r="H716" s="43"/>
      <c r="I716" s="43"/>
      <c r="J716" s="43"/>
      <c r="K716" s="43"/>
      <c r="L716" s="43"/>
      <c r="M716" s="43"/>
      <c r="N716" s="43"/>
      <c r="O716" s="43"/>
      <c r="P716" s="43"/>
      <c r="Q716" s="43"/>
      <c r="R716" s="9"/>
      <c r="S716" s="9"/>
    </row>
    <row r="717" spans="1:19" ht="46.8" x14ac:dyDescent="0.25">
      <c r="A717" s="17" t="s">
        <v>163</v>
      </c>
      <c r="B717" s="17" t="s">
        <v>164</v>
      </c>
      <c r="C717" s="35" t="s">
        <v>165</v>
      </c>
      <c r="D717" s="35" t="s">
        <v>166</v>
      </c>
      <c r="E717" s="45">
        <f>0.5*0.8042+0.5*0.2135</f>
        <v>0.50885000000000002</v>
      </c>
      <c r="F717" s="46"/>
      <c r="G717" s="46"/>
      <c r="H717" s="46"/>
      <c r="I717" s="46"/>
      <c r="J717" s="46"/>
      <c r="K717" s="46"/>
      <c r="L717" s="46"/>
      <c r="M717" s="46"/>
      <c r="N717" s="46"/>
      <c r="O717" s="46"/>
      <c r="P717" s="46"/>
      <c r="Q717" s="46"/>
    </row>
    <row r="718" spans="1:19" ht="31.2" x14ac:dyDescent="0.4">
      <c r="A718" s="40" t="s">
        <v>167</v>
      </c>
      <c r="B718" s="17" t="s">
        <v>103</v>
      </c>
      <c r="C718" s="35" t="s">
        <v>168</v>
      </c>
      <c r="D718" s="35" t="s">
        <v>169</v>
      </c>
      <c r="E718" s="47">
        <v>0</v>
      </c>
      <c r="H718" s="43"/>
      <c r="I718" s="43"/>
      <c r="J718" s="43"/>
      <c r="K718" s="43"/>
      <c r="L718" s="43"/>
      <c r="M718" s="43"/>
      <c r="N718" s="43"/>
      <c r="O718" s="43"/>
      <c r="P718" s="43"/>
      <c r="Q718" s="43"/>
      <c r="R718" s="9"/>
      <c r="S718" s="9"/>
    </row>
    <row r="719" spans="1:19" x14ac:dyDescent="0.3">
      <c r="A719" s="48"/>
      <c r="E719" s="49"/>
      <c r="H719" s="43"/>
      <c r="I719" s="43"/>
      <c r="J719" s="43"/>
      <c r="K719" s="43"/>
      <c r="L719" s="43"/>
      <c r="M719" s="43"/>
      <c r="N719" s="43"/>
      <c r="O719" s="43"/>
      <c r="P719" s="43"/>
      <c r="Q719" s="43"/>
      <c r="R719" s="9"/>
      <c r="S719" s="9"/>
    </row>
    <row r="720" spans="1:19" x14ac:dyDescent="0.25">
      <c r="A720" s="174" t="s">
        <v>170</v>
      </c>
      <c r="B720" s="174"/>
      <c r="C720" s="175"/>
      <c r="D720" s="175"/>
      <c r="E720" s="195"/>
      <c r="F720" s="32"/>
      <c r="G720" s="32"/>
      <c r="H720" s="32"/>
      <c r="I720" s="32"/>
      <c r="J720" s="32"/>
      <c r="K720" s="32"/>
      <c r="L720" s="32"/>
      <c r="M720" s="32"/>
      <c r="N720" s="32"/>
      <c r="O720" s="32"/>
      <c r="P720" s="32"/>
      <c r="Q720" s="32"/>
    </row>
    <row r="721" spans="1:133" x14ac:dyDescent="0.25">
      <c r="A721" s="15" t="s">
        <v>8</v>
      </c>
      <c r="B721" s="15" t="s">
        <v>9</v>
      </c>
      <c r="C721" s="38" t="s">
        <v>10</v>
      </c>
      <c r="D721" s="38" t="s">
        <v>340</v>
      </c>
      <c r="E721" s="16" t="s">
        <v>65</v>
      </c>
      <c r="H721" s="43"/>
      <c r="I721" s="43"/>
      <c r="J721" s="43"/>
      <c r="K721" s="43"/>
      <c r="L721" s="43"/>
      <c r="M721" s="43"/>
      <c r="N721" s="43"/>
      <c r="O721" s="43"/>
      <c r="P721" s="43"/>
      <c r="Q721" s="43"/>
      <c r="R721" s="9"/>
      <c r="S721" s="9"/>
    </row>
    <row r="722" spans="1:133" ht="33.6" x14ac:dyDescent="0.4">
      <c r="A722" s="40" t="s">
        <v>171</v>
      </c>
      <c r="B722" s="17" t="s">
        <v>74</v>
      </c>
      <c r="C722" s="35" t="s">
        <v>172</v>
      </c>
      <c r="D722" s="35" t="s">
        <v>391</v>
      </c>
      <c r="E722" s="50">
        <f>E723*E726*E727*E728*E729*E730</f>
        <v>8.8659463724919334</v>
      </c>
      <c r="H722" s="43"/>
      <c r="I722" s="43"/>
      <c r="J722" s="43"/>
      <c r="K722" s="43"/>
      <c r="L722" s="43"/>
      <c r="M722" s="43"/>
      <c r="N722" s="43"/>
      <c r="O722" s="43"/>
      <c r="P722" s="43"/>
      <c r="Q722" s="43"/>
      <c r="R722" s="9"/>
      <c r="S722" s="9"/>
    </row>
    <row r="723" spans="1:133" ht="46.8" x14ac:dyDescent="0.4">
      <c r="A723" s="51" t="s">
        <v>173</v>
      </c>
      <c r="B723" s="17" t="s">
        <v>76</v>
      </c>
      <c r="C723" s="35" t="s">
        <v>174</v>
      </c>
      <c r="D723" s="35" t="s">
        <v>392</v>
      </c>
      <c r="E723" s="69">
        <f>ROUNDUP(E724/E725,0)</f>
        <v>153</v>
      </c>
      <c r="H723" s="43"/>
      <c r="I723" s="43"/>
      <c r="J723" s="43"/>
      <c r="K723" s="43"/>
      <c r="L723" s="43"/>
      <c r="M723" s="43"/>
      <c r="N723" s="43"/>
      <c r="O723" s="43"/>
      <c r="P723" s="43"/>
      <c r="Q723" s="43"/>
      <c r="R723" s="9"/>
      <c r="S723" s="9"/>
    </row>
    <row r="724" spans="1:133" ht="62.4" x14ac:dyDescent="0.25">
      <c r="A724" s="17" t="s">
        <v>175</v>
      </c>
      <c r="B724" s="17" t="s">
        <v>78</v>
      </c>
      <c r="C724" s="35" t="s">
        <v>176</v>
      </c>
      <c r="D724" s="35" t="s">
        <v>346</v>
      </c>
      <c r="E724" s="52">
        <v>764.00099999999998</v>
      </c>
      <c r="H724" s="43"/>
      <c r="I724" s="43"/>
      <c r="J724" s="43"/>
      <c r="K724" s="43"/>
      <c r="L724" s="43"/>
      <c r="M724" s="43"/>
      <c r="N724" s="43"/>
      <c r="O724" s="43"/>
      <c r="P724" s="43"/>
      <c r="Q724" s="43"/>
      <c r="R724" s="9"/>
      <c r="S724" s="9"/>
    </row>
    <row r="725" spans="1:133" ht="62.4" x14ac:dyDescent="0.25">
      <c r="A725" s="17" t="s">
        <v>177</v>
      </c>
      <c r="B725" s="17" t="s">
        <v>80</v>
      </c>
      <c r="C725" s="35" t="s">
        <v>81</v>
      </c>
      <c r="D725" s="35" t="s">
        <v>345</v>
      </c>
      <c r="E725" s="25">
        <f>5</f>
        <v>5</v>
      </c>
      <c r="H725" s="43"/>
      <c r="I725" s="43"/>
      <c r="J725" s="43"/>
      <c r="K725" s="43"/>
      <c r="L725" s="43"/>
      <c r="M725" s="43"/>
      <c r="N725" s="43"/>
      <c r="O725" s="43"/>
      <c r="P725" s="43"/>
      <c r="Q725" s="43"/>
      <c r="R725" s="9"/>
      <c r="S725" s="9"/>
    </row>
    <row r="726" spans="1:133" ht="202.8" x14ac:dyDescent="0.25">
      <c r="A726" s="17" t="s">
        <v>178</v>
      </c>
      <c r="B726" s="17" t="s">
        <v>82</v>
      </c>
      <c r="C726" s="35" t="s">
        <v>179</v>
      </c>
      <c r="D726" s="35" t="s">
        <v>367</v>
      </c>
      <c r="E726" s="25">
        <f>42.8*2</f>
        <v>85.6</v>
      </c>
      <c r="H726" s="43"/>
      <c r="I726" s="43"/>
      <c r="J726" s="43"/>
      <c r="K726" s="43"/>
      <c r="L726" s="43"/>
      <c r="M726" s="43"/>
      <c r="N726" s="43"/>
      <c r="O726" s="43"/>
      <c r="P726" s="43"/>
      <c r="Q726" s="43"/>
      <c r="R726" s="9"/>
      <c r="S726" s="9"/>
    </row>
    <row r="727" spans="1:133" ht="156" x14ac:dyDescent="0.25">
      <c r="A727" s="17" t="s">
        <v>180</v>
      </c>
      <c r="B727" s="17" t="s">
        <v>84</v>
      </c>
      <c r="C727" s="35" t="s">
        <v>85</v>
      </c>
      <c r="D727" s="35" t="s">
        <v>365</v>
      </c>
      <c r="E727" s="25">
        <f>25.1/100</f>
        <v>0.251</v>
      </c>
      <c r="H727" s="43"/>
      <c r="I727" s="43"/>
      <c r="J727" s="43"/>
      <c r="K727" s="43"/>
      <c r="L727" s="43"/>
      <c r="M727" s="43"/>
      <c r="N727" s="43"/>
      <c r="O727" s="43"/>
      <c r="P727" s="43"/>
      <c r="Q727" s="43"/>
      <c r="R727" s="9"/>
      <c r="S727" s="9"/>
    </row>
    <row r="728" spans="1:133" ht="62.4" x14ac:dyDescent="0.25">
      <c r="A728" s="17" t="s">
        <v>86</v>
      </c>
      <c r="B728" s="17" t="s">
        <v>87</v>
      </c>
      <c r="C728" s="35" t="s">
        <v>86</v>
      </c>
      <c r="D728" s="35" t="s">
        <v>215</v>
      </c>
      <c r="E728" s="25">
        <f>0.84/1000</f>
        <v>8.3999999999999993E-4</v>
      </c>
      <c r="H728" s="43"/>
      <c r="I728" s="43"/>
      <c r="J728" s="43"/>
      <c r="K728" s="43"/>
      <c r="L728" s="43"/>
      <c r="M728" s="43"/>
      <c r="N728" s="43"/>
      <c r="O728" s="43"/>
      <c r="P728" s="43"/>
      <c r="Q728" s="43"/>
      <c r="R728" s="9"/>
      <c r="S728" s="9"/>
    </row>
    <row r="729" spans="1:133" ht="124.8" x14ac:dyDescent="0.25">
      <c r="A729" s="17" t="s">
        <v>181</v>
      </c>
      <c r="B729" s="17" t="s">
        <v>88</v>
      </c>
      <c r="C729" s="35" t="s">
        <v>89</v>
      </c>
      <c r="D729" s="35" t="s">
        <v>360</v>
      </c>
      <c r="E729" s="25">
        <f>43.33/1000</f>
        <v>4.333E-2</v>
      </c>
      <c r="H729" s="43"/>
      <c r="I729" s="43"/>
      <c r="J729" s="43"/>
      <c r="K729" s="43"/>
      <c r="L729" s="43"/>
      <c r="M729" s="43"/>
      <c r="N729" s="43"/>
      <c r="O729" s="43"/>
      <c r="P729" s="43"/>
      <c r="Q729" s="43"/>
      <c r="R729" s="9"/>
      <c r="S729" s="9"/>
    </row>
    <row r="730" spans="1:133" ht="33.6" x14ac:dyDescent="0.25">
      <c r="A730" s="17" t="s">
        <v>182</v>
      </c>
      <c r="B730" s="17" t="s">
        <v>90</v>
      </c>
      <c r="C730" s="35" t="s">
        <v>91</v>
      </c>
      <c r="D730" s="35" t="s">
        <v>92</v>
      </c>
      <c r="E730" s="25">
        <v>74.099999999999994</v>
      </c>
      <c r="H730" s="43"/>
      <c r="I730" s="43"/>
      <c r="J730" s="43"/>
      <c r="K730" s="43"/>
      <c r="L730" s="43"/>
      <c r="M730" s="43"/>
      <c r="N730" s="43"/>
      <c r="O730" s="43"/>
      <c r="P730" s="43"/>
      <c r="Q730" s="43"/>
      <c r="R730" s="9"/>
      <c r="S730" s="9"/>
    </row>
    <row r="732" spans="1:133" x14ac:dyDescent="0.25">
      <c r="A732" s="33" t="s">
        <v>8</v>
      </c>
      <c r="B732" s="33" t="s">
        <v>9</v>
      </c>
      <c r="C732" s="34" t="s">
        <v>10</v>
      </c>
      <c r="D732" s="34" t="s">
        <v>340</v>
      </c>
      <c r="E732" s="16" t="s">
        <v>65</v>
      </c>
    </row>
    <row r="733" spans="1:133" ht="18" x14ac:dyDescent="0.25">
      <c r="A733" s="15" t="s">
        <v>183</v>
      </c>
      <c r="B733" s="17" t="s">
        <v>103</v>
      </c>
      <c r="C733" s="35" t="s">
        <v>184</v>
      </c>
      <c r="D733" s="53" t="s">
        <v>393</v>
      </c>
      <c r="E733" s="18">
        <f>ROUNDUP(E682+E706+E710+E714+E722,0)</f>
        <v>285</v>
      </c>
    </row>
    <row r="734" spans="1:133" s="208" customFormat="1" ht="38.4" customHeight="1" x14ac:dyDescent="0.25">
      <c r="A734" s="205" t="s">
        <v>233</v>
      </c>
      <c r="B734" s="206"/>
      <c r="C734" s="206"/>
      <c r="D734" s="206"/>
      <c r="E734" s="206"/>
      <c r="F734" s="206"/>
      <c r="G734" s="206"/>
      <c r="H734" s="206"/>
      <c r="I734" s="206"/>
      <c r="J734" s="206"/>
      <c r="K734" s="206"/>
      <c r="L734" s="206"/>
      <c r="M734" s="206"/>
      <c r="N734" s="206"/>
      <c r="O734" s="206"/>
      <c r="P734" s="206"/>
      <c r="Q734" s="206"/>
      <c r="R734" s="206"/>
      <c r="S734" s="206"/>
      <c r="T734" s="206"/>
      <c r="U734" s="206"/>
      <c r="V734" s="206"/>
      <c r="W734" s="206"/>
      <c r="X734" s="206"/>
      <c r="Y734" s="206"/>
      <c r="Z734" s="206"/>
      <c r="AA734" s="206"/>
      <c r="AB734" s="206"/>
      <c r="AC734" s="206"/>
      <c r="AD734" s="206"/>
      <c r="AE734" s="206"/>
      <c r="AF734" s="206"/>
      <c r="AG734" s="206"/>
      <c r="AH734" s="206"/>
      <c r="AI734" s="206"/>
      <c r="AJ734" s="206"/>
      <c r="AK734" s="206"/>
      <c r="AL734" s="206"/>
      <c r="AM734" s="206"/>
      <c r="AN734" s="206"/>
      <c r="AO734" s="206"/>
      <c r="AP734" s="206"/>
      <c r="AQ734" s="206"/>
      <c r="AR734" s="206"/>
      <c r="AS734" s="206"/>
      <c r="AT734" s="206"/>
      <c r="AU734" s="206"/>
      <c r="AV734" s="206"/>
      <c r="AW734" s="206"/>
      <c r="AX734" s="206"/>
      <c r="AY734" s="206"/>
      <c r="AZ734" s="206"/>
      <c r="BA734" s="206"/>
      <c r="BB734" s="206"/>
      <c r="BC734" s="206"/>
      <c r="BD734" s="206"/>
      <c r="BE734" s="206"/>
      <c r="BF734" s="206"/>
      <c r="BG734" s="206"/>
      <c r="BH734" s="206"/>
      <c r="BI734" s="206"/>
      <c r="BJ734" s="206"/>
      <c r="BK734" s="206"/>
      <c r="BL734" s="206"/>
      <c r="BM734" s="206"/>
      <c r="BN734" s="206"/>
      <c r="BO734" s="206"/>
      <c r="BP734" s="206"/>
      <c r="BQ734" s="206"/>
      <c r="BR734" s="206"/>
      <c r="BS734" s="206"/>
      <c r="BT734" s="206"/>
      <c r="BU734" s="206"/>
      <c r="BV734" s="206"/>
      <c r="BW734" s="206"/>
      <c r="BX734" s="206"/>
      <c r="BY734" s="206"/>
      <c r="BZ734" s="206"/>
      <c r="CA734" s="206"/>
      <c r="CB734" s="206"/>
      <c r="CC734" s="206"/>
      <c r="CD734" s="206"/>
      <c r="CE734" s="206"/>
      <c r="CF734" s="206"/>
      <c r="CG734" s="206"/>
      <c r="CH734" s="206"/>
      <c r="CI734" s="206"/>
      <c r="CJ734" s="206"/>
      <c r="CK734" s="206"/>
      <c r="CL734" s="206"/>
      <c r="CM734" s="206"/>
      <c r="CN734" s="206"/>
      <c r="CO734" s="206"/>
      <c r="CP734" s="206"/>
      <c r="CQ734" s="206"/>
      <c r="CR734" s="206"/>
      <c r="CS734" s="206"/>
      <c r="CT734" s="206"/>
      <c r="CU734" s="206"/>
      <c r="CV734" s="206"/>
      <c r="CW734" s="206"/>
      <c r="CX734" s="206"/>
      <c r="CY734" s="206"/>
      <c r="CZ734" s="206"/>
      <c r="DA734" s="206"/>
      <c r="DB734" s="206"/>
      <c r="DC734" s="206"/>
      <c r="DD734" s="206"/>
      <c r="DE734" s="206"/>
      <c r="DF734" s="206"/>
      <c r="DG734" s="206"/>
      <c r="DH734" s="206"/>
      <c r="DI734" s="206"/>
      <c r="DJ734" s="206"/>
      <c r="DK734" s="206"/>
      <c r="DL734" s="206"/>
      <c r="DM734" s="206"/>
      <c r="DN734" s="206"/>
      <c r="DO734" s="206"/>
      <c r="DP734" s="206"/>
      <c r="DQ734" s="206"/>
      <c r="DR734" s="206"/>
      <c r="DS734" s="206"/>
      <c r="DT734" s="206"/>
      <c r="DU734" s="206"/>
      <c r="DV734" s="206"/>
      <c r="DW734" s="206"/>
      <c r="DX734" s="206"/>
      <c r="DY734" s="206"/>
      <c r="DZ734" s="206"/>
      <c r="EA734" s="206"/>
      <c r="EB734" s="206"/>
      <c r="EC734" s="207"/>
    </row>
    <row r="735" spans="1:133" s="200" customFormat="1" ht="43.2" customHeight="1" x14ac:dyDescent="0.25">
      <c r="A735" s="197" t="s">
        <v>234</v>
      </c>
      <c r="B735" s="198"/>
      <c r="C735" s="198"/>
      <c r="D735" s="198"/>
      <c r="E735" s="198"/>
      <c r="F735" s="198"/>
      <c r="G735" s="198"/>
      <c r="H735" s="198"/>
      <c r="I735" s="198"/>
      <c r="J735" s="198"/>
      <c r="K735" s="198"/>
      <c r="L735" s="198"/>
      <c r="M735" s="198"/>
      <c r="N735" s="198"/>
      <c r="O735" s="198"/>
      <c r="P735" s="198"/>
      <c r="Q735" s="198"/>
      <c r="R735" s="198"/>
      <c r="S735" s="198"/>
      <c r="T735" s="198"/>
      <c r="U735" s="198"/>
      <c r="V735" s="198"/>
      <c r="W735" s="198"/>
      <c r="X735" s="198"/>
      <c r="Y735" s="198"/>
      <c r="Z735" s="198"/>
      <c r="AA735" s="198"/>
      <c r="AB735" s="198"/>
      <c r="AC735" s="198"/>
      <c r="AD735" s="198"/>
      <c r="AE735" s="198"/>
      <c r="AF735" s="198"/>
      <c r="AG735" s="198"/>
      <c r="AH735" s="198"/>
      <c r="AI735" s="198"/>
      <c r="AJ735" s="198"/>
      <c r="AK735" s="198"/>
      <c r="AL735" s="198"/>
      <c r="AM735" s="198"/>
      <c r="AN735" s="198"/>
      <c r="AO735" s="198"/>
      <c r="AP735" s="198"/>
      <c r="AQ735" s="198"/>
      <c r="AR735" s="198"/>
      <c r="AS735" s="198"/>
      <c r="AT735" s="198"/>
      <c r="AU735" s="198"/>
      <c r="AV735" s="198"/>
      <c r="AW735" s="198"/>
      <c r="AX735" s="198"/>
      <c r="AY735" s="198"/>
      <c r="AZ735" s="198"/>
      <c r="BA735" s="198"/>
      <c r="BB735" s="198"/>
      <c r="BC735" s="198"/>
      <c r="BD735" s="198"/>
      <c r="BE735" s="198"/>
      <c r="BF735" s="198"/>
      <c r="BG735" s="198"/>
      <c r="BH735" s="198"/>
      <c r="BI735" s="198"/>
      <c r="BJ735" s="198"/>
      <c r="BK735" s="198"/>
      <c r="BL735" s="198"/>
      <c r="BM735" s="198"/>
      <c r="BN735" s="198"/>
      <c r="BO735" s="198"/>
      <c r="BP735" s="198"/>
      <c r="BQ735" s="198"/>
      <c r="BR735" s="198"/>
      <c r="BS735" s="198"/>
      <c r="BT735" s="198"/>
      <c r="BU735" s="198"/>
      <c r="BV735" s="198"/>
      <c r="BW735" s="198"/>
      <c r="BX735" s="198"/>
      <c r="BY735" s="198"/>
      <c r="BZ735" s="198"/>
      <c r="CA735" s="198"/>
      <c r="CB735" s="198"/>
      <c r="CC735" s="198"/>
      <c r="CD735" s="198"/>
      <c r="CE735" s="198"/>
      <c r="CF735" s="198"/>
      <c r="CG735" s="198"/>
      <c r="CH735" s="198"/>
      <c r="CI735" s="198"/>
      <c r="CJ735" s="198"/>
      <c r="CK735" s="198"/>
      <c r="CL735" s="198"/>
      <c r="CM735" s="198"/>
      <c r="CN735" s="198"/>
      <c r="CO735" s="198"/>
      <c r="CP735" s="198"/>
      <c r="CQ735" s="198"/>
      <c r="CR735" s="198"/>
      <c r="CS735" s="198"/>
      <c r="CT735" s="198"/>
      <c r="CU735" s="198"/>
      <c r="CV735" s="198"/>
      <c r="CW735" s="198"/>
      <c r="CX735" s="198"/>
      <c r="CY735" s="198"/>
      <c r="CZ735" s="198"/>
      <c r="DA735" s="198"/>
      <c r="DB735" s="198"/>
      <c r="DC735" s="198"/>
      <c r="DD735" s="198"/>
      <c r="DE735" s="198"/>
      <c r="DF735" s="198"/>
      <c r="DG735" s="198"/>
      <c r="DH735" s="198"/>
      <c r="DI735" s="198"/>
      <c r="DJ735" s="198"/>
      <c r="DK735" s="198"/>
      <c r="DL735" s="198"/>
      <c r="DM735" s="198"/>
      <c r="DN735" s="198"/>
      <c r="DO735" s="198"/>
      <c r="DP735" s="198"/>
      <c r="DQ735" s="198"/>
      <c r="DR735" s="198"/>
      <c r="DS735" s="198"/>
      <c r="DT735" s="198"/>
      <c r="DU735" s="198"/>
      <c r="DV735" s="198"/>
      <c r="DW735" s="198"/>
      <c r="DX735" s="198"/>
      <c r="DY735" s="198"/>
      <c r="DZ735" s="198"/>
      <c r="EA735" s="198"/>
      <c r="EB735" s="198"/>
      <c r="EC735" s="199"/>
    </row>
    <row r="736" spans="1:133" ht="23.4" customHeight="1" x14ac:dyDescent="0.25">
      <c r="A736" s="201" t="s">
        <v>105</v>
      </c>
      <c r="B736" s="201"/>
      <c r="C736" s="201"/>
      <c r="D736" s="201"/>
      <c r="E736" s="201"/>
      <c r="F736" s="201"/>
      <c r="G736" s="201"/>
      <c r="H736" s="201"/>
      <c r="I736" s="201"/>
      <c r="J736" s="201"/>
      <c r="K736" s="201"/>
      <c r="L736" s="201"/>
      <c r="M736" s="201"/>
      <c r="N736" s="201"/>
      <c r="O736" s="201"/>
      <c r="P736" s="201"/>
      <c r="Q736" s="202"/>
    </row>
    <row r="737" spans="1:19" s="10" customFormat="1" ht="31.2" x14ac:dyDescent="0.25">
      <c r="A737" s="15" t="s">
        <v>8</v>
      </c>
      <c r="B737" s="15" t="s">
        <v>9</v>
      </c>
      <c r="C737" s="15" t="s">
        <v>10</v>
      </c>
      <c r="D737" s="15" t="s">
        <v>340</v>
      </c>
      <c r="E737" s="16" t="s">
        <v>11</v>
      </c>
      <c r="F737" s="16" t="s">
        <v>322</v>
      </c>
      <c r="G737" s="16" t="s">
        <v>323</v>
      </c>
      <c r="H737" s="16" t="s">
        <v>324</v>
      </c>
      <c r="I737" s="16" t="s">
        <v>325</v>
      </c>
      <c r="J737" s="16" t="s">
        <v>326</v>
      </c>
      <c r="K737" s="16" t="s">
        <v>329</v>
      </c>
      <c r="L737" s="16" t="s">
        <v>292</v>
      </c>
      <c r="M737" s="16" t="s">
        <v>292</v>
      </c>
      <c r="N737" s="16" t="s">
        <v>292</v>
      </c>
      <c r="O737" s="16" t="s">
        <v>292</v>
      </c>
      <c r="P737" s="16" t="s">
        <v>292</v>
      </c>
      <c r="Q737" s="16" t="s">
        <v>292</v>
      </c>
      <c r="R737" s="54"/>
      <c r="S737" s="54"/>
    </row>
    <row r="738" spans="1:19" s="10" customFormat="1" x14ac:dyDescent="0.25">
      <c r="A738" s="203" t="s">
        <v>106</v>
      </c>
      <c r="B738" s="203"/>
      <c r="C738" s="203"/>
      <c r="D738" s="203"/>
      <c r="E738" s="204"/>
      <c r="F738" s="16">
        <v>31</v>
      </c>
      <c r="G738" s="16">
        <v>28</v>
      </c>
      <c r="H738" s="16">
        <v>31</v>
      </c>
      <c r="I738" s="16">
        <v>30</v>
      </c>
      <c r="J738" s="16">
        <v>31</v>
      </c>
      <c r="K738" s="16">
        <v>30</v>
      </c>
      <c r="L738" s="16" t="s">
        <v>292</v>
      </c>
      <c r="M738" s="16" t="s">
        <v>292</v>
      </c>
      <c r="N738" s="16" t="s">
        <v>292</v>
      </c>
      <c r="O738" s="16" t="s">
        <v>292</v>
      </c>
      <c r="P738" s="16" t="s">
        <v>292</v>
      </c>
      <c r="Q738" s="16" t="s">
        <v>292</v>
      </c>
      <c r="R738" s="54"/>
      <c r="S738" s="54"/>
    </row>
    <row r="739" spans="1:19" s="10" customFormat="1" ht="31.2" x14ac:dyDescent="0.25">
      <c r="A739" s="15" t="s">
        <v>107</v>
      </c>
      <c r="B739" s="17" t="s">
        <v>103</v>
      </c>
      <c r="C739" s="17" t="s">
        <v>108</v>
      </c>
      <c r="D739" s="17" t="s">
        <v>381</v>
      </c>
      <c r="E739" s="18">
        <f>E740+E750</f>
        <v>0</v>
      </c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54"/>
      <c r="S739" s="54"/>
    </row>
    <row r="740" spans="1:19" ht="46.8" x14ac:dyDescent="0.25">
      <c r="A740" s="17" t="s">
        <v>109</v>
      </c>
      <c r="B740" s="17" t="s">
        <v>103</v>
      </c>
      <c r="C740" s="17" t="s">
        <v>110</v>
      </c>
      <c r="D740" s="17" t="s">
        <v>382</v>
      </c>
      <c r="E740" s="19">
        <f>SUM(F740:K740)</f>
        <v>0</v>
      </c>
      <c r="F740" s="19">
        <f>IF(F741&gt;=0.8,0,$E$748*$E$749*0.4*(F742-F745)*F738)</f>
        <v>0</v>
      </c>
      <c r="G740" s="19">
        <f t="shared" ref="G740:K740" si="91">IF(G741&gt;=0.8,0,$E$748*$E$749*0.4*(G742-G745)*G738)</f>
        <v>0</v>
      </c>
      <c r="H740" s="19">
        <f t="shared" si="91"/>
        <v>0</v>
      </c>
      <c r="I740" s="19">
        <f t="shared" si="91"/>
        <v>0</v>
      </c>
      <c r="J740" s="19">
        <f t="shared" si="91"/>
        <v>0</v>
      </c>
      <c r="K740" s="19">
        <f t="shared" si="91"/>
        <v>0</v>
      </c>
      <c r="L740" s="19" t="s">
        <v>297</v>
      </c>
      <c r="M740" s="19" t="s">
        <v>297</v>
      </c>
      <c r="N740" s="19" t="s">
        <v>297</v>
      </c>
      <c r="O740" s="19" t="s">
        <v>297</v>
      </c>
      <c r="P740" s="19" t="s">
        <v>297</v>
      </c>
      <c r="Q740" s="19" t="s">
        <v>297</v>
      </c>
    </row>
    <row r="741" spans="1:19" ht="62.4" x14ac:dyDescent="0.25">
      <c r="A741" s="17" t="s">
        <v>111</v>
      </c>
      <c r="B741" s="17" t="s">
        <v>37</v>
      </c>
      <c r="C741" s="17" t="s">
        <v>112</v>
      </c>
      <c r="D741" s="17" t="s">
        <v>383</v>
      </c>
      <c r="E741" s="20">
        <f>AVERAGE(F741:K741)</f>
        <v>0.96021838765412904</v>
      </c>
      <c r="F741" s="20">
        <f>(F742-F745)/F742</f>
        <v>0.96028162469477196</v>
      </c>
      <c r="G741" s="20">
        <f t="shared" ref="G741:K741" si="92">(G742-G745)/G742</f>
        <v>0.96136348838523589</v>
      </c>
      <c r="H741" s="20">
        <f t="shared" si="92"/>
        <v>0.96132461625698151</v>
      </c>
      <c r="I741" s="20">
        <f t="shared" si="92"/>
        <v>0.96043107347622259</v>
      </c>
      <c r="J741" s="20">
        <f t="shared" si="92"/>
        <v>0.96117698071186897</v>
      </c>
      <c r="K741" s="20">
        <f t="shared" si="92"/>
        <v>0.95673254239969341</v>
      </c>
      <c r="L741" s="20" t="s">
        <v>297</v>
      </c>
      <c r="M741" s="20" t="s">
        <v>297</v>
      </c>
      <c r="N741" s="20" t="s">
        <v>297</v>
      </c>
      <c r="O741" s="20" t="s">
        <v>297</v>
      </c>
      <c r="P741" s="20" t="s">
        <v>297</v>
      </c>
      <c r="Q741" s="20" t="s">
        <v>297</v>
      </c>
    </row>
    <row r="742" spans="1:19" ht="46.8" x14ac:dyDescent="0.25">
      <c r="A742" s="17" t="s">
        <v>113</v>
      </c>
      <c r="B742" s="17" t="s">
        <v>24</v>
      </c>
      <c r="C742" s="17" t="s">
        <v>114</v>
      </c>
      <c r="D742" s="17" t="s">
        <v>384</v>
      </c>
      <c r="E742" s="20">
        <f>SUM(F742:K742)</f>
        <v>58.873401493195587</v>
      </c>
      <c r="F742" s="20">
        <f>F743*F744</f>
        <v>9.7561712345794476</v>
      </c>
      <c r="G742" s="20">
        <f t="shared" ref="G742:K742" si="93">G743*G744</f>
        <v>9.7599709847725347</v>
      </c>
      <c r="H742" s="20">
        <f t="shared" si="93"/>
        <v>9.7551247819126203</v>
      </c>
      <c r="I742" s="20">
        <f t="shared" si="93"/>
        <v>9.751205391692185</v>
      </c>
      <c r="J742" s="20">
        <f t="shared" si="93"/>
        <v>10.26439552279081</v>
      </c>
      <c r="K742" s="20">
        <f t="shared" si="93"/>
        <v>9.5865335774479981</v>
      </c>
      <c r="L742" s="20" t="s">
        <v>297</v>
      </c>
      <c r="M742" s="20" t="s">
        <v>297</v>
      </c>
      <c r="N742" s="20" t="s">
        <v>297</v>
      </c>
      <c r="O742" s="20" t="s">
        <v>297</v>
      </c>
      <c r="P742" s="20" t="s">
        <v>297</v>
      </c>
      <c r="Q742" s="20" t="s">
        <v>297</v>
      </c>
    </row>
    <row r="743" spans="1:19" ht="69" customHeight="1" x14ac:dyDescent="0.25">
      <c r="A743" s="17" t="s">
        <v>115</v>
      </c>
      <c r="B743" s="17" t="s">
        <v>116</v>
      </c>
      <c r="C743" s="17" t="s">
        <v>117</v>
      </c>
      <c r="D743" s="17" t="s">
        <v>336</v>
      </c>
      <c r="E743" s="129">
        <f>SUM(F743:K743)</f>
        <v>116596.99052980031</v>
      </c>
      <c r="F743" s="129">
        <f>'Baseline Emissions 2022'!F719</f>
        <v>18929.566258064515</v>
      </c>
      <c r="G743" s="129">
        <f>'Baseline Emissions 2022'!G719</f>
        <v>18932.799785714287</v>
      </c>
      <c r="H743" s="129">
        <f>'Baseline Emissions 2022'!H719</f>
        <v>18929.253774193552</v>
      </c>
      <c r="I743" s="129">
        <f>'Baseline Emissions 2022'!I719</f>
        <v>18923.03986666667</v>
      </c>
      <c r="J743" s="129">
        <f>'Baseline Emissions 2022'!J719</f>
        <v>19909.363645161284</v>
      </c>
      <c r="K743" s="129">
        <f>'Baseline Emissions 2022'!K719</f>
        <v>20972.967199999999</v>
      </c>
      <c r="L743" s="21" t="s">
        <v>297</v>
      </c>
      <c r="M743" s="21" t="s">
        <v>297</v>
      </c>
      <c r="N743" s="21" t="s">
        <v>297</v>
      </c>
      <c r="O743" s="21" t="s">
        <v>297</v>
      </c>
      <c r="P743" s="21" t="s">
        <v>297</v>
      </c>
      <c r="Q743" s="21" t="s">
        <v>297</v>
      </c>
    </row>
    <row r="744" spans="1:19" ht="46.8" x14ac:dyDescent="0.25">
      <c r="A744" s="17" t="s">
        <v>118</v>
      </c>
      <c r="B744" s="17" t="s">
        <v>119</v>
      </c>
      <c r="C744" s="17" t="s">
        <v>120</v>
      </c>
      <c r="D744" s="35" t="s">
        <v>338</v>
      </c>
      <c r="E744" s="120">
        <f>AVERAGE(F744:K744)</f>
        <v>5.0570008853899979E-4</v>
      </c>
      <c r="F744" s="130">
        <f>'Baseline Emissions 2022'!F723</f>
        <v>5.1539327956989247E-4</v>
      </c>
      <c r="G744" s="130">
        <f>'Baseline Emissions 2022'!G723</f>
        <v>5.155059523809524E-4</v>
      </c>
      <c r="H744" s="130">
        <f>'Baseline Emissions 2022'!H723</f>
        <v>5.1534650537634415E-4</v>
      </c>
      <c r="I744" s="130">
        <f>'Baseline Emissions 2022'!I723</f>
        <v>5.1530861111111106E-4</v>
      </c>
      <c r="J744" s="130">
        <f>'Baseline Emissions 2022'!J723</f>
        <v>5.1555618279569874E-4</v>
      </c>
      <c r="K744" s="130">
        <f>'Baseline Emissions 2022'!K723</f>
        <v>4.5708999999999995E-4</v>
      </c>
      <c r="L744" s="23" t="s">
        <v>297</v>
      </c>
      <c r="M744" s="23" t="s">
        <v>297</v>
      </c>
      <c r="N744" s="23" t="s">
        <v>297</v>
      </c>
      <c r="O744" s="23" t="s">
        <v>297</v>
      </c>
      <c r="P744" s="23" t="s">
        <v>297</v>
      </c>
      <c r="Q744" s="23" t="s">
        <v>297</v>
      </c>
    </row>
    <row r="745" spans="1:19" ht="46.8" x14ac:dyDescent="0.25">
      <c r="A745" s="17" t="s">
        <v>121</v>
      </c>
      <c r="B745" s="17" t="s">
        <v>24</v>
      </c>
      <c r="C745" s="17" t="s">
        <v>122</v>
      </c>
      <c r="D745" s="17" t="s">
        <v>384</v>
      </c>
      <c r="E745" s="20">
        <f>SUM(F745:K745)</f>
        <v>2.3409981874721129</v>
      </c>
      <c r="F745" s="20">
        <f>SUM(F746*F747)</f>
        <v>0.38749927063709683</v>
      </c>
      <c r="G745" s="20">
        <f t="shared" ref="G745:K745" si="94">SUM(G746*G747)</f>
        <v>0.37709123231292513</v>
      </c>
      <c r="H745" s="20">
        <f t="shared" si="94"/>
        <v>0.37728319440150021</v>
      </c>
      <c r="I745" s="20">
        <f t="shared" si="94"/>
        <v>0.38584472966212952</v>
      </c>
      <c r="J745" s="20">
        <f t="shared" si="94"/>
        <v>0.39849482536231329</v>
      </c>
      <c r="K745" s="20">
        <f t="shared" si="94"/>
        <v>0.41478493509614806</v>
      </c>
      <c r="L745" s="20" t="s">
        <v>297</v>
      </c>
      <c r="M745" s="20" t="s">
        <v>297</v>
      </c>
      <c r="N745" s="20" t="s">
        <v>297</v>
      </c>
      <c r="O745" s="20" t="s">
        <v>297</v>
      </c>
      <c r="P745" s="20" t="s">
        <v>297</v>
      </c>
      <c r="Q745" s="20" t="s">
        <v>297</v>
      </c>
    </row>
    <row r="746" spans="1:19" ht="62.4" x14ac:dyDescent="0.25">
      <c r="A746" s="17" t="s">
        <v>123</v>
      </c>
      <c r="B746" s="17" t="s">
        <v>116</v>
      </c>
      <c r="C746" s="17" t="s">
        <v>124</v>
      </c>
      <c r="D746" s="17" t="s">
        <v>337</v>
      </c>
      <c r="E746" s="129">
        <f>SUM(F746:K746)</f>
        <v>115015.6568218894</v>
      </c>
      <c r="F746" s="129">
        <v>18674.66364516129</v>
      </c>
      <c r="G746" s="129">
        <v>18676.688392857141</v>
      </c>
      <c r="H746" s="129">
        <v>18677.634419354839</v>
      </c>
      <c r="I746" s="129">
        <v>18670.408166666664</v>
      </c>
      <c r="J746" s="129">
        <v>19663.35606451612</v>
      </c>
      <c r="K746" s="129">
        <v>20652.90613333333</v>
      </c>
      <c r="L746" s="21" t="s">
        <v>297</v>
      </c>
      <c r="M746" s="21" t="s">
        <v>297</v>
      </c>
      <c r="N746" s="21" t="s">
        <v>297</v>
      </c>
      <c r="O746" s="21" t="s">
        <v>297</v>
      </c>
      <c r="P746" s="21" t="s">
        <v>297</v>
      </c>
      <c r="Q746" s="21" t="s">
        <v>297</v>
      </c>
    </row>
    <row r="747" spans="1:19" ht="46.8" x14ac:dyDescent="0.25">
      <c r="A747" s="17" t="s">
        <v>125</v>
      </c>
      <c r="B747" s="17" t="s">
        <v>119</v>
      </c>
      <c r="C747" s="17" t="s">
        <v>126</v>
      </c>
      <c r="D747" s="35" t="s">
        <v>339</v>
      </c>
      <c r="E747" s="131">
        <f>AVERAGE(F747:K747)</f>
        <v>2.0359298301757979E-5</v>
      </c>
      <c r="F747" s="131">
        <f>'Baseline Emissions 2022'!F724</f>
        <v>2.0750000000000003E-5</v>
      </c>
      <c r="G747" s="131">
        <f>'Baseline Emissions 2022'!G724</f>
        <v>2.0190476190476192E-5</v>
      </c>
      <c r="H747" s="131">
        <f>'Baseline Emissions 2022'!H724</f>
        <v>2.0199731182795701E-5</v>
      </c>
      <c r="I747" s="131">
        <f>'Baseline Emissions 2022'!I724</f>
        <v>2.0666111111111107E-5</v>
      </c>
      <c r="J747" s="131">
        <f>'Baseline Emissions 2022'!J724</f>
        <v>2.026586021505376E-5</v>
      </c>
      <c r="K747" s="131">
        <f>'Baseline Emissions 2022'!K724</f>
        <v>2.0083611111111111E-5</v>
      </c>
      <c r="L747" s="24" t="s">
        <v>297</v>
      </c>
      <c r="M747" s="24" t="s">
        <v>297</v>
      </c>
      <c r="N747" s="24" t="s">
        <v>297</v>
      </c>
      <c r="O747" s="24" t="s">
        <v>297</v>
      </c>
      <c r="P747" s="24" t="s">
        <v>297</v>
      </c>
      <c r="Q747" s="24" t="s">
        <v>297</v>
      </c>
    </row>
    <row r="748" spans="1:19" ht="31.2" x14ac:dyDescent="0.25">
      <c r="A748" s="17" t="s">
        <v>127</v>
      </c>
      <c r="B748" s="17" t="s">
        <v>128</v>
      </c>
      <c r="C748" s="17" t="s">
        <v>17</v>
      </c>
      <c r="D748" s="17" t="s">
        <v>129</v>
      </c>
      <c r="E748" s="176">
        <v>28</v>
      </c>
      <c r="F748" s="176"/>
      <c r="G748" s="176"/>
      <c r="H748" s="176"/>
      <c r="I748" s="176"/>
      <c r="J748" s="176"/>
      <c r="K748" s="176"/>
      <c r="L748" s="176"/>
      <c r="M748" s="176"/>
      <c r="N748" s="176"/>
      <c r="O748" s="176"/>
      <c r="P748" s="176"/>
      <c r="Q748" s="176"/>
    </row>
    <row r="749" spans="1:19" ht="64.8" x14ac:dyDescent="0.25">
      <c r="A749" s="17" t="s">
        <v>130</v>
      </c>
      <c r="B749" s="17" t="s">
        <v>19</v>
      </c>
      <c r="C749" s="17" t="s">
        <v>131</v>
      </c>
      <c r="D749" s="17" t="s">
        <v>394</v>
      </c>
      <c r="E749" s="176">
        <v>0.21</v>
      </c>
      <c r="F749" s="176"/>
      <c r="G749" s="176"/>
      <c r="H749" s="176"/>
      <c r="I749" s="176"/>
      <c r="J749" s="176"/>
      <c r="K749" s="176"/>
      <c r="L749" s="176"/>
      <c r="M749" s="176"/>
      <c r="N749" s="176"/>
      <c r="O749" s="176"/>
      <c r="P749" s="176"/>
      <c r="Q749" s="176"/>
    </row>
    <row r="750" spans="1:19" ht="46.8" x14ac:dyDescent="0.25">
      <c r="A750" s="17" t="s">
        <v>132</v>
      </c>
      <c r="B750" s="17" t="s">
        <v>103</v>
      </c>
      <c r="C750" s="17" t="s">
        <v>133</v>
      </c>
      <c r="D750" s="17" t="s">
        <v>385</v>
      </c>
      <c r="E750" s="19">
        <f>SUM(F750:K750)</f>
        <v>0</v>
      </c>
      <c r="F750" s="19">
        <f>$E$748*$E$749*F751*F745*F738</f>
        <v>0</v>
      </c>
      <c r="G750" s="19">
        <f t="shared" ref="G750:K750" si="95">$E$748*$E$749*G751*G745*G738</f>
        <v>0</v>
      </c>
      <c r="H750" s="19">
        <f t="shared" si="95"/>
        <v>0</v>
      </c>
      <c r="I750" s="19">
        <f t="shared" si="95"/>
        <v>0</v>
      </c>
      <c r="J750" s="19">
        <f t="shared" si="95"/>
        <v>0</v>
      </c>
      <c r="K750" s="19">
        <f t="shared" si="95"/>
        <v>0</v>
      </c>
      <c r="L750" s="19" t="s">
        <v>297</v>
      </c>
      <c r="M750" s="19" t="s">
        <v>297</v>
      </c>
      <c r="N750" s="19" t="s">
        <v>297</v>
      </c>
      <c r="O750" s="19" t="s">
        <v>297</v>
      </c>
      <c r="P750" s="19" t="s">
        <v>297</v>
      </c>
      <c r="Q750" s="19" t="s">
        <v>297</v>
      </c>
    </row>
    <row r="751" spans="1:19" ht="18" x14ac:dyDescent="0.25">
      <c r="A751" s="17" t="s">
        <v>134</v>
      </c>
      <c r="B751" s="17" t="s">
        <v>37</v>
      </c>
      <c r="C751" s="17" t="s">
        <v>135</v>
      </c>
      <c r="D751" s="17" t="s">
        <v>386</v>
      </c>
      <c r="E751" s="26">
        <f>AVERAGE(F751:K751)</f>
        <v>0</v>
      </c>
      <c r="F751" s="26">
        <f>F752*$E$753*0.89</f>
        <v>0</v>
      </c>
      <c r="G751" s="26">
        <f t="shared" ref="G751:K751" si="96">G752*$E$753*0.89</f>
        <v>0</v>
      </c>
      <c r="H751" s="26">
        <f t="shared" si="96"/>
        <v>0</v>
      </c>
      <c r="I751" s="26">
        <f t="shared" si="96"/>
        <v>0</v>
      </c>
      <c r="J751" s="26">
        <f t="shared" si="96"/>
        <v>0</v>
      </c>
      <c r="K751" s="26">
        <f t="shared" si="96"/>
        <v>0</v>
      </c>
      <c r="L751" s="26" t="s">
        <v>297</v>
      </c>
      <c r="M751" s="26" t="s">
        <v>297</v>
      </c>
      <c r="N751" s="26" t="s">
        <v>297</v>
      </c>
      <c r="O751" s="26" t="s">
        <v>297</v>
      </c>
      <c r="P751" s="26" t="s">
        <v>297</v>
      </c>
      <c r="Q751" s="26" t="s">
        <v>297</v>
      </c>
    </row>
    <row r="752" spans="1:19" ht="31.2" x14ac:dyDescent="0.25">
      <c r="A752" s="17" t="s">
        <v>136</v>
      </c>
      <c r="B752" s="17" t="s">
        <v>37</v>
      </c>
      <c r="C752" s="17" t="s">
        <v>46</v>
      </c>
      <c r="D752" s="17" t="s">
        <v>387</v>
      </c>
      <c r="E752" s="25">
        <v>0</v>
      </c>
      <c r="F752" s="25">
        <v>0</v>
      </c>
      <c r="G752" s="25">
        <v>0</v>
      </c>
      <c r="H752" s="25">
        <v>0</v>
      </c>
      <c r="I752" s="25">
        <v>0</v>
      </c>
      <c r="J752" s="25">
        <v>0</v>
      </c>
      <c r="K752" s="25">
        <v>0</v>
      </c>
      <c r="L752" s="25" t="s">
        <v>297</v>
      </c>
      <c r="M752" s="25" t="s">
        <v>297</v>
      </c>
      <c r="N752" s="25" t="s">
        <v>297</v>
      </c>
      <c r="O752" s="25" t="s">
        <v>297</v>
      </c>
      <c r="P752" s="25" t="s">
        <v>297</v>
      </c>
      <c r="Q752" s="25" t="s">
        <v>297</v>
      </c>
    </row>
    <row r="753" spans="1:17" ht="31.2" x14ac:dyDescent="0.25">
      <c r="A753" s="17" t="s">
        <v>137</v>
      </c>
      <c r="B753" s="17" t="s">
        <v>201</v>
      </c>
      <c r="C753" s="17" t="s">
        <v>138</v>
      </c>
      <c r="D753" s="17" t="s">
        <v>388</v>
      </c>
      <c r="E753" s="196">
        <f>(F754*F759+G754*G759+H754*H759+I754*I759+J754*J759+K754*K759)/(F746*F747*F738+G747*G746*G738+H746*H747*H738+I747*I746*I738+J747*J746*J738+K747*K746*K738)</f>
        <v>0.52273095302475836</v>
      </c>
      <c r="F753" s="196"/>
      <c r="G753" s="196"/>
      <c r="H753" s="196"/>
      <c r="I753" s="196"/>
      <c r="J753" s="196"/>
      <c r="K753" s="196"/>
      <c r="L753" s="196"/>
      <c r="M753" s="196"/>
      <c r="N753" s="196"/>
      <c r="O753" s="196"/>
      <c r="P753" s="196"/>
      <c r="Q753" s="196"/>
    </row>
    <row r="754" spans="1:17" ht="31.2" x14ac:dyDescent="0.25">
      <c r="A754" s="17" t="s">
        <v>139</v>
      </c>
      <c r="B754" s="17" t="s">
        <v>37</v>
      </c>
      <c r="C754" s="17" t="s">
        <v>140</v>
      </c>
      <c r="D754" s="17" t="s">
        <v>375</v>
      </c>
      <c r="E754" s="27">
        <f>AVERAGE(F754:K754)</f>
        <v>0.51463670965197228</v>
      </c>
      <c r="F754" s="27">
        <f>IF(F758&lt;283,0,IF(F758&gt;303,1,EXP(($E$755*(F758-$E$756))/($E$757*$E$756*F758))))</f>
        <v>0.30881657019391506</v>
      </c>
      <c r="G754" s="27">
        <f t="shared" ref="G754:K754" si="97">IF(G758&lt;283,0,IF(G758&gt;303,1,EXP(($E$755*(G758-$E$756))/($E$757*$E$756*G758))))</f>
        <v>0.25708890533410012</v>
      </c>
      <c r="H754" s="27">
        <f t="shared" si="97"/>
        <v>0.46225423409862509</v>
      </c>
      <c r="I754" s="27">
        <f t="shared" si="97"/>
        <v>0.55084569341606926</v>
      </c>
      <c r="J754" s="27">
        <f t="shared" si="97"/>
        <v>0.62729263560178183</v>
      </c>
      <c r="K754" s="27">
        <f t="shared" si="97"/>
        <v>0.88152221926734242</v>
      </c>
      <c r="L754" s="27" t="s">
        <v>297</v>
      </c>
      <c r="M754" s="27" t="s">
        <v>297</v>
      </c>
      <c r="N754" s="27" t="s">
        <v>297</v>
      </c>
      <c r="O754" s="27" t="s">
        <v>297</v>
      </c>
      <c r="P754" s="27" t="s">
        <v>297</v>
      </c>
      <c r="Q754" s="27" t="s">
        <v>297</v>
      </c>
    </row>
    <row r="755" spans="1:17" x14ac:dyDescent="0.25">
      <c r="A755" s="17" t="s">
        <v>51</v>
      </c>
      <c r="B755" s="17" t="s">
        <v>52</v>
      </c>
      <c r="C755" s="17" t="s">
        <v>53</v>
      </c>
      <c r="D755" s="17" t="s">
        <v>389</v>
      </c>
      <c r="E755" s="176">
        <v>15175</v>
      </c>
      <c r="F755" s="176"/>
      <c r="G755" s="176"/>
      <c r="H755" s="176"/>
      <c r="I755" s="176"/>
      <c r="J755" s="176"/>
      <c r="K755" s="176"/>
      <c r="L755" s="176"/>
      <c r="M755" s="176"/>
      <c r="N755" s="176"/>
      <c r="O755" s="176"/>
      <c r="P755" s="176"/>
      <c r="Q755" s="176"/>
    </row>
    <row r="756" spans="1:17" ht="18" x14ac:dyDescent="0.25">
      <c r="A756" s="17" t="s">
        <v>141</v>
      </c>
      <c r="B756" s="17" t="s">
        <v>55</v>
      </c>
      <c r="C756" s="17" t="s">
        <v>56</v>
      </c>
      <c r="D756" s="17" t="s">
        <v>389</v>
      </c>
      <c r="E756" s="176">
        <v>303.16000000000003</v>
      </c>
      <c r="F756" s="176"/>
      <c r="G756" s="176"/>
      <c r="H756" s="176"/>
      <c r="I756" s="176"/>
      <c r="J756" s="176"/>
      <c r="K756" s="176"/>
      <c r="L756" s="176"/>
      <c r="M756" s="176"/>
      <c r="N756" s="176"/>
      <c r="O756" s="176"/>
      <c r="P756" s="176"/>
      <c r="Q756" s="176"/>
    </row>
    <row r="757" spans="1:17" x14ac:dyDescent="0.25">
      <c r="A757" s="17" t="s">
        <v>57</v>
      </c>
      <c r="B757" s="17" t="s">
        <v>58</v>
      </c>
      <c r="C757" s="17" t="s">
        <v>59</v>
      </c>
      <c r="D757" s="17" t="s">
        <v>389</v>
      </c>
      <c r="E757" s="176">
        <v>1.9870000000000001</v>
      </c>
      <c r="F757" s="176"/>
      <c r="G757" s="176"/>
      <c r="H757" s="176"/>
      <c r="I757" s="176"/>
      <c r="J757" s="176"/>
      <c r="K757" s="176"/>
      <c r="L757" s="176"/>
      <c r="M757" s="176"/>
      <c r="N757" s="176"/>
      <c r="O757" s="176"/>
      <c r="P757" s="176"/>
      <c r="Q757" s="176"/>
    </row>
    <row r="758" spans="1:17" ht="18" x14ac:dyDescent="0.25">
      <c r="A758" s="17" t="s">
        <v>142</v>
      </c>
      <c r="B758" s="17" t="s">
        <v>55</v>
      </c>
      <c r="C758" s="17" t="s">
        <v>143</v>
      </c>
      <c r="D758" s="144" t="s">
        <v>363</v>
      </c>
      <c r="E758" s="28">
        <f>AVERAGE(F758:K758)</f>
        <v>294.48333333333335</v>
      </c>
      <c r="F758" s="25">
        <v>289.64999999999998</v>
      </c>
      <c r="G758" s="25">
        <v>287.64999999999998</v>
      </c>
      <c r="H758" s="25">
        <v>294.14999999999998</v>
      </c>
      <c r="I758" s="25">
        <v>296.14999999999998</v>
      </c>
      <c r="J758" s="25">
        <v>297.64999999999998</v>
      </c>
      <c r="K758" s="25">
        <v>301.64999999999998</v>
      </c>
      <c r="L758" s="25" t="s">
        <v>297</v>
      </c>
      <c r="M758" s="25" t="s">
        <v>297</v>
      </c>
      <c r="N758" s="25" t="s">
        <v>297</v>
      </c>
      <c r="O758" s="25" t="s">
        <v>297</v>
      </c>
      <c r="P758" s="25" t="s">
        <v>297</v>
      </c>
      <c r="Q758" s="25" t="s">
        <v>297</v>
      </c>
    </row>
    <row r="759" spans="1:17" ht="46.8" x14ac:dyDescent="0.25">
      <c r="A759" s="17" t="s">
        <v>144</v>
      </c>
      <c r="B759" s="17" t="s">
        <v>24</v>
      </c>
      <c r="C759" s="17" t="s">
        <v>145</v>
      </c>
      <c r="D759" s="17" t="s">
        <v>390</v>
      </c>
      <c r="E759" s="29">
        <f>SUM(F759:K759)</f>
        <v>70.639040449938449</v>
      </c>
      <c r="F759" s="29">
        <f>F746*F747*'Project Emissions 2022'!F738+(1-F754)*0</f>
        <v>12.012477389750002</v>
      </c>
      <c r="G759" s="29">
        <f>G746*G747*'Project Emissions 2022'!G738+(1-G754)*0</f>
        <v>10.558554504761904</v>
      </c>
      <c r="H759" s="29">
        <f>H746*H747*'Project Emissions 2022'!H738+(1-H754)*0</f>
        <v>11.695779026446507</v>
      </c>
      <c r="I759" s="29">
        <f>I746*I747*'Project Emissions 2022'!I738+(1-I754)*0</f>
        <v>11.575341889863886</v>
      </c>
      <c r="J759" s="29">
        <f>J746*J747*'Project Emissions 2022'!J738+(1-J754)*0</f>
        <v>12.353339586231712</v>
      </c>
      <c r="K759" s="29">
        <f>K746*K747*'Project Emissions 2022'!K738+(1-K754)*0</f>
        <v>12.443548052884442</v>
      </c>
      <c r="L759" s="29" t="s">
        <v>297</v>
      </c>
      <c r="M759" s="29" t="s">
        <v>297</v>
      </c>
      <c r="N759" s="29" t="s">
        <v>297</v>
      </c>
      <c r="O759" s="29" t="s">
        <v>297</v>
      </c>
      <c r="P759" s="29" t="s">
        <v>297</v>
      </c>
      <c r="Q759" s="29" t="s">
        <v>297</v>
      </c>
    </row>
    <row r="760" spans="1:17" x14ac:dyDescent="0.3">
      <c r="A760" s="30"/>
      <c r="E760" s="31"/>
      <c r="F760" s="31"/>
      <c r="G760" s="31"/>
      <c r="H760" s="31"/>
      <c r="I760" s="31"/>
      <c r="J760" s="31"/>
      <c r="K760" s="31"/>
      <c r="L760" s="31"/>
      <c r="M760" s="31"/>
      <c r="N760" s="31"/>
      <c r="O760" s="31"/>
      <c r="P760" s="31"/>
      <c r="Q760" s="31"/>
    </row>
    <row r="761" spans="1:17" x14ac:dyDescent="0.25">
      <c r="A761" s="174" t="s">
        <v>146</v>
      </c>
      <c r="B761" s="174"/>
      <c r="C761" s="175"/>
      <c r="D761" s="175"/>
      <c r="E761" s="195"/>
      <c r="F761" s="32"/>
      <c r="G761" s="32"/>
      <c r="H761" s="32"/>
      <c r="I761" s="32"/>
      <c r="J761" s="32"/>
      <c r="K761" s="32"/>
      <c r="L761" s="32"/>
      <c r="M761" s="32"/>
      <c r="N761" s="32"/>
      <c r="O761" s="32"/>
      <c r="P761" s="32"/>
      <c r="Q761" s="32"/>
    </row>
    <row r="762" spans="1:17" x14ac:dyDescent="0.25">
      <c r="A762" s="33" t="s">
        <v>8</v>
      </c>
      <c r="B762" s="33" t="s">
        <v>9</v>
      </c>
      <c r="C762" s="34" t="s">
        <v>10</v>
      </c>
      <c r="D762" s="34" t="s">
        <v>340</v>
      </c>
      <c r="E762" s="16" t="s">
        <v>65</v>
      </c>
      <c r="F762" s="32"/>
      <c r="G762" s="32"/>
      <c r="H762" s="32"/>
      <c r="I762" s="32"/>
      <c r="J762" s="32"/>
      <c r="K762" s="32"/>
      <c r="L762" s="32"/>
      <c r="M762" s="32"/>
      <c r="N762" s="32"/>
      <c r="O762" s="32"/>
      <c r="P762" s="32"/>
      <c r="Q762" s="32"/>
    </row>
    <row r="763" spans="1:17" ht="46.8" x14ac:dyDescent="0.25">
      <c r="A763" s="15" t="s">
        <v>147</v>
      </c>
      <c r="B763" s="17" t="s">
        <v>95</v>
      </c>
      <c r="C763" s="35" t="s">
        <v>148</v>
      </c>
      <c r="D763" s="35" t="s">
        <v>68</v>
      </c>
      <c r="E763" s="16">
        <v>0</v>
      </c>
      <c r="F763" s="32"/>
      <c r="G763" s="32"/>
      <c r="H763" s="32"/>
      <c r="I763" s="32"/>
      <c r="J763" s="32"/>
      <c r="K763" s="32"/>
      <c r="L763" s="32"/>
      <c r="M763" s="32"/>
      <c r="N763" s="32"/>
      <c r="O763" s="32"/>
      <c r="P763" s="32"/>
      <c r="Q763" s="32"/>
    </row>
    <row r="764" spans="1:17" x14ac:dyDescent="0.25">
      <c r="A764" s="36"/>
      <c r="B764" s="36"/>
      <c r="C764" s="37"/>
      <c r="D764" s="37"/>
      <c r="E764" s="32"/>
      <c r="F764" s="32"/>
      <c r="G764" s="32"/>
      <c r="H764" s="32"/>
      <c r="I764" s="32"/>
      <c r="J764" s="32"/>
      <c r="K764" s="32"/>
      <c r="L764" s="32"/>
      <c r="M764" s="32"/>
      <c r="N764" s="32"/>
      <c r="O764" s="32"/>
      <c r="P764" s="32"/>
      <c r="Q764" s="32"/>
    </row>
    <row r="765" spans="1:17" x14ac:dyDescent="0.25">
      <c r="A765" s="174" t="s">
        <v>149</v>
      </c>
      <c r="B765" s="174"/>
      <c r="C765" s="175"/>
      <c r="D765" s="175"/>
      <c r="E765" s="195"/>
      <c r="F765" s="32"/>
      <c r="G765" s="32"/>
      <c r="H765" s="32"/>
      <c r="I765" s="32"/>
      <c r="J765" s="32"/>
      <c r="K765" s="32"/>
      <c r="L765" s="32"/>
      <c r="M765" s="32"/>
      <c r="N765" s="32"/>
      <c r="O765" s="32"/>
      <c r="P765" s="32"/>
      <c r="Q765" s="32"/>
    </row>
    <row r="766" spans="1:17" x14ac:dyDescent="0.25">
      <c r="A766" s="33" t="s">
        <v>8</v>
      </c>
      <c r="B766" s="33" t="s">
        <v>9</v>
      </c>
      <c r="C766" s="34" t="s">
        <v>10</v>
      </c>
      <c r="D766" s="34" t="s">
        <v>340</v>
      </c>
      <c r="E766" s="16" t="s">
        <v>65</v>
      </c>
      <c r="F766" s="32"/>
      <c r="G766" s="32"/>
      <c r="H766" s="32"/>
      <c r="I766" s="32"/>
      <c r="J766" s="32"/>
      <c r="K766" s="32"/>
      <c r="L766" s="32"/>
      <c r="M766" s="32"/>
      <c r="N766" s="32"/>
      <c r="O766" s="32"/>
      <c r="P766" s="32"/>
      <c r="Q766" s="32"/>
    </row>
    <row r="767" spans="1:17" ht="46.8" x14ac:dyDescent="0.25">
      <c r="A767" s="15" t="s">
        <v>150</v>
      </c>
      <c r="B767" s="17" t="s">
        <v>95</v>
      </c>
      <c r="C767" s="35" t="s">
        <v>151</v>
      </c>
      <c r="D767" s="35" t="s">
        <v>68</v>
      </c>
      <c r="E767" s="16">
        <v>0</v>
      </c>
      <c r="F767" s="32"/>
      <c r="G767" s="32"/>
      <c r="H767" s="32"/>
      <c r="I767" s="32"/>
      <c r="J767" s="32"/>
      <c r="K767" s="32"/>
      <c r="L767" s="32"/>
      <c r="M767" s="32"/>
      <c r="N767" s="32"/>
      <c r="O767" s="32"/>
      <c r="P767" s="32"/>
      <c r="Q767" s="32"/>
    </row>
    <row r="768" spans="1:17" x14ac:dyDescent="0.25">
      <c r="F768" s="32"/>
      <c r="G768" s="32"/>
      <c r="H768" s="32"/>
      <c r="I768" s="32"/>
      <c r="J768" s="32"/>
      <c r="K768" s="32"/>
      <c r="L768" s="32"/>
      <c r="M768" s="32"/>
      <c r="N768" s="32"/>
      <c r="O768" s="32"/>
      <c r="P768" s="32"/>
      <c r="Q768" s="32"/>
    </row>
    <row r="769" spans="1:19" x14ac:dyDescent="0.25">
      <c r="A769" s="174" t="s">
        <v>152</v>
      </c>
      <c r="B769" s="174"/>
      <c r="C769" s="175"/>
      <c r="D769" s="175"/>
      <c r="E769" s="195"/>
      <c r="F769" s="32"/>
      <c r="G769" s="32"/>
      <c r="H769" s="32"/>
      <c r="I769" s="32"/>
      <c r="J769" s="32"/>
      <c r="K769" s="32"/>
      <c r="L769" s="32"/>
      <c r="M769" s="32"/>
      <c r="N769" s="32"/>
      <c r="O769" s="32"/>
      <c r="P769" s="32"/>
      <c r="Q769" s="32"/>
    </row>
    <row r="770" spans="1:19" s="10" customFormat="1" x14ac:dyDescent="0.25">
      <c r="A770" s="15" t="s">
        <v>8</v>
      </c>
      <c r="B770" s="15" t="s">
        <v>9</v>
      </c>
      <c r="C770" s="38" t="s">
        <v>10</v>
      </c>
      <c r="D770" s="38" t="s">
        <v>340</v>
      </c>
      <c r="E770" s="16" t="s">
        <v>65</v>
      </c>
      <c r="F770" s="32"/>
      <c r="G770" s="32"/>
      <c r="H770" s="39"/>
      <c r="I770" s="39"/>
      <c r="J770" s="39"/>
      <c r="K770" s="39"/>
      <c r="L770" s="39"/>
      <c r="M770" s="39"/>
      <c r="N770" s="39"/>
      <c r="O770" s="39"/>
      <c r="P770" s="39"/>
      <c r="Q770" s="39"/>
    </row>
    <row r="771" spans="1:19" s="10" customFormat="1" ht="18" x14ac:dyDescent="0.4">
      <c r="A771" s="40" t="s">
        <v>153</v>
      </c>
      <c r="B771" s="17" t="s">
        <v>103</v>
      </c>
      <c r="C771" s="35" t="s">
        <v>154</v>
      </c>
      <c r="D771" s="35" t="s">
        <v>155</v>
      </c>
      <c r="E771" s="41">
        <f>E772*E774*(1+E773)</f>
        <v>863.7548328073201</v>
      </c>
      <c r="F771" s="32"/>
      <c r="G771" s="32"/>
      <c r="H771" s="39"/>
      <c r="I771" s="39"/>
      <c r="J771" s="39"/>
      <c r="K771" s="39"/>
      <c r="L771" s="39"/>
      <c r="M771" s="39"/>
      <c r="N771" s="39"/>
      <c r="O771" s="39"/>
      <c r="P771" s="39"/>
      <c r="Q771" s="39"/>
    </row>
    <row r="772" spans="1:19" ht="31.2" x14ac:dyDescent="0.25">
      <c r="A772" s="17" t="s">
        <v>156</v>
      </c>
      <c r="B772" s="17" t="s">
        <v>157</v>
      </c>
      <c r="C772" s="35" t="s">
        <v>158</v>
      </c>
      <c r="D772" s="35" t="s">
        <v>343</v>
      </c>
      <c r="E772" s="20">
        <f>1414553.786/1000</f>
        <v>1414.5537860000002</v>
      </c>
      <c r="G772" s="42"/>
      <c r="H772" s="43"/>
      <c r="I772" s="43"/>
      <c r="J772" s="43"/>
      <c r="K772" s="43"/>
      <c r="L772" s="43"/>
      <c r="M772" s="43"/>
      <c r="N772" s="43"/>
      <c r="O772" s="43"/>
      <c r="P772" s="43"/>
      <c r="Q772" s="43"/>
      <c r="R772" s="9"/>
      <c r="S772" s="9"/>
    </row>
    <row r="773" spans="1:19" ht="31.2" x14ac:dyDescent="0.25">
      <c r="A773" s="17" t="s">
        <v>159</v>
      </c>
      <c r="B773" s="17" t="s">
        <v>160</v>
      </c>
      <c r="C773" s="35" t="s">
        <v>161</v>
      </c>
      <c r="D773" s="35" t="s">
        <v>162</v>
      </c>
      <c r="E773" s="44">
        <v>0.2</v>
      </c>
      <c r="H773" s="43"/>
      <c r="I773" s="43"/>
      <c r="J773" s="43"/>
      <c r="K773" s="43"/>
      <c r="L773" s="43"/>
      <c r="M773" s="43"/>
      <c r="N773" s="43"/>
      <c r="O773" s="43"/>
      <c r="P773" s="43"/>
      <c r="Q773" s="43"/>
      <c r="R773" s="9"/>
      <c r="S773" s="9"/>
    </row>
    <row r="774" spans="1:19" ht="46.8" x14ac:dyDescent="0.25">
      <c r="A774" s="17" t="s">
        <v>163</v>
      </c>
      <c r="B774" s="17" t="s">
        <v>164</v>
      </c>
      <c r="C774" s="35" t="s">
        <v>165</v>
      </c>
      <c r="D774" s="35" t="s">
        <v>166</v>
      </c>
      <c r="E774" s="45">
        <f>0.5*0.8042+0.5*0.2135</f>
        <v>0.50885000000000002</v>
      </c>
      <c r="F774" s="46"/>
      <c r="G774" s="46"/>
      <c r="H774" s="46"/>
      <c r="I774" s="46"/>
      <c r="J774" s="46"/>
      <c r="K774" s="46"/>
      <c r="L774" s="46"/>
      <c r="M774" s="46"/>
      <c r="N774" s="46"/>
      <c r="O774" s="46"/>
      <c r="P774" s="46"/>
      <c r="Q774" s="46"/>
    </row>
    <row r="775" spans="1:19" ht="31.2" x14ac:dyDescent="0.4">
      <c r="A775" s="40" t="s">
        <v>167</v>
      </c>
      <c r="B775" s="17" t="s">
        <v>103</v>
      </c>
      <c r="C775" s="35" t="s">
        <v>168</v>
      </c>
      <c r="D775" s="35" t="s">
        <v>169</v>
      </c>
      <c r="E775" s="47">
        <v>0</v>
      </c>
      <c r="H775" s="43"/>
      <c r="I775" s="43"/>
      <c r="J775" s="43"/>
      <c r="K775" s="43"/>
      <c r="L775" s="43"/>
      <c r="M775" s="43"/>
      <c r="N775" s="43"/>
      <c r="O775" s="43"/>
      <c r="P775" s="43"/>
      <c r="Q775" s="43"/>
      <c r="R775" s="9"/>
      <c r="S775" s="9"/>
    </row>
    <row r="776" spans="1:19" x14ac:dyDescent="0.3">
      <c r="A776" s="48"/>
      <c r="E776" s="49"/>
      <c r="H776" s="43"/>
      <c r="I776" s="43"/>
      <c r="J776" s="43"/>
      <c r="K776" s="43"/>
      <c r="L776" s="43"/>
      <c r="M776" s="43"/>
      <c r="N776" s="43"/>
      <c r="O776" s="43"/>
      <c r="P776" s="43"/>
      <c r="Q776" s="43"/>
      <c r="R776" s="9"/>
      <c r="S776" s="9"/>
    </row>
    <row r="777" spans="1:19" x14ac:dyDescent="0.25">
      <c r="A777" s="174" t="s">
        <v>170</v>
      </c>
      <c r="B777" s="174"/>
      <c r="C777" s="175"/>
      <c r="D777" s="175"/>
      <c r="E777" s="195"/>
      <c r="F777" s="32"/>
      <c r="G777" s="32"/>
      <c r="H777" s="32"/>
      <c r="I777" s="32"/>
      <c r="J777" s="32"/>
      <c r="K777" s="32"/>
      <c r="L777" s="32"/>
      <c r="M777" s="32"/>
      <c r="N777" s="32"/>
      <c r="O777" s="32"/>
      <c r="P777" s="32"/>
      <c r="Q777" s="32"/>
    </row>
    <row r="778" spans="1:19" x14ac:dyDescent="0.25">
      <c r="A778" s="15" t="s">
        <v>8</v>
      </c>
      <c r="B778" s="15" t="s">
        <v>9</v>
      </c>
      <c r="C778" s="38" t="s">
        <v>10</v>
      </c>
      <c r="D778" s="38" t="s">
        <v>340</v>
      </c>
      <c r="E778" s="16" t="s">
        <v>65</v>
      </c>
      <c r="H778" s="43"/>
      <c r="I778" s="43"/>
      <c r="J778" s="43"/>
      <c r="K778" s="43"/>
      <c r="L778" s="43"/>
      <c r="M778" s="43"/>
      <c r="N778" s="43"/>
      <c r="O778" s="43"/>
      <c r="P778" s="43"/>
      <c r="Q778" s="43"/>
      <c r="R778" s="9"/>
      <c r="S778" s="9"/>
    </row>
    <row r="779" spans="1:19" ht="33.6" x14ac:dyDescent="0.4">
      <c r="A779" s="40" t="s">
        <v>171</v>
      </c>
      <c r="B779" s="17" t="s">
        <v>74</v>
      </c>
      <c r="C779" s="35" t="s">
        <v>172</v>
      </c>
      <c r="D779" s="35" t="s">
        <v>391</v>
      </c>
      <c r="E779" s="50">
        <f>E780*E783*E784*E785*E786*E787</f>
        <v>22.981273857228956</v>
      </c>
      <c r="H779" s="43"/>
      <c r="I779" s="43"/>
      <c r="J779" s="43"/>
      <c r="K779" s="43"/>
      <c r="L779" s="43"/>
      <c r="M779" s="43"/>
      <c r="N779" s="43"/>
      <c r="O779" s="43"/>
      <c r="P779" s="43"/>
      <c r="Q779" s="43"/>
      <c r="R779" s="9"/>
      <c r="S779" s="9"/>
    </row>
    <row r="780" spans="1:19" ht="46.8" x14ac:dyDescent="0.4">
      <c r="A780" s="51" t="s">
        <v>173</v>
      </c>
      <c r="B780" s="17" t="s">
        <v>76</v>
      </c>
      <c r="C780" s="35" t="s">
        <v>174</v>
      </c>
      <c r="D780" s="35" t="s">
        <v>392</v>
      </c>
      <c r="E780" s="69">
        <f>ROUNDUP(E781/E782,0)</f>
        <v>460</v>
      </c>
      <c r="H780" s="43"/>
      <c r="I780" s="43"/>
      <c r="J780" s="43"/>
      <c r="K780" s="43"/>
      <c r="L780" s="43"/>
      <c r="M780" s="43"/>
      <c r="N780" s="43"/>
      <c r="O780" s="43"/>
      <c r="P780" s="43"/>
      <c r="Q780" s="43"/>
      <c r="R780" s="9"/>
      <c r="S780" s="9"/>
    </row>
    <row r="781" spans="1:19" ht="62.4" x14ac:dyDescent="0.25">
      <c r="A781" s="17" t="s">
        <v>175</v>
      </c>
      <c r="B781" s="17" t="s">
        <v>78</v>
      </c>
      <c r="C781" s="35" t="s">
        <v>176</v>
      </c>
      <c r="D781" s="35" t="s">
        <v>346</v>
      </c>
      <c r="E781" s="52">
        <v>2299.2659999999996</v>
      </c>
      <c r="H781" s="43"/>
      <c r="I781" s="43"/>
      <c r="J781" s="43"/>
      <c r="K781" s="43"/>
      <c r="L781" s="43"/>
      <c r="M781" s="43"/>
      <c r="N781" s="43"/>
      <c r="O781" s="43"/>
      <c r="P781" s="43"/>
      <c r="Q781" s="43"/>
      <c r="R781" s="9"/>
      <c r="S781" s="9"/>
    </row>
    <row r="782" spans="1:19" ht="62.4" x14ac:dyDescent="0.25">
      <c r="A782" s="17" t="s">
        <v>177</v>
      </c>
      <c r="B782" s="17" t="s">
        <v>80</v>
      </c>
      <c r="C782" s="35" t="s">
        <v>81</v>
      </c>
      <c r="D782" s="35" t="s">
        <v>345</v>
      </c>
      <c r="E782" s="25">
        <f>5</f>
        <v>5</v>
      </c>
      <c r="H782" s="43"/>
      <c r="I782" s="43"/>
      <c r="J782" s="43"/>
      <c r="K782" s="43"/>
      <c r="L782" s="43"/>
      <c r="M782" s="43"/>
      <c r="N782" s="43"/>
      <c r="O782" s="43"/>
      <c r="P782" s="43"/>
      <c r="Q782" s="43"/>
      <c r="R782" s="9"/>
      <c r="S782" s="9"/>
    </row>
    <row r="783" spans="1:19" ht="202.8" x14ac:dyDescent="0.25">
      <c r="A783" s="17" t="s">
        <v>178</v>
      </c>
      <c r="B783" s="17" t="s">
        <v>82</v>
      </c>
      <c r="C783" s="35" t="s">
        <v>179</v>
      </c>
      <c r="D783" s="35" t="s">
        <v>367</v>
      </c>
      <c r="E783" s="25">
        <v>73.8</v>
      </c>
      <c r="H783" s="43"/>
      <c r="I783" s="43"/>
      <c r="J783" s="43"/>
      <c r="K783" s="43"/>
      <c r="L783" s="43"/>
      <c r="M783" s="43"/>
      <c r="N783" s="43"/>
      <c r="O783" s="43"/>
      <c r="P783" s="43"/>
      <c r="Q783" s="43"/>
      <c r="R783" s="9"/>
      <c r="S783" s="9"/>
    </row>
    <row r="784" spans="1:19" ht="156" x14ac:dyDescent="0.25">
      <c r="A784" s="17" t="s">
        <v>180</v>
      </c>
      <c r="B784" s="17" t="s">
        <v>84</v>
      </c>
      <c r="C784" s="35" t="s">
        <v>85</v>
      </c>
      <c r="D784" s="35" t="s">
        <v>365</v>
      </c>
      <c r="E784" s="25">
        <f>25.1/100</f>
        <v>0.251</v>
      </c>
      <c r="H784" s="43"/>
      <c r="I784" s="43"/>
      <c r="J784" s="43"/>
      <c r="K784" s="43"/>
      <c r="L784" s="43"/>
      <c r="M784" s="43"/>
      <c r="N784" s="43"/>
      <c r="O784" s="43"/>
      <c r="P784" s="43"/>
      <c r="Q784" s="43"/>
      <c r="R784" s="9"/>
      <c r="S784" s="9"/>
    </row>
    <row r="785" spans="1:133" ht="62.4" x14ac:dyDescent="0.25">
      <c r="A785" s="17" t="s">
        <v>86</v>
      </c>
      <c r="B785" s="17" t="s">
        <v>87</v>
      </c>
      <c r="C785" s="35" t="s">
        <v>86</v>
      </c>
      <c r="D785" s="35" t="s">
        <v>215</v>
      </c>
      <c r="E785" s="25">
        <f>0.84/1000</f>
        <v>8.3999999999999993E-4</v>
      </c>
      <c r="H785" s="43"/>
      <c r="I785" s="43"/>
      <c r="J785" s="43"/>
      <c r="K785" s="43"/>
      <c r="L785" s="43"/>
      <c r="M785" s="43"/>
      <c r="N785" s="43"/>
      <c r="O785" s="43"/>
      <c r="P785" s="43"/>
      <c r="Q785" s="43"/>
      <c r="R785" s="9"/>
      <c r="S785" s="9"/>
    </row>
    <row r="786" spans="1:133" ht="124.8" x14ac:dyDescent="0.25">
      <c r="A786" s="17" t="s">
        <v>181</v>
      </c>
      <c r="B786" s="17" t="s">
        <v>88</v>
      </c>
      <c r="C786" s="35" t="s">
        <v>89</v>
      </c>
      <c r="D786" s="35" t="s">
        <v>360</v>
      </c>
      <c r="E786" s="25">
        <f>43.33/1000</f>
        <v>4.333E-2</v>
      </c>
      <c r="H786" s="43"/>
      <c r="I786" s="43"/>
      <c r="J786" s="43"/>
      <c r="K786" s="43"/>
      <c r="L786" s="43"/>
      <c r="M786" s="43"/>
      <c r="N786" s="43"/>
      <c r="O786" s="43"/>
      <c r="P786" s="43"/>
      <c r="Q786" s="43"/>
      <c r="R786" s="9"/>
      <c r="S786" s="9"/>
    </row>
    <row r="787" spans="1:133" ht="33.6" x14ac:dyDescent="0.25">
      <c r="A787" s="17" t="s">
        <v>182</v>
      </c>
      <c r="B787" s="17" t="s">
        <v>90</v>
      </c>
      <c r="C787" s="35" t="s">
        <v>91</v>
      </c>
      <c r="D787" s="35" t="s">
        <v>92</v>
      </c>
      <c r="E787" s="25">
        <v>74.099999999999994</v>
      </c>
      <c r="H787" s="43"/>
      <c r="I787" s="43"/>
      <c r="J787" s="43"/>
      <c r="K787" s="43"/>
      <c r="L787" s="43"/>
      <c r="M787" s="43"/>
      <c r="N787" s="43"/>
      <c r="O787" s="43"/>
      <c r="P787" s="43"/>
      <c r="Q787" s="43"/>
      <c r="R787" s="9"/>
      <c r="S787" s="9"/>
    </row>
    <row r="789" spans="1:133" x14ac:dyDescent="0.25">
      <c r="A789" s="33" t="s">
        <v>8</v>
      </c>
      <c r="B789" s="33" t="s">
        <v>9</v>
      </c>
      <c r="C789" s="34" t="s">
        <v>10</v>
      </c>
      <c r="D789" s="34" t="s">
        <v>340</v>
      </c>
      <c r="E789" s="16" t="s">
        <v>65</v>
      </c>
    </row>
    <row r="790" spans="1:133" ht="18" x14ac:dyDescent="0.25">
      <c r="A790" s="15" t="s">
        <v>183</v>
      </c>
      <c r="B790" s="17" t="s">
        <v>103</v>
      </c>
      <c r="C790" s="35" t="s">
        <v>184</v>
      </c>
      <c r="D790" s="53" t="s">
        <v>393</v>
      </c>
      <c r="E790" s="18">
        <f>ROUNDUP(E739+E763+E767+E771+E779,0)</f>
        <v>887</v>
      </c>
    </row>
    <row r="791" spans="1:133" s="200" customFormat="1" ht="43.2" customHeight="1" x14ac:dyDescent="0.25">
      <c r="A791" s="197" t="s">
        <v>256</v>
      </c>
      <c r="B791" s="198"/>
      <c r="C791" s="198"/>
      <c r="D791" s="198"/>
      <c r="E791" s="198"/>
      <c r="F791" s="198"/>
      <c r="G791" s="198"/>
      <c r="H791" s="198"/>
      <c r="I791" s="198"/>
      <c r="J791" s="198"/>
      <c r="K791" s="198"/>
      <c r="L791" s="198"/>
      <c r="M791" s="198"/>
      <c r="N791" s="198"/>
      <c r="O791" s="198"/>
      <c r="P791" s="198"/>
      <c r="Q791" s="198"/>
      <c r="R791" s="198"/>
      <c r="S791" s="198"/>
      <c r="T791" s="198"/>
      <c r="U791" s="198"/>
      <c r="V791" s="198"/>
      <c r="W791" s="198"/>
      <c r="X791" s="198"/>
      <c r="Y791" s="198"/>
      <c r="Z791" s="198"/>
      <c r="AA791" s="198"/>
      <c r="AB791" s="198"/>
      <c r="AC791" s="198"/>
      <c r="AD791" s="198"/>
      <c r="AE791" s="198"/>
      <c r="AF791" s="198"/>
      <c r="AG791" s="198"/>
      <c r="AH791" s="198"/>
      <c r="AI791" s="198"/>
      <c r="AJ791" s="198"/>
      <c r="AK791" s="198"/>
      <c r="AL791" s="198"/>
      <c r="AM791" s="198"/>
      <c r="AN791" s="198"/>
      <c r="AO791" s="198"/>
      <c r="AP791" s="198"/>
      <c r="AQ791" s="198"/>
      <c r="AR791" s="198"/>
      <c r="AS791" s="198"/>
      <c r="AT791" s="198"/>
      <c r="AU791" s="198"/>
      <c r="AV791" s="198"/>
      <c r="AW791" s="198"/>
      <c r="AX791" s="198"/>
      <c r="AY791" s="198"/>
      <c r="AZ791" s="198"/>
      <c r="BA791" s="198"/>
      <c r="BB791" s="198"/>
      <c r="BC791" s="198"/>
      <c r="BD791" s="198"/>
      <c r="BE791" s="198"/>
      <c r="BF791" s="198"/>
      <c r="BG791" s="198"/>
      <c r="BH791" s="198"/>
      <c r="BI791" s="198"/>
      <c r="BJ791" s="198"/>
      <c r="BK791" s="198"/>
      <c r="BL791" s="198"/>
      <c r="BM791" s="198"/>
      <c r="BN791" s="198"/>
      <c r="BO791" s="198"/>
      <c r="BP791" s="198"/>
      <c r="BQ791" s="198"/>
      <c r="BR791" s="198"/>
      <c r="BS791" s="198"/>
      <c r="BT791" s="198"/>
      <c r="BU791" s="198"/>
      <c r="BV791" s="198"/>
      <c r="BW791" s="198"/>
      <c r="BX791" s="198"/>
      <c r="BY791" s="198"/>
      <c r="BZ791" s="198"/>
      <c r="CA791" s="198"/>
      <c r="CB791" s="198"/>
      <c r="CC791" s="198"/>
      <c r="CD791" s="198"/>
      <c r="CE791" s="198"/>
      <c r="CF791" s="198"/>
      <c r="CG791" s="198"/>
      <c r="CH791" s="198"/>
      <c r="CI791" s="198"/>
      <c r="CJ791" s="198"/>
      <c r="CK791" s="198"/>
      <c r="CL791" s="198"/>
      <c r="CM791" s="198"/>
      <c r="CN791" s="198"/>
      <c r="CO791" s="198"/>
      <c r="CP791" s="198"/>
      <c r="CQ791" s="198"/>
      <c r="CR791" s="198"/>
      <c r="CS791" s="198"/>
      <c r="CT791" s="198"/>
      <c r="CU791" s="198"/>
      <c r="CV791" s="198"/>
      <c r="CW791" s="198"/>
      <c r="CX791" s="198"/>
      <c r="CY791" s="198"/>
      <c r="CZ791" s="198"/>
      <c r="DA791" s="198"/>
      <c r="DB791" s="198"/>
      <c r="DC791" s="198"/>
      <c r="DD791" s="198"/>
      <c r="DE791" s="198"/>
      <c r="DF791" s="198"/>
      <c r="DG791" s="198"/>
      <c r="DH791" s="198"/>
      <c r="DI791" s="198"/>
      <c r="DJ791" s="198"/>
      <c r="DK791" s="198"/>
      <c r="DL791" s="198"/>
      <c r="DM791" s="198"/>
      <c r="DN791" s="198"/>
      <c r="DO791" s="198"/>
      <c r="DP791" s="198"/>
      <c r="DQ791" s="198"/>
      <c r="DR791" s="198"/>
      <c r="DS791" s="198"/>
      <c r="DT791" s="198"/>
      <c r="DU791" s="198"/>
      <c r="DV791" s="198"/>
      <c r="DW791" s="198"/>
      <c r="DX791" s="198"/>
      <c r="DY791" s="198"/>
      <c r="DZ791" s="198"/>
      <c r="EA791" s="198"/>
      <c r="EB791" s="198"/>
      <c r="EC791" s="199"/>
    </row>
    <row r="792" spans="1:133" ht="23.4" customHeight="1" x14ac:dyDescent="0.25">
      <c r="A792" s="201" t="s">
        <v>105</v>
      </c>
      <c r="B792" s="201"/>
      <c r="C792" s="201"/>
      <c r="D792" s="201"/>
      <c r="E792" s="201"/>
      <c r="F792" s="201"/>
      <c r="G792" s="201"/>
      <c r="H792" s="201"/>
      <c r="I792" s="201"/>
      <c r="J792" s="201"/>
      <c r="K792" s="201"/>
      <c r="L792" s="201"/>
      <c r="M792" s="201"/>
      <c r="N792" s="201"/>
      <c r="O792" s="201"/>
      <c r="P792" s="201"/>
      <c r="Q792" s="202"/>
    </row>
    <row r="793" spans="1:133" s="10" customFormat="1" ht="31.2" x14ac:dyDescent="0.25">
      <c r="A793" s="15" t="s">
        <v>8</v>
      </c>
      <c r="B793" s="15" t="s">
        <v>9</v>
      </c>
      <c r="C793" s="15" t="s">
        <v>10</v>
      </c>
      <c r="D793" s="15" t="s">
        <v>340</v>
      </c>
      <c r="E793" s="16" t="s">
        <v>11</v>
      </c>
      <c r="F793" s="16" t="s">
        <v>322</v>
      </c>
      <c r="G793" s="16" t="s">
        <v>323</v>
      </c>
      <c r="H793" s="16" t="s">
        <v>324</v>
      </c>
      <c r="I793" s="16" t="s">
        <v>325</v>
      </c>
      <c r="J793" s="16" t="s">
        <v>326</v>
      </c>
      <c r="K793" s="16" t="s">
        <v>329</v>
      </c>
      <c r="L793" s="16" t="s">
        <v>292</v>
      </c>
      <c r="M793" s="16" t="s">
        <v>292</v>
      </c>
      <c r="N793" s="16" t="s">
        <v>292</v>
      </c>
      <c r="O793" s="16" t="s">
        <v>292</v>
      </c>
      <c r="P793" s="16" t="s">
        <v>292</v>
      </c>
      <c r="Q793" s="16" t="s">
        <v>292</v>
      </c>
      <c r="R793" s="54"/>
      <c r="S793" s="54"/>
    </row>
    <row r="794" spans="1:133" s="10" customFormat="1" x14ac:dyDescent="0.25">
      <c r="A794" s="203" t="s">
        <v>106</v>
      </c>
      <c r="B794" s="203"/>
      <c r="C794" s="203"/>
      <c r="D794" s="203"/>
      <c r="E794" s="204"/>
      <c r="F794" s="16">
        <v>31</v>
      </c>
      <c r="G794" s="16">
        <v>28</v>
      </c>
      <c r="H794" s="16">
        <v>31</v>
      </c>
      <c r="I794" s="16">
        <v>30</v>
      </c>
      <c r="J794" s="16">
        <v>31</v>
      </c>
      <c r="K794" s="16">
        <v>30</v>
      </c>
      <c r="L794" s="16" t="s">
        <v>292</v>
      </c>
      <c r="M794" s="16" t="s">
        <v>292</v>
      </c>
      <c r="N794" s="16" t="s">
        <v>292</v>
      </c>
      <c r="O794" s="16" t="s">
        <v>292</v>
      </c>
      <c r="P794" s="16" t="s">
        <v>292</v>
      </c>
      <c r="Q794" s="16" t="s">
        <v>292</v>
      </c>
      <c r="R794" s="54"/>
      <c r="S794" s="54"/>
    </row>
    <row r="795" spans="1:133" s="10" customFormat="1" ht="31.2" x14ac:dyDescent="0.25">
      <c r="A795" s="15" t="s">
        <v>107</v>
      </c>
      <c r="B795" s="17" t="s">
        <v>103</v>
      </c>
      <c r="C795" s="17" t="s">
        <v>108</v>
      </c>
      <c r="D795" s="17" t="s">
        <v>381</v>
      </c>
      <c r="E795" s="18">
        <f>E796+E806</f>
        <v>0</v>
      </c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54"/>
      <c r="S795" s="54"/>
    </row>
    <row r="796" spans="1:133" ht="46.8" x14ac:dyDescent="0.25">
      <c r="A796" s="17" t="s">
        <v>109</v>
      </c>
      <c r="B796" s="17" t="s">
        <v>103</v>
      </c>
      <c r="C796" s="17" t="s">
        <v>110</v>
      </c>
      <c r="D796" s="17" t="s">
        <v>382</v>
      </c>
      <c r="E796" s="19">
        <f>SUM(F796:K796)</f>
        <v>0</v>
      </c>
      <c r="F796" s="19">
        <f>IF(F797&gt;=0.8,0,$E$804*$E$805*0.4*(F798-F801)*F794)</f>
        <v>0</v>
      </c>
      <c r="G796" s="19">
        <f t="shared" ref="G796:K796" si="98">IF(G797&gt;=0.8,0,$E$804*$E$805*0.4*(G798-G801)*G794)</f>
        <v>0</v>
      </c>
      <c r="H796" s="19">
        <f t="shared" si="98"/>
        <v>0</v>
      </c>
      <c r="I796" s="19">
        <f t="shared" si="98"/>
        <v>0</v>
      </c>
      <c r="J796" s="19">
        <f t="shared" si="98"/>
        <v>0</v>
      </c>
      <c r="K796" s="19">
        <f t="shared" si="98"/>
        <v>0</v>
      </c>
      <c r="L796" s="19" t="s">
        <v>297</v>
      </c>
      <c r="M796" s="19" t="s">
        <v>297</v>
      </c>
      <c r="N796" s="19" t="s">
        <v>297</v>
      </c>
      <c r="O796" s="19" t="s">
        <v>297</v>
      </c>
      <c r="P796" s="19" t="s">
        <v>297</v>
      </c>
      <c r="Q796" s="19" t="s">
        <v>297</v>
      </c>
    </row>
    <row r="797" spans="1:133" ht="62.4" x14ac:dyDescent="0.25">
      <c r="A797" s="17" t="s">
        <v>111</v>
      </c>
      <c r="B797" s="17" t="s">
        <v>37</v>
      </c>
      <c r="C797" s="17" t="s">
        <v>112</v>
      </c>
      <c r="D797" s="17" t="s">
        <v>383</v>
      </c>
      <c r="E797" s="20">
        <f>AVERAGE(F797:K797)</f>
        <v>0.96070104085342178</v>
      </c>
      <c r="F797" s="20">
        <f>(F798-F801)/F798</f>
        <v>0.9622134651801898</v>
      </c>
      <c r="G797" s="20">
        <f t="shared" ref="G797:K797" si="99">(G798-G801)/G798</f>
        <v>0.96170223989954018</v>
      </c>
      <c r="H797" s="20">
        <f t="shared" si="99"/>
        <v>0.96037755182722861</v>
      </c>
      <c r="I797" s="20">
        <f t="shared" si="99"/>
        <v>0.96145029888410638</v>
      </c>
      <c r="J797" s="20">
        <f t="shared" si="99"/>
        <v>0.96057277955185194</v>
      </c>
      <c r="K797" s="20">
        <f t="shared" si="99"/>
        <v>0.95788990977761401</v>
      </c>
      <c r="L797" s="20" t="s">
        <v>297</v>
      </c>
      <c r="M797" s="20" t="s">
        <v>297</v>
      </c>
      <c r="N797" s="20" t="s">
        <v>297</v>
      </c>
      <c r="O797" s="20" t="s">
        <v>297</v>
      </c>
      <c r="P797" s="20" t="s">
        <v>297</v>
      </c>
      <c r="Q797" s="20" t="s">
        <v>297</v>
      </c>
    </row>
    <row r="798" spans="1:133" ht="46.8" x14ac:dyDescent="0.25">
      <c r="A798" s="17" t="s">
        <v>113</v>
      </c>
      <c r="B798" s="17" t="s">
        <v>24</v>
      </c>
      <c r="C798" s="17" t="s">
        <v>114</v>
      </c>
      <c r="D798" s="17" t="s">
        <v>384</v>
      </c>
      <c r="E798" s="20">
        <f>SUM(F798:K798)</f>
        <v>62.156776367334722</v>
      </c>
      <c r="F798" s="20">
        <f>F799*F800</f>
        <v>10.440113561343535</v>
      </c>
      <c r="G798" s="20">
        <f t="shared" ref="G798:K798" si="100">G799*G800</f>
        <v>10.443196588805357</v>
      </c>
      <c r="H798" s="20">
        <f t="shared" si="100"/>
        <v>10.443597209177035</v>
      </c>
      <c r="I798" s="20">
        <f t="shared" si="100"/>
        <v>10.444662616369168</v>
      </c>
      <c r="J798" s="20">
        <f t="shared" si="100"/>
        <v>10.804834826814881</v>
      </c>
      <c r="K798" s="20">
        <f t="shared" si="100"/>
        <v>9.5803715648247394</v>
      </c>
      <c r="L798" s="20" t="s">
        <v>297</v>
      </c>
      <c r="M798" s="20" t="s">
        <v>297</v>
      </c>
      <c r="N798" s="20" t="s">
        <v>297</v>
      </c>
      <c r="O798" s="20" t="s">
        <v>297</v>
      </c>
      <c r="P798" s="20" t="s">
        <v>297</v>
      </c>
      <c r="Q798" s="20" t="s">
        <v>297</v>
      </c>
    </row>
    <row r="799" spans="1:133" ht="72.599999999999994" customHeight="1" x14ac:dyDescent="0.25">
      <c r="A799" s="17" t="s">
        <v>115</v>
      </c>
      <c r="B799" s="17" t="s">
        <v>116</v>
      </c>
      <c r="C799" s="17" t="s">
        <v>117</v>
      </c>
      <c r="D799" s="17" t="s">
        <v>336</v>
      </c>
      <c r="E799" s="129">
        <f>SUM(F799:K799)</f>
        <v>122989.71674362521</v>
      </c>
      <c r="F799" s="129">
        <f>'Baseline Emissions 2022'!F773</f>
        <v>20254.768580645163</v>
      </c>
      <c r="G799" s="129">
        <f>'Baseline Emissions 2022'!G773</f>
        <v>20261.08542857143</v>
      </c>
      <c r="H799" s="129">
        <f>'Baseline Emissions 2022'!H773</f>
        <v>20265.659709677424</v>
      </c>
      <c r="I799" s="129">
        <f>'Baseline Emissions 2022'!I773</f>
        <v>20264.830700000002</v>
      </c>
      <c r="J799" s="129">
        <f>'Baseline Emissions 2022'!J773</f>
        <v>20972.314258064518</v>
      </c>
      <c r="K799" s="129">
        <f>'Baseline Emissions 2022'!K773</f>
        <v>20971.058066666668</v>
      </c>
      <c r="L799" s="21" t="s">
        <v>297</v>
      </c>
      <c r="M799" s="21" t="s">
        <v>297</v>
      </c>
      <c r="N799" s="21" t="s">
        <v>297</v>
      </c>
      <c r="O799" s="21" t="s">
        <v>297</v>
      </c>
      <c r="P799" s="21" t="s">
        <v>297</v>
      </c>
      <c r="Q799" s="21" t="s">
        <v>297</v>
      </c>
    </row>
    <row r="800" spans="1:133" ht="46.8" x14ac:dyDescent="0.25">
      <c r="A800" s="17" t="s">
        <v>118</v>
      </c>
      <c r="B800" s="17" t="s">
        <v>119</v>
      </c>
      <c r="C800" s="17" t="s">
        <v>120</v>
      </c>
      <c r="D800" s="35" t="s">
        <v>338</v>
      </c>
      <c r="E800" s="120">
        <f>AVERAGE(F800:K800)</f>
        <v>5.056078307945042E-4</v>
      </c>
      <c r="F800" s="130">
        <f>'Baseline Emissions 2022'!F777</f>
        <v>5.1543978494623672E-4</v>
      </c>
      <c r="G800" s="130">
        <f>'Baseline Emissions 2022'!G777</f>
        <v>5.1543124999999998E-4</v>
      </c>
      <c r="H800" s="130">
        <f>'Baseline Emissions 2022'!H777</f>
        <v>5.1533467741935498E-4</v>
      </c>
      <c r="I800" s="130">
        <f>'Baseline Emissions 2022'!I777</f>
        <v>5.1540833333333334E-4</v>
      </c>
      <c r="J800" s="130">
        <f>'Baseline Emissions 2022'!J777</f>
        <v>5.1519516129032255E-4</v>
      </c>
      <c r="K800" s="130">
        <f>'Baseline Emissions 2022'!K777</f>
        <v>4.5683777777777771E-4</v>
      </c>
      <c r="L800" s="23" t="s">
        <v>297</v>
      </c>
      <c r="M800" s="23" t="s">
        <v>297</v>
      </c>
      <c r="N800" s="23" t="s">
        <v>297</v>
      </c>
      <c r="O800" s="23" t="s">
        <v>297</v>
      </c>
      <c r="P800" s="23" t="s">
        <v>297</v>
      </c>
      <c r="Q800" s="23" t="s">
        <v>297</v>
      </c>
    </row>
    <row r="801" spans="1:17" ht="46.8" x14ac:dyDescent="0.25">
      <c r="A801" s="17" t="s">
        <v>121</v>
      </c>
      <c r="B801" s="17" t="s">
        <v>24</v>
      </c>
      <c r="C801" s="17" t="s">
        <v>122</v>
      </c>
      <c r="D801" s="17" t="s">
        <v>384</v>
      </c>
      <c r="E801" s="20">
        <f>SUM(F801:K801)</f>
        <v>2.4403211791051946</v>
      </c>
      <c r="F801" s="20">
        <f>SUM(F802*F803)</f>
        <v>0.3944957146084806</v>
      </c>
      <c r="G801" s="20">
        <f t="shared" ref="G801:K801" si="101">SUM(G802*G803)</f>
        <v>0.39995103764000856</v>
      </c>
      <c r="H801" s="20">
        <f t="shared" si="101"/>
        <v>0.41380088915791696</v>
      </c>
      <c r="I801" s="20">
        <f t="shared" si="101"/>
        <v>0.40263862211737989</v>
      </c>
      <c r="J801" s="20">
        <f t="shared" si="101"/>
        <v>0.42600460462265871</v>
      </c>
      <c r="K801" s="20">
        <f t="shared" si="101"/>
        <v>0.40343031095875015</v>
      </c>
      <c r="L801" s="20" t="s">
        <v>297</v>
      </c>
      <c r="M801" s="20" t="s">
        <v>297</v>
      </c>
      <c r="N801" s="20" t="s">
        <v>297</v>
      </c>
      <c r="O801" s="20" t="s">
        <v>297</v>
      </c>
      <c r="P801" s="20" t="s">
        <v>297</v>
      </c>
      <c r="Q801" s="20" t="s">
        <v>297</v>
      </c>
    </row>
    <row r="802" spans="1:17" ht="62.4" x14ac:dyDescent="0.25">
      <c r="A802" s="17" t="s">
        <v>123</v>
      </c>
      <c r="B802" s="17" t="s">
        <v>116</v>
      </c>
      <c r="C802" s="17" t="s">
        <v>124</v>
      </c>
      <c r="D802" s="17" t="s">
        <v>337</v>
      </c>
      <c r="E802" s="129">
        <f>SUM(F802:K802)</f>
        <v>121047.68192488479</v>
      </c>
      <c r="F802" s="129">
        <v>19942.708064516126</v>
      </c>
      <c r="G802" s="129">
        <v>19934.071357142857</v>
      </c>
      <c r="H802" s="129">
        <v>19936.271193548386</v>
      </c>
      <c r="I802" s="129">
        <v>19938.911366666674</v>
      </c>
      <c r="J802" s="129">
        <v>20646.69570967742</v>
      </c>
      <c r="K802" s="129">
        <v>20649.024233333337</v>
      </c>
      <c r="L802" s="21" t="s">
        <v>297</v>
      </c>
      <c r="M802" s="21" t="s">
        <v>297</v>
      </c>
      <c r="N802" s="21" t="s">
        <v>297</v>
      </c>
      <c r="O802" s="21" t="s">
        <v>297</v>
      </c>
      <c r="P802" s="21" t="s">
        <v>297</v>
      </c>
      <c r="Q802" s="21" t="s">
        <v>297</v>
      </c>
    </row>
    <row r="803" spans="1:17" ht="46.8" x14ac:dyDescent="0.25">
      <c r="A803" s="17" t="s">
        <v>125</v>
      </c>
      <c r="B803" s="17" t="s">
        <v>119</v>
      </c>
      <c r="C803" s="17" t="s">
        <v>126</v>
      </c>
      <c r="D803" s="35" t="s">
        <v>339</v>
      </c>
      <c r="E803" s="131">
        <f>AVERAGE(F803:K803)</f>
        <v>2.0160916752005462E-5</v>
      </c>
      <c r="F803" s="131">
        <f>'Baseline Emissions 2022'!F778</f>
        <v>1.9781451612903221E-5</v>
      </c>
      <c r="G803" s="131">
        <f>'Baseline Emissions 2022'!G778</f>
        <v>2.006369047619048E-5</v>
      </c>
      <c r="H803" s="131">
        <f>'Baseline Emissions 2022'!H778</f>
        <v>2.0756182795698919E-5</v>
      </c>
      <c r="I803" s="131">
        <f>'Baseline Emissions 2022'!I778</f>
        <v>2.0193611111111115E-5</v>
      </c>
      <c r="J803" s="131">
        <f>'Baseline Emissions 2022'!J778</f>
        <v>2.0633064516129032E-5</v>
      </c>
      <c r="K803" s="131">
        <f>'Baseline Emissions 2022'!K778</f>
        <v>1.9537500000000004E-5</v>
      </c>
      <c r="L803" s="24" t="s">
        <v>297</v>
      </c>
      <c r="M803" s="24" t="s">
        <v>297</v>
      </c>
      <c r="N803" s="24" t="s">
        <v>297</v>
      </c>
      <c r="O803" s="24" t="s">
        <v>297</v>
      </c>
      <c r="P803" s="24" t="s">
        <v>297</v>
      </c>
      <c r="Q803" s="24" t="s">
        <v>297</v>
      </c>
    </row>
    <row r="804" spans="1:17" ht="31.2" x14ac:dyDescent="0.25">
      <c r="A804" s="17" t="s">
        <v>127</v>
      </c>
      <c r="B804" s="17" t="s">
        <v>128</v>
      </c>
      <c r="C804" s="17" t="s">
        <v>17</v>
      </c>
      <c r="D804" s="17" t="s">
        <v>129</v>
      </c>
      <c r="E804" s="176">
        <v>28</v>
      </c>
      <c r="F804" s="176"/>
      <c r="G804" s="176"/>
      <c r="H804" s="176"/>
      <c r="I804" s="176"/>
      <c r="J804" s="176"/>
      <c r="K804" s="176"/>
      <c r="L804" s="176"/>
      <c r="M804" s="176"/>
      <c r="N804" s="176"/>
      <c r="O804" s="176"/>
      <c r="P804" s="176"/>
      <c r="Q804" s="176"/>
    </row>
    <row r="805" spans="1:17" ht="64.8" x14ac:dyDescent="0.25">
      <c r="A805" s="17" t="s">
        <v>130</v>
      </c>
      <c r="B805" s="17" t="s">
        <v>19</v>
      </c>
      <c r="C805" s="17" t="s">
        <v>131</v>
      </c>
      <c r="D805" s="17" t="s">
        <v>394</v>
      </c>
      <c r="E805" s="176">
        <v>0.21</v>
      </c>
      <c r="F805" s="176"/>
      <c r="G805" s="176"/>
      <c r="H805" s="176"/>
      <c r="I805" s="176"/>
      <c r="J805" s="176"/>
      <c r="K805" s="176"/>
      <c r="L805" s="176"/>
      <c r="M805" s="176"/>
      <c r="N805" s="176"/>
      <c r="O805" s="176"/>
      <c r="P805" s="176"/>
      <c r="Q805" s="176"/>
    </row>
    <row r="806" spans="1:17" ht="46.8" x14ac:dyDescent="0.25">
      <c r="A806" s="17" t="s">
        <v>132</v>
      </c>
      <c r="B806" s="17" t="s">
        <v>103</v>
      </c>
      <c r="C806" s="17" t="s">
        <v>133</v>
      </c>
      <c r="D806" s="17" t="s">
        <v>385</v>
      </c>
      <c r="E806" s="19">
        <f>SUM(F806:K806)</f>
        <v>0</v>
      </c>
      <c r="F806" s="19">
        <f>$E$804*$E$805*F807*F801*F794</f>
        <v>0</v>
      </c>
      <c r="G806" s="19">
        <f t="shared" ref="G806:K806" si="102">$E$804*$E$805*G807*G801*G794</f>
        <v>0</v>
      </c>
      <c r="H806" s="19">
        <f t="shared" si="102"/>
        <v>0</v>
      </c>
      <c r="I806" s="19">
        <f t="shared" si="102"/>
        <v>0</v>
      </c>
      <c r="J806" s="19">
        <f t="shared" si="102"/>
        <v>0</v>
      </c>
      <c r="K806" s="19">
        <f t="shared" si="102"/>
        <v>0</v>
      </c>
      <c r="L806" s="19" t="s">
        <v>297</v>
      </c>
      <c r="M806" s="19" t="s">
        <v>297</v>
      </c>
      <c r="N806" s="19" t="s">
        <v>297</v>
      </c>
      <c r="O806" s="19" t="s">
        <v>297</v>
      </c>
      <c r="P806" s="19" t="s">
        <v>297</v>
      </c>
      <c r="Q806" s="19" t="s">
        <v>297</v>
      </c>
    </row>
    <row r="807" spans="1:17" ht="18" x14ac:dyDescent="0.25">
      <c r="A807" s="17" t="s">
        <v>134</v>
      </c>
      <c r="B807" s="17" t="s">
        <v>37</v>
      </c>
      <c r="C807" s="17" t="s">
        <v>135</v>
      </c>
      <c r="D807" s="17" t="s">
        <v>386</v>
      </c>
      <c r="E807" s="26">
        <f>AVERAGE(F807:K807)</f>
        <v>0</v>
      </c>
      <c r="F807" s="26">
        <f>F808*$E$809*0.89</f>
        <v>0</v>
      </c>
      <c r="G807" s="26">
        <f t="shared" ref="G807:K807" si="103">G808*$E$809*0.89</f>
        <v>0</v>
      </c>
      <c r="H807" s="26">
        <f t="shared" si="103"/>
        <v>0</v>
      </c>
      <c r="I807" s="26">
        <f t="shared" si="103"/>
        <v>0</v>
      </c>
      <c r="J807" s="26">
        <f t="shared" si="103"/>
        <v>0</v>
      </c>
      <c r="K807" s="26">
        <f t="shared" si="103"/>
        <v>0</v>
      </c>
      <c r="L807" s="26" t="s">
        <v>297</v>
      </c>
      <c r="M807" s="26" t="s">
        <v>297</v>
      </c>
      <c r="N807" s="26" t="s">
        <v>297</v>
      </c>
      <c r="O807" s="26" t="s">
        <v>297</v>
      </c>
      <c r="P807" s="26" t="s">
        <v>297</v>
      </c>
      <c r="Q807" s="26" t="s">
        <v>297</v>
      </c>
    </row>
    <row r="808" spans="1:17" ht="31.2" x14ac:dyDescent="0.25">
      <c r="A808" s="17" t="s">
        <v>136</v>
      </c>
      <c r="B808" s="17" t="s">
        <v>37</v>
      </c>
      <c r="C808" s="17" t="s">
        <v>46</v>
      </c>
      <c r="D808" s="17" t="s">
        <v>387</v>
      </c>
      <c r="E808" s="25">
        <v>0</v>
      </c>
      <c r="F808" s="25">
        <v>0</v>
      </c>
      <c r="G808" s="25">
        <v>0</v>
      </c>
      <c r="H808" s="25">
        <v>0</v>
      </c>
      <c r="I808" s="25">
        <v>0</v>
      </c>
      <c r="J808" s="25">
        <v>0</v>
      </c>
      <c r="K808" s="25">
        <v>0</v>
      </c>
      <c r="L808" s="25" t="s">
        <v>297</v>
      </c>
      <c r="M808" s="25" t="s">
        <v>297</v>
      </c>
      <c r="N808" s="25" t="s">
        <v>297</v>
      </c>
      <c r="O808" s="25" t="s">
        <v>297</v>
      </c>
      <c r="P808" s="25" t="s">
        <v>297</v>
      </c>
      <c r="Q808" s="25" t="s">
        <v>297</v>
      </c>
    </row>
    <row r="809" spans="1:17" ht="31.2" x14ac:dyDescent="0.25">
      <c r="A809" s="17" t="s">
        <v>137</v>
      </c>
      <c r="B809" s="17" t="s">
        <v>201</v>
      </c>
      <c r="C809" s="17" t="s">
        <v>138</v>
      </c>
      <c r="D809" s="17" t="s">
        <v>388</v>
      </c>
      <c r="E809" s="196">
        <f>(F810*F815+G810*G815+H810*H815+I810*I815+J810*J815+K810*K815)/(F802*F803*F794+G803*G802*G794+H802*H803*H794+I803*I802*I794+J803*J802*J794+K803*K802*K794)</f>
        <v>0.51860608228226246</v>
      </c>
      <c r="F809" s="196"/>
      <c r="G809" s="196"/>
      <c r="H809" s="196"/>
      <c r="I809" s="196"/>
      <c r="J809" s="196"/>
      <c r="K809" s="196"/>
      <c r="L809" s="196"/>
      <c r="M809" s="196"/>
      <c r="N809" s="196"/>
      <c r="O809" s="196"/>
      <c r="P809" s="196"/>
      <c r="Q809" s="196"/>
    </row>
    <row r="810" spans="1:17" ht="31.2" x14ac:dyDescent="0.25">
      <c r="A810" s="17" t="s">
        <v>139</v>
      </c>
      <c r="B810" s="17" t="s">
        <v>37</v>
      </c>
      <c r="C810" s="17" t="s">
        <v>140</v>
      </c>
      <c r="D810" s="17" t="s">
        <v>375</v>
      </c>
      <c r="E810" s="27">
        <f>AVERAGE(F810:K810)</f>
        <v>0.51463670965197228</v>
      </c>
      <c r="F810" s="27">
        <f>IF(F814&lt;283,0,IF(F814&gt;303,1,EXP(($E$811*(F814-$E$812))/($E$813*$E$812*F814))))</f>
        <v>0.30881657019391506</v>
      </c>
      <c r="G810" s="27">
        <f t="shared" ref="G810:K810" si="104">IF(G814&lt;283,0,IF(G814&gt;303,1,EXP(($E$811*(G814-$E$812))/($E$813*$E$812*G814))))</f>
        <v>0.25708890533410012</v>
      </c>
      <c r="H810" s="27">
        <f t="shared" si="104"/>
        <v>0.46225423409862509</v>
      </c>
      <c r="I810" s="27">
        <f t="shared" si="104"/>
        <v>0.55084569341606926</v>
      </c>
      <c r="J810" s="27">
        <f t="shared" si="104"/>
        <v>0.62729263560178183</v>
      </c>
      <c r="K810" s="27">
        <f t="shared" si="104"/>
        <v>0.88152221926734242</v>
      </c>
      <c r="L810" s="27" t="s">
        <v>297</v>
      </c>
      <c r="M810" s="27" t="s">
        <v>297</v>
      </c>
      <c r="N810" s="27" t="s">
        <v>297</v>
      </c>
      <c r="O810" s="27" t="s">
        <v>297</v>
      </c>
      <c r="P810" s="27" t="s">
        <v>297</v>
      </c>
      <c r="Q810" s="27" t="s">
        <v>297</v>
      </c>
    </row>
    <row r="811" spans="1:17" x14ac:dyDescent="0.25">
      <c r="A811" s="17" t="s">
        <v>51</v>
      </c>
      <c r="B811" s="17" t="s">
        <v>52</v>
      </c>
      <c r="C811" s="17" t="s">
        <v>53</v>
      </c>
      <c r="D811" s="17" t="s">
        <v>389</v>
      </c>
      <c r="E811" s="176">
        <v>15175</v>
      </c>
      <c r="F811" s="176"/>
      <c r="G811" s="176"/>
      <c r="H811" s="176"/>
      <c r="I811" s="176"/>
      <c r="J811" s="176"/>
      <c r="K811" s="176"/>
      <c r="L811" s="176"/>
      <c r="M811" s="176"/>
      <c r="N811" s="176"/>
      <c r="O811" s="176"/>
      <c r="P811" s="176"/>
      <c r="Q811" s="176"/>
    </row>
    <row r="812" spans="1:17" ht="18" x14ac:dyDescent="0.25">
      <c r="A812" s="17" t="s">
        <v>141</v>
      </c>
      <c r="B812" s="17" t="s">
        <v>55</v>
      </c>
      <c r="C812" s="17" t="s">
        <v>56</v>
      </c>
      <c r="D812" s="17" t="s">
        <v>389</v>
      </c>
      <c r="E812" s="176">
        <v>303.16000000000003</v>
      </c>
      <c r="F812" s="176"/>
      <c r="G812" s="176"/>
      <c r="H812" s="176"/>
      <c r="I812" s="176"/>
      <c r="J812" s="176"/>
      <c r="K812" s="176"/>
      <c r="L812" s="176"/>
      <c r="M812" s="176"/>
      <c r="N812" s="176"/>
      <c r="O812" s="176"/>
      <c r="P812" s="176"/>
      <c r="Q812" s="176"/>
    </row>
    <row r="813" spans="1:17" x14ac:dyDescent="0.25">
      <c r="A813" s="17" t="s">
        <v>57</v>
      </c>
      <c r="B813" s="17" t="s">
        <v>58</v>
      </c>
      <c r="C813" s="17" t="s">
        <v>59</v>
      </c>
      <c r="D813" s="17" t="s">
        <v>389</v>
      </c>
      <c r="E813" s="176">
        <v>1.9870000000000001</v>
      </c>
      <c r="F813" s="176"/>
      <c r="G813" s="176"/>
      <c r="H813" s="176"/>
      <c r="I813" s="176"/>
      <c r="J813" s="176"/>
      <c r="K813" s="176"/>
      <c r="L813" s="176"/>
      <c r="M813" s="176"/>
      <c r="N813" s="176"/>
      <c r="O813" s="176"/>
      <c r="P813" s="176"/>
      <c r="Q813" s="176"/>
    </row>
    <row r="814" spans="1:17" ht="18" x14ac:dyDescent="0.25">
      <c r="A814" s="17" t="s">
        <v>142</v>
      </c>
      <c r="B814" s="17" t="s">
        <v>55</v>
      </c>
      <c r="C814" s="17" t="s">
        <v>143</v>
      </c>
      <c r="D814" s="144" t="s">
        <v>363</v>
      </c>
      <c r="E814" s="28">
        <f>AVERAGE(F814:K814)</f>
        <v>294.48333333333335</v>
      </c>
      <c r="F814" s="25">
        <v>289.64999999999998</v>
      </c>
      <c r="G814" s="25">
        <v>287.64999999999998</v>
      </c>
      <c r="H814" s="25">
        <v>294.14999999999998</v>
      </c>
      <c r="I814" s="25">
        <v>296.14999999999998</v>
      </c>
      <c r="J814" s="25">
        <v>297.64999999999998</v>
      </c>
      <c r="K814" s="25">
        <v>301.64999999999998</v>
      </c>
      <c r="L814" s="25" t="s">
        <v>297</v>
      </c>
      <c r="M814" s="25" t="s">
        <v>297</v>
      </c>
      <c r="N814" s="25" t="s">
        <v>297</v>
      </c>
      <c r="O814" s="25" t="s">
        <v>297</v>
      </c>
      <c r="P814" s="25" t="s">
        <v>297</v>
      </c>
      <c r="Q814" s="25" t="s">
        <v>297</v>
      </c>
    </row>
    <row r="815" spans="1:17" ht="46.8" x14ac:dyDescent="0.25">
      <c r="A815" s="17" t="s">
        <v>144</v>
      </c>
      <c r="B815" s="17" t="s">
        <v>24</v>
      </c>
      <c r="C815" s="17" t="s">
        <v>145</v>
      </c>
      <c r="D815" s="17" t="s">
        <v>390</v>
      </c>
      <c r="E815" s="29">
        <f>SUM(F815:K815)</f>
        <v>73.644034506264887</v>
      </c>
      <c r="F815" s="29">
        <f>F802*F803*'Project Emissions 2022'!F794+(1-F810)*0</f>
        <v>12.229367152862899</v>
      </c>
      <c r="G815" s="29">
        <f>G802*G803*'Project Emissions 2022'!G794+(1-G810)*0</f>
        <v>11.198629053920239</v>
      </c>
      <c r="H815" s="29">
        <f>H802*H803*'Project Emissions 2022'!H794+(1-H810)*0</f>
        <v>12.827827563895426</v>
      </c>
      <c r="I815" s="29">
        <f>I802*I803*'Project Emissions 2022'!I794+(1-I810)*0</f>
        <v>12.079158663521397</v>
      </c>
      <c r="J815" s="29">
        <f>J802*J803*'Project Emissions 2022'!J794+(1-J810)*0</f>
        <v>13.20614274330242</v>
      </c>
      <c r="K815" s="29">
        <f>K802*K803*'Project Emissions 2022'!K794+(1-K810)*0</f>
        <v>12.102909328762504</v>
      </c>
      <c r="L815" s="29" t="s">
        <v>297</v>
      </c>
      <c r="M815" s="29" t="s">
        <v>297</v>
      </c>
      <c r="N815" s="29" t="s">
        <v>297</v>
      </c>
      <c r="O815" s="29" t="s">
        <v>297</v>
      </c>
      <c r="P815" s="29" t="s">
        <v>297</v>
      </c>
      <c r="Q815" s="29" t="s">
        <v>297</v>
      </c>
    </row>
    <row r="816" spans="1:17" x14ac:dyDescent="0.3">
      <c r="A816" s="30"/>
      <c r="E816" s="31"/>
      <c r="F816" s="31"/>
      <c r="G816" s="31"/>
      <c r="H816" s="31"/>
      <c r="I816" s="31"/>
      <c r="J816" s="31"/>
      <c r="K816" s="31"/>
      <c r="L816" s="31"/>
      <c r="M816" s="31"/>
      <c r="N816" s="31"/>
      <c r="O816" s="31"/>
      <c r="P816" s="31"/>
      <c r="Q816" s="31"/>
    </row>
    <row r="817" spans="1:19" x14ac:dyDescent="0.25">
      <c r="A817" s="174" t="s">
        <v>146</v>
      </c>
      <c r="B817" s="174"/>
      <c r="C817" s="175"/>
      <c r="D817" s="175"/>
      <c r="E817" s="195"/>
      <c r="F817" s="32"/>
      <c r="G817" s="32"/>
      <c r="H817" s="32"/>
      <c r="I817" s="32"/>
      <c r="J817" s="32"/>
      <c r="K817" s="32"/>
      <c r="L817" s="32"/>
      <c r="M817" s="32"/>
      <c r="N817" s="32"/>
      <c r="O817" s="32"/>
      <c r="P817" s="32"/>
      <c r="Q817" s="32"/>
    </row>
    <row r="818" spans="1:19" x14ac:dyDescent="0.25">
      <c r="A818" s="33" t="s">
        <v>8</v>
      </c>
      <c r="B818" s="33" t="s">
        <v>9</v>
      </c>
      <c r="C818" s="34" t="s">
        <v>10</v>
      </c>
      <c r="D818" s="34" t="s">
        <v>340</v>
      </c>
      <c r="E818" s="16" t="s">
        <v>65</v>
      </c>
      <c r="F818" s="32"/>
      <c r="G818" s="32"/>
      <c r="H818" s="32"/>
      <c r="I818" s="32"/>
      <c r="J818" s="32"/>
      <c r="K818" s="32"/>
      <c r="L818" s="32"/>
      <c r="M818" s="32"/>
      <c r="N818" s="32"/>
      <c r="O818" s="32"/>
      <c r="P818" s="32"/>
      <c r="Q818" s="32"/>
    </row>
    <row r="819" spans="1:19" ht="46.8" x14ac:dyDescent="0.25">
      <c r="A819" s="15" t="s">
        <v>147</v>
      </c>
      <c r="B819" s="17" t="s">
        <v>95</v>
      </c>
      <c r="C819" s="35" t="s">
        <v>148</v>
      </c>
      <c r="D819" s="35" t="s">
        <v>68</v>
      </c>
      <c r="E819" s="16">
        <v>0</v>
      </c>
      <c r="F819" s="32"/>
      <c r="G819" s="32"/>
      <c r="H819" s="32"/>
      <c r="I819" s="32"/>
      <c r="J819" s="32"/>
      <c r="K819" s="32"/>
      <c r="L819" s="32"/>
      <c r="M819" s="32"/>
      <c r="N819" s="32"/>
      <c r="O819" s="32"/>
      <c r="P819" s="32"/>
      <c r="Q819" s="32"/>
    </row>
    <row r="820" spans="1:19" x14ac:dyDescent="0.25">
      <c r="A820" s="36"/>
      <c r="B820" s="36"/>
      <c r="C820" s="37"/>
      <c r="D820" s="37"/>
      <c r="E820" s="32"/>
      <c r="F820" s="32"/>
      <c r="G820" s="32"/>
      <c r="H820" s="32"/>
      <c r="I820" s="32"/>
      <c r="J820" s="32"/>
      <c r="K820" s="32"/>
      <c r="L820" s="32"/>
      <c r="M820" s="32"/>
      <c r="N820" s="32"/>
      <c r="O820" s="32"/>
      <c r="P820" s="32"/>
      <c r="Q820" s="32"/>
    </row>
    <row r="821" spans="1:19" x14ac:dyDescent="0.25">
      <c r="A821" s="174" t="s">
        <v>149</v>
      </c>
      <c r="B821" s="174"/>
      <c r="C821" s="175"/>
      <c r="D821" s="175"/>
      <c r="E821" s="195"/>
      <c r="F821" s="32"/>
      <c r="G821" s="32"/>
      <c r="H821" s="32"/>
      <c r="I821" s="32"/>
      <c r="J821" s="32"/>
      <c r="K821" s="32"/>
      <c r="L821" s="32"/>
      <c r="M821" s="32"/>
      <c r="N821" s="32"/>
      <c r="O821" s="32"/>
      <c r="P821" s="32"/>
      <c r="Q821" s="32"/>
    </row>
    <row r="822" spans="1:19" x14ac:dyDescent="0.25">
      <c r="A822" s="33" t="s">
        <v>8</v>
      </c>
      <c r="B822" s="33" t="s">
        <v>9</v>
      </c>
      <c r="C822" s="34" t="s">
        <v>10</v>
      </c>
      <c r="D822" s="34" t="s">
        <v>340</v>
      </c>
      <c r="E822" s="16" t="s">
        <v>65</v>
      </c>
      <c r="F822" s="32"/>
      <c r="G822" s="32"/>
      <c r="H822" s="32"/>
      <c r="I822" s="32"/>
      <c r="J822" s="32"/>
      <c r="K822" s="32"/>
      <c r="L822" s="32"/>
      <c r="M822" s="32"/>
      <c r="N822" s="32"/>
      <c r="O822" s="32"/>
      <c r="P822" s="32"/>
      <c r="Q822" s="32"/>
    </row>
    <row r="823" spans="1:19" ht="46.8" x14ac:dyDescent="0.25">
      <c r="A823" s="15" t="s">
        <v>150</v>
      </c>
      <c r="B823" s="17" t="s">
        <v>95</v>
      </c>
      <c r="C823" s="35" t="s">
        <v>151</v>
      </c>
      <c r="D823" s="35" t="s">
        <v>68</v>
      </c>
      <c r="E823" s="16">
        <v>0</v>
      </c>
      <c r="F823" s="32"/>
      <c r="G823" s="32"/>
      <c r="H823" s="32"/>
      <c r="I823" s="32"/>
      <c r="J823" s="32"/>
      <c r="K823" s="32"/>
      <c r="L823" s="32"/>
      <c r="M823" s="32"/>
      <c r="N823" s="32"/>
      <c r="O823" s="32"/>
      <c r="P823" s="32"/>
      <c r="Q823" s="32"/>
    </row>
    <row r="824" spans="1:19" x14ac:dyDescent="0.25">
      <c r="F824" s="32"/>
      <c r="G824" s="32"/>
      <c r="H824" s="32"/>
      <c r="I824" s="32"/>
      <c r="J824" s="32"/>
      <c r="K824" s="32"/>
      <c r="L824" s="32"/>
      <c r="M824" s="32"/>
      <c r="N824" s="32"/>
      <c r="O824" s="32"/>
      <c r="P824" s="32"/>
      <c r="Q824" s="32"/>
    </row>
    <row r="825" spans="1:19" x14ac:dyDescent="0.25">
      <c r="A825" s="174" t="s">
        <v>152</v>
      </c>
      <c r="B825" s="174"/>
      <c r="C825" s="175"/>
      <c r="D825" s="175"/>
      <c r="E825" s="195"/>
      <c r="F825" s="32"/>
      <c r="G825" s="32"/>
      <c r="H825" s="32"/>
      <c r="I825" s="32"/>
      <c r="J825" s="32"/>
      <c r="K825" s="32"/>
      <c r="L825" s="32"/>
      <c r="M825" s="32"/>
      <c r="N825" s="32"/>
      <c r="O825" s="32"/>
      <c r="P825" s="32"/>
      <c r="Q825" s="32"/>
    </row>
    <row r="826" spans="1:19" s="10" customFormat="1" x14ac:dyDescent="0.25">
      <c r="A826" s="15" t="s">
        <v>8</v>
      </c>
      <c r="B826" s="15" t="s">
        <v>9</v>
      </c>
      <c r="C826" s="38" t="s">
        <v>10</v>
      </c>
      <c r="D826" s="38" t="s">
        <v>340</v>
      </c>
      <c r="E826" s="16" t="s">
        <v>65</v>
      </c>
      <c r="F826" s="32"/>
      <c r="G826" s="32"/>
      <c r="H826" s="39"/>
      <c r="I826" s="39"/>
      <c r="J826" s="39"/>
      <c r="K826" s="39"/>
      <c r="L826" s="39"/>
      <c r="M826" s="39"/>
      <c r="N826" s="39"/>
      <c r="O826" s="39"/>
      <c r="P826" s="39"/>
      <c r="Q826" s="39"/>
    </row>
    <row r="827" spans="1:19" s="10" customFormat="1" ht="18" x14ac:dyDescent="0.4">
      <c r="A827" s="40" t="s">
        <v>153</v>
      </c>
      <c r="B827" s="17" t="s">
        <v>103</v>
      </c>
      <c r="C827" s="35" t="s">
        <v>154</v>
      </c>
      <c r="D827" s="35" t="s">
        <v>155</v>
      </c>
      <c r="E827" s="41">
        <f>E828*E830*(1+E829)</f>
        <v>871.56365752680006</v>
      </c>
      <c r="F827" s="32"/>
      <c r="G827" s="32"/>
      <c r="H827" s="39"/>
      <c r="I827" s="39"/>
      <c r="J827" s="39"/>
      <c r="K827" s="39"/>
      <c r="L827" s="39"/>
      <c r="M827" s="39"/>
      <c r="N827" s="39"/>
      <c r="O827" s="39"/>
      <c r="P827" s="39"/>
      <c r="Q827" s="39"/>
    </row>
    <row r="828" spans="1:19" ht="31.2" x14ac:dyDescent="0.25">
      <c r="A828" s="17" t="s">
        <v>156</v>
      </c>
      <c r="B828" s="17" t="s">
        <v>157</v>
      </c>
      <c r="C828" s="35" t="s">
        <v>158</v>
      </c>
      <c r="D828" s="35" t="s">
        <v>343</v>
      </c>
      <c r="E828" s="20">
        <f>1427342.14/1000</f>
        <v>1427.34214</v>
      </c>
      <c r="G828" s="42"/>
      <c r="H828" s="43"/>
      <c r="I828" s="43"/>
      <c r="J828" s="43"/>
      <c r="K828" s="43"/>
      <c r="L828" s="43"/>
      <c r="M828" s="43"/>
      <c r="N828" s="43"/>
      <c r="O828" s="43"/>
      <c r="P828" s="43"/>
      <c r="Q828" s="43"/>
      <c r="R828" s="9"/>
      <c r="S828" s="9"/>
    </row>
    <row r="829" spans="1:19" ht="31.2" x14ac:dyDescent="0.25">
      <c r="A829" s="17" t="s">
        <v>159</v>
      </c>
      <c r="B829" s="17" t="s">
        <v>160</v>
      </c>
      <c r="C829" s="35" t="s">
        <v>161</v>
      </c>
      <c r="D829" s="35" t="s">
        <v>162</v>
      </c>
      <c r="E829" s="44">
        <v>0.2</v>
      </c>
      <c r="H829" s="43"/>
      <c r="I829" s="43"/>
      <c r="J829" s="43"/>
      <c r="K829" s="43"/>
      <c r="L829" s="43"/>
      <c r="M829" s="43"/>
      <c r="N829" s="43"/>
      <c r="O829" s="43"/>
      <c r="P829" s="43"/>
      <c r="Q829" s="43"/>
      <c r="R829" s="9"/>
      <c r="S829" s="9"/>
    </row>
    <row r="830" spans="1:19" ht="46.8" x14ac:dyDescent="0.25">
      <c r="A830" s="17" t="s">
        <v>163</v>
      </c>
      <c r="B830" s="17" t="s">
        <v>164</v>
      </c>
      <c r="C830" s="35" t="s">
        <v>165</v>
      </c>
      <c r="D830" s="35" t="s">
        <v>166</v>
      </c>
      <c r="E830" s="45">
        <f>0.5*0.8042+0.5*0.2135</f>
        <v>0.50885000000000002</v>
      </c>
      <c r="F830" s="46"/>
      <c r="G830" s="46"/>
      <c r="H830" s="46"/>
      <c r="I830" s="46"/>
      <c r="J830" s="46"/>
      <c r="K830" s="46"/>
      <c r="L830" s="46"/>
      <c r="M830" s="46"/>
      <c r="N830" s="46"/>
      <c r="O830" s="46"/>
      <c r="P830" s="46"/>
      <c r="Q830" s="46"/>
    </row>
    <row r="831" spans="1:19" ht="31.2" x14ac:dyDescent="0.4">
      <c r="A831" s="40" t="s">
        <v>167</v>
      </c>
      <c r="B831" s="17" t="s">
        <v>103</v>
      </c>
      <c r="C831" s="35" t="s">
        <v>168</v>
      </c>
      <c r="D831" s="35" t="s">
        <v>169</v>
      </c>
      <c r="E831" s="47">
        <v>0</v>
      </c>
      <c r="H831" s="43"/>
      <c r="I831" s="43"/>
      <c r="J831" s="43"/>
      <c r="K831" s="43"/>
      <c r="L831" s="43"/>
      <c r="M831" s="43"/>
      <c r="N831" s="43"/>
      <c r="O831" s="43"/>
      <c r="P831" s="43"/>
      <c r="Q831" s="43"/>
      <c r="R831" s="9"/>
      <c r="S831" s="9"/>
    </row>
    <row r="832" spans="1:19" x14ac:dyDescent="0.3">
      <c r="A832" s="48"/>
      <c r="E832" s="49"/>
      <c r="H832" s="43"/>
      <c r="I832" s="43"/>
      <c r="J832" s="43"/>
      <c r="K832" s="43"/>
      <c r="L832" s="43"/>
      <c r="M832" s="43"/>
      <c r="N832" s="43"/>
      <c r="O832" s="43"/>
      <c r="P832" s="43"/>
      <c r="Q832" s="43"/>
      <c r="R832" s="9"/>
      <c r="S832" s="9"/>
    </row>
    <row r="833" spans="1:133" x14ac:dyDescent="0.25">
      <c r="A833" s="174" t="s">
        <v>170</v>
      </c>
      <c r="B833" s="174"/>
      <c r="C833" s="175"/>
      <c r="D833" s="175"/>
      <c r="E833" s="195"/>
      <c r="F833" s="32"/>
      <c r="G833" s="32"/>
      <c r="H833" s="32"/>
      <c r="I833" s="32"/>
      <c r="J833" s="32"/>
      <c r="K833" s="32"/>
      <c r="L833" s="32"/>
      <c r="M833" s="32"/>
      <c r="N833" s="32"/>
      <c r="O833" s="32"/>
      <c r="P833" s="32"/>
      <c r="Q833" s="32"/>
    </row>
    <row r="834" spans="1:133" x14ac:dyDescent="0.25">
      <c r="A834" s="15" t="s">
        <v>8</v>
      </c>
      <c r="B834" s="15" t="s">
        <v>9</v>
      </c>
      <c r="C834" s="38" t="s">
        <v>10</v>
      </c>
      <c r="D834" s="38" t="s">
        <v>340</v>
      </c>
      <c r="E834" s="16" t="s">
        <v>65</v>
      </c>
      <c r="H834" s="43"/>
      <c r="I834" s="43"/>
      <c r="J834" s="43"/>
      <c r="K834" s="43"/>
      <c r="L834" s="43"/>
      <c r="M834" s="43"/>
      <c r="N834" s="43"/>
      <c r="O834" s="43"/>
      <c r="P834" s="43"/>
      <c r="Q834" s="43"/>
      <c r="R834" s="9"/>
      <c r="S834" s="9"/>
    </row>
    <row r="835" spans="1:133" ht="33.6" x14ac:dyDescent="0.4">
      <c r="A835" s="40" t="s">
        <v>171</v>
      </c>
      <c r="B835" s="17" t="s">
        <v>74</v>
      </c>
      <c r="C835" s="35" t="s">
        <v>172</v>
      </c>
      <c r="D835" s="35" t="s">
        <v>391</v>
      </c>
      <c r="E835" s="50">
        <f>E836*E839*E840*E841*E842*E843</f>
        <v>13.767643313266753</v>
      </c>
      <c r="H835" s="43"/>
      <c r="I835" s="43"/>
      <c r="J835" s="43"/>
      <c r="K835" s="43"/>
      <c r="L835" s="43"/>
      <c r="M835" s="43"/>
      <c r="N835" s="43"/>
      <c r="O835" s="43"/>
      <c r="P835" s="43"/>
      <c r="Q835" s="43"/>
      <c r="R835" s="9"/>
      <c r="S835" s="9"/>
    </row>
    <row r="836" spans="1:133" ht="46.8" x14ac:dyDescent="0.4">
      <c r="A836" s="51" t="s">
        <v>173</v>
      </c>
      <c r="B836" s="17" t="s">
        <v>76</v>
      </c>
      <c r="C836" s="35" t="s">
        <v>174</v>
      </c>
      <c r="D836" s="35" t="s">
        <v>392</v>
      </c>
      <c r="E836" s="69">
        <f>ROUNDUP(E837/E838,0)</f>
        <v>446</v>
      </c>
      <c r="H836" s="43"/>
      <c r="I836" s="43"/>
      <c r="J836" s="43"/>
      <c r="K836" s="43"/>
      <c r="L836" s="43"/>
      <c r="M836" s="43"/>
      <c r="N836" s="43"/>
      <c r="O836" s="43"/>
      <c r="P836" s="43"/>
      <c r="Q836" s="43"/>
      <c r="R836" s="9"/>
      <c r="S836" s="9"/>
    </row>
    <row r="837" spans="1:133" ht="62.4" x14ac:dyDescent="0.25">
      <c r="A837" s="17" t="s">
        <v>175</v>
      </c>
      <c r="B837" s="17" t="s">
        <v>78</v>
      </c>
      <c r="C837" s="35" t="s">
        <v>176</v>
      </c>
      <c r="D837" s="35" t="s">
        <v>346</v>
      </c>
      <c r="E837" s="52">
        <v>2228.04</v>
      </c>
      <c r="H837" s="43"/>
      <c r="I837" s="43"/>
      <c r="J837" s="43"/>
      <c r="K837" s="43"/>
      <c r="L837" s="43"/>
      <c r="M837" s="43"/>
      <c r="N837" s="43"/>
      <c r="O837" s="43"/>
      <c r="P837" s="43"/>
      <c r="Q837" s="43"/>
      <c r="R837" s="9"/>
      <c r="S837" s="9"/>
    </row>
    <row r="838" spans="1:133" ht="62.4" x14ac:dyDescent="0.25">
      <c r="A838" s="17" t="s">
        <v>177</v>
      </c>
      <c r="B838" s="17" t="s">
        <v>80</v>
      </c>
      <c r="C838" s="35" t="s">
        <v>81</v>
      </c>
      <c r="D838" s="35" t="s">
        <v>345</v>
      </c>
      <c r="E838" s="25">
        <f>5</f>
        <v>5</v>
      </c>
      <c r="H838" s="43"/>
      <c r="I838" s="43"/>
      <c r="J838" s="43"/>
      <c r="K838" s="43"/>
      <c r="L838" s="43"/>
      <c r="M838" s="43"/>
      <c r="N838" s="43"/>
      <c r="O838" s="43"/>
      <c r="P838" s="43"/>
      <c r="Q838" s="43"/>
      <c r="R838" s="9"/>
      <c r="S838" s="9"/>
    </row>
    <row r="839" spans="1:133" ht="202.8" x14ac:dyDescent="0.25">
      <c r="A839" s="17" t="s">
        <v>178</v>
      </c>
      <c r="B839" s="17" t="s">
        <v>82</v>
      </c>
      <c r="C839" s="35" t="s">
        <v>179</v>
      </c>
      <c r="D839" s="35" t="s">
        <v>367</v>
      </c>
      <c r="E839" s="25">
        <v>45.6</v>
      </c>
      <c r="H839" s="43"/>
      <c r="I839" s="43"/>
      <c r="J839" s="43"/>
      <c r="K839" s="43"/>
      <c r="L839" s="43"/>
      <c r="M839" s="43"/>
      <c r="N839" s="43"/>
      <c r="O839" s="43"/>
      <c r="P839" s="43"/>
      <c r="Q839" s="43"/>
      <c r="R839" s="9"/>
      <c r="S839" s="9"/>
    </row>
    <row r="840" spans="1:133" ht="156" x14ac:dyDescent="0.25">
      <c r="A840" s="17" t="s">
        <v>180</v>
      </c>
      <c r="B840" s="17" t="s">
        <v>84</v>
      </c>
      <c r="C840" s="35" t="s">
        <v>85</v>
      </c>
      <c r="D840" s="35" t="s">
        <v>365</v>
      </c>
      <c r="E840" s="25">
        <f>25.1/100</f>
        <v>0.251</v>
      </c>
      <c r="H840" s="43"/>
      <c r="I840" s="43"/>
      <c r="J840" s="43"/>
      <c r="K840" s="43"/>
      <c r="L840" s="43"/>
      <c r="M840" s="43"/>
      <c r="N840" s="43"/>
      <c r="O840" s="43"/>
      <c r="P840" s="43"/>
      <c r="Q840" s="43"/>
      <c r="R840" s="9"/>
      <c r="S840" s="9"/>
    </row>
    <row r="841" spans="1:133" ht="62.4" x14ac:dyDescent="0.25">
      <c r="A841" s="17" t="s">
        <v>86</v>
      </c>
      <c r="B841" s="17" t="s">
        <v>87</v>
      </c>
      <c r="C841" s="35" t="s">
        <v>86</v>
      </c>
      <c r="D841" s="35" t="s">
        <v>215</v>
      </c>
      <c r="E841" s="25">
        <f>0.84/1000</f>
        <v>8.3999999999999993E-4</v>
      </c>
      <c r="H841" s="43"/>
      <c r="I841" s="43"/>
      <c r="J841" s="43"/>
      <c r="K841" s="43"/>
      <c r="L841" s="43"/>
      <c r="M841" s="43"/>
      <c r="N841" s="43"/>
      <c r="O841" s="43"/>
      <c r="P841" s="43"/>
      <c r="Q841" s="43"/>
      <c r="R841" s="9"/>
      <c r="S841" s="9"/>
    </row>
    <row r="842" spans="1:133" ht="124.8" x14ac:dyDescent="0.25">
      <c r="A842" s="17" t="s">
        <v>181</v>
      </c>
      <c r="B842" s="17" t="s">
        <v>88</v>
      </c>
      <c r="C842" s="35" t="s">
        <v>89</v>
      </c>
      <c r="D842" s="35" t="s">
        <v>360</v>
      </c>
      <c r="E842" s="25">
        <f>43.33/1000</f>
        <v>4.333E-2</v>
      </c>
      <c r="H842" s="43"/>
      <c r="I842" s="43"/>
      <c r="J842" s="43"/>
      <c r="K842" s="43"/>
      <c r="L842" s="43"/>
      <c r="M842" s="43"/>
      <c r="N842" s="43"/>
      <c r="O842" s="43"/>
      <c r="P842" s="43"/>
      <c r="Q842" s="43"/>
      <c r="R842" s="9"/>
      <c r="S842" s="9"/>
    </row>
    <row r="843" spans="1:133" ht="33.6" x14ac:dyDescent="0.25">
      <c r="A843" s="17" t="s">
        <v>182</v>
      </c>
      <c r="B843" s="17" t="s">
        <v>90</v>
      </c>
      <c r="C843" s="35" t="s">
        <v>91</v>
      </c>
      <c r="D843" s="35" t="s">
        <v>92</v>
      </c>
      <c r="E843" s="25">
        <v>74.099999999999994</v>
      </c>
      <c r="H843" s="43"/>
      <c r="I843" s="43"/>
      <c r="J843" s="43"/>
      <c r="K843" s="43"/>
      <c r="L843" s="43"/>
      <c r="M843" s="43"/>
      <c r="N843" s="43"/>
      <c r="O843" s="43"/>
      <c r="P843" s="43"/>
      <c r="Q843" s="43"/>
      <c r="R843" s="9"/>
      <c r="S843" s="9"/>
    </row>
    <row r="845" spans="1:133" x14ac:dyDescent="0.25">
      <c r="A845" s="33" t="s">
        <v>8</v>
      </c>
      <c r="B845" s="33" t="s">
        <v>9</v>
      </c>
      <c r="C845" s="34" t="s">
        <v>10</v>
      </c>
      <c r="D845" s="34" t="s">
        <v>340</v>
      </c>
      <c r="E845" s="16" t="s">
        <v>65</v>
      </c>
    </row>
    <row r="846" spans="1:133" ht="18" x14ac:dyDescent="0.25">
      <c r="A846" s="15" t="s">
        <v>183</v>
      </c>
      <c r="B846" s="17" t="s">
        <v>103</v>
      </c>
      <c r="C846" s="35" t="s">
        <v>184</v>
      </c>
      <c r="D846" s="53" t="s">
        <v>393</v>
      </c>
      <c r="E846" s="18">
        <f>ROUNDUP(E795+E819+E823+E827+E835,0)</f>
        <v>886</v>
      </c>
    </row>
    <row r="847" spans="1:133" s="200" customFormat="1" ht="43.2" customHeight="1" x14ac:dyDescent="0.25">
      <c r="A847" s="197" t="s">
        <v>238</v>
      </c>
      <c r="B847" s="198"/>
      <c r="C847" s="198"/>
      <c r="D847" s="198"/>
      <c r="E847" s="198"/>
      <c r="F847" s="198"/>
      <c r="G847" s="198"/>
      <c r="H847" s="198"/>
      <c r="I847" s="198"/>
      <c r="J847" s="198"/>
      <c r="K847" s="198"/>
      <c r="L847" s="198"/>
      <c r="M847" s="198"/>
      <c r="N847" s="198"/>
      <c r="O847" s="198"/>
      <c r="P847" s="198"/>
      <c r="Q847" s="198"/>
      <c r="R847" s="198"/>
      <c r="S847" s="198"/>
      <c r="T847" s="198"/>
      <c r="U847" s="198"/>
      <c r="V847" s="198"/>
      <c r="W847" s="198"/>
      <c r="X847" s="198"/>
      <c r="Y847" s="198"/>
      <c r="Z847" s="198"/>
      <c r="AA847" s="198"/>
      <c r="AB847" s="198"/>
      <c r="AC847" s="198"/>
      <c r="AD847" s="198"/>
      <c r="AE847" s="198"/>
      <c r="AF847" s="198"/>
      <c r="AG847" s="198"/>
      <c r="AH847" s="198"/>
      <c r="AI847" s="198"/>
      <c r="AJ847" s="198"/>
      <c r="AK847" s="198"/>
      <c r="AL847" s="198"/>
      <c r="AM847" s="198"/>
      <c r="AN847" s="198"/>
      <c r="AO847" s="198"/>
      <c r="AP847" s="198"/>
      <c r="AQ847" s="198"/>
      <c r="AR847" s="198"/>
      <c r="AS847" s="198"/>
      <c r="AT847" s="198"/>
      <c r="AU847" s="198"/>
      <c r="AV847" s="198"/>
      <c r="AW847" s="198"/>
      <c r="AX847" s="198"/>
      <c r="AY847" s="198"/>
      <c r="AZ847" s="198"/>
      <c r="BA847" s="198"/>
      <c r="BB847" s="198"/>
      <c r="BC847" s="198"/>
      <c r="BD847" s="198"/>
      <c r="BE847" s="198"/>
      <c r="BF847" s="198"/>
      <c r="BG847" s="198"/>
      <c r="BH847" s="198"/>
      <c r="BI847" s="198"/>
      <c r="BJ847" s="198"/>
      <c r="BK847" s="198"/>
      <c r="BL847" s="198"/>
      <c r="BM847" s="198"/>
      <c r="BN847" s="198"/>
      <c r="BO847" s="198"/>
      <c r="BP847" s="198"/>
      <c r="BQ847" s="198"/>
      <c r="BR847" s="198"/>
      <c r="BS847" s="198"/>
      <c r="BT847" s="198"/>
      <c r="BU847" s="198"/>
      <c r="BV847" s="198"/>
      <c r="BW847" s="198"/>
      <c r="BX847" s="198"/>
      <c r="BY847" s="198"/>
      <c r="BZ847" s="198"/>
      <c r="CA847" s="198"/>
      <c r="CB847" s="198"/>
      <c r="CC847" s="198"/>
      <c r="CD847" s="198"/>
      <c r="CE847" s="198"/>
      <c r="CF847" s="198"/>
      <c r="CG847" s="198"/>
      <c r="CH847" s="198"/>
      <c r="CI847" s="198"/>
      <c r="CJ847" s="198"/>
      <c r="CK847" s="198"/>
      <c r="CL847" s="198"/>
      <c r="CM847" s="198"/>
      <c r="CN847" s="198"/>
      <c r="CO847" s="198"/>
      <c r="CP847" s="198"/>
      <c r="CQ847" s="198"/>
      <c r="CR847" s="198"/>
      <c r="CS847" s="198"/>
      <c r="CT847" s="198"/>
      <c r="CU847" s="198"/>
      <c r="CV847" s="198"/>
      <c r="CW847" s="198"/>
      <c r="CX847" s="198"/>
      <c r="CY847" s="198"/>
      <c r="CZ847" s="198"/>
      <c r="DA847" s="198"/>
      <c r="DB847" s="198"/>
      <c r="DC847" s="198"/>
      <c r="DD847" s="198"/>
      <c r="DE847" s="198"/>
      <c r="DF847" s="198"/>
      <c r="DG847" s="198"/>
      <c r="DH847" s="198"/>
      <c r="DI847" s="198"/>
      <c r="DJ847" s="198"/>
      <c r="DK847" s="198"/>
      <c r="DL847" s="198"/>
      <c r="DM847" s="198"/>
      <c r="DN847" s="198"/>
      <c r="DO847" s="198"/>
      <c r="DP847" s="198"/>
      <c r="DQ847" s="198"/>
      <c r="DR847" s="198"/>
      <c r="DS847" s="198"/>
      <c r="DT847" s="198"/>
      <c r="DU847" s="198"/>
      <c r="DV847" s="198"/>
      <c r="DW847" s="198"/>
      <c r="DX847" s="198"/>
      <c r="DY847" s="198"/>
      <c r="DZ847" s="198"/>
      <c r="EA847" s="198"/>
      <c r="EB847" s="198"/>
      <c r="EC847" s="199"/>
    </row>
    <row r="848" spans="1:133" ht="23.4" customHeight="1" x14ac:dyDescent="0.25">
      <c r="A848" s="201" t="s">
        <v>105</v>
      </c>
      <c r="B848" s="201"/>
      <c r="C848" s="201"/>
      <c r="D848" s="201"/>
      <c r="E848" s="201"/>
      <c r="F848" s="201"/>
      <c r="G848" s="201"/>
      <c r="H848" s="201"/>
      <c r="I848" s="201"/>
      <c r="J848" s="201"/>
      <c r="K848" s="201"/>
      <c r="L848" s="201"/>
      <c r="M848" s="201"/>
      <c r="N848" s="201"/>
      <c r="O848" s="201"/>
      <c r="P848" s="201"/>
      <c r="Q848" s="202"/>
    </row>
    <row r="849" spans="1:19" s="10" customFormat="1" ht="31.2" x14ac:dyDescent="0.25">
      <c r="A849" s="15" t="s">
        <v>8</v>
      </c>
      <c r="B849" s="15" t="s">
        <v>9</v>
      </c>
      <c r="C849" s="15" t="s">
        <v>10</v>
      </c>
      <c r="D849" s="15" t="s">
        <v>340</v>
      </c>
      <c r="E849" s="16" t="s">
        <v>11</v>
      </c>
      <c r="F849" s="16" t="s">
        <v>322</v>
      </c>
      <c r="G849" s="16" t="s">
        <v>323</v>
      </c>
      <c r="H849" s="16" t="s">
        <v>324</v>
      </c>
      <c r="I849" s="16" t="s">
        <v>325</v>
      </c>
      <c r="J849" s="16" t="s">
        <v>326</v>
      </c>
      <c r="K849" s="16" t="s">
        <v>329</v>
      </c>
      <c r="L849" s="16" t="s">
        <v>292</v>
      </c>
      <c r="M849" s="16" t="s">
        <v>292</v>
      </c>
      <c r="N849" s="16" t="s">
        <v>292</v>
      </c>
      <c r="O849" s="16" t="s">
        <v>292</v>
      </c>
      <c r="P849" s="16" t="s">
        <v>292</v>
      </c>
      <c r="Q849" s="16" t="s">
        <v>292</v>
      </c>
      <c r="R849" s="54"/>
      <c r="S849" s="54"/>
    </row>
    <row r="850" spans="1:19" s="10" customFormat="1" x14ac:dyDescent="0.25">
      <c r="A850" s="203" t="s">
        <v>106</v>
      </c>
      <c r="B850" s="203"/>
      <c r="C850" s="203"/>
      <c r="D850" s="203"/>
      <c r="E850" s="204"/>
      <c r="F850" s="16">
        <v>31</v>
      </c>
      <c r="G850" s="16">
        <v>28</v>
      </c>
      <c r="H850" s="16">
        <v>31</v>
      </c>
      <c r="I850" s="16">
        <v>30</v>
      </c>
      <c r="J850" s="16">
        <v>31</v>
      </c>
      <c r="K850" s="16">
        <v>30</v>
      </c>
      <c r="L850" s="16" t="s">
        <v>292</v>
      </c>
      <c r="M850" s="16" t="s">
        <v>292</v>
      </c>
      <c r="N850" s="16" t="s">
        <v>292</v>
      </c>
      <c r="O850" s="16" t="s">
        <v>292</v>
      </c>
      <c r="P850" s="16" t="s">
        <v>292</v>
      </c>
      <c r="Q850" s="16" t="s">
        <v>292</v>
      </c>
      <c r="R850" s="54"/>
      <c r="S850" s="54"/>
    </row>
    <row r="851" spans="1:19" s="10" customFormat="1" ht="31.2" x14ac:dyDescent="0.25">
      <c r="A851" s="15" t="s">
        <v>107</v>
      </c>
      <c r="B851" s="17" t="s">
        <v>103</v>
      </c>
      <c r="C851" s="17" t="s">
        <v>108</v>
      </c>
      <c r="D851" s="17" t="s">
        <v>381</v>
      </c>
      <c r="E851" s="18">
        <f>E852+E862</f>
        <v>0</v>
      </c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54"/>
      <c r="S851" s="54"/>
    </row>
    <row r="852" spans="1:19" ht="46.8" x14ac:dyDescent="0.25">
      <c r="A852" s="17" t="s">
        <v>109</v>
      </c>
      <c r="B852" s="17" t="s">
        <v>103</v>
      </c>
      <c r="C852" s="17" t="s">
        <v>110</v>
      </c>
      <c r="D852" s="17" t="s">
        <v>382</v>
      </c>
      <c r="E852" s="19">
        <f>SUM(F852:K852)</f>
        <v>0</v>
      </c>
      <c r="F852" s="19">
        <f>IF(F853&gt;=0.8,0,$E$860*$E$861*0.4*(F854-F857)*F850)</f>
        <v>0</v>
      </c>
      <c r="G852" s="19">
        <f t="shared" ref="G852:K852" si="105">IF(G853&gt;=0.8,0,$E$860*$E$861*0.4*(G854-G857)*G850)</f>
        <v>0</v>
      </c>
      <c r="H852" s="19">
        <f t="shared" si="105"/>
        <v>0</v>
      </c>
      <c r="I852" s="19">
        <f t="shared" si="105"/>
        <v>0</v>
      </c>
      <c r="J852" s="19">
        <f t="shared" si="105"/>
        <v>0</v>
      </c>
      <c r="K852" s="19">
        <f t="shared" si="105"/>
        <v>0</v>
      </c>
      <c r="L852" s="19" t="s">
        <v>297</v>
      </c>
      <c r="M852" s="19" t="s">
        <v>297</v>
      </c>
      <c r="N852" s="19" t="s">
        <v>297</v>
      </c>
      <c r="O852" s="19" t="s">
        <v>297</v>
      </c>
      <c r="P852" s="19" t="s">
        <v>297</v>
      </c>
      <c r="Q852" s="19" t="s">
        <v>297</v>
      </c>
    </row>
    <row r="853" spans="1:19" ht="62.4" x14ac:dyDescent="0.25">
      <c r="A853" s="17" t="s">
        <v>111</v>
      </c>
      <c r="B853" s="17" t="s">
        <v>37</v>
      </c>
      <c r="C853" s="17" t="s">
        <v>112</v>
      </c>
      <c r="D853" s="17" t="s">
        <v>383</v>
      </c>
      <c r="E853" s="20">
        <f>AVERAGE(F853:K853)</f>
        <v>0.9545143806873374</v>
      </c>
      <c r="F853" s="20">
        <f>(F854-F857)/F854</f>
        <v>0.95465500832706596</v>
      </c>
      <c r="G853" s="20">
        <f t="shared" ref="G853:K853" si="106">(G854-G857)/G854</f>
        <v>0.95528558246784678</v>
      </c>
      <c r="H853" s="20">
        <f t="shared" si="106"/>
        <v>0.95567617763953772</v>
      </c>
      <c r="I853" s="20">
        <f t="shared" si="106"/>
        <v>0.95415066381592128</v>
      </c>
      <c r="J853" s="20">
        <f t="shared" si="106"/>
        <v>0.95428621515046452</v>
      </c>
      <c r="K853" s="20">
        <f t="shared" si="106"/>
        <v>0.95303263672318805</v>
      </c>
      <c r="L853" s="20" t="s">
        <v>297</v>
      </c>
      <c r="M853" s="20" t="s">
        <v>297</v>
      </c>
      <c r="N853" s="20" t="s">
        <v>297</v>
      </c>
      <c r="O853" s="20" t="s">
        <v>297</v>
      </c>
      <c r="P853" s="20" t="s">
        <v>297</v>
      </c>
      <c r="Q853" s="20" t="s">
        <v>297</v>
      </c>
    </row>
    <row r="854" spans="1:19" ht="46.8" x14ac:dyDescent="0.25">
      <c r="A854" s="17" t="s">
        <v>113</v>
      </c>
      <c r="B854" s="17" t="s">
        <v>24</v>
      </c>
      <c r="C854" s="17" t="s">
        <v>114</v>
      </c>
      <c r="D854" s="17" t="s">
        <v>384</v>
      </c>
      <c r="E854" s="20">
        <f>SUM(F854:K854)</f>
        <v>12.703580300531677</v>
      </c>
      <c r="F854" s="20">
        <f>F855*F856</f>
        <v>2.0657091751272634</v>
      </c>
      <c r="G854" s="20">
        <f t="shared" ref="G854:K854" si="107">G855*G856</f>
        <v>2.0669359070153055</v>
      </c>
      <c r="H854" s="20">
        <f t="shared" si="107"/>
        <v>2.0684332204273237</v>
      </c>
      <c r="I854" s="20">
        <f t="shared" si="107"/>
        <v>2.0665454437038888</v>
      </c>
      <c r="J854" s="20">
        <f t="shared" si="107"/>
        <v>2.2676371474646726</v>
      </c>
      <c r="K854" s="20">
        <f t="shared" si="107"/>
        <v>2.1683194067932225</v>
      </c>
      <c r="L854" s="20" t="s">
        <v>297</v>
      </c>
      <c r="M854" s="20" t="s">
        <v>297</v>
      </c>
      <c r="N854" s="20" t="s">
        <v>297</v>
      </c>
      <c r="O854" s="20" t="s">
        <v>297</v>
      </c>
      <c r="P854" s="20" t="s">
        <v>297</v>
      </c>
      <c r="Q854" s="20" t="s">
        <v>297</v>
      </c>
    </row>
    <row r="855" spans="1:19" ht="71.400000000000006" customHeight="1" x14ac:dyDescent="0.25">
      <c r="A855" s="17" t="s">
        <v>115</v>
      </c>
      <c r="B855" s="17" t="s">
        <v>116</v>
      </c>
      <c r="C855" s="17" t="s">
        <v>117</v>
      </c>
      <c r="D855" s="17" t="s">
        <v>336</v>
      </c>
      <c r="E855" s="129">
        <f>SUM(F855:K855)</f>
        <v>30048.931717050691</v>
      </c>
      <c r="F855" s="129">
        <f>'Baseline Emissions 2022'!F827</f>
        <v>4851.3234516129032</v>
      </c>
      <c r="G855" s="129">
        <f>'Baseline Emissions 2022'!G827</f>
        <v>4851.8571428571431</v>
      </c>
      <c r="H855" s="129">
        <f>'Baseline Emissions 2022'!H827</f>
        <v>4851.6226129032257</v>
      </c>
      <c r="I855" s="129">
        <f>'Baseline Emissions 2022'!I827</f>
        <v>4850.8779999999997</v>
      </c>
      <c r="J855" s="129">
        <f>'Baseline Emissions 2022'!J827</f>
        <v>5320.7047096774195</v>
      </c>
      <c r="K855" s="129">
        <f>'Baseline Emissions 2022'!K827</f>
        <v>5322.5458000000008</v>
      </c>
      <c r="L855" s="21" t="s">
        <v>297</v>
      </c>
      <c r="M855" s="21" t="s">
        <v>297</v>
      </c>
      <c r="N855" s="21" t="s">
        <v>297</v>
      </c>
      <c r="O855" s="21" t="s">
        <v>297</v>
      </c>
      <c r="P855" s="21" t="s">
        <v>297</v>
      </c>
      <c r="Q855" s="21" t="s">
        <v>297</v>
      </c>
    </row>
    <row r="856" spans="1:19" ht="46.8" x14ac:dyDescent="0.25">
      <c r="A856" s="17" t="s">
        <v>118</v>
      </c>
      <c r="B856" s="17" t="s">
        <v>119</v>
      </c>
      <c r="C856" s="17" t="s">
        <v>120</v>
      </c>
      <c r="D856" s="35" t="s">
        <v>338</v>
      </c>
      <c r="E856" s="120">
        <f>AVERAGE(F856:K856)</f>
        <v>4.2295677216675208E-4</v>
      </c>
      <c r="F856" s="130">
        <f>'Baseline Emissions 2022'!F831</f>
        <v>4.258032258064516E-4</v>
      </c>
      <c r="G856" s="130">
        <f>'Baseline Emissions 2022'!G831</f>
        <v>4.2600922619047605E-4</v>
      </c>
      <c r="H856" s="130">
        <f>'Baseline Emissions 2022'!H831</f>
        <v>4.2633844086021504E-4</v>
      </c>
      <c r="I856" s="130">
        <f>'Baseline Emissions 2022'!I831</f>
        <v>4.2601472222222224E-4</v>
      </c>
      <c r="J856" s="130">
        <f>'Baseline Emissions 2022'!J831</f>
        <v>4.2619112903225816E-4</v>
      </c>
      <c r="K856" s="130">
        <f>'Baseline Emissions 2022'!K831</f>
        <v>4.0738388888888891E-4</v>
      </c>
      <c r="L856" s="23" t="s">
        <v>297</v>
      </c>
      <c r="M856" s="23" t="s">
        <v>297</v>
      </c>
      <c r="N856" s="23" t="s">
        <v>297</v>
      </c>
      <c r="O856" s="23" t="s">
        <v>297</v>
      </c>
      <c r="P856" s="23" t="s">
        <v>297</v>
      </c>
      <c r="Q856" s="23" t="s">
        <v>297</v>
      </c>
    </row>
    <row r="857" spans="1:19" ht="46.8" x14ac:dyDescent="0.25">
      <c r="A857" s="17" t="s">
        <v>121</v>
      </c>
      <c r="B857" s="17" t="s">
        <v>24</v>
      </c>
      <c r="C857" s="17" t="s">
        <v>122</v>
      </c>
      <c r="D857" s="17" t="s">
        <v>384</v>
      </c>
      <c r="E857" s="20">
        <f>SUM(F857:K857)</f>
        <v>0.57802452587311959</v>
      </c>
      <c r="F857" s="20">
        <f>SUM(F858*F859)</f>
        <v>9.3669565344849118E-2</v>
      </c>
      <c r="G857" s="20">
        <f t="shared" ref="G857:K857" si="108">SUM(G858*G859)</f>
        <v>9.2421835158482138E-2</v>
      </c>
      <c r="H857" s="20">
        <f t="shared" si="108"/>
        <v>9.1680866626699623E-2</v>
      </c>
      <c r="I857" s="20">
        <f t="shared" si="108"/>
        <v>9.4749736788055552E-2</v>
      </c>
      <c r="J857" s="20">
        <f t="shared" si="108"/>
        <v>0.10366227667601458</v>
      </c>
      <c r="K857" s="20">
        <f t="shared" si="108"/>
        <v>0.10184024527901854</v>
      </c>
      <c r="L857" s="20" t="s">
        <v>297</v>
      </c>
      <c r="M857" s="20" t="s">
        <v>297</v>
      </c>
      <c r="N857" s="20" t="s">
        <v>297</v>
      </c>
      <c r="O857" s="20" t="s">
        <v>297</v>
      </c>
      <c r="P857" s="20" t="s">
        <v>297</v>
      </c>
      <c r="Q857" s="20" t="s">
        <v>297</v>
      </c>
    </row>
    <row r="858" spans="1:19" ht="62.4" x14ac:dyDescent="0.25">
      <c r="A858" s="17" t="s">
        <v>123</v>
      </c>
      <c r="B858" s="17" t="s">
        <v>116</v>
      </c>
      <c r="C858" s="17" t="s">
        <v>124</v>
      </c>
      <c r="D858" s="17" t="s">
        <v>337</v>
      </c>
      <c r="E858" s="129">
        <f>SUM(F858:K858)</f>
        <v>29350.311054301077</v>
      </c>
      <c r="F858" s="129">
        <v>4738.119483870968</v>
      </c>
      <c r="G858" s="129">
        <v>4737.7012500000001</v>
      </c>
      <c r="H858" s="129">
        <v>4738.8851290322582</v>
      </c>
      <c r="I858" s="129">
        <v>4739.9885000000004</v>
      </c>
      <c r="J858" s="129">
        <v>5198.0652580645155</v>
      </c>
      <c r="K858" s="129">
        <v>5197.551433333334</v>
      </c>
      <c r="L858" s="21" t="s">
        <v>297</v>
      </c>
      <c r="M858" s="21" t="s">
        <v>297</v>
      </c>
      <c r="N858" s="21" t="s">
        <v>297</v>
      </c>
      <c r="O858" s="21" t="s">
        <v>297</v>
      </c>
      <c r="P858" s="21" t="s">
        <v>297</v>
      </c>
      <c r="Q858" s="21" t="s">
        <v>297</v>
      </c>
    </row>
    <row r="859" spans="1:19" ht="46.8" x14ac:dyDescent="0.25">
      <c r="A859" s="17" t="s">
        <v>125</v>
      </c>
      <c r="B859" s="17" t="s">
        <v>119</v>
      </c>
      <c r="C859" s="17" t="s">
        <v>126</v>
      </c>
      <c r="D859" s="35" t="s">
        <v>339</v>
      </c>
      <c r="E859" s="131">
        <f>AVERAGE(F859:K859)</f>
        <v>1.9691567460317459E-5</v>
      </c>
      <c r="F859" s="131">
        <f>'Baseline Emissions 2022'!F832</f>
        <v>1.9769354838709678E-5</v>
      </c>
      <c r="G859" s="131">
        <f>'Baseline Emissions 2022'!G832</f>
        <v>1.9507738095238094E-5</v>
      </c>
      <c r="H859" s="131">
        <f>'Baseline Emissions 2022'!H832</f>
        <v>1.9346505376344086E-5</v>
      </c>
      <c r="I859" s="131">
        <f>'Baseline Emissions 2022'!I832</f>
        <v>1.9989444444444441E-5</v>
      </c>
      <c r="J859" s="131">
        <f>'Baseline Emissions 2022'!J832</f>
        <v>1.9942473118279573E-5</v>
      </c>
      <c r="K859" s="131">
        <f>'Baseline Emissions 2022'!K832</f>
        <v>1.959388888888889E-5</v>
      </c>
      <c r="L859" s="24" t="s">
        <v>297</v>
      </c>
      <c r="M859" s="24" t="s">
        <v>297</v>
      </c>
      <c r="N859" s="24" t="s">
        <v>297</v>
      </c>
      <c r="O859" s="24" t="s">
        <v>297</v>
      </c>
      <c r="P859" s="24" t="s">
        <v>297</v>
      </c>
      <c r="Q859" s="24" t="s">
        <v>297</v>
      </c>
    </row>
    <row r="860" spans="1:19" ht="31.2" x14ac:dyDescent="0.25">
      <c r="A860" s="17" t="s">
        <v>127</v>
      </c>
      <c r="B860" s="17" t="s">
        <v>128</v>
      </c>
      <c r="C860" s="17" t="s">
        <v>17</v>
      </c>
      <c r="D860" s="17" t="s">
        <v>129</v>
      </c>
      <c r="E860" s="176">
        <v>28</v>
      </c>
      <c r="F860" s="176"/>
      <c r="G860" s="176"/>
      <c r="H860" s="176"/>
      <c r="I860" s="176"/>
      <c r="J860" s="176"/>
      <c r="K860" s="176"/>
      <c r="L860" s="176"/>
      <c r="M860" s="176"/>
      <c r="N860" s="176"/>
      <c r="O860" s="176"/>
      <c r="P860" s="176"/>
      <c r="Q860" s="176"/>
    </row>
    <row r="861" spans="1:19" ht="64.8" x14ac:dyDescent="0.25">
      <c r="A861" s="17" t="s">
        <v>130</v>
      </c>
      <c r="B861" s="17" t="s">
        <v>19</v>
      </c>
      <c r="C861" s="17" t="s">
        <v>131</v>
      </c>
      <c r="D861" s="17" t="s">
        <v>394</v>
      </c>
      <c r="E861" s="176">
        <v>0.21</v>
      </c>
      <c r="F861" s="176"/>
      <c r="G861" s="176"/>
      <c r="H861" s="176"/>
      <c r="I861" s="176"/>
      <c r="J861" s="176"/>
      <c r="K861" s="176"/>
      <c r="L861" s="176"/>
      <c r="M861" s="176"/>
      <c r="N861" s="176"/>
      <c r="O861" s="176"/>
      <c r="P861" s="176"/>
      <c r="Q861" s="176"/>
    </row>
    <row r="862" spans="1:19" ht="46.8" x14ac:dyDescent="0.25">
      <c r="A862" s="17" t="s">
        <v>132</v>
      </c>
      <c r="B862" s="17" t="s">
        <v>103</v>
      </c>
      <c r="C862" s="17" t="s">
        <v>133</v>
      </c>
      <c r="D862" s="17" t="s">
        <v>385</v>
      </c>
      <c r="E862" s="19">
        <f>SUM(F862:K862)</f>
        <v>0</v>
      </c>
      <c r="F862" s="19">
        <f>$E$860*$E$861*F863*F857*F850</f>
        <v>0</v>
      </c>
      <c r="G862" s="19">
        <f t="shared" ref="G862:K862" si="109">$E$860*$E$861*G863*G857*G850</f>
        <v>0</v>
      </c>
      <c r="H862" s="19">
        <f t="shared" si="109"/>
        <v>0</v>
      </c>
      <c r="I862" s="19">
        <f t="shared" si="109"/>
        <v>0</v>
      </c>
      <c r="J862" s="19">
        <f t="shared" si="109"/>
        <v>0</v>
      </c>
      <c r="K862" s="19">
        <f t="shared" si="109"/>
        <v>0</v>
      </c>
      <c r="L862" s="19" t="s">
        <v>297</v>
      </c>
      <c r="M862" s="19" t="s">
        <v>297</v>
      </c>
      <c r="N862" s="19" t="s">
        <v>297</v>
      </c>
      <c r="O862" s="19" t="s">
        <v>297</v>
      </c>
      <c r="P862" s="19" t="s">
        <v>297</v>
      </c>
      <c r="Q862" s="19" t="s">
        <v>297</v>
      </c>
    </row>
    <row r="863" spans="1:19" ht="18" x14ac:dyDescent="0.25">
      <c r="A863" s="17" t="s">
        <v>134</v>
      </c>
      <c r="B863" s="17" t="s">
        <v>37</v>
      </c>
      <c r="C863" s="17" t="s">
        <v>135</v>
      </c>
      <c r="D863" s="17" t="s">
        <v>386</v>
      </c>
      <c r="E863" s="26">
        <f>AVERAGE(F863:K863)</f>
        <v>0</v>
      </c>
      <c r="F863" s="26">
        <f>F864*$E$865*0.89</f>
        <v>0</v>
      </c>
      <c r="G863" s="26">
        <f t="shared" ref="G863:K863" si="110">G864*$E$865*0.89</f>
        <v>0</v>
      </c>
      <c r="H863" s="26">
        <f t="shared" si="110"/>
        <v>0</v>
      </c>
      <c r="I863" s="26">
        <f t="shared" si="110"/>
        <v>0</v>
      </c>
      <c r="J863" s="26">
        <f t="shared" si="110"/>
        <v>0</v>
      </c>
      <c r="K863" s="26">
        <f t="shared" si="110"/>
        <v>0</v>
      </c>
      <c r="L863" s="26" t="s">
        <v>297</v>
      </c>
      <c r="M863" s="26" t="s">
        <v>297</v>
      </c>
      <c r="N863" s="26" t="s">
        <v>297</v>
      </c>
      <c r="O863" s="26" t="s">
        <v>297</v>
      </c>
      <c r="P863" s="26" t="s">
        <v>297</v>
      </c>
      <c r="Q863" s="26" t="s">
        <v>297</v>
      </c>
    </row>
    <row r="864" spans="1:19" ht="31.2" x14ac:dyDescent="0.25">
      <c r="A864" s="17" t="s">
        <v>136</v>
      </c>
      <c r="B864" s="17" t="s">
        <v>37</v>
      </c>
      <c r="C864" s="17" t="s">
        <v>46</v>
      </c>
      <c r="D864" s="17" t="s">
        <v>387</v>
      </c>
      <c r="E864" s="25">
        <v>0</v>
      </c>
      <c r="F864" s="25">
        <v>0</v>
      </c>
      <c r="G864" s="25">
        <v>0</v>
      </c>
      <c r="H864" s="25">
        <v>0</v>
      </c>
      <c r="I864" s="25">
        <v>0</v>
      </c>
      <c r="J864" s="25">
        <v>0</v>
      </c>
      <c r="K864" s="25">
        <v>0</v>
      </c>
      <c r="L864" s="25" t="s">
        <v>297</v>
      </c>
      <c r="M864" s="25" t="s">
        <v>297</v>
      </c>
      <c r="N864" s="25" t="s">
        <v>297</v>
      </c>
      <c r="O864" s="25" t="s">
        <v>297</v>
      </c>
      <c r="P864" s="25" t="s">
        <v>297</v>
      </c>
      <c r="Q864" s="25" t="s">
        <v>297</v>
      </c>
    </row>
    <row r="865" spans="1:17" ht="31.2" x14ac:dyDescent="0.25">
      <c r="A865" s="17" t="s">
        <v>137</v>
      </c>
      <c r="B865" s="17" t="s">
        <v>201</v>
      </c>
      <c r="C865" s="17" t="s">
        <v>138</v>
      </c>
      <c r="D865" s="17" t="s">
        <v>388</v>
      </c>
      <c r="E865" s="196">
        <f>(F866*F871+G866*G871+H866*H871+I866*I871+J866*J871+K866*K871)/(F858*F859*F850+G859*G858*G850+H858*H859*H850+I859*I858*I850+J859*J858*J850+K859*K858*K850)</f>
        <v>0.52454476115014559</v>
      </c>
      <c r="F865" s="196"/>
      <c r="G865" s="196"/>
      <c r="H865" s="196"/>
      <c r="I865" s="196"/>
      <c r="J865" s="196"/>
      <c r="K865" s="196"/>
      <c r="L865" s="196"/>
      <c r="M865" s="196"/>
      <c r="N865" s="196"/>
      <c r="O865" s="196"/>
      <c r="P865" s="196"/>
      <c r="Q865" s="196"/>
    </row>
    <row r="866" spans="1:17" ht="31.2" x14ac:dyDescent="0.25">
      <c r="A866" s="17" t="s">
        <v>139</v>
      </c>
      <c r="B866" s="17" t="s">
        <v>37</v>
      </c>
      <c r="C866" s="17" t="s">
        <v>140</v>
      </c>
      <c r="D866" s="17" t="s">
        <v>375</v>
      </c>
      <c r="E866" s="27">
        <f>AVERAGE(F866:K866)</f>
        <v>0.51463670965197228</v>
      </c>
      <c r="F866" s="27">
        <f>IF(F870&lt;283,0,IF(F870&gt;303,1,EXP(($E$867*(F870-$E$868))/($E$869*$E$868*F870))))</f>
        <v>0.30881657019391506</v>
      </c>
      <c r="G866" s="27">
        <f t="shared" ref="G866:K866" si="111">IF(G870&lt;283,0,IF(G870&gt;303,1,EXP(($E$867*(G870-$E$868))/($E$869*$E$868*G870))))</f>
        <v>0.25708890533410012</v>
      </c>
      <c r="H866" s="27">
        <f t="shared" si="111"/>
        <v>0.46225423409862509</v>
      </c>
      <c r="I866" s="27">
        <f t="shared" si="111"/>
        <v>0.55084569341606926</v>
      </c>
      <c r="J866" s="27">
        <f t="shared" si="111"/>
        <v>0.62729263560178183</v>
      </c>
      <c r="K866" s="27">
        <f t="shared" si="111"/>
        <v>0.88152221926734242</v>
      </c>
      <c r="L866" s="27" t="s">
        <v>297</v>
      </c>
      <c r="M866" s="27" t="s">
        <v>297</v>
      </c>
      <c r="N866" s="27" t="s">
        <v>297</v>
      </c>
      <c r="O866" s="27" t="s">
        <v>297</v>
      </c>
      <c r="P866" s="27" t="s">
        <v>297</v>
      </c>
      <c r="Q866" s="27" t="s">
        <v>297</v>
      </c>
    </row>
    <row r="867" spans="1:17" x14ac:dyDescent="0.25">
      <c r="A867" s="17" t="s">
        <v>51</v>
      </c>
      <c r="B867" s="17" t="s">
        <v>52</v>
      </c>
      <c r="C867" s="17" t="s">
        <v>53</v>
      </c>
      <c r="D867" s="17" t="s">
        <v>389</v>
      </c>
      <c r="E867" s="176">
        <v>15175</v>
      </c>
      <c r="F867" s="176"/>
      <c r="G867" s="176"/>
      <c r="H867" s="176"/>
      <c r="I867" s="176"/>
      <c r="J867" s="176"/>
      <c r="K867" s="176"/>
      <c r="L867" s="176"/>
      <c r="M867" s="176"/>
      <c r="N867" s="176"/>
      <c r="O867" s="176"/>
      <c r="P867" s="176"/>
      <c r="Q867" s="176"/>
    </row>
    <row r="868" spans="1:17" ht="18" x14ac:dyDescent="0.25">
      <c r="A868" s="17" t="s">
        <v>141</v>
      </c>
      <c r="B868" s="17" t="s">
        <v>55</v>
      </c>
      <c r="C868" s="17" t="s">
        <v>56</v>
      </c>
      <c r="D868" s="17" t="s">
        <v>389</v>
      </c>
      <c r="E868" s="176">
        <v>303.16000000000003</v>
      </c>
      <c r="F868" s="176"/>
      <c r="G868" s="176"/>
      <c r="H868" s="176"/>
      <c r="I868" s="176"/>
      <c r="J868" s="176"/>
      <c r="K868" s="176"/>
      <c r="L868" s="176"/>
      <c r="M868" s="176"/>
      <c r="N868" s="176"/>
      <c r="O868" s="176"/>
      <c r="P868" s="176"/>
      <c r="Q868" s="176"/>
    </row>
    <row r="869" spans="1:17" x14ac:dyDescent="0.25">
      <c r="A869" s="17" t="s">
        <v>57</v>
      </c>
      <c r="B869" s="17" t="s">
        <v>58</v>
      </c>
      <c r="C869" s="17" t="s">
        <v>59</v>
      </c>
      <c r="D869" s="17" t="s">
        <v>389</v>
      </c>
      <c r="E869" s="176">
        <v>1.9870000000000001</v>
      </c>
      <c r="F869" s="176"/>
      <c r="G869" s="176"/>
      <c r="H869" s="176"/>
      <c r="I869" s="176"/>
      <c r="J869" s="176"/>
      <c r="K869" s="176"/>
      <c r="L869" s="176"/>
      <c r="M869" s="176"/>
      <c r="N869" s="176"/>
      <c r="O869" s="176"/>
      <c r="P869" s="176"/>
      <c r="Q869" s="176"/>
    </row>
    <row r="870" spans="1:17" ht="18" x14ac:dyDescent="0.25">
      <c r="A870" s="17" t="s">
        <v>142</v>
      </c>
      <c r="B870" s="17" t="s">
        <v>55</v>
      </c>
      <c r="C870" s="17" t="s">
        <v>143</v>
      </c>
      <c r="D870" s="144" t="s">
        <v>363</v>
      </c>
      <c r="E870" s="28">
        <f>AVERAGE(F870:K870)</f>
        <v>294.48333333333335</v>
      </c>
      <c r="F870" s="25">
        <v>289.64999999999998</v>
      </c>
      <c r="G870" s="25">
        <v>287.64999999999998</v>
      </c>
      <c r="H870" s="25">
        <v>294.14999999999998</v>
      </c>
      <c r="I870" s="25">
        <v>296.14999999999998</v>
      </c>
      <c r="J870" s="25">
        <v>297.64999999999998</v>
      </c>
      <c r="K870" s="25">
        <v>301.64999999999998</v>
      </c>
      <c r="L870" s="25" t="s">
        <v>297</v>
      </c>
      <c r="M870" s="25" t="s">
        <v>297</v>
      </c>
      <c r="N870" s="25" t="s">
        <v>297</v>
      </c>
      <c r="O870" s="25" t="s">
        <v>297</v>
      </c>
      <c r="P870" s="25" t="s">
        <v>297</v>
      </c>
      <c r="Q870" s="25" t="s">
        <v>297</v>
      </c>
    </row>
    <row r="871" spans="1:17" ht="46.8" x14ac:dyDescent="0.25">
      <c r="A871" s="17" t="s">
        <v>144</v>
      </c>
      <c r="B871" s="17" t="s">
        <v>24</v>
      </c>
      <c r="C871" s="17" t="s">
        <v>145</v>
      </c>
      <c r="D871" s="17" t="s">
        <v>390</v>
      </c>
      <c r="E871" s="29">
        <f>SUM(F871:K871)</f>
        <v>17.444904814524186</v>
      </c>
      <c r="F871" s="29">
        <f>F858*F859*'Project Emissions 2022'!F850+(1-F866)*0</f>
        <v>2.9037565256903228</v>
      </c>
      <c r="G871" s="29">
        <f>G858*G859*'Project Emissions 2022'!G850+(1-G866)*0</f>
        <v>2.5878113844374999</v>
      </c>
      <c r="H871" s="29">
        <f>H858*H859*'Project Emissions 2022'!H850+(1-H866)*0</f>
        <v>2.8421068654276884</v>
      </c>
      <c r="I871" s="29">
        <f>I858*I859*'Project Emissions 2022'!I850+(1-I866)*0</f>
        <v>2.8424921036416664</v>
      </c>
      <c r="J871" s="29">
        <f>J858*J859*'Project Emissions 2022'!J850+(1-J866)*0</f>
        <v>3.2135305769564519</v>
      </c>
      <c r="K871" s="29">
        <f>K858*K859*'Project Emissions 2022'!K850+(1-K866)*0</f>
        <v>3.0552073583705561</v>
      </c>
      <c r="L871" s="29" t="s">
        <v>297</v>
      </c>
      <c r="M871" s="29" t="s">
        <v>297</v>
      </c>
      <c r="N871" s="29" t="s">
        <v>297</v>
      </c>
      <c r="O871" s="29" t="s">
        <v>297</v>
      </c>
      <c r="P871" s="29" t="s">
        <v>297</v>
      </c>
      <c r="Q871" s="29" t="s">
        <v>297</v>
      </c>
    </row>
    <row r="872" spans="1:17" x14ac:dyDescent="0.3">
      <c r="A872" s="30"/>
      <c r="E872" s="31"/>
      <c r="F872" s="31"/>
      <c r="G872" s="31"/>
      <c r="H872" s="31"/>
      <c r="I872" s="31"/>
      <c r="J872" s="31"/>
      <c r="K872" s="31"/>
      <c r="L872" s="31"/>
      <c r="M872" s="31"/>
      <c r="N872" s="31"/>
      <c r="O872" s="31"/>
      <c r="P872" s="31"/>
      <c r="Q872" s="31"/>
    </row>
    <row r="873" spans="1:17" x14ac:dyDescent="0.25">
      <c r="A873" s="174" t="s">
        <v>146</v>
      </c>
      <c r="B873" s="174"/>
      <c r="C873" s="175"/>
      <c r="D873" s="175"/>
      <c r="E873" s="195"/>
      <c r="F873" s="32"/>
      <c r="G873" s="32"/>
      <c r="H873" s="32"/>
      <c r="I873" s="32"/>
      <c r="J873" s="32"/>
      <c r="K873" s="32"/>
      <c r="L873" s="32"/>
      <c r="M873" s="32"/>
      <c r="N873" s="32"/>
      <c r="O873" s="32"/>
      <c r="P873" s="32"/>
      <c r="Q873" s="32"/>
    </row>
    <row r="874" spans="1:17" x14ac:dyDescent="0.25">
      <c r="A874" s="33" t="s">
        <v>8</v>
      </c>
      <c r="B874" s="33" t="s">
        <v>9</v>
      </c>
      <c r="C874" s="34" t="s">
        <v>10</v>
      </c>
      <c r="D874" s="34" t="s">
        <v>340</v>
      </c>
      <c r="E874" s="16" t="s">
        <v>65</v>
      </c>
      <c r="F874" s="32"/>
      <c r="G874" s="32"/>
      <c r="H874" s="32"/>
      <c r="I874" s="32"/>
      <c r="J874" s="32"/>
      <c r="K874" s="32"/>
      <c r="L874" s="32"/>
      <c r="M874" s="32"/>
      <c r="N874" s="32"/>
      <c r="O874" s="32"/>
      <c r="P874" s="32"/>
      <c r="Q874" s="32"/>
    </row>
    <row r="875" spans="1:17" ht="46.8" x14ac:dyDescent="0.25">
      <c r="A875" s="15" t="s">
        <v>147</v>
      </c>
      <c r="B875" s="17" t="s">
        <v>95</v>
      </c>
      <c r="C875" s="35" t="s">
        <v>148</v>
      </c>
      <c r="D875" s="35" t="s">
        <v>68</v>
      </c>
      <c r="E875" s="16">
        <v>0</v>
      </c>
      <c r="F875" s="32"/>
      <c r="G875" s="32"/>
      <c r="H875" s="32"/>
      <c r="I875" s="32"/>
      <c r="J875" s="32"/>
      <c r="K875" s="32"/>
      <c r="L875" s="32"/>
      <c r="M875" s="32"/>
      <c r="N875" s="32"/>
      <c r="O875" s="32"/>
      <c r="P875" s="32"/>
      <c r="Q875" s="32"/>
    </row>
    <row r="876" spans="1:17" x14ac:dyDescent="0.25">
      <c r="A876" s="36"/>
      <c r="B876" s="36"/>
      <c r="C876" s="37"/>
      <c r="D876" s="37"/>
      <c r="E876" s="32"/>
      <c r="F876" s="32"/>
      <c r="G876" s="32"/>
      <c r="H876" s="32"/>
      <c r="I876" s="32"/>
      <c r="J876" s="32"/>
      <c r="K876" s="32"/>
      <c r="L876" s="32"/>
      <c r="M876" s="32"/>
      <c r="N876" s="32"/>
      <c r="O876" s="32"/>
      <c r="P876" s="32"/>
      <c r="Q876" s="32"/>
    </row>
    <row r="877" spans="1:17" x14ac:dyDescent="0.25">
      <c r="A877" s="174" t="s">
        <v>149</v>
      </c>
      <c r="B877" s="174"/>
      <c r="C877" s="175"/>
      <c r="D877" s="175"/>
      <c r="E877" s="195"/>
      <c r="F877" s="32"/>
      <c r="G877" s="32"/>
      <c r="H877" s="32"/>
      <c r="I877" s="32"/>
      <c r="J877" s="32"/>
      <c r="K877" s="32"/>
      <c r="L877" s="32"/>
      <c r="M877" s="32"/>
      <c r="N877" s="32"/>
      <c r="O877" s="32"/>
      <c r="P877" s="32"/>
      <c r="Q877" s="32"/>
    </row>
    <row r="878" spans="1:17" x14ac:dyDescent="0.25">
      <c r="A878" s="33" t="s">
        <v>8</v>
      </c>
      <c r="B878" s="33" t="s">
        <v>9</v>
      </c>
      <c r="C878" s="34" t="s">
        <v>10</v>
      </c>
      <c r="D878" s="34" t="s">
        <v>340</v>
      </c>
      <c r="E878" s="16" t="s">
        <v>65</v>
      </c>
      <c r="F878" s="32"/>
      <c r="G878" s="32"/>
      <c r="H878" s="32"/>
      <c r="I878" s="32"/>
      <c r="J878" s="32"/>
      <c r="K878" s="32"/>
      <c r="L878" s="32"/>
      <c r="M878" s="32"/>
      <c r="N878" s="32"/>
      <c r="O878" s="32"/>
      <c r="P878" s="32"/>
      <c r="Q878" s="32"/>
    </row>
    <row r="879" spans="1:17" ht="46.8" x14ac:dyDescent="0.25">
      <c r="A879" s="15" t="s">
        <v>150</v>
      </c>
      <c r="B879" s="17" t="s">
        <v>95</v>
      </c>
      <c r="C879" s="35" t="s">
        <v>151</v>
      </c>
      <c r="D879" s="35" t="s">
        <v>68</v>
      </c>
      <c r="E879" s="16">
        <v>0</v>
      </c>
      <c r="F879" s="32"/>
      <c r="G879" s="32"/>
      <c r="H879" s="32"/>
      <c r="I879" s="32"/>
      <c r="J879" s="32"/>
      <c r="K879" s="32"/>
      <c r="L879" s="32"/>
      <c r="M879" s="32"/>
      <c r="N879" s="32"/>
      <c r="O879" s="32"/>
      <c r="P879" s="32"/>
      <c r="Q879" s="32"/>
    </row>
    <row r="880" spans="1:17" x14ac:dyDescent="0.25">
      <c r="F880" s="32"/>
      <c r="G880" s="32"/>
      <c r="H880" s="32"/>
      <c r="I880" s="32"/>
      <c r="J880" s="32"/>
      <c r="K880" s="32"/>
      <c r="L880" s="32"/>
      <c r="M880" s="32"/>
      <c r="N880" s="32"/>
      <c r="O880" s="32"/>
      <c r="P880" s="32"/>
      <c r="Q880" s="32"/>
    </row>
    <row r="881" spans="1:19" x14ac:dyDescent="0.25">
      <c r="A881" s="174" t="s">
        <v>152</v>
      </c>
      <c r="B881" s="174"/>
      <c r="C881" s="175"/>
      <c r="D881" s="175"/>
      <c r="E881" s="195"/>
      <c r="F881" s="32"/>
      <c r="G881" s="32"/>
      <c r="H881" s="32"/>
      <c r="I881" s="32"/>
      <c r="J881" s="32"/>
      <c r="K881" s="32"/>
      <c r="L881" s="32"/>
      <c r="M881" s="32"/>
      <c r="N881" s="32"/>
      <c r="O881" s="32"/>
      <c r="P881" s="32"/>
      <c r="Q881" s="32"/>
    </row>
    <row r="882" spans="1:19" s="10" customFormat="1" x14ac:dyDescent="0.25">
      <c r="A882" s="15" t="s">
        <v>8</v>
      </c>
      <c r="B882" s="15" t="s">
        <v>9</v>
      </c>
      <c r="C882" s="38" t="s">
        <v>10</v>
      </c>
      <c r="D882" s="38" t="s">
        <v>340</v>
      </c>
      <c r="E882" s="16" t="s">
        <v>65</v>
      </c>
      <c r="F882" s="32"/>
      <c r="G882" s="32"/>
      <c r="H882" s="39"/>
      <c r="I882" s="39"/>
      <c r="J882" s="39"/>
      <c r="K882" s="39"/>
      <c r="L882" s="39"/>
      <c r="M882" s="39"/>
      <c r="N882" s="39"/>
      <c r="O882" s="39"/>
      <c r="P882" s="39"/>
      <c r="Q882" s="39"/>
    </row>
    <row r="883" spans="1:19" s="10" customFormat="1" ht="18" x14ac:dyDescent="0.4">
      <c r="A883" s="40" t="s">
        <v>153</v>
      </c>
      <c r="B883" s="17" t="s">
        <v>103</v>
      </c>
      <c r="C883" s="35" t="s">
        <v>154</v>
      </c>
      <c r="D883" s="35" t="s">
        <v>155</v>
      </c>
      <c r="E883" s="41">
        <f>E884*E886*(1+E885)</f>
        <v>189.11011311599998</v>
      </c>
      <c r="F883" s="32"/>
      <c r="G883" s="32"/>
      <c r="H883" s="39"/>
      <c r="I883" s="39"/>
      <c r="J883" s="39"/>
      <c r="K883" s="39"/>
      <c r="L883" s="39"/>
      <c r="M883" s="39"/>
      <c r="N883" s="39"/>
      <c r="O883" s="39"/>
      <c r="P883" s="39"/>
      <c r="Q883" s="39"/>
    </row>
    <row r="884" spans="1:19" ht="31.2" x14ac:dyDescent="0.25">
      <c r="A884" s="17" t="s">
        <v>156</v>
      </c>
      <c r="B884" s="17" t="s">
        <v>157</v>
      </c>
      <c r="C884" s="35" t="s">
        <v>158</v>
      </c>
      <c r="D884" s="35" t="s">
        <v>343</v>
      </c>
      <c r="E884" s="20">
        <f>309701.8/1000</f>
        <v>309.70179999999999</v>
      </c>
      <c r="G884" s="42"/>
      <c r="H884" s="43"/>
      <c r="I884" s="43"/>
      <c r="J884" s="43"/>
      <c r="K884" s="43"/>
      <c r="L884" s="43"/>
      <c r="M884" s="43"/>
      <c r="N884" s="43"/>
      <c r="O884" s="43"/>
      <c r="P884" s="43"/>
      <c r="Q884" s="43"/>
      <c r="R884" s="9"/>
      <c r="S884" s="9"/>
    </row>
    <row r="885" spans="1:19" ht="31.2" x14ac:dyDescent="0.25">
      <c r="A885" s="17" t="s">
        <v>159</v>
      </c>
      <c r="B885" s="17" t="s">
        <v>160</v>
      </c>
      <c r="C885" s="35" t="s">
        <v>161</v>
      </c>
      <c r="D885" s="35" t="s">
        <v>162</v>
      </c>
      <c r="E885" s="44">
        <v>0.2</v>
      </c>
      <c r="H885" s="43"/>
      <c r="I885" s="43"/>
      <c r="J885" s="43"/>
      <c r="K885" s="43"/>
      <c r="L885" s="43"/>
      <c r="M885" s="43"/>
      <c r="N885" s="43"/>
      <c r="O885" s="43"/>
      <c r="P885" s="43"/>
      <c r="Q885" s="43"/>
      <c r="R885" s="9"/>
      <c r="S885" s="9"/>
    </row>
    <row r="886" spans="1:19" ht="46.8" x14ac:dyDescent="0.25">
      <c r="A886" s="17" t="s">
        <v>163</v>
      </c>
      <c r="B886" s="17" t="s">
        <v>164</v>
      </c>
      <c r="C886" s="35" t="s">
        <v>165</v>
      </c>
      <c r="D886" s="35" t="s">
        <v>166</v>
      </c>
      <c r="E886" s="45">
        <f>0.5*0.8042+0.5*0.2135</f>
        <v>0.50885000000000002</v>
      </c>
      <c r="F886" s="46"/>
      <c r="G886" s="46"/>
      <c r="H886" s="46"/>
      <c r="I886" s="46"/>
      <c r="J886" s="46"/>
      <c r="K886" s="46"/>
      <c r="L886" s="46"/>
      <c r="M886" s="46"/>
      <c r="N886" s="46"/>
      <c r="O886" s="46"/>
      <c r="P886" s="46"/>
      <c r="Q886" s="46"/>
    </row>
    <row r="887" spans="1:19" ht="31.2" x14ac:dyDescent="0.4">
      <c r="A887" s="40" t="s">
        <v>167</v>
      </c>
      <c r="B887" s="17" t="s">
        <v>103</v>
      </c>
      <c r="C887" s="35" t="s">
        <v>168</v>
      </c>
      <c r="D887" s="35" t="s">
        <v>169</v>
      </c>
      <c r="E887" s="47">
        <v>0</v>
      </c>
      <c r="H887" s="43"/>
      <c r="I887" s="43"/>
      <c r="J887" s="43"/>
      <c r="K887" s="43"/>
      <c r="L887" s="43"/>
      <c r="M887" s="43"/>
      <c r="N887" s="43"/>
      <c r="O887" s="43"/>
      <c r="P887" s="43"/>
      <c r="Q887" s="43"/>
      <c r="R887" s="9"/>
      <c r="S887" s="9"/>
    </row>
    <row r="888" spans="1:19" x14ac:dyDescent="0.3">
      <c r="A888" s="48"/>
      <c r="E888" s="49"/>
      <c r="H888" s="43"/>
      <c r="I888" s="43"/>
      <c r="J888" s="43"/>
      <c r="K888" s="43"/>
      <c r="L888" s="43"/>
      <c r="M888" s="43"/>
      <c r="N888" s="43"/>
      <c r="O888" s="43"/>
      <c r="P888" s="43"/>
      <c r="Q888" s="43"/>
      <c r="R888" s="9"/>
      <c r="S888" s="9"/>
    </row>
    <row r="889" spans="1:19" x14ac:dyDescent="0.25">
      <c r="A889" s="174" t="s">
        <v>170</v>
      </c>
      <c r="B889" s="174"/>
      <c r="C889" s="175"/>
      <c r="D889" s="175"/>
      <c r="E889" s="195"/>
      <c r="F889" s="32"/>
      <c r="G889" s="32"/>
      <c r="H889" s="32"/>
      <c r="I889" s="32"/>
      <c r="J889" s="32"/>
      <c r="K889" s="32"/>
      <c r="L889" s="32"/>
      <c r="M889" s="32"/>
      <c r="N889" s="32"/>
      <c r="O889" s="32"/>
      <c r="P889" s="32"/>
      <c r="Q889" s="32"/>
    </row>
    <row r="890" spans="1:19" x14ac:dyDescent="0.25">
      <c r="A890" s="15" t="s">
        <v>8</v>
      </c>
      <c r="B890" s="15" t="s">
        <v>9</v>
      </c>
      <c r="C890" s="38" t="s">
        <v>10</v>
      </c>
      <c r="D890" s="38" t="s">
        <v>340</v>
      </c>
      <c r="E890" s="16" t="s">
        <v>65</v>
      </c>
      <c r="H890" s="43"/>
      <c r="I890" s="43"/>
      <c r="J890" s="43"/>
      <c r="K890" s="43"/>
      <c r="L890" s="43"/>
      <c r="M890" s="43"/>
      <c r="N890" s="43"/>
      <c r="O890" s="43"/>
      <c r="P890" s="43"/>
      <c r="Q890" s="43"/>
      <c r="R890" s="9"/>
      <c r="S890" s="9"/>
    </row>
    <row r="891" spans="1:19" ht="33.6" x14ac:dyDescent="0.4">
      <c r="A891" s="40" t="s">
        <v>171</v>
      </c>
      <c r="B891" s="17" t="s">
        <v>74</v>
      </c>
      <c r="C891" s="35" t="s">
        <v>172</v>
      </c>
      <c r="D891" s="35" t="s">
        <v>391</v>
      </c>
      <c r="E891" s="50">
        <f>E892*E895*E896*E897*E898*E899</f>
        <v>2.8253400662934722</v>
      </c>
      <c r="H891" s="43"/>
      <c r="I891" s="43"/>
      <c r="J891" s="43"/>
      <c r="K891" s="43"/>
      <c r="L891" s="43"/>
      <c r="M891" s="43"/>
      <c r="N891" s="43"/>
      <c r="O891" s="43"/>
      <c r="P891" s="43"/>
      <c r="Q891" s="43"/>
      <c r="R891" s="9"/>
      <c r="S891" s="9"/>
    </row>
    <row r="892" spans="1:19" ht="46.8" x14ac:dyDescent="0.4">
      <c r="A892" s="51" t="s">
        <v>173</v>
      </c>
      <c r="B892" s="17" t="s">
        <v>76</v>
      </c>
      <c r="C892" s="35" t="s">
        <v>174</v>
      </c>
      <c r="D892" s="35" t="s">
        <v>392</v>
      </c>
      <c r="E892" s="69">
        <f>ROUNDUP(E893/E894,0)</f>
        <v>111</v>
      </c>
      <c r="H892" s="43"/>
      <c r="I892" s="43"/>
      <c r="J892" s="43"/>
      <c r="K892" s="43"/>
      <c r="L892" s="43"/>
      <c r="M892" s="43"/>
      <c r="N892" s="43"/>
      <c r="O892" s="43"/>
      <c r="P892" s="43"/>
      <c r="Q892" s="43"/>
      <c r="R892" s="9"/>
      <c r="S892" s="9"/>
    </row>
    <row r="893" spans="1:19" ht="62.4" x14ac:dyDescent="0.25">
      <c r="A893" s="17" t="s">
        <v>175</v>
      </c>
      <c r="B893" s="17" t="s">
        <v>78</v>
      </c>
      <c r="C893" s="35" t="s">
        <v>176</v>
      </c>
      <c r="D893" s="35" t="s">
        <v>346</v>
      </c>
      <c r="E893" s="52">
        <v>553.32399999999996</v>
      </c>
      <c r="H893" s="43"/>
      <c r="I893" s="43"/>
      <c r="J893" s="43"/>
      <c r="K893" s="43"/>
      <c r="L893" s="43"/>
      <c r="M893" s="43"/>
      <c r="N893" s="43"/>
      <c r="O893" s="43"/>
      <c r="P893" s="43"/>
      <c r="Q893" s="43"/>
      <c r="R893" s="9"/>
      <c r="S893" s="9"/>
    </row>
    <row r="894" spans="1:19" ht="62.4" x14ac:dyDescent="0.25">
      <c r="A894" s="17" t="s">
        <v>177</v>
      </c>
      <c r="B894" s="17" t="s">
        <v>80</v>
      </c>
      <c r="C894" s="35" t="s">
        <v>81</v>
      </c>
      <c r="D894" s="35" t="s">
        <v>345</v>
      </c>
      <c r="E894" s="25">
        <f>5</f>
        <v>5</v>
      </c>
      <c r="H894" s="43"/>
      <c r="I894" s="43"/>
      <c r="J894" s="43"/>
      <c r="K894" s="43"/>
      <c r="L894" s="43"/>
      <c r="M894" s="43"/>
      <c r="N894" s="43"/>
      <c r="O894" s="43"/>
      <c r="P894" s="43"/>
      <c r="Q894" s="43"/>
      <c r="R894" s="9"/>
      <c r="S894" s="9"/>
    </row>
    <row r="895" spans="1:19" ht="202.8" x14ac:dyDescent="0.25">
      <c r="A895" s="17" t="s">
        <v>178</v>
      </c>
      <c r="B895" s="17" t="s">
        <v>82</v>
      </c>
      <c r="C895" s="35" t="s">
        <v>179</v>
      </c>
      <c r="D895" s="35" t="s">
        <v>367</v>
      </c>
      <c r="E895" s="25">
        <v>37.6</v>
      </c>
      <c r="H895" s="43"/>
      <c r="I895" s="43"/>
      <c r="J895" s="43"/>
      <c r="K895" s="43"/>
      <c r="L895" s="43"/>
      <c r="M895" s="43"/>
      <c r="N895" s="43"/>
      <c r="O895" s="43"/>
      <c r="P895" s="43"/>
      <c r="Q895" s="43"/>
      <c r="R895" s="9"/>
      <c r="S895" s="9"/>
    </row>
    <row r="896" spans="1:19" ht="156" x14ac:dyDescent="0.25">
      <c r="A896" s="17" t="s">
        <v>180</v>
      </c>
      <c r="B896" s="17" t="s">
        <v>84</v>
      </c>
      <c r="C896" s="35" t="s">
        <v>85</v>
      </c>
      <c r="D896" s="35" t="s">
        <v>365</v>
      </c>
      <c r="E896" s="25">
        <f>25.1/100</f>
        <v>0.251</v>
      </c>
      <c r="H896" s="43"/>
      <c r="I896" s="43"/>
      <c r="J896" s="43"/>
      <c r="K896" s="43"/>
      <c r="L896" s="43"/>
      <c r="M896" s="43"/>
      <c r="N896" s="43"/>
      <c r="O896" s="43"/>
      <c r="P896" s="43"/>
      <c r="Q896" s="43"/>
      <c r="R896" s="9"/>
      <c r="S896" s="9"/>
    </row>
    <row r="897" spans="1:19" ht="62.4" x14ac:dyDescent="0.25">
      <c r="A897" s="17" t="s">
        <v>86</v>
      </c>
      <c r="B897" s="17" t="s">
        <v>87</v>
      </c>
      <c r="C897" s="35" t="s">
        <v>86</v>
      </c>
      <c r="D897" s="35" t="s">
        <v>215</v>
      </c>
      <c r="E897" s="25">
        <f>0.84/1000</f>
        <v>8.3999999999999993E-4</v>
      </c>
      <c r="H897" s="43"/>
      <c r="I897" s="43"/>
      <c r="J897" s="43"/>
      <c r="K897" s="43"/>
      <c r="L897" s="43"/>
      <c r="M897" s="43"/>
      <c r="N897" s="43"/>
      <c r="O897" s="43"/>
      <c r="P897" s="43"/>
      <c r="Q897" s="43"/>
      <c r="R897" s="9"/>
      <c r="S897" s="9"/>
    </row>
    <row r="898" spans="1:19" ht="124.8" x14ac:dyDescent="0.25">
      <c r="A898" s="17" t="s">
        <v>181</v>
      </c>
      <c r="B898" s="17" t="s">
        <v>88</v>
      </c>
      <c r="C898" s="35" t="s">
        <v>89</v>
      </c>
      <c r="D898" s="35" t="s">
        <v>360</v>
      </c>
      <c r="E898" s="25">
        <f>43.33/1000</f>
        <v>4.333E-2</v>
      </c>
      <c r="H898" s="43"/>
      <c r="I898" s="43"/>
      <c r="J898" s="43"/>
      <c r="K898" s="43"/>
      <c r="L898" s="43"/>
      <c r="M898" s="43"/>
      <c r="N898" s="43"/>
      <c r="O898" s="43"/>
      <c r="P898" s="43"/>
      <c r="Q898" s="43"/>
      <c r="R898" s="9"/>
      <c r="S898" s="9"/>
    </row>
    <row r="899" spans="1:19" ht="33.6" x14ac:dyDescent="0.25">
      <c r="A899" s="17" t="s">
        <v>182</v>
      </c>
      <c r="B899" s="17" t="s">
        <v>90</v>
      </c>
      <c r="C899" s="35" t="s">
        <v>91</v>
      </c>
      <c r="D899" s="35" t="s">
        <v>92</v>
      </c>
      <c r="E899" s="25">
        <v>74.099999999999994</v>
      </c>
      <c r="H899" s="43"/>
      <c r="I899" s="43"/>
      <c r="J899" s="43"/>
      <c r="K899" s="43"/>
      <c r="L899" s="43"/>
      <c r="M899" s="43"/>
      <c r="N899" s="43"/>
      <c r="O899" s="43"/>
      <c r="P899" s="43"/>
      <c r="Q899" s="43"/>
      <c r="R899" s="9"/>
      <c r="S899" s="9"/>
    </row>
    <row r="901" spans="1:19" x14ac:dyDescent="0.25">
      <c r="A901" s="33" t="s">
        <v>8</v>
      </c>
      <c r="B901" s="33" t="s">
        <v>9</v>
      </c>
      <c r="C901" s="34" t="s">
        <v>10</v>
      </c>
      <c r="D901" s="34" t="s">
        <v>340</v>
      </c>
      <c r="E901" s="16" t="s">
        <v>65</v>
      </c>
    </row>
    <row r="902" spans="1:19" ht="18" x14ac:dyDescent="0.25">
      <c r="A902" s="15" t="s">
        <v>183</v>
      </c>
      <c r="B902" s="17" t="s">
        <v>103</v>
      </c>
      <c r="C902" s="35" t="s">
        <v>184</v>
      </c>
      <c r="D902" s="53" t="s">
        <v>393</v>
      </c>
      <c r="E902" s="18">
        <f>ROUNDUP(E851+E875+E879+E883+E891,0)</f>
        <v>192</v>
      </c>
    </row>
    <row r="905" spans="1:19" x14ac:dyDescent="0.25">
      <c r="D905" s="13"/>
    </row>
    <row r="906" spans="1:19" x14ac:dyDescent="0.25">
      <c r="D906" s="32"/>
      <c r="E906" s="100"/>
    </row>
  </sheetData>
  <mergeCells count="214">
    <mergeCell ref="E869:Q869"/>
    <mergeCell ref="A873:E873"/>
    <mergeCell ref="A877:E877"/>
    <mergeCell ref="A881:E881"/>
    <mergeCell ref="A889:E889"/>
    <mergeCell ref="A850:E850"/>
    <mergeCell ref="E860:Q860"/>
    <mergeCell ref="E861:Q861"/>
    <mergeCell ref="E865:Q865"/>
    <mergeCell ref="E867:Q867"/>
    <mergeCell ref="E868:Q868"/>
    <mergeCell ref="A817:E817"/>
    <mergeCell ref="A821:E821"/>
    <mergeCell ref="A825:E825"/>
    <mergeCell ref="A833:E833"/>
    <mergeCell ref="A847:XFD847"/>
    <mergeCell ref="A848:Q848"/>
    <mergeCell ref="E804:Q804"/>
    <mergeCell ref="E805:Q805"/>
    <mergeCell ref="E809:Q809"/>
    <mergeCell ref="E811:Q811"/>
    <mergeCell ref="E812:Q812"/>
    <mergeCell ref="E813:Q813"/>
    <mergeCell ref="A765:E765"/>
    <mergeCell ref="A769:E769"/>
    <mergeCell ref="A777:E777"/>
    <mergeCell ref="A791:XFD791"/>
    <mergeCell ref="A792:Q792"/>
    <mergeCell ref="A794:E794"/>
    <mergeCell ref="E749:Q749"/>
    <mergeCell ref="E753:Q753"/>
    <mergeCell ref="E755:Q755"/>
    <mergeCell ref="E756:Q756"/>
    <mergeCell ref="E757:Q757"/>
    <mergeCell ref="A761:E761"/>
    <mergeCell ref="A720:E720"/>
    <mergeCell ref="A734:XFD734"/>
    <mergeCell ref="A735:XFD735"/>
    <mergeCell ref="A736:Q736"/>
    <mergeCell ref="A738:E738"/>
    <mergeCell ref="E748:Q748"/>
    <mergeCell ref="E698:Q698"/>
    <mergeCell ref="E699:Q699"/>
    <mergeCell ref="E700:Q700"/>
    <mergeCell ref="A704:E704"/>
    <mergeCell ref="A708:E708"/>
    <mergeCell ref="A712:E712"/>
    <mergeCell ref="A678:XFD678"/>
    <mergeCell ref="A679:Q679"/>
    <mergeCell ref="A681:E681"/>
    <mergeCell ref="E691:Q691"/>
    <mergeCell ref="E692:Q692"/>
    <mergeCell ref="E696:Q696"/>
    <mergeCell ref="E643:Q643"/>
    <mergeCell ref="E644:Q644"/>
    <mergeCell ref="A648:E648"/>
    <mergeCell ref="A652:E652"/>
    <mergeCell ref="A656:E656"/>
    <mergeCell ref="A664:E664"/>
    <mergeCell ref="A623:Q623"/>
    <mergeCell ref="A625:E625"/>
    <mergeCell ref="E635:Q635"/>
    <mergeCell ref="E636:Q636"/>
    <mergeCell ref="E640:Q640"/>
    <mergeCell ref="E642:Q642"/>
    <mergeCell ref="A591:E591"/>
    <mergeCell ref="A595:E595"/>
    <mergeCell ref="A599:E599"/>
    <mergeCell ref="A607:E607"/>
    <mergeCell ref="A621:XFD621"/>
    <mergeCell ref="A622:XFD622"/>
    <mergeCell ref="E578:Q578"/>
    <mergeCell ref="E579:Q579"/>
    <mergeCell ref="E583:Q583"/>
    <mergeCell ref="E585:Q585"/>
    <mergeCell ref="E586:Q586"/>
    <mergeCell ref="E587:Q587"/>
    <mergeCell ref="A539:E539"/>
    <mergeCell ref="A543:E543"/>
    <mergeCell ref="A551:E551"/>
    <mergeCell ref="A565:XFD565"/>
    <mergeCell ref="A566:Q566"/>
    <mergeCell ref="A568:E568"/>
    <mergeCell ref="E523:Q523"/>
    <mergeCell ref="E527:Q527"/>
    <mergeCell ref="E529:Q529"/>
    <mergeCell ref="E530:Q530"/>
    <mergeCell ref="E531:Q531"/>
    <mergeCell ref="A535:E535"/>
    <mergeCell ref="A494:E494"/>
    <mergeCell ref="A508:XFD508"/>
    <mergeCell ref="A509:XFD509"/>
    <mergeCell ref="A510:Q510"/>
    <mergeCell ref="A512:E512"/>
    <mergeCell ref="E522:Q522"/>
    <mergeCell ref="E472:Q472"/>
    <mergeCell ref="E473:Q473"/>
    <mergeCell ref="E474:Q474"/>
    <mergeCell ref="A478:E478"/>
    <mergeCell ref="A482:E482"/>
    <mergeCell ref="A486:E486"/>
    <mergeCell ref="A452:XFD452"/>
    <mergeCell ref="A453:Q453"/>
    <mergeCell ref="A455:E455"/>
    <mergeCell ref="E465:Q465"/>
    <mergeCell ref="E466:Q466"/>
    <mergeCell ref="E470:Q470"/>
    <mergeCell ref="E417:Q417"/>
    <mergeCell ref="E418:Q418"/>
    <mergeCell ref="A422:E422"/>
    <mergeCell ref="A426:E426"/>
    <mergeCell ref="A430:E430"/>
    <mergeCell ref="A438:E438"/>
    <mergeCell ref="A397:Q397"/>
    <mergeCell ref="A399:E399"/>
    <mergeCell ref="E409:Q409"/>
    <mergeCell ref="E410:Q410"/>
    <mergeCell ref="E414:Q414"/>
    <mergeCell ref="E416:Q416"/>
    <mergeCell ref="E362:Q362"/>
    <mergeCell ref="A366:E366"/>
    <mergeCell ref="A370:E370"/>
    <mergeCell ref="A374:E374"/>
    <mergeCell ref="A382:E382"/>
    <mergeCell ref="A396:XFD396"/>
    <mergeCell ref="A343:E343"/>
    <mergeCell ref="E353:Q353"/>
    <mergeCell ref="E354:Q354"/>
    <mergeCell ref="E358:Q358"/>
    <mergeCell ref="E360:Q360"/>
    <mergeCell ref="E361:Q361"/>
    <mergeCell ref="A310:E310"/>
    <mergeCell ref="A314:E314"/>
    <mergeCell ref="A318:E318"/>
    <mergeCell ref="A326:E326"/>
    <mergeCell ref="A340:XFD340"/>
    <mergeCell ref="A341:Q341"/>
    <mergeCell ref="E297:Q297"/>
    <mergeCell ref="E298:Q298"/>
    <mergeCell ref="E302:Q302"/>
    <mergeCell ref="E304:Q304"/>
    <mergeCell ref="E305:Q305"/>
    <mergeCell ref="E306:Q306"/>
    <mergeCell ref="A258:E258"/>
    <mergeCell ref="A262:E262"/>
    <mergeCell ref="A270:E270"/>
    <mergeCell ref="A284:XFD284"/>
    <mergeCell ref="A285:Q285"/>
    <mergeCell ref="A287:E287"/>
    <mergeCell ref="E242:Q242"/>
    <mergeCell ref="E246:Q246"/>
    <mergeCell ref="E248:Q248"/>
    <mergeCell ref="E249:Q249"/>
    <mergeCell ref="E250:Q250"/>
    <mergeCell ref="A254:E254"/>
    <mergeCell ref="A213:E213"/>
    <mergeCell ref="A227:XFD227"/>
    <mergeCell ref="A228:XFD228"/>
    <mergeCell ref="A229:Q229"/>
    <mergeCell ref="A231:E231"/>
    <mergeCell ref="E241:Q241"/>
    <mergeCell ref="E191:Q191"/>
    <mergeCell ref="E192:Q192"/>
    <mergeCell ref="E193:Q193"/>
    <mergeCell ref="A197:E197"/>
    <mergeCell ref="A201:E201"/>
    <mergeCell ref="A205:E205"/>
    <mergeCell ref="A171:XFD171"/>
    <mergeCell ref="A172:Q172"/>
    <mergeCell ref="A174:E174"/>
    <mergeCell ref="E184:Q184"/>
    <mergeCell ref="E185:Q185"/>
    <mergeCell ref="E189:Q189"/>
    <mergeCell ref="E136:Q136"/>
    <mergeCell ref="E137:Q137"/>
    <mergeCell ref="A141:E141"/>
    <mergeCell ref="A145:E145"/>
    <mergeCell ref="A149:E149"/>
    <mergeCell ref="A157:E157"/>
    <mergeCell ref="A116:Q116"/>
    <mergeCell ref="A118:E118"/>
    <mergeCell ref="E128:Q128"/>
    <mergeCell ref="E129:Q129"/>
    <mergeCell ref="E133:Q133"/>
    <mergeCell ref="E135:Q135"/>
    <mergeCell ref="A84:E84"/>
    <mergeCell ref="A88:E88"/>
    <mergeCell ref="A92:E92"/>
    <mergeCell ref="A100:E100"/>
    <mergeCell ref="A114:XFD114"/>
    <mergeCell ref="A115:XFD115"/>
    <mergeCell ref="E71:Q71"/>
    <mergeCell ref="E72:Q72"/>
    <mergeCell ref="E76:Q76"/>
    <mergeCell ref="E78:Q78"/>
    <mergeCell ref="E79:Q79"/>
    <mergeCell ref="E80:Q80"/>
    <mergeCell ref="A32:E32"/>
    <mergeCell ref="A36:E36"/>
    <mergeCell ref="A44:E44"/>
    <mergeCell ref="A58:XFD58"/>
    <mergeCell ref="A59:Q59"/>
    <mergeCell ref="A61:E61"/>
    <mergeCell ref="E16:Q16"/>
    <mergeCell ref="E20:Q20"/>
    <mergeCell ref="E22:Q22"/>
    <mergeCell ref="E23:Q23"/>
    <mergeCell ref="E24:Q24"/>
    <mergeCell ref="A28:E28"/>
    <mergeCell ref="A1:XFD1"/>
    <mergeCell ref="A2:Q2"/>
    <mergeCell ref="A3:Q3"/>
    <mergeCell ref="A5:E5"/>
    <mergeCell ref="E15:Q15"/>
  </mergeCells>
  <phoneticPr fontId="24" type="noConversion"/>
  <hyperlinks>
    <hyperlink ref="D25" r:id="rId1" xr:uid="{2B3AC058-8FF5-4273-BBF3-21D47DE7399D}"/>
    <hyperlink ref="D41" r:id="rId2" xr:uid="{965DF0C6-F9F6-486D-A5ED-95D441AF86F9}"/>
    <hyperlink ref="D108" r:id="rId3" display="https://baike.baidu.com/item/%E6%9F%B4%E6%B2%B9%E5%AF%86%E5%BA%A6/298487" xr:uid="{A41BC9BC-DFC7-4061-94AA-E13F680F0D99}"/>
    <hyperlink ref="D81" r:id="rId4" xr:uid="{E00802DC-8D90-49CB-B97D-77ADF42DCE70}"/>
    <hyperlink ref="D97" r:id="rId5" xr:uid="{AD797EA0-0787-4E49-A1FE-28F2CB87E29E}"/>
    <hyperlink ref="D138" r:id="rId6" xr:uid="{7225C8CB-2D37-4FB1-8104-EE070F2A3ED4}"/>
    <hyperlink ref="D154" r:id="rId7" xr:uid="{6D72F867-7FE2-40E8-982F-EDF5DF26C643}"/>
    <hyperlink ref="D194" r:id="rId8" xr:uid="{21D6555B-3461-47FF-B4EF-23DBBD74167F}"/>
    <hyperlink ref="D210" r:id="rId9" xr:uid="{54CD51D4-DF3E-4BEC-BA2F-CC9D3AE5DD98}"/>
    <hyperlink ref="D251" r:id="rId10" xr:uid="{83F31B86-68C7-4336-82D9-91861B402CEF}"/>
    <hyperlink ref="D267" r:id="rId11" xr:uid="{526EDD76-B22F-4B09-9B68-F47F1BC9E3EB}"/>
    <hyperlink ref="D307" r:id="rId12" xr:uid="{E0CEAF77-B7FA-4F65-9B3F-BBE86FBE0B2F}"/>
    <hyperlink ref="D323" r:id="rId13" xr:uid="{A554EA14-4583-4A71-B886-9F82BAB28E1D}"/>
    <hyperlink ref="D363" r:id="rId14" xr:uid="{43CA95C1-AF76-44A3-B890-DFB63272E3B4}"/>
    <hyperlink ref="D379" r:id="rId15" xr:uid="{5DB4AF1B-33C3-4494-A8B9-7B26D7B1BD13}"/>
    <hyperlink ref="D419" r:id="rId16" xr:uid="{1A78D24D-B03E-4658-A8DF-6071E8B19B20}"/>
    <hyperlink ref="D435" r:id="rId17" xr:uid="{329C6563-9B0E-488E-91CE-1F9F2FFB955B}"/>
    <hyperlink ref="D475" r:id="rId18" xr:uid="{FB1B90E5-0D2B-4B26-BDBF-9BDF11C95535}"/>
    <hyperlink ref="D491" r:id="rId19" xr:uid="{6AA77B23-469E-41F0-B13F-9B1D9457E107}"/>
    <hyperlink ref="D532" r:id="rId20" xr:uid="{4E044697-C825-4467-84A6-3586C089A87C}"/>
    <hyperlink ref="D548" r:id="rId21" xr:uid="{8E1F40C8-D1BA-4528-AF79-3D2ABDF4C64B}"/>
    <hyperlink ref="D588" r:id="rId22" xr:uid="{88AFD90D-C713-40A5-8002-26022EF851A7}"/>
    <hyperlink ref="D604" r:id="rId23" xr:uid="{68382D06-4B91-44B8-AA70-23504195BAE3}"/>
    <hyperlink ref="D645" r:id="rId24" xr:uid="{32E4030B-CF82-4DE6-81BB-4376F36D04B9}"/>
    <hyperlink ref="D661" r:id="rId25" xr:uid="{D8B575C5-615D-4C2D-89D2-5A10EFC8CFB0}"/>
    <hyperlink ref="D701" r:id="rId26" xr:uid="{CDC971BD-5DFE-446B-8A41-3DA454C6829C}"/>
    <hyperlink ref="D717" r:id="rId27" xr:uid="{B7AB7EF9-A9E5-49EA-B598-FDE758275A93}"/>
    <hyperlink ref="D758" r:id="rId28" xr:uid="{F28DAF11-C651-4B3C-8C39-60C69C7C1DE2}"/>
    <hyperlink ref="D774" r:id="rId29" xr:uid="{1D569C93-94A3-4ABC-96B5-0A7D1CDC5E98}"/>
    <hyperlink ref="D814" r:id="rId30" xr:uid="{150318B6-3217-4145-B505-04AB8BB52392}"/>
    <hyperlink ref="D830" r:id="rId31" xr:uid="{68F87011-B68C-45CD-8438-07371EED4059}"/>
    <hyperlink ref="D870" r:id="rId32" xr:uid="{2A071840-907C-4F9B-8455-1B128B216481}"/>
    <hyperlink ref="D886" r:id="rId33" xr:uid="{41DECAF2-1611-4EC4-B3FA-41EB6E633956}"/>
    <hyperlink ref="D52" r:id="rId34" display="https://baike.baidu.com/item/%E6%9F%B4%E6%B2%B9%E5%AF%86%E5%BA%A6/298487" xr:uid="{C48C66CC-DFF0-4075-A230-1229004F1D80}"/>
    <hyperlink ref="D165" r:id="rId35" display="https://baike.baidu.com/item/%E6%9F%B4%E6%B2%B9%E5%AF%86%E5%BA%A6/298487" xr:uid="{C04C6A3C-680D-4A7A-97A7-DB45DDF9BED5}"/>
    <hyperlink ref="D221" r:id="rId36" display="https://baike.baidu.com/item/%E6%9F%B4%E6%B2%B9%E5%AF%86%E5%BA%A6/298487" xr:uid="{4D027533-D5DF-424D-8BE2-6811C33340E8}"/>
    <hyperlink ref="D278" r:id="rId37" display="https://baike.baidu.com/item/%E6%9F%B4%E6%B2%B9%E5%AF%86%E5%BA%A6/298487" xr:uid="{9084E308-9CF0-4EC1-A22B-218E95DAD0E2}"/>
    <hyperlink ref="D334" r:id="rId38" display="https://baike.baidu.com/item/%E6%9F%B4%E6%B2%B9%E5%AF%86%E5%BA%A6/298487" xr:uid="{B7A94179-9E98-4F88-B75B-D5C041BD09E7}"/>
    <hyperlink ref="D390" r:id="rId39" display="https://baike.baidu.com/item/%E6%9F%B4%E6%B2%B9%E5%AF%86%E5%BA%A6/298487" xr:uid="{C2A90F39-3447-4731-95D7-24E9FC890678}"/>
    <hyperlink ref="D446" r:id="rId40" display="https://baike.baidu.com/item/%E6%9F%B4%E6%B2%B9%E5%AF%86%E5%BA%A6/298487" xr:uid="{CC2209A4-DA9E-4ADD-8A1D-8FF6B47A2F9A}"/>
    <hyperlink ref="D502" r:id="rId41" display="https://baike.baidu.com/item/%E6%9F%B4%E6%B2%B9%E5%AF%86%E5%BA%A6/298487" xr:uid="{9C19F081-A981-470E-AF09-D9F3B632F988}"/>
    <hyperlink ref="D559" r:id="rId42" display="https://baike.baidu.com/item/%E6%9F%B4%E6%B2%B9%E5%AF%86%E5%BA%A6/298487" xr:uid="{0B70A404-00DA-43F6-9769-ACA514F0A3F6}"/>
    <hyperlink ref="D615" r:id="rId43" display="https://baike.baidu.com/item/%E6%9F%B4%E6%B2%B9%E5%AF%86%E5%BA%A6/298487" xr:uid="{6CA939CC-44E2-48D3-B141-C31EAEF4B861}"/>
    <hyperlink ref="D672" r:id="rId44" display="https://baike.baidu.com/item/%E6%9F%B4%E6%B2%B9%E5%AF%86%E5%BA%A6/298487" xr:uid="{81B6A36B-E280-4091-8C72-9AA256C523B9}"/>
    <hyperlink ref="D728" r:id="rId45" display="https://baike.baidu.com/item/%E6%9F%B4%E6%B2%B9%E5%AF%86%E5%BA%A6/298487" xr:uid="{FFC12D4B-2EF7-453C-A5AB-96065E1A8944}"/>
    <hyperlink ref="D785" r:id="rId46" display="https://baike.baidu.com/item/%E6%9F%B4%E6%B2%B9%E5%AF%86%E5%BA%A6/298487" xr:uid="{15F20B7D-1056-4E90-9935-652CABEC58BF}"/>
    <hyperlink ref="D841" r:id="rId47" display="https://baike.baidu.com/item/%E6%9F%B4%E6%B2%B9%E5%AF%86%E5%BA%A6/298487" xr:uid="{D5B43B24-68FF-4B10-B028-B9C1A0800203}"/>
    <hyperlink ref="D897" r:id="rId48" display="https://baike.baidu.com/item/%E6%9F%B4%E6%B2%B9%E5%AF%86%E5%BA%A6/298487" xr:uid="{D0FD5595-2D5B-4B74-90A6-DC7047CEDC17}"/>
  </hyperlinks>
  <pageMargins left="0.7" right="0.7" top="0.75" bottom="0.75" header="0.3" footer="0.3"/>
  <pageSetup paperSize="9" orientation="portrait" horizontalDpi="300" verticalDpi="300" r:id="rId49"/>
  <ignoredErrors>
    <ignoredError sqref="E11:J11 E67:J67 E293:J293 E744:J744 E8 E64 F124:J124 E124 K124 E121 E177 E237 E234 E349 E346 F405:J405 E405 K405 E402 F461:J461 E461 K461 F518:J518 E518 K518 E515:K515 E574:K574 E571 F631:J631 E631 K631 E628 E687 E684 E741 E800:K800 E797 F856:J856 E856 K856 E853" formula="1"/>
    <ignoredError sqref="E12 G233 F462 F581" evalError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I108"/>
  <sheetViews>
    <sheetView zoomScale="115" zoomScaleNormal="115" workbookViewId="0">
      <selection activeCell="G104" sqref="G104"/>
    </sheetView>
  </sheetViews>
  <sheetFormatPr defaultColWidth="11.44140625" defaultRowHeight="15.6" x14ac:dyDescent="0.3"/>
  <cols>
    <col min="1" max="1" width="6.77734375" style="1" customWidth="1"/>
    <col min="2" max="2" width="32.109375" style="2" customWidth="1"/>
    <col min="3" max="3" width="13.6640625" style="2" customWidth="1"/>
    <col min="4" max="4" width="13.88671875" style="2" customWidth="1"/>
    <col min="5" max="5" width="13.6640625" style="2" customWidth="1"/>
    <col min="6" max="6" width="13.77734375" style="2" customWidth="1"/>
    <col min="7" max="16384" width="11.44140625" style="1"/>
  </cols>
  <sheetData>
    <row r="1" spans="2:9" s="103" customFormat="1" ht="21" customHeight="1" x14ac:dyDescent="0.25">
      <c r="B1" s="216" t="s">
        <v>259</v>
      </c>
      <c r="C1" s="217"/>
      <c r="D1" s="217"/>
      <c r="E1" s="217"/>
      <c r="F1" s="217"/>
    </row>
    <row r="2" spans="2:9" ht="18" x14ac:dyDescent="0.3">
      <c r="B2" s="3" t="s">
        <v>185</v>
      </c>
      <c r="C2" s="3" t="s">
        <v>186</v>
      </c>
      <c r="D2" s="3" t="s">
        <v>187</v>
      </c>
      <c r="E2" s="3" t="s">
        <v>188</v>
      </c>
      <c r="F2" s="3" t="s">
        <v>189</v>
      </c>
    </row>
    <row r="3" spans="2:9" ht="16.8" customHeight="1" x14ac:dyDescent="0.3">
      <c r="B3" s="4" t="s">
        <v>261</v>
      </c>
      <c r="C3" s="5">
        <f>'Baseline Emissions 2020'!E55</f>
        <v>550</v>
      </c>
      <c r="D3" s="5">
        <f>'Project Emissions 2020'!E57</f>
        <v>125</v>
      </c>
      <c r="E3" s="6">
        <v>0</v>
      </c>
      <c r="F3" s="5">
        <f>C3-D3-E3</f>
        <v>425</v>
      </c>
      <c r="I3" s="104"/>
    </row>
    <row r="4" spans="2:9" x14ac:dyDescent="0.3">
      <c r="B4" s="4" t="s">
        <v>216</v>
      </c>
      <c r="C4" s="5">
        <f>'Baseline Emissions 2021'!E55</f>
        <v>2053</v>
      </c>
      <c r="D4" s="5">
        <f>'Project Emissions 2021'!E57</f>
        <v>383</v>
      </c>
      <c r="E4" s="6">
        <v>0</v>
      </c>
      <c r="F4" s="5">
        <f t="shared" ref="F4:F5" si="0">C4-D4-E4</f>
        <v>1670</v>
      </c>
    </row>
    <row r="5" spans="2:9" x14ac:dyDescent="0.3">
      <c r="B5" s="4" t="s">
        <v>330</v>
      </c>
      <c r="C5" s="5">
        <f>'Baseline Emissions 2022'!E55</f>
        <v>1090</v>
      </c>
      <c r="D5" s="5">
        <f>'Project Emissions 2022'!E57</f>
        <v>192</v>
      </c>
      <c r="E5" s="6">
        <v>0</v>
      </c>
      <c r="F5" s="5">
        <f t="shared" si="0"/>
        <v>898</v>
      </c>
    </row>
    <row r="6" spans="2:9" ht="18" x14ac:dyDescent="0.3">
      <c r="B6" s="7" t="s">
        <v>190</v>
      </c>
      <c r="C6" s="8">
        <f>SUM(C3:C5)</f>
        <v>3693</v>
      </c>
      <c r="D6" s="8">
        <f>SUM(D3:D5)</f>
        <v>700</v>
      </c>
      <c r="E6" s="8">
        <f>SUM(E3:E5)</f>
        <v>0</v>
      </c>
      <c r="F6" s="8">
        <f>SUM(F3:F5)</f>
        <v>2993</v>
      </c>
    </row>
    <row r="7" spans="2:9" x14ac:dyDescent="0.3">
      <c r="B7" s="215" t="s">
        <v>243</v>
      </c>
      <c r="C7" s="215"/>
      <c r="D7" s="215"/>
      <c r="E7" s="215"/>
      <c r="F7" s="215"/>
    </row>
    <row r="8" spans="2:9" ht="18" x14ac:dyDescent="0.3">
      <c r="B8" s="3" t="s">
        <v>185</v>
      </c>
      <c r="C8" s="3" t="s">
        <v>186</v>
      </c>
      <c r="D8" s="3" t="s">
        <v>187</v>
      </c>
      <c r="E8" s="3" t="s">
        <v>188</v>
      </c>
      <c r="F8" s="3" t="s">
        <v>189</v>
      </c>
    </row>
    <row r="9" spans="2:9" x14ac:dyDescent="0.3">
      <c r="B9" s="4" t="s">
        <v>262</v>
      </c>
      <c r="C9" s="5">
        <f>'Baseline Emissions 2020'!E110</f>
        <v>835</v>
      </c>
      <c r="D9" s="5">
        <f>'Project Emissions 2020'!E113</f>
        <v>147</v>
      </c>
      <c r="E9" s="6">
        <v>0</v>
      </c>
      <c r="F9" s="5">
        <f>C9-D9-E9</f>
        <v>688</v>
      </c>
    </row>
    <row r="10" spans="2:9" x14ac:dyDescent="0.3">
      <c r="B10" s="4" t="s">
        <v>216</v>
      </c>
      <c r="C10" s="5">
        <f>'Baseline Emissions 2021'!E110</f>
        <v>2917</v>
      </c>
      <c r="D10" s="5">
        <f>'Project Emissions 2021'!E113</f>
        <v>487</v>
      </c>
      <c r="E10" s="6">
        <v>0</v>
      </c>
      <c r="F10" s="5">
        <f t="shared" ref="F10:F11" si="1">C10-D10-E10</f>
        <v>2430</v>
      </c>
    </row>
    <row r="11" spans="2:9" x14ac:dyDescent="0.3">
      <c r="B11" s="4" t="s">
        <v>330</v>
      </c>
      <c r="C11" s="5">
        <f>'Baseline Emissions 2022'!E110</f>
        <v>1624</v>
      </c>
      <c r="D11" s="5">
        <f>'Project Emissions 2022'!E113</f>
        <v>243</v>
      </c>
      <c r="E11" s="6">
        <v>0</v>
      </c>
      <c r="F11" s="5">
        <f t="shared" si="1"/>
        <v>1381</v>
      </c>
    </row>
    <row r="12" spans="2:9" ht="18" x14ac:dyDescent="0.3">
      <c r="B12" s="7" t="s">
        <v>190</v>
      </c>
      <c r="C12" s="8">
        <f>SUM(C9:C11)</f>
        <v>5376</v>
      </c>
      <c r="D12" s="8">
        <f>SUM(D9:D11)</f>
        <v>877</v>
      </c>
      <c r="E12" s="8">
        <f>SUM(E9:E11)</f>
        <v>0</v>
      </c>
      <c r="F12" s="8">
        <f>SUM(F9:F11)</f>
        <v>4499</v>
      </c>
    </row>
    <row r="13" spans="2:9" x14ac:dyDescent="0.3">
      <c r="B13" s="218" t="s">
        <v>244</v>
      </c>
      <c r="C13" s="218"/>
      <c r="D13" s="218"/>
      <c r="E13" s="218"/>
      <c r="F13" s="218"/>
    </row>
    <row r="14" spans="2:9" ht="18" x14ac:dyDescent="0.3">
      <c r="B14" s="3" t="s">
        <v>185</v>
      </c>
      <c r="C14" s="3" t="s">
        <v>186</v>
      </c>
      <c r="D14" s="3" t="s">
        <v>187</v>
      </c>
      <c r="E14" s="3" t="s">
        <v>188</v>
      </c>
      <c r="F14" s="3" t="s">
        <v>189</v>
      </c>
    </row>
    <row r="15" spans="2:9" x14ac:dyDescent="0.3">
      <c r="B15" s="4" t="s">
        <v>260</v>
      </c>
      <c r="C15" s="5">
        <f>'Baseline Emissions 2020'!E165</f>
        <v>223</v>
      </c>
      <c r="D15" s="5">
        <f>'Project Emissions 2020'!E170</f>
        <v>81</v>
      </c>
      <c r="E15" s="6">
        <v>0</v>
      </c>
      <c r="F15" s="5">
        <f>C15-D15-E15</f>
        <v>142</v>
      </c>
      <c r="H15" s="105"/>
    </row>
    <row r="16" spans="2:9" x14ac:dyDescent="0.3">
      <c r="B16" s="4" t="s">
        <v>216</v>
      </c>
      <c r="C16" s="5">
        <f>'Baseline Emissions 2021'!$E$165</f>
        <v>761</v>
      </c>
      <c r="D16" s="5">
        <f>'Project Emissions 2021'!E170</f>
        <v>259</v>
      </c>
      <c r="E16" s="6">
        <v>0</v>
      </c>
      <c r="F16" s="5">
        <f t="shared" ref="F16:F17" si="2">C16-D16-E16</f>
        <v>502</v>
      </c>
    </row>
    <row r="17" spans="2:6" x14ac:dyDescent="0.3">
      <c r="B17" s="4" t="s">
        <v>330</v>
      </c>
      <c r="C17" s="5">
        <f>'Baseline Emissions 2022'!$E$165</f>
        <v>392</v>
      </c>
      <c r="D17" s="5">
        <f>'Project Emissions 2022'!E170</f>
        <v>130</v>
      </c>
      <c r="E17" s="6">
        <v>0</v>
      </c>
      <c r="F17" s="5">
        <f t="shared" si="2"/>
        <v>262</v>
      </c>
    </row>
    <row r="18" spans="2:6" ht="18" x14ac:dyDescent="0.3">
      <c r="B18" s="7" t="s">
        <v>190</v>
      </c>
      <c r="C18" s="8">
        <f>SUM(C15:C17)</f>
        <v>1376</v>
      </c>
      <c r="D18" s="8">
        <f>SUM(D15:D17)</f>
        <v>470</v>
      </c>
      <c r="E18" s="8">
        <f>SUM(E15:E17)</f>
        <v>0</v>
      </c>
      <c r="F18" s="8">
        <f>SUM(F15:F17)</f>
        <v>906</v>
      </c>
    </row>
    <row r="19" spans="2:6" x14ac:dyDescent="0.3">
      <c r="B19" s="215" t="s">
        <v>245</v>
      </c>
      <c r="C19" s="215"/>
      <c r="D19" s="215"/>
      <c r="E19" s="215"/>
      <c r="F19" s="215"/>
    </row>
    <row r="20" spans="2:6" ht="18" x14ac:dyDescent="0.3">
      <c r="B20" s="3" t="s">
        <v>185</v>
      </c>
      <c r="C20" s="3" t="s">
        <v>186</v>
      </c>
      <c r="D20" s="3" t="s">
        <v>187</v>
      </c>
      <c r="E20" s="3" t="s">
        <v>188</v>
      </c>
      <c r="F20" s="3" t="s">
        <v>189</v>
      </c>
    </row>
    <row r="21" spans="2:6" x14ac:dyDescent="0.3">
      <c r="B21" s="4" t="s">
        <v>263</v>
      </c>
      <c r="C21" s="5">
        <f>'Baseline Emissions 2020'!E219</f>
        <v>712</v>
      </c>
      <c r="D21" s="5">
        <f>'Project Emissions 2020'!E226</f>
        <v>149</v>
      </c>
      <c r="E21" s="6">
        <v>0</v>
      </c>
      <c r="F21" s="5">
        <f>C21-D21-E21</f>
        <v>563</v>
      </c>
    </row>
    <row r="22" spans="2:6" x14ac:dyDescent="0.3">
      <c r="B22" s="4" t="s">
        <v>216</v>
      </c>
      <c r="C22" s="5">
        <f>'Baseline Emissions 2021'!E219</f>
        <v>2582</v>
      </c>
      <c r="D22" s="5">
        <f>'Project Emissions 2021'!E226</f>
        <v>482</v>
      </c>
      <c r="E22" s="6">
        <v>0</v>
      </c>
      <c r="F22" s="5">
        <f t="shared" ref="F22:F23" si="3">C22-D22-E22</f>
        <v>2100</v>
      </c>
    </row>
    <row r="23" spans="2:6" x14ac:dyDescent="0.3">
      <c r="B23" s="4" t="s">
        <v>330</v>
      </c>
      <c r="C23" s="5">
        <f>'Baseline Emissions 2022'!E219</f>
        <v>1365</v>
      </c>
      <c r="D23" s="5">
        <f>'Project Emissions 2022'!E226</f>
        <v>241</v>
      </c>
      <c r="E23" s="6">
        <v>0</v>
      </c>
      <c r="F23" s="5">
        <f t="shared" si="3"/>
        <v>1124</v>
      </c>
    </row>
    <row r="24" spans="2:6" ht="18" x14ac:dyDescent="0.3">
      <c r="B24" s="7" t="s">
        <v>190</v>
      </c>
      <c r="C24" s="8">
        <f>SUM(C21:C23)</f>
        <v>4659</v>
      </c>
      <c r="D24" s="8">
        <f>SUM(D21:D23)</f>
        <v>872</v>
      </c>
      <c r="E24" s="6">
        <v>0</v>
      </c>
      <c r="F24" s="8">
        <f>SUM(F21:F23)</f>
        <v>3787</v>
      </c>
    </row>
    <row r="25" spans="2:6" x14ac:dyDescent="0.3">
      <c r="B25" s="215" t="s">
        <v>246</v>
      </c>
      <c r="C25" s="215"/>
      <c r="D25" s="215"/>
      <c r="E25" s="215"/>
      <c r="F25" s="215"/>
    </row>
    <row r="26" spans="2:6" ht="18" x14ac:dyDescent="0.3">
      <c r="B26" s="3" t="s">
        <v>185</v>
      </c>
      <c r="C26" s="3" t="s">
        <v>186</v>
      </c>
      <c r="D26" s="3" t="s">
        <v>187</v>
      </c>
      <c r="E26" s="3" t="s">
        <v>188</v>
      </c>
      <c r="F26" s="3" t="s">
        <v>189</v>
      </c>
    </row>
    <row r="27" spans="2:6" x14ac:dyDescent="0.3">
      <c r="B27" s="4" t="s">
        <v>264</v>
      </c>
      <c r="C27" s="5">
        <f>'Baseline Emissions 2020'!E274</f>
        <v>1193</v>
      </c>
      <c r="D27" s="5">
        <f>'Project Emissions 2020'!E283</f>
        <v>253</v>
      </c>
      <c r="E27" s="6">
        <v>0</v>
      </c>
      <c r="F27" s="5">
        <f>C27-D27-E27</f>
        <v>940</v>
      </c>
    </row>
    <row r="28" spans="2:6" x14ac:dyDescent="0.3">
      <c r="B28" s="4" t="s">
        <v>216</v>
      </c>
      <c r="C28" s="5">
        <f>'Baseline Emissions 2021'!E274</f>
        <v>4716</v>
      </c>
      <c r="D28" s="5">
        <f>'Project Emissions 2021'!E283</f>
        <v>798</v>
      </c>
      <c r="E28" s="6">
        <v>0</v>
      </c>
      <c r="F28" s="5">
        <f t="shared" ref="F28:F29" si="4">C28-D28-E28</f>
        <v>3918</v>
      </c>
    </row>
    <row r="29" spans="2:6" x14ac:dyDescent="0.3">
      <c r="B29" s="4" t="s">
        <v>330</v>
      </c>
      <c r="C29" s="5">
        <f>'Baseline Emissions 2022'!E274</f>
        <v>2503</v>
      </c>
      <c r="D29" s="5">
        <f>'Project Emissions 2022'!E283</f>
        <v>399</v>
      </c>
      <c r="E29" s="6">
        <v>0</v>
      </c>
      <c r="F29" s="5">
        <f t="shared" si="4"/>
        <v>2104</v>
      </c>
    </row>
    <row r="30" spans="2:6" ht="18" x14ac:dyDescent="0.3">
      <c r="B30" s="7" t="s">
        <v>190</v>
      </c>
      <c r="C30" s="8">
        <f>SUM(C27:C29)</f>
        <v>8412</v>
      </c>
      <c r="D30" s="8">
        <f>SUM(D27:D29)</f>
        <v>1450</v>
      </c>
      <c r="E30" s="8">
        <f>SUM(E27:E29)</f>
        <v>0</v>
      </c>
      <c r="F30" s="8">
        <f>SUM(F27:F29)</f>
        <v>6962</v>
      </c>
    </row>
    <row r="31" spans="2:6" x14ac:dyDescent="0.3">
      <c r="B31" s="215" t="s">
        <v>248</v>
      </c>
      <c r="C31" s="215"/>
      <c r="D31" s="215"/>
      <c r="E31" s="215"/>
      <c r="F31" s="215"/>
    </row>
    <row r="32" spans="2:6" ht="18" x14ac:dyDescent="0.3">
      <c r="B32" s="3" t="s">
        <v>185</v>
      </c>
      <c r="C32" s="3" t="s">
        <v>186</v>
      </c>
      <c r="D32" s="3" t="s">
        <v>187</v>
      </c>
      <c r="E32" s="3" t="s">
        <v>188</v>
      </c>
      <c r="F32" s="3" t="s">
        <v>189</v>
      </c>
    </row>
    <row r="33" spans="2:6" x14ac:dyDescent="0.3">
      <c r="B33" s="4" t="s">
        <v>265</v>
      </c>
      <c r="C33" s="5">
        <f>'Baseline Emissions 2020'!E328</f>
        <v>1122</v>
      </c>
      <c r="D33" s="5">
        <f>'Project Emissions 2020'!E339</f>
        <v>202</v>
      </c>
      <c r="E33" s="6">
        <v>0</v>
      </c>
      <c r="F33" s="5">
        <f>C33-D33-E33</f>
        <v>920</v>
      </c>
    </row>
    <row r="34" spans="2:6" x14ac:dyDescent="0.3">
      <c r="B34" s="4" t="s">
        <v>216</v>
      </c>
      <c r="C34" s="5">
        <f>'Baseline Emissions 2021'!E328</f>
        <v>4328</v>
      </c>
      <c r="D34" s="5">
        <f>'Project Emissions 2021'!E339</f>
        <v>624</v>
      </c>
      <c r="E34" s="6">
        <v>0</v>
      </c>
      <c r="F34" s="5">
        <f t="shared" ref="F34:F35" si="5">C34-D34-E34</f>
        <v>3704</v>
      </c>
    </row>
    <row r="35" spans="2:6" x14ac:dyDescent="0.3">
      <c r="B35" s="4" t="s">
        <v>330</v>
      </c>
      <c r="C35" s="5">
        <f>'Baseline Emissions 2022'!E328</f>
        <v>1911</v>
      </c>
      <c r="D35" s="5">
        <f>'Project Emissions 2022'!E339</f>
        <v>313</v>
      </c>
      <c r="E35" s="6">
        <v>0</v>
      </c>
      <c r="F35" s="5">
        <f t="shared" si="5"/>
        <v>1598</v>
      </c>
    </row>
    <row r="36" spans="2:6" ht="18" x14ac:dyDescent="0.3">
      <c r="B36" s="7" t="s">
        <v>190</v>
      </c>
      <c r="C36" s="8">
        <f>SUM(C33:C35)</f>
        <v>7361</v>
      </c>
      <c r="D36" s="8">
        <f>SUM(D33:D35)</f>
        <v>1139</v>
      </c>
      <c r="E36" s="8">
        <f>SUM(E33:E35)</f>
        <v>0</v>
      </c>
      <c r="F36" s="8">
        <f>SUM(F33:F35)</f>
        <v>6222</v>
      </c>
    </row>
    <row r="37" spans="2:6" x14ac:dyDescent="0.3">
      <c r="B37" s="215" t="s">
        <v>249</v>
      </c>
      <c r="C37" s="219"/>
      <c r="D37" s="219"/>
      <c r="E37" s="219"/>
      <c r="F37" s="219"/>
    </row>
    <row r="38" spans="2:6" ht="18" x14ac:dyDescent="0.3">
      <c r="B38" s="3" t="s">
        <v>185</v>
      </c>
      <c r="C38" s="3" t="s">
        <v>186</v>
      </c>
      <c r="D38" s="3" t="s">
        <v>187</v>
      </c>
      <c r="E38" s="3" t="s">
        <v>188</v>
      </c>
      <c r="F38" s="3" t="s">
        <v>189</v>
      </c>
    </row>
    <row r="39" spans="2:6" x14ac:dyDescent="0.3">
      <c r="B39" s="4" t="s">
        <v>266</v>
      </c>
      <c r="C39" s="5">
        <f>'Baseline Emissions 2020'!E382</f>
        <v>1200</v>
      </c>
      <c r="D39" s="5">
        <f>'Project Emissions 2020'!E395</f>
        <v>251</v>
      </c>
      <c r="E39" s="6">
        <v>0</v>
      </c>
      <c r="F39" s="5">
        <f>C39-D39-E39</f>
        <v>949</v>
      </c>
    </row>
    <row r="40" spans="2:6" x14ac:dyDescent="0.3">
      <c r="B40" s="4" t="s">
        <v>216</v>
      </c>
      <c r="C40" s="5">
        <f>'Baseline Emissions 2021'!E382</f>
        <v>4808</v>
      </c>
      <c r="D40" s="5">
        <f>'Project Emissions 2021'!E395</f>
        <v>784</v>
      </c>
      <c r="E40" s="6">
        <v>0</v>
      </c>
      <c r="F40" s="5">
        <f t="shared" ref="F40:F41" si="6">C40-D40-E40</f>
        <v>4024</v>
      </c>
    </row>
    <row r="41" spans="2:6" x14ac:dyDescent="0.3">
      <c r="B41" s="4" t="s">
        <v>330</v>
      </c>
      <c r="C41" s="5">
        <f>'Baseline Emissions 2022'!E382</f>
        <v>2563</v>
      </c>
      <c r="D41" s="5">
        <f>'Project Emissions 2022'!E395</f>
        <v>393</v>
      </c>
      <c r="E41" s="6">
        <v>0</v>
      </c>
      <c r="F41" s="5">
        <f t="shared" si="6"/>
        <v>2170</v>
      </c>
    </row>
    <row r="42" spans="2:6" ht="18" x14ac:dyDescent="0.3">
      <c r="B42" s="7" t="s">
        <v>190</v>
      </c>
      <c r="C42" s="8">
        <f>SUM(C39:C41)</f>
        <v>8571</v>
      </c>
      <c r="D42" s="8">
        <f>SUM(D39:D41)</f>
        <v>1428</v>
      </c>
      <c r="E42" s="8">
        <f>SUM(E39:E41)</f>
        <v>0</v>
      </c>
      <c r="F42" s="8">
        <f>SUM(F39:F41)</f>
        <v>7143</v>
      </c>
    </row>
    <row r="43" spans="2:6" x14ac:dyDescent="0.3">
      <c r="B43" s="215" t="s">
        <v>250</v>
      </c>
      <c r="C43" s="219"/>
      <c r="D43" s="219"/>
      <c r="E43" s="219"/>
      <c r="F43" s="219"/>
    </row>
    <row r="44" spans="2:6" ht="18" x14ac:dyDescent="0.3">
      <c r="B44" s="3" t="s">
        <v>185</v>
      </c>
      <c r="C44" s="3" t="s">
        <v>186</v>
      </c>
      <c r="D44" s="3" t="s">
        <v>187</v>
      </c>
      <c r="E44" s="3" t="s">
        <v>188</v>
      </c>
      <c r="F44" s="3" t="s">
        <v>189</v>
      </c>
    </row>
    <row r="45" spans="2:6" x14ac:dyDescent="0.3">
      <c r="B45" s="4" t="s">
        <v>264</v>
      </c>
      <c r="C45" s="5">
        <f>'Baseline Emissions 2020'!E436</f>
        <v>754</v>
      </c>
      <c r="D45" s="5">
        <f>'Project Emissions 2020'!E451</f>
        <v>173</v>
      </c>
      <c r="E45" s="6">
        <v>0</v>
      </c>
      <c r="F45" s="5">
        <f>C45-D45-E45</f>
        <v>581</v>
      </c>
    </row>
    <row r="46" spans="2:6" x14ac:dyDescent="0.3">
      <c r="B46" s="4" t="s">
        <v>216</v>
      </c>
      <c r="C46" s="5">
        <f>'Baseline Emissions 2021'!E436</f>
        <v>3022</v>
      </c>
      <c r="D46" s="5">
        <f>'Project Emissions 2021'!E451</f>
        <v>536</v>
      </c>
      <c r="E46" s="6">
        <v>0</v>
      </c>
      <c r="F46" s="5">
        <f t="shared" ref="F46:F47" si="7">C46-D46-E46</f>
        <v>2486</v>
      </c>
    </row>
    <row r="47" spans="2:6" x14ac:dyDescent="0.3">
      <c r="B47" s="4" t="s">
        <v>330</v>
      </c>
      <c r="C47" s="5">
        <f>'Baseline Emissions 2022'!E436</f>
        <v>1563</v>
      </c>
      <c r="D47" s="5">
        <f>'Project Emissions 2022'!E451</f>
        <v>268</v>
      </c>
      <c r="E47" s="6">
        <v>0</v>
      </c>
      <c r="F47" s="5">
        <f t="shared" si="7"/>
        <v>1295</v>
      </c>
    </row>
    <row r="48" spans="2:6" ht="18" x14ac:dyDescent="0.3">
      <c r="B48" s="7" t="s">
        <v>190</v>
      </c>
      <c r="C48" s="8">
        <f>SUM(C45:C47)</f>
        <v>5339</v>
      </c>
      <c r="D48" s="8">
        <f>SUM(D45:D47)</f>
        <v>977</v>
      </c>
      <c r="E48" s="8">
        <f>SUM(E45:E47)</f>
        <v>0</v>
      </c>
      <c r="F48" s="8">
        <f>SUM(F45:F47)</f>
        <v>4362</v>
      </c>
    </row>
    <row r="49" spans="2:6" x14ac:dyDescent="0.3">
      <c r="B49" s="215" t="s">
        <v>251</v>
      </c>
      <c r="C49" s="215"/>
      <c r="D49" s="215"/>
      <c r="E49" s="215"/>
      <c r="F49" s="215"/>
    </row>
    <row r="50" spans="2:6" ht="18" x14ac:dyDescent="0.3">
      <c r="B50" s="3" t="s">
        <v>185</v>
      </c>
      <c r="C50" s="3" t="s">
        <v>186</v>
      </c>
      <c r="D50" s="3" t="s">
        <v>187</v>
      </c>
      <c r="E50" s="3" t="s">
        <v>188</v>
      </c>
      <c r="F50" s="3" t="s">
        <v>189</v>
      </c>
    </row>
    <row r="51" spans="2:6" x14ac:dyDescent="0.3">
      <c r="B51" s="4" t="s">
        <v>267</v>
      </c>
      <c r="C51" s="5">
        <f>'Baseline Emissions 2020'!E491</f>
        <v>2473</v>
      </c>
      <c r="D51" s="5">
        <f>'Project Emissions 2020'!E507</f>
        <v>628</v>
      </c>
      <c r="E51" s="6">
        <v>0</v>
      </c>
      <c r="F51" s="5">
        <f>C51-D51-E51</f>
        <v>1845</v>
      </c>
    </row>
    <row r="52" spans="2:6" x14ac:dyDescent="0.3">
      <c r="B52" s="4" t="s">
        <v>216</v>
      </c>
      <c r="C52" s="5">
        <f>'Baseline Emissions 2021'!E491</f>
        <v>10462</v>
      </c>
      <c r="D52" s="5">
        <f>'Project Emissions 2021'!E507</f>
        <v>1972</v>
      </c>
      <c r="E52" s="6">
        <v>0</v>
      </c>
      <c r="F52" s="5">
        <f t="shared" ref="F52:F53" si="8">C52-D52-E52</f>
        <v>8490</v>
      </c>
    </row>
    <row r="53" spans="2:6" x14ac:dyDescent="0.3">
      <c r="B53" s="4" t="s">
        <v>330</v>
      </c>
      <c r="C53" s="5">
        <f>'Baseline Emissions 2022'!E491</f>
        <v>5670</v>
      </c>
      <c r="D53" s="5">
        <f>'Project Emissions 2022'!E507</f>
        <v>985</v>
      </c>
      <c r="E53" s="6">
        <v>0</v>
      </c>
      <c r="F53" s="5">
        <f t="shared" si="8"/>
        <v>4685</v>
      </c>
    </row>
    <row r="54" spans="2:6" ht="18" x14ac:dyDescent="0.3">
      <c r="B54" s="7" t="s">
        <v>190</v>
      </c>
      <c r="C54" s="8">
        <f>SUM(C51:C53)</f>
        <v>18605</v>
      </c>
      <c r="D54" s="8">
        <f>SUM(D51:D53)</f>
        <v>3585</v>
      </c>
      <c r="E54" s="8">
        <f>SUM(E51:E53)</f>
        <v>0</v>
      </c>
      <c r="F54" s="8">
        <f>SUM(F51:F53)</f>
        <v>15020</v>
      </c>
    </row>
    <row r="55" spans="2:6" x14ac:dyDescent="0.3">
      <c r="B55" s="215" t="s">
        <v>252</v>
      </c>
      <c r="C55" s="215"/>
      <c r="D55" s="215"/>
      <c r="E55" s="215"/>
      <c r="F55" s="215"/>
    </row>
    <row r="56" spans="2:6" ht="18" x14ac:dyDescent="0.3">
      <c r="B56" s="3" t="s">
        <v>185</v>
      </c>
      <c r="C56" s="3" t="s">
        <v>186</v>
      </c>
      <c r="D56" s="3" t="s">
        <v>187</v>
      </c>
      <c r="E56" s="3" t="s">
        <v>188</v>
      </c>
      <c r="F56" s="3" t="s">
        <v>189</v>
      </c>
    </row>
    <row r="57" spans="2:6" x14ac:dyDescent="0.3">
      <c r="B57" s="4" t="s">
        <v>268</v>
      </c>
      <c r="C57" s="5">
        <f>'Baseline Emissions 2020'!E546</f>
        <v>651</v>
      </c>
      <c r="D57" s="5">
        <f>'Project Emissions 2020'!E564</f>
        <v>139</v>
      </c>
      <c r="E57" s="6">
        <v>0</v>
      </c>
      <c r="F57" s="5">
        <f>C57-D57-E57</f>
        <v>512</v>
      </c>
    </row>
    <row r="58" spans="2:6" x14ac:dyDescent="0.3">
      <c r="B58" s="4" t="s">
        <v>216</v>
      </c>
      <c r="C58" s="5">
        <f>'Baseline Emissions 2021'!E546</f>
        <v>2581</v>
      </c>
      <c r="D58" s="5">
        <f>'Project Emissions 2021'!E564</f>
        <v>436</v>
      </c>
      <c r="E58" s="6">
        <v>0</v>
      </c>
      <c r="F58" s="5">
        <f t="shared" ref="F58:F59" si="9">C58-D58-E58</f>
        <v>2145</v>
      </c>
    </row>
    <row r="59" spans="2:6" x14ac:dyDescent="0.3">
      <c r="B59" s="4" t="s">
        <v>330</v>
      </c>
      <c r="C59" s="5">
        <f>'Baseline Emissions 2022'!E546</f>
        <v>1352</v>
      </c>
      <c r="D59" s="5">
        <f>'Project Emissions 2022'!E564</f>
        <v>218</v>
      </c>
      <c r="E59" s="6">
        <v>0</v>
      </c>
      <c r="F59" s="5">
        <f t="shared" si="9"/>
        <v>1134</v>
      </c>
    </row>
    <row r="60" spans="2:6" ht="18" x14ac:dyDescent="0.3">
      <c r="B60" s="7" t="s">
        <v>190</v>
      </c>
      <c r="C60" s="8">
        <f>SUM(C57:C59)</f>
        <v>4584</v>
      </c>
      <c r="D60" s="8">
        <f>SUM(D57:D59)</f>
        <v>793</v>
      </c>
      <c r="E60" s="8">
        <f>SUM(E57:E59)</f>
        <v>0</v>
      </c>
      <c r="F60" s="8">
        <f>SUM(F57:F59)</f>
        <v>3791</v>
      </c>
    </row>
    <row r="61" spans="2:6" x14ac:dyDescent="0.3">
      <c r="B61" s="215" t="s">
        <v>253</v>
      </c>
      <c r="C61" s="215"/>
      <c r="D61" s="215"/>
      <c r="E61" s="215"/>
      <c r="F61" s="215"/>
    </row>
    <row r="62" spans="2:6" ht="18" x14ac:dyDescent="0.3">
      <c r="B62" s="3" t="s">
        <v>185</v>
      </c>
      <c r="C62" s="3" t="s">
        <v>186</v>
      </c>
      <c r="D62" s="3" t="s">
        <v>187</v>
      </c>
      <c r="E62" s="3" t="s">
        <v>188</v>
      </c>
      <c r="F62" s="3" t="s">
        <v>189</v>
      </c>
    </row>
    <row r="63" spans="2:6" x14ac:dyDescent="0.3">
      <c r="B63" s="4" t="s">
        <v>269</v>
      </c>
      <c r="C63" s="5">
        <f>'Baseline Emissions 2020'!E600</f>
        <v>740</v>
      </c>
      <c r="D63" s="5">
        <f>'Project Emissions 2020'!E620</f>
        <v>153</v>
      </c>
      <c r="E63" s="6">
        <v>0</v>
      </c>
      <c r="F63" s="5">
        <f>C63-D63-E63</f>
        <v>587</v>
      </c>
    </row>
    <row r="64" spans="2:6" x14ac:dyDescent="0.3">
      <c r="B64" s="4" t="s">
        <v>216</v>
      </c>
      <c r="C64" s="5">
        <f>'Baseline Emissions 2021'!E600</f>
        <v>2999</v>
      </c>
      <c r="D64" s="5">
        <f>'Project Emissions 2021'!E620</f>
        <v>479</v>
      </c>
      <c r="E64" s="6">
        <v>0</v>
      </c>
      <c r="F64" s="5">
        <f t="shared" ref="F64:F65" si="10">C64-D64-E64</f>
        <v>2520</v>
      </c>
    </row>
    <row r="65" spans="2:6" x14ac:dyDescent="0.3">
      <c r="B65" s="4" t="s">
        <v>330</v>
      </c>
      <c r="C65" s="5">
        <f>'Baseline Emissions 2022'!E600</f>
        <v>1571</v>
      </c>
      <c r="D65" s="5">
        <f>'Project Emissions 2022'!E620</f>
        <v>239</v>
      </c>
      <c r="E65" s="6">
        <v>0</v>
      </c>
      <c r="F65" s="5">
        <f t="shared" si="10"/>
        <v>1332</v>
      </c>
    </row>
    <row r="66" spans="2:6" ht="18" x14ac:dyDescent="0.3">
      <c r="B66" s="7" t="s">
        <v>190</v>
      </c>
      <c r="C66" s="8">
        <f>SUM(C63:C65)</f>
        <v>5310</v>
      </c>
      <c r="D66" s="8">
        <f>SUM(D63:D65)</f>
        <v>871</v>
      </c>
      <c r="E66" s="8">
        <f>SUM(E63:E65)</f>
        <v>0</v>
      </c>
      <c r="F66" s="8">
        <f>SUM(F63:F65)</f>
        <v>4439</v>
      </c>
    </row>
    <row r="67" spans="2:6" x14ac:dyDescent="0.3">
      <c r="B67" s="215" t="s">
        <v>254</v>
      </c>
      <c r="C67" s="215"/>
      <c r="D67" s="215"/>
      <c r="E67" s="215"/>
      <c r="F67" s="215"/>
    </row>
    <row r="68" spans="2:6" ht="18" x14ac:dyDescent="0.3">
      <c r="B68" s="3" t="s">
        <v>185</v>
      </c>
      <c r="C68" s="3" t="s">
        <v>186</v>
      </c>
      <c r="D68" s="3" t="s">
        <v>187</v>
      </c>
      <c r="E68" s="3" t="s">
        <v>188</v>
      </c>
      <c r="F68" s="3" t="s">
        <v>189</v>
      </c>
    </row>
    <row r="69" spans="2:6" x14ac:dyDescent="0.3">
      <c r="B69" s="4" t="s">
        <v>270</v>
      </c>
      <c r="C69" s="5">
        <f>'Baseline Emissions 2020'!E655</f>
        <v>560</v>
      </c>
      <c r="D69" s="5">
        <f>'Project Emissions 2020'!E677</f>
        <v>150</v>
      </c>
      <c r="E69" s="6">
        <v>0</v>
      </c>
      <c r="F69" s="5">
        <f>C69-D69-E69</f>
        <v>410</v>
      </c>
    </row>
    <row r="70" spans="2:6" x14ac:dyDescent="0.3">
      <c r="B70" s="4" t="s">
        <v>216</v>
      </c>
      <c r="C70" s="5">
        <f>'Baseline Emissions 2021'!E655</f>
        <v>2075</v>
      </c>
      <c r="D70" s="5">
        <f>'Project Emissions 2021'!E677</f>
        <v>468</v>
      </c>
      <c r="E70" s="6">
        <v>0</v>
      </c>
      <c r="F70" s="5">
        <f t="shared" ref="F70:F71" si="11">C70-D70-E70</f>
        <v>1607</v>
      </c>
    </row>
    <row r="71" spans="2:6" x14ac:dyDescent="0.3">
      <c r="B71" s="4" t="s">
        <v>330</v>
      </c>
      <c r="C71" s="5">
        <f>'Baseline Emissions 2022'!E655</f>
        <v>1101</v>
      </c>
      <c r="D71" s="5">
        <f>'Project Emissions 2022'!E677</f>
        <v>234</v>
      </c>
      <c r="E71" s="6">
        <v>0</v>
      </c>
      <c r="F71" s="5">
        <f t="shared" si="11"/>
        <v>867</v>
      </c>
    </row>
    <row r="72" spans="2:6" ht="18" x14ac:dyDescent="0.3">
      <c r="B72" s="7" t="s">
        <v>190</v>
      </c>
      <c r="C72" s="8">
        <f>SUM(C69:C71)</f>
        <v>3736</v>
      </c>
      <c r="D72" s="8">
        <f>SUM(D69:D71)</f>
        <v>852</v>
      </c>
      <c r="E72" s="8">
        <f>SUM(E69:E71)</f>
        <v>0</v>
      </c>
      <c r="F72" s="8">
        <f>SUM(F69:F71)</f>
        <v>2884</v>
      </c>
    </row>
    <row r="73" spans="2:6" x14ac:dyDescent="0.3">
      <c r="B73" s="215" t="s">
        <v>255</v>
      </c>
      <c r="C73" s="215"/>
      <c r="D73" s="215"/>
      <c r="E73" s="215"/>
      <c r="F73" s="215"/>
    </row>
    <row r="74" spans="2:6" ht="18" x14ac:dyDescent="0.3">
      <c r="B74" s="3" t="s">
        <v>185</v>
      </c>
      <c r="C74" s="3" t="s">
        <v>186</v>
      </c>
      <c r="D74" s="3" t="s">
        <v>187</v>
      </c>
      <c r="E74" s="3" t="s">
        <v>188</v>
      </c>
      <c r="F74" s="3" t="s">
        <v>189</v>
      </c>
    </row>
    <row r="75" spans="2:6" x14ac:dyDescent="0.3">
      <c r="B75" s="4" t="s">
        <v>269</v>
      </c>
      <c r="C75" s="5">
        <f>'Baseline Emissions 2020'!E709</f>
        <v>883</v>
      </c>
      <c r="D75" s="5">
        <f>'Project Emissions 2020'!E733</f>
        <v>182</v>
      </c>
      <c r="E75" s="6">
        <v>0</v>
      </c>
      <c r="F75" s="5">
        <f>C75-D75-E75</f>
        <v>701</v>
      </c>
    </row>
    <row r="76" spans="2:6" x14ac:dyDescent="0.3">
      <c r="B76" s="4" t="s">
        <v>216</v>
      </c>
      <c r="C76" s="5">
        <f>'Baseline Emissions 2021'!E709</f>
        <v>3779</v>
      </c>
      <c r="D76" s="5">
        <f>'Project Emissions 2021'!E733</f>
        <v>570</v>
      </c>
      <c r="E76" s="6">
        <v>0</v>
      </c>
      <c r="F76" s="5">
        <f t="shared" ref="F76:F77" si="12">C76-D76-E76</f>
        <v>3209</v>
      </c>
    </row>
    <row r="77" spans="2:6" x14ac:dyDescent="0.3">
      <c r="B77" s="4" t="s">
        <v>330</v>
      </c>
      <c r="C77" s="5">
        <f>'Baseline Emissions 2022'!E709</f>
        <v>2021</v>
      </c>
      <c r="D77" s="5">
        <f>'Project Emissions 2022'!E733</f>
        <v>285</v>
      </c>
      <c r="E77" s="6">
        <v>0</v>
      </c>
      <c r="F77" s="5">
        <f t="shared" si="12"/>
        <v>1736</v>
      </c>
    </row>
    <row r="78" spans="2:6" ht="18" x14ac:dyDescent="0.3">
      <c r="B78" s="7" t="s">
        <v>190</v>
      </c>
      <c r="C78" s="8">
        <f>SUM(C75:C77)</f>
        <v>6683</v>
      </c>
      <c r="D78" s="8">
        <f>SUM(D75:D77)</f>
        <v>1037</v>
      </c>
      <c r="E78" s="8">
        <f>SUM(E75:E77)</f>
        <v>0</v>
      </c>
      <c r="F78" s="8">
        <f>SUM(F75:F77)</f>
        <v>5646</v>
      </c>
    </row>
    <row r="79" spans="2:6" x14ac:dyDescent="0.3">
      <c r="B79" s="215" t="s">
        <v>274</v>
      </c>
      <c r="C79" s="215"/>
      <c r="D79" s="215"/>
      <c r="E79" s="215"/>
      <c r="F79" s="215"/>
    </row>
    <row r="80" spans="2:6" ht="18" x14ac:dyDescent="0.3">
      <c r="B80" s="3" t="s">
        <v>185</v>
      </c>
      <c r="C80" s="3" t="s">
        <v>186</v>
      </c>
      <c r="D80" s="3" t="s">
        <v>187</v>
      </c>
      <c r="E80" s="3" t="s">
        <v>188</v>
      </c>
      <c r="F80" s="3" t="s">
        <v>189</v>
      </c>
    </row>
    <row r="81" spans="2:6" x14ac:dyDescent="0.3">
      <c r="B81" s="4" t="s">
        <v>271</v>
      </c>
      <c r="C81" s="5">
        <f>'Baseline Emissions 2020'!E764</f>
        <v>2923</v>
      </c>
      <c r="D81" s="5">
        <f>'Project Emissions 2020'!E790</f>
        <v>542</v>
      </c>
      <c r="E81" s="6">
        <v>0</v>
      </c>
      <c r="F81" s="5">
        <f>C81-D81-E81</f>
        <v>2381</v>
      </c>
    </row>
    <row r="82" spans="2:6" x14ac:dyDescent="0.3">
      <c r="B82" s="4" t="s">
        <v>216</v>
      </c>
      <c r="C82" s="5">
        <f>'Baseline Emissions 2021'!E764</f>
        <v>12205</v>
      </c>
      <c r="D82" s="5">
        <f>'Project Emissions 2021'!E790</f>
        <v>1773</v>
      </c>
      <c r="E82" s="6">
        <v>0</v>
      </c>
      <c r="F82" s="5">
        <f t="shared" ref="F82:F83" si="13">C82-D82-E82</f>
        <v>10432</v>
      </c>
    </row>
    <row r="83" spans="2:6" x14ac:dyDescent="0.3">
      <c r="B83" s="4" t="s">
        <v>330</v>
      </c>
      <c r="C83" s="5">
        <f>'Baseline Emissions 2022'!E764</f>
        <v>6486</v>
      </c>
      <c r="D83" s="5">
        <f>'Project Emissions 2022'!E790</f>
        <v>887</v>
      </c>
      <c r="E83" s="6">
        <v>0</v>
      </c>
      <c r="F83" s="5">
        <f t="shared" si="13"/>
        <v>5599</v>
      </c>
    </row>
    <row r="84" spans="2:6" ht="18" x14ac:dyDescent="0.3">
      <c r="B84" s="7" t="s">
        <v>190</v>
      </c>
      <c r="C84" s="8">
        <f>SUM(C81:C83)</f>
        <v>21614</v>
      </c>
      <c r="D84" s="8">
        <f>SUM(D81:D83)</f>
        <v>3202</v>
      </c>
      <c r="E84" s="8">
        <f>SUM(E81:E83)</f>
        <v>0</v>
      </c>
      <c r="F84" s="8">
        <f>SUM(F81:F83)</f>
        <v>18412</v>
      </c>
    </row>
    <row r="85" spans="2:6" x14ac:dyDescent="0.3">
      <c r="B85" s="215" t="s">
        <v>257</v>
      </c>
      <c r="C85" s="215"/>
      <c r="D85" s="215"/>
      <c r="E85" s="215"/>
      <c r="F85" s="215"/>
    </row>
    <row r="86" spans="2:6" ht="18" x14ac:dyDescent="0.3">
      <c r="B86" s="3" t="s">
        <v>185</v>
      </c>
      <c r="C86" s="3" t="s">
        <v>186</v>
      </c>
      <c r="D86" s="3" t="s">
        <v>187</v>
      </c>
      <c r="E86" s="3" t="s">
        <v>188</v>
      </c>
      <c r="F86" s="3" t="s">
        <v>189</v>
      </c>
    </row>
    <row r="87" spans="2:6" x14ac:dyDescent="0.3">
      <c r="B87" s="4" t="s">
        <v>272</v>
      </c>
      <c r="C87" s="5">
        <f>'Baseline Emissions 2020'!E818</f>
        <v>2933</v>
      </c>
      <c r="D87" s="5">
        <f>'Project Emissions 2020'!E846</f>
        <v>534</v>
      </c>
      <c r="E87" s="6">
        <v>0</v>
      </c>
      <c r="F87" s="5">
        <f>C87-D87-E87</f>
        <v>2399</v>
      </c>
    </row>
    <row r="88" spans="2:6" x14ac:dyDescent="0.3">
      <c r="B88" s="4" t="s">
        <v>216</v>
      </c>
      <c r="C88" s="5">
        <f>'Baseline Emissions 2021'!E818</f>
        <v>12587</v>
      </c>
      <c r="D88" s="5">
        <f>'Project Emissions 2021'!E846</f>
        <v>1777</v>
      </c>
      <c r="E88" s="6">
        <v>0</v>
      </c>
      <c r="F88" s="5">
        <f t="shared" ref="F88:F89" si="14">C88-D88-E88</f>
        <v>10810</v>
      </c>
    </row>
    <row r="89" spans="2:6" x14ac:dyDescent="0.3">
      <c r="B89" s="4" t="s">
        <v>330</v>
      </c>
      <c r="C89" s="5">
        <f>'Baseline Emissions 2022'!E818</f>
        <v>6667</v>
      </c>
      <c r="D89" s="5">
        <f>'Project Emissions 2022'!E846</f>
        <v>886</v>
      </c>
      <c r="E89" s="6">
        <v>0</v>
      </c>
      <c r="F89" s="5">
        <f t="shared" si="14"/>
        <v>5781</v>
      </c>
    </row>
    <row r="90" spans="2:6" ht="18" x14ac:dyDescent="0.3">
      <c r="B90" s="7" t="s">
        <v>190</v>
      </c>
      <c r="C90" s="8">
        <f>SUM(C87:C89)</f>
        <v>22187</v>
      </c>
      <c r="D90" s="8">
        <f>SUM(D87:D89)</f>
        <v>3197</v>
      </c>
      <c r="E90" s="8">
        <f>SUM(E87:E89)</f>
        <v>0</v>
      </c>
      <c r="F90" s="8">
        <f>SUM(F87:F89)</f>
        <v>18990</v>
      </c>
    </row>
    <row r="91" spans="2:6" x14ac:dyDescent="0.3">
      <c r="B91" s="215" t="s">
        <v>258</v>
      </c>
      <c r="C91" s="215"/>
      <c r="D91" s="215"/>
      <c r="E91" s="215"/>
      <c r="F91" s="215"/>
    </row>
    <row r="92" spans="2:6" ht="18" x14ac:dyDescent="0.3">
      <c r="B92" s="3" t="s">
        <v>185</v>
      </c>
      <c r="C92" s="3" t="s">
        <v>186</v>
      </c>
      <c r="D92" s="3" t="s">
        <v>187</v>
      </c>
      <c r="E92" s="3" t="s">
        <v>188</v>
      </c>
      <c r="F92" s="3" t="s">
        <v>189</v>
      </c>
    </row>
    <row r="93" spans="2:6" x14ac:dyDescent="0.3">
      <c r="B93" s="4" t="s">
        <v>268</v>
      </c>
      <c r="C93" s="5">
        <f>'Baseline Emissions 2020'!E872</f>
        <v>700</v>
      </c>
      <c r="D93" s="5">
        <f>'Project Emissions 2020'!E902</f>
        <v>123</v>
      </c>
      <c r="E93" s="6">
        <v>0</v>
      </c>
      <c r="F93" s="5">
        <f>C93-D93-E93</f>
        <v>577</v>
      </c>
    </row>
    <row r="94" spans="2:6" x14ac:dyDescent="0.3">
      <c r="B94" s="4" t="s">
        <v>216</v>
      </c>
      <c r="C94" s="5">
        <f>'Baseline Emissions 2021'!E872</f>
        <v>2601</v>
      </c>
      <c r="D94" s="5">
        <f>'Project Emissions 2021'!E902</f>
        <v>384</v>
      </c>
      <c r="E94" s="6">
        <v>0</v>
      </c>
      <c r="F94" s="5">
        <f t="shared" ref="F94:F95" si="15">C94-D94-E94</f>
        <v>2217</v>
      </c>
    </row>
    <row r="95" spans="2:6" x14ac:dyDescent="0.3">
      <c r="B95" s="4" t="s">
        <v>330</v>
      </c>
      <c r="C95" s="5">
        <f>'Baseline Emissions 2022'!E872</f>
        <v>1344</v>
      </c>
      <c r="D95" s="5">
        <f>'Project Emissions 2022'!E902</f>
        <v>192</v>
      </c>
      <c r="E95" s="6">
        <v>0</v>
      </c>
      <c r="F95" s="5">
        <f t="shared" si="15"/>
        <v>1152</v>
      </c>
    </row>
    <row r="96" spans="2:6" ht="18" x14ac:dyDescent="0.3">
      <c r="B96" s="7" t="s">
        <v>190</v>
      </c>
      <c r="C96" s="8">
        <f>SUM(C93:C95)</f>
        <v>4645</v>
      </c>
      <c r="D96" s="8">
        <f>SUM(D93:D95)</f>
        <v>699</v>
      </c>
      <c r="E96" s="8">
        <f>SUM(E93:E95)</f>
        <v>0</v>
      </c>
      <c r="F96" s="8">
        <f>SUM(F93:F95)</f>
        <v>3946</v>
      </c>
    </row>
    <row r="99" spans="2:6" x14ac:dyDescent="0.3">
      <c r="B99" s="220" t="s">
        <v>273</v>
      </c>
      <c r="C99" s="220"/>
      <c r="D99" s="220"/>
      <c r="E99" s="220"/>
      <c r="F99" s="220"/>
    </row>
    <row r="100" spans="2:6" ht="18" x14ac:dyDescent="0.3">
      <c r="B100" s="3" t="s">
        <v>185</v>
      </c>
      <c r="C100" s="3" t="s">
        <v>186</v>
      </c>
      <c r="D100" s="3" t="s">
        <v>187</v>
      </c>
      <c r="E100" s="3" t="s">
        <v>188</v>
      </c>
      <c r="F100" s="3" t="s">
        <v>189</v>
      </c>
    </row>
    <row r="101" spans="2:6" x14ac:dyDescent="0.3">
      <c r="B101" s="4" t="s">
        <v>260</v>
      </c>
      <c r="C101" s="5">
        <f t="shared" ref="C101:E103" si="16">C93+C87+C81+C75+C69+C63+C57+C51+C45+C39+C33+C27+C21+C15+C9+C3</f>
        <v>18452</v>
      </c>
      <c r="D101" s="5">
        <f t="shared" si="16"/>
        <v>3832</v>
      </c>
      <c r="E101" s="5">
        <f t="shared" si="16"/>
        <v>0</v>
      </c>
      <c r="F101" s="5">
        <f>C101-D101-E101</f>
        <v>14620</v>
      </c>
    </row>
    <row r="102" spans="2:6" x14ac:dyDescent="0.3">
      <c r="B102" s="4" t="s">
        <v>216</v>
      </c>
      <c r="C102" s="5">
        <f t="shared" si="16"/>
        <v>74476</v>
      </c>
      <c r="D102" s="5">
        <f t="shared" si="16"/>
        <v>12212</v>
      </c>
      <c r="E102" s="5">
        <f t="shared" si="16"/>
        <v>0</v>
      </c>
      <c r="F102" s="5">
        <f t="shared" ref="F102" si="17">C102-D102-E102</f>
        <v>62264</v>
      </c>
    </row>
    <row r="103" spans="2:6" x14ac:dyDescent="0.3">
      <c r="B103" s="4" t="s">
        <v>330</v>
      </c>
      <c r="C103" s="5">
        <f t="shared" si="16"/>
        <v>39223</v>
      </c>
      <c r="D103" s="5">
        <f t="shared" si="16"/>
        <v>6105</v>
      </c>
      <c r="E103" s="5">
        <f t="shared" si="16"/>
        <v>0</v>
      </c>
      <c r="F103" s="5">
        <f>C103-D103-E103</f>
        <v>33118</v>
      </c>
    </row>
    <row r="104" spans="2:6" ht="18" x14ac:dyDescent="0.3">
      <c r="B104" s="7" t="s">
        <v>190</v>
      </c>
      <c r="C104" s="8">
        <f>SUM(C101:C103)</f>
        <v>132151</v>
      </c>
      <c r="D104" s="8">
        <f>SUM(D101:D103)</f>
        <v>22149</v>
      </c>
      <c r="E104" s="8">
        <f>SUM(E101:E103)</f>
        <v>0</v>
      </c>
      <c r="F104" s="8">
        <f>SUM(F101:F103)</f>
        <v>110002</v>
      </c>
    </row>
    <row r="108" spans="2:6" x14ac:dyDescent="0.3">
      <c r="C108" s="135"/>
      <c r="D108" s="135"/>
    </row>
  </sheetData>
  <mergeCells count="17">
    <mergeCell ref="B73:F73"/>
    <mergeCell ref="B79:F79"/>
    <mergeCell ref="B85:F85"/>
    <mergeCell ref="B91:F91"/>
    <mergeCell ref="B99:F99"/>
    <mergeCell ref="B67:F67"/>
    <mergeCell ref="B1:F1"/>
    <mergeCell ref="B7:F7"/>
    <mergeCell ref="B13:F13"/>
    <mergeCell ref="B19:F19"/>
    <mergeCell ref="B25:F25"/>
    <mergeCell ref="B31:F31"/>
    <mergeCell ref="B37:F37"/>
    <mergeCell ref="B43:F43"/>
    <mergeCell ref="B49:F49"/>
    <mergeCell ref="B55:F55"/>
    <mergeCell ref="B61:F61"/>
  </mergeCells>
  <phoneticPr fontId="2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Cover Page</vt:lpstr>
      <vt:lpstr>Data monitored</vt:lpstr>
      <vt:lpstr>Baseline Emissions 2020</vt:lpstr>
      <vt:lpstr>Baseline Emissions 2021</vt:lpstr>
      <vt:lpstr>Baseline Emissions 2022</vt:lpstr>
      <vt:lpstr>Project Emissions 2020</vt:lpstr>
      <vt:lpstr>Project Emissions 2021</vt:lpstr>
      <vt:lpstr>Project Emissions 2022</vt:lpstr>
      <vt:lpstr>Emission Reductions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aborde</dc:creator>
  <cp:lastModifiedBy>林一</cp:lastModifiedBy>
  <cp:lastPrinted>2010-08-16T14:50:00Z</cp:lastPrinted>
  <dcterms:created xsi:type="dcterms:W3CDTF">2010-07-29T15:57:00Z</dcterms:created>
  <dcterms:modified xsi:type="dcterms:W3CDTF">2023-02-19T13:47:35Z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90FE29D168534428BFC33550A8DF758F</vt:lpwstr>
  </property>
  <property fmtid="{D5CDD505-2E9C-101B-9397-08002B2CF9AE}" pid="3" name="KSOProductBuildVer">
    <vt:lpwstr>2052-11.1.0.11115</vt:lpwstr>
  </property>
</Properties>
</file>