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1 碳\项目开展\云水 污水处理项目\云水VCS开发\核查文件\运行数据\证据文件相关\审定核查证据\云水审定签发材料\2nd findings to Yunshui Wastewater VCS Joint\最终修改文件\Yunshui Final\Verra 第一轮意见\"/>
    </mc:Choice>
  </mc:AlternateContent>
  <xr:revisionPtr revIDLastSave="0" documentId="13_ncr:1_{FB03D7EB-199D-4BED-8DEE-F43C92E6CCEC}" xr6:coauthVersionLast="47" xr6:coauthVersionMax="47" xr10:uidLastSave="{00000000-0000-0000-0000-000000000000}"/>
  <bookViews>
    <workbookView xWindow="-28920" yWindow="-120" windowWidth="29040" windowHeight="15840" tabRatio="817" activeTab="2" xr2:uid="{00000000-000D-0000-FFFF-FFFF00000000}"/>
  </bookViews>
  <sheets>
    <sheet name="Cover Page" sheetId="3" r:id="rId1"/>
    <sheet name="Baseline Emissions" sheetId="4" r:id="rId2"/>
    <sheet name="Project Emissions" sheetId="5" r:id="rId3"/>
    <sheet name="Emission Reductions" sheetId="10" r:id="rId4"/>
  </sheets>
  <calcPr calcId="181029"/>
</workbook>
</file>

<file path=xl/calcChain.xml><?xml version="1.0" encoding="utf-8"?>
<calcChain xmlns="http://schemas.openxmlformats.org/spreadsheetml/2006/main">
  <c r="D159" i="10" l="1"/>
  <c r="D160" i="10"/>
  <c r="D161" i="10"/>
  <c r="D162" i="10"/>
  <c r="D163" i="10"/>
  <c r="D164" i="10"/>
  <c r="D165" i="10"/>
  <c r="D166" i="10"/>
  <c r="D158" i="10"/>
  <c r="E902" i="5"/>
  <c r="D849" i="4"/>
  <c r="D795" i="4"/>
  <c r="D741" i="4"/>
  <c r="D686" i="4"/>
  <c r="D632" i="4"/>
  <c r="D577" i="4"/>
  <c r="D523" i="4"/>
  <c r="D468" i="4"/>
  <c r="D413" i="4"/>
  <c r="D359" i="4"/>
  <c r="D305" i="4"/>
  <c r="D251" i="4"/>
  <c r="D196" i="4"/>
  <c r="D142" i="4"/>
  <c r="D87" i="4"/>
  <c r="D32" i="4"/>
  <c r="E849" i="4" l="1"/>
  <c r="E795" i="4"/>
  <c r="E741" i="4"/>
  <c r="E686" i="4"/>
  <c r="E632" i="4"/>
  <c r="E577" i="4"/>
  <c r="E523" i="4"/>
  <c r="E468" i="4"/>
  <c r="E413" i="4"/>
  <c r="E359" i="4"/>
  <c r="E305" i="4"/>
  <c r="E251" i="4"/>
  <c r="E196" i="4"/>
  <c r="E142" i="4"/>
  <c r="E32" i="4" l="1"/>
  <c r="E895" i="5" l="1"/>
  <c r="E839" i="5"/>
  <c r="E783" i="5"/>
  <c r="E726" i="5"/>
  <c r="E670" i="5"/>
  <c r="E613" i="5"/>
  <c r="E557" i="5"/>
  <c r="E500" i="5"/>
  <c r="E444" i="5"/>
  <c r="E388" i="5"/>
  <c r="E332" i="5"/>
  <c r="E276" i="5"/>
  <c r="E219" i="5"/>
  <c r="E163" i="5"/>
  <c r="E106" i="5"/>
  <c r="E50" i="5"/>
  <c r="E857" i="4"/>
  <c r="E803" i="4"/>
  <c r="E749" i="4"/>
  <c r="E694" i="4"/>
  <c r="E640" i="4"/>
  <c r="E585" i="4"/>
  <c r="E531" i="4"/>
  <c r="E476" i="4"/>
  <c r="E421" i="4"/>
  <c r="E367" i="4"/>
  <c r="E313" i="4"/>
  <c r="E259" i="4"/>
  <c r="E204" i="4"/>
  <c r="E150" i="4"/>
  <c r="E95" i="4"/>
  <c r="E40" i="4"/>
  <c r="E230" i="10" l="1"/>
  <c r="E231" i="10"/>
  <c r="E232" i="10"/>
  <c r="E233" i="10"/>
  <c r="E234" i="10"/>
  <c r="E235" i="10"/>
  <c r="E236" i="10"/>
  <c r="E237" i="10"/>
  <c r="E238" i="10"/>
  <c r="E239" i="10"/>
  <c r="E229" i="10"/>
  <c r="E224" i="10"/>
  <c r="E210" i="10"/>
  <c r="E196" i="10"/>
  <c r="E182" i="10"/>
  <c r="E168" i="10"/>
  <c r="E154" i="10"/>
  <c r="E140" i="10"/>
  <c r="E126" i="10"/>
  <c r="E112" i="10"/>
  <c r="E98" i="10"/>
  <c r="E84" i="10"/>
  <c r="E70" i="10"/>
  <c r="E42" i="10"/>
  <c r="E28" i="10"/>
  <c r="E893" i="5"/>
  <c r="E837" i="5"/>
  <c r="E781" i="5"/>
  <c r="E724" i="5"/>
  <c r="E668" i="5"/>
  <c r="E611" i="5"/>
  <c r="E555" i="5"/>
  <c r="E498" i="5"/>
  <c r="E442" i="5"/>
  <c r="E386" i="5"/>
  <c r="E330" i="5"/>
  <c r="E274" i="5"/>
  <c r="E217" i="5"/>
  <c r="E161" i="5"/>
  <c r="E104" i="5"/>
  <c r="E48" i="5"/>
  <c r="E886" i="5"/>
  <c r="E830" i="5"/>
  <c r="E774" i="5"/>
  <c r="E717" i="5"/>
  <c r="E661" i="5"/>
  <c r="E604" i="5"/>
  <c r="E548" i="5"/>
  <c r="E491" i="5"/>
  <c r="E435" i="5"/>
  <c r="E379" i="5"/>
  <c r="E323" i="5"/>
  <c r="E267" i="5"/>
  <c r="E210" i="5"/>
  <c r="E154" i="5"/>
  <c r="E97" i="5"/>
  <c r="E41" i="5"/>
  <c r="E870" i="5"/>
  <c r="E814" i="5"/>
  <c r="E758" i="5"/>
  <c r="E701" i="5"/>
  <c r="E645" i="5"/>
  <c r="E588" i="5"/>
  <c r="E532" i="5"/>
  <c r="E475" i="5"/>
  <c r="E419" i="5"/>
  <c r="E363" i="5"/>
  <c r="E307" i="5"/>
  <c r="E251" i="5"/>
  <c r="E194" i="5"/>
  <c r="E245" i="4"/>
  <c r="E138" i="5"/>
  <c r="E81" i="5"/>
  <c r="E25" i="5"/>
  <c r="H855" i="5"/>
  <c r="I855" i="5"/>
  <c r="J855" i="5"/>
  <c r="K855" i="5"/>
  <c r="L855" i="5"/>
  <c r="M855" i="5"/>
  <c r="N855" i="5"/>
  <c r="O855" i="5"/>
  <c r="P855" i="5"/>
  <c r="Q855" i="5"/>
  <c r="G855" i="5"/>
  <c r="F855" i="5"/>
  <c r="H743" i="5"/>
  <c r="I743" i="5"/>
  <c r="J743" i="5"/>
  <c r="K743" i="5"/>
  <c r="L743" i="5"/>
  <c r="M743" i="5"/>
  <c r="N743" i="5"/>
  <c r="O743" i="5"/>
  <c r="P743" i="5"/>
  <c r="Q743" i="5"/>
  <c r="G743" i="5"/>
  <c r="F743" i="5"/>
  <c r="H689" i="5"/>
  <c r="I689" i="5"/>
  <c r="J689" i="5"/>
  <c r="K689" i="5"/>
  <c r="L689" i="5"/>
  <c r="M689" i="5"/>
  <c r="N689" i="5"/>
  <c r="O689" i="5"/>
  <c r="P689" i="5"/>
  <c r="Q689" i="5"/>
  <c r="G689" i="5"/>
  <c r="F689" i="5"/>
  <c r="H686" i="5"/>
  <c r="I686" i="5"/>
  <c r="J686" i="5"/>
  <c r="K686" i="5"/>
  <c r="L686" i="5"/>
  <c r="M686" i="5"/>
  <c r="N686" i="5"/>
  <c r="O686" i="5"/>
  <c r="P686" i="5"/>
  <c r="Q686" i="5"/>
  <c r="G686" i="5"/>
  <c r="F686" i="5"/>
  <c r="H633" i="5"/>
  <c r="I633" i="5"/>
  <c r="J633" i="5"/>
  <c r="K633" i="5"/>
  <c r="L633" i="5"/>
  <c r="M633" i="5"/>
  <c r="N633" i="5"/>
  <c r="O633" i="5"/>
  <c r="P633" i="5"/>
  <c r="Q633" i="5"/>
  <c r="G633" i="5"/>
  <c r="F633" i="5"/>
  <c r="H630" i="5"/>
  <c r="I630" i="5"/>
  <c r="J630" i="5"/>
  <c r="K630" i="5"/>
  <c r="L630" i="5"/>
  <c r="M630" i="5"/>
  <c r="N630" i="5"/>
  <c r="O630" i="5"/>
  <c r="P630" i="5"/>
  <c r="Q630" i="5"/>
  <c r="G630" i="5"/>
  <c r="F630" i="5"/>
  <c r="H576" i="5"/>
  <c r="I576" i="5"/>
  <c r="J576" i="5"/>
  <c r="K576" i="5"/>
  <c r="L576" i="5"/>
  <c r="M576" i="5"/>
  <c r="N576" i="5"/>
  <c r="O576" i="5"/>
  <c r="P576" i="5"/>
  <c r="Q576" i="5"/>
  <c r="G576" i="5"/>
  <c r="F576" i="5"/>
  <c r="H573" i="5"/>
  <c r="I573" i="5"/>
  <c r="J573" i="5"/>
  <c r="K573" i="5"/>
  <c r="L573" i="5"/>
  <c r="M573" i="5"/>
  <c r="N573" i="5"/>
  <c r="O573" i="5"/>
  <c r="P573" i="5"/>
  <c r="Q573" i="5"/>
  <c r="G573" i="5"/>
  <c r="F573" i="5"/>
  <c r="H520" i="5"/>
  <c r="I520" i="5"/>
  <c r="J520" i="5"/>
  <c r="K520" i="5"/>
  <c r="L520" i="5"/>
  <c r="M520" i="5"/>
  <c r="N520" i="5"/>
  <c r="O520" i="5"/>
  <c r="P520" i="5"/>
  <c r="Q520" i="5"/>
  <c r="G520" i="5"/>
  <c r="F520" i="5"/>
  <c r="H517" i="5"/>
  <c r="I517" i="5"/>
  <c r="J517" i="5"/>
  <c r="K517" i="5"/>
  <c r="L517" i="5"/>
  <c r="M517" i="5"/>
  <c r="N517" i="5"/>
  <c r="O517" i="5"/>
  <c r="P517" i="5"/>
  <c r="Q517" i="5"/>
  <c r="G517" i="5"/>
  <c r="F517" i="5"/>
  <c r="I463" i="5"/>
  <c r="K463" i="5"/>
  <c r="M463" i="5"/>
  <c r="O463" i="5"/>
  <c r="Q463" i="5"/>
  <c r="G463" i="5"/>
  <c r="H460" i="5"/>
  <c r="I460" i="5"/>
  <c r="J460" i="5"/>
  <c r="K460" i="5"/>
  <c r="L460" i="5"/>
  <c r="M460" i="5"/>
  <c r="N460" i="5"/>
  <c r="O460" i="5"/>
  <c r="P460" i="5"/>
  <c r="Q460" i="5"/>
  <c r="G460" i="5"/>
  <c r="F460" i="5"/>
  <c r="H407" i="5"/>
  <c r="I407" i="5"/>
  <c r="J407" i="5"/>
  <c r="K407" i="5"/>
  <c r="L407" i="5"/>
  <c r="M407" i="5"/>
  <c r="N407" i="5"/>
  <c r="O407" i="5"/>
  <c r="P407" i="5"/>
  <c r="Q407" i="5"/>
  <c r="G407" i="5"/>
  <c r="F407" i="5"/>
  <c r="H404" i="5"/>
  <c r="I404" i="5"/>
  <c r="J404" i="5"/>
  <c r="K404" i="5"/>
  <c r="L404" i="5"/>
  <c r="M404" i="5"/>
  <c r="N404" i="5"/>
  <c r="O404" i="5"/>
  <c r="P404" i="5"/>
  <c r="Q404" i="5"/>
  <c r="G404" i="5"/>
  <c r="F404" i="5"/>
  <c r="H295" i="5"/>
  <c r="I295" i="5"/>
  <c r="J295" i="5"/>
  <c r="K295" i="5"/>
  <c r="L295" i="5"/>
  <c r="M295" i="5"/>
  <c r="N295" i="5"/>
  <c r="O295" i="5"/>
  <c r="P295" i="5"/>
  <c r="Q295" i="5"/>
  <c r="G295" i="5"/>
  <c r="F295" i="5"/>
  <c r="H292" i="5"/>
  <c r="I292" i="5"/>
  <c r="J292" i="5"/>
  <c r="K292" i="5"/>
  <c r="L292" i="5"/>
  <c r="M292" i="5"/>
  <c r="N292" i="5"/>
  <c r="O292" i="5"/>
  <c r="P292" i="5"/>
  <c r="Q292" i="5"/>
  <c r="G292" i="5"/>
  <c r="F292" i="5"/>
  <c r="H239" i="5"/>
  <c r="I239" i="5"/>
  <c r="J239" i="5"/>
  <c r="K239" i="5"/>
  <c r="L239" i="5"/>
  <c r="M239" i="5"/>
  <c r="N239" i="5"/>
  <c r="O239" i="5"/>
  <c r="P239" i="5"/>
  <c r="Q239" i="5"/>
  <c r="G239" i="5"/>
  <c r="F239" i="5"/>
  <c r="I182" i="5"/>
  <c r="K182" i="5"/>
  <c r="M182" i="5"/>
  <c r="O182" i="5"/>
  <c r="Q182" i="5"/>
  <c r="G182" i="5"/>
  <c r="H126" i="5"/>
  <c r="I126" i="5"/>
  <c r="J126" i="5"/>
  <c r="K126" i="5"/>
  <c r="L126" i="5"/>
  <c r="M126" i="5"/>
  <c r="N126" i="5"/>
  <c r="O126" i="5"/>
  <c r="P126" i="5"/>
  <c r="Q126" i="5"/>
  <c r="G126" i="5"/>
  <c r="F126" i="5"/>
  <c r="H123" i="5"/>
  <c r="I123" i="5"/>
  <c r="J123" i="5"/>
  <c r="K123" i="5"/>
  <c r="L123" i="5"/>
  <c r="M123" i="5"/>
  <c r="N123" i="5"/>
  <c r="O123" i="5"/>
  <c r="P123" i="5"/>
  <c r="Q123" i="5"/>
  <c r="G123" i="5"/>
  <c r="F123" i="5"/>
  <c r="H179" i="5"/>
  <c r="I179" i="5"/>
  <c r="J179" i="5"/>
  <c r="K179" i="5"/>
  <c r="L179" i="5"/>
  <c r="M179" i="5"/>
  <c r="N179" i="5"/>
  <c r="O179" i="5"/>
  <c r="P179" i="5"/>
  <c r="Q179" i="5"/>
  <c r="G179" i="5"/>
  <c r="F179" i="5"/>
  <c r="H236" i="5"/>
  <c r="I236" i="5"/>
  <c r="J236" i="5"/>
  <c r="K236" i="5"/>
  <c r="L236" i="5"/>
  <c r="M236" i="5"/>
  <c r="N236" i="5"/>
  <c r="O236" i="5"/>
  <c r="P236" i="5"/>
  <c r="Q236" i="5"/>
  <c r="G236" i="5"/>
  <c r="F236" i="5"/>
  <c r="E240" i="10" l="1"/>
  <c r="E66" i="5" l="1"/>
  <c r="E898" i="5"/>
  <c r="E897" i="5"/>
  <c r="E896" i="5"/>
  <c r="E894" i="5"/>
  <c r="E892" i="5"/>
  <c r="E883" i="5"/>
  <c r="Q866" i="5"/>
  <c r="P866" i="5"/>
  <c r="O866" i="5"/>
  <c r="N866" i="5"/>
  <c r="M866" i="5"/>
  <c r="L866" i="5"/>
  <c r="K866" i="5"/>
  <c r="J866" i="5"/>
  <c r="I866" i="5"/>
  <c r="H866" i="5"/>
  <c r="G866" i="5"/>
  <c r="F866" i="5"/>
  <c r="P857" i="5"/>
  <c r="I857" i="5"/>
  <c r="E858" i="5"/>
  <c r="M854" i="5"/>
  <c r="E855" i="5"/>
  <c r="E842" i="5"/>
  <c r="E841" i="5"/>
  <c r="E840" i="5"/>
  <c r="E838" i="5"/>
  <c r="E836" i="5"/>
  <c r="E827" i="5"/>
  <c r="Q810" i="5"/>
  <c r="P810" i="5"/>
  <c r="O810" i="5"/>
  <c r="N810" i="5"/>
  <c r="M810" i="5"/>
  <c r="L810" i="5"/>
  <c r="K810" i="5"/>
  <c r="J810" i="5"/>
  <c r="I810" i="5"/>
  <c r="H810" i="5"/>
  <c r="G810" i="5"/>
  <c r="F810" i="5"/>
  <c r="I801" i="5"/>
  <c r="G801" i="5"/>
  <c r="E802" i="5"/>
  <c r="Q798" i="5"/>
  <c r="F798" i="5"/>
  <c r="O798" i="5"/>
  <c r="E786" i="5"/>
  <c r="E785" i="5"/>
  <c r="E784" i="5"/>
  <c r="E782" i="5"/>
  <c r="E780" i="5" s="1"/>
  <c r="E779" i="5" s="1"/>
  <c r="E771" i="5"/>
  <c r="Q754" i="5"/>
  <c r="P754" i="5"/>
  <c r="O754" i="5"/>
  <c r="N754" i="5"/>
  <c r="M754" i="5"/>
  <c r="L754" i="5"/>
  <c r="L759" i="5" s="1"/>
  <c r="K754" i="5"/>
  <c r="J754" i="5"/>
  <c r="I754" i="5"/>
  <c r="H754" i="5"/>
  <c r="G754" i="5"/>
  <c r="F754" i="5"/>
  <c r="P745" i="5"/>
  <c r="H745" i="5"/>
  <c r="E746" i="5"/>
  <c r="O745" i="5"/>
  <c r="P742" i="5"/>
  <c r="N759" i="5"/>
  <c r="E743" i="5"/>
  <c r="Q742" i="5"/>
  <c r="E729" i="5"/>
  <c r="E728" i="5"/>
  <c r="E727" i="5"/>
  <c r="E725" i="5"/>
  <c r="E723" i="5" s="1"/>
  <c r="E722" i="5" s="1"/>
  <c r="E714" i="5"/>
  <c r="Q697" i="5"/>
  <c r="P697" i="5"/>
  <c r="O697" i="5"/>
  <c r="N697" i="5"/>
  <c r="M697" i="5"/>
  <c r="L697" i="5"/>
  <c r="K697" i="5"/>
  <c r="J697" i="5"/>
  <c r="I697" i="5"/>
  <c r="H697" i="5"/>
  <c r="G697" i="5"/>
  <c r="F697" i="5"/>
  <c r="P688" i="5"/>
  <c r="H688" i="5"/>
  <c r="E689" i="5"/>
  <c r="L688" i="5"/>
  <c r="K688" i="5"/>
  <c r="L685" i="5"/>
  <c r="E673" i="5"/>
  <c r="E672" i="5"/>
  <c r="E671" i="5"/>
  <c r="E669" i="5"/>
  <c r="E667" i="5"/>
  <c r="E658" i="5"/>
  <c r="Q641" i="5"/>
  <c r="P641" i="5"/>
  <c r="O641" i="5"/>
  <c r="N641" i="5"/>
  <c r="M641" i="5"/>
  <c r="L641" i="5"/>
  <c r="K641" i="5"/>
  <c r="K646" i="5" s="1"/>
  <c r="J641" i="5"/>
  <c r="J646" i="5" s="1"/>
  <c r="I641" i="5"/>
  <c r="H641" i="5"/>
  <c r="G641" i="5"/>
  <c r="F641" i="5"/>
  <c r="J632" i="5"/>
  <c r="I632" i="5"/>
  <c r="E633" i="5"/>
  <c r="L632" i="5"/>
  <c r="K632" i="5"/>
  <c r="E630" i="5"/>
  <c r="E616" i="5"/>
  <c r="E615" i="5"/>
  <c r="E614" i="5"/>
  <c r="E612" i="5"/>
  <c r="E610" i="5"/>
  <c r="E601" i="5"/>
  <c r="Q584" i="5"/>
  <c r="P584" i="5"/>
  <c r="O584" i="5"/>
  <c r="N584" i="5"/>
  <c r="M584" i="5"/>
  <c r="L584" i="5"/>
  <c r="K584" i="5"/>
  <c r="J584" i="5"/>
  <c r="I584" i="5"/>
  <c r="H584" i="5"/>
  <c r="G584" i="5"/>
  <c r="F584" i="5"/>
  <c r="Q575" i="5"/>
  <c r="E576" i="5"/>
  <c r="P575" i="5"/>
  <c r="O575" i="5"/>
  <c r="E573" i="5"/>
  <c r="E560" i="5"/>
  <c r="E559" i="5"/>
  <c r="E558" i="5"/>
  <c r="E556" i="5"/>
  <c r="E554" i="5" s="1"/>
  <c r="E545" i="5"/>
  <c r="Q528" i="5"/>
  <c r="P528" i="5"/>
  <c r="O528" i="5"/>
  <c r="O533" i="5" s="1"/>
  <c r="N528" i="5"/>
  <c r="N533" i="5" s="1"/>
  <c r="M528" i="5"/>
  <c r="L528" i="5"/>
  <c r="K528" i="5"/>
  <c r="J528" i="5"/>
  <c r="I528" i="5"/>
  <c r="H528" i="5"/>
  <c r="G528" i="5"/>
  <c r="G533" i="5" s="1"/>
  <c r="F528" i="5"/>
  <c r="F533" i="5" s="1"/>
  <c r="L519" i="5"/>
  <c r="I519" i="5"/>
  <c r="E520" i="5"/>
  <c r="G516" i="5"/>
  <c r="E517" i="5"/>
  <c r="E503" i="5"/>
  <c r="E502" i="5"/>
  <c r="E501" i="5"/>
  <c r="E499" i="5"/>
  <c r="E497" i="5"/>
  <c r="E496" i="5" s="1"/>
  <c r="E488" i="5"/>
  <c r="Q471" i="5"/>
  <c r="Q476" i="5" s="1"/>
  <c r="P471" i="5"/>
  <c r="O471" i="5"/>
  <c r="N471" i="5"/>
  <c r="M471" i="5"/>
  <c r="L471" i="5"/>
  <c r="K471" i="5"/>
  <c r="J471" i="5"/>
  <c r="I471" i="5"/>
  <c r="I476" i="5" s="1"/>
  <c r="H471" i="5"/>
  <c r="G471" i="5"/>
  <c r="F471" i="5"/>
  <c r="O462" i="5"/>
  <c r="K462" i="5"/>
  <c r="E463" i="5"/>
  <c r="H462" i="5"/>
  <c r="P476" i="5"/>
  <c r="E447" i="5"/>
  <c r="E446" i="5"/>
  <c r="E445" i="5"/>
  <c r="E443" i="5"/>
  <c r="E441" i="5"/>
  <c r="E440" i="5" s="1"/>
  <c r="E432" i="5"/>
  <c r="Q415" i="5"/>
  <c r="P415" i="5"/>
  <c r="O415" i="5"/>
  <c r="N415" i="5"/>
  <c r="M415" i="5"/>
  <c r="L415" i="5"/>
  <c r="K415" i="5"/>
  <c r="K420" i="5" s="1"/>
  <c r="J415" i="5"/>
  <c r="J420" i="5" s="1"/>
  <c r="I415" i="5"/>
  <c r="H415" i="5"/>
  <c r="G415" i="5"/>
  <c r="F415" i="5"/>
  <c r="N406" i="5"/>
  <c r="E407" i="5"/>
  <c r="J406" i="5"/>
  <c r="H406" i="5"/>
  <c r="G406" i="5"/>
  <c r="E404" i="5"/>
  <c r="E391" i="5"/>
  <c r="E390" i="5"/>
  <c r="E389" i="5"/>
  <c r="E387" i="5"/>
  <c r="E385" i="5" s="1"/>
  <c r="E384" i="5" s="1"/>
  <c r="E376" i="5"/>
  <c r="Q359" i="5"/>
  <c r="P359" i="5"/>
  <c r="O359" i="5"/>
  <c r="N359" i="5"/>
  <c r="M359" i="5"/>
  <c r="L359" i="5"/>
  <c r="L364" i="5" s="1"/>
  <c r="K359" i="5"/>
  <c r="J359" i="5"/>
  <c r="I359" i="5"/>
  <c r="H359" i="5"/>
  <c r="G359" i="5"/>
  <c r="F359" i="5"/>
  <c r="Q350" i="5"/>
  <c r="O350" i="5"/>
  <c r="E351" i="5"/>
  <c r="K350" i="5"/>
  <c r="E348" i="5"/>
  <c r="E335" i="5"/>
  <c r="E334" i="5"/>
  <c r="E333" i="5"/>
  <c r="E331" i="5"/>
  <c r="E329" i="5"/>
  <c r="E320" i="5"/>
  <c r="Q303" i="5"/>
  <c r="P303" i="5"/>
  <c r="O303" i="5"/>
  <c r="N303" i="5"/>
  <c r="M303" i="5"/>
  <c r="L303" i="5"/>
  <c r="K303" i="5"/>
  <c r="J303" i="5"/>
  <c r="I303" i="5"/>
  <c r="H303" i="5"/>
  <c r="G303" i="5"/>
  <c r="F303" i="5"/>
  <c r="J294" i="5"/>
  <c r="H294" i="5"/>
  <c r="G294" i="5"/>
  <c r="E295" i="5"/>
  <c r="F291" i="5"/>
  <c r="E292" i="5"/>
  <c r="E279" i="5"/>
  <c r="E278" i="5"/>
  <c r="E277" i="5"/>
  <c r="E275" i="5"/>
  <c r="E273" i="5" s="1"/>
  <c r="E272" i="5" s="1"/>
  <c r="E264" i="5"/>
  <c r="Q247" i="5"/>
  <c r="P247" i="5"/>
  <c r="O247" i="5"/>
  <c r="N247" i="5"/>
  <c r="M247" i="5"/>
  <c r="L247" i="5"/>
  <c r="K247" i="5"/>
  <c r="J247" i="5"/>
  <c r="I247" i="5"/>
  <c r="H247" i="5"/>
  <c r="G247" i="5"/>
  <c r="F247" i="5"/>
  <c r="E239" i="5"/>
  <c r="E236" i="5"/>
  <c r="E222" i="5"/>
  <c r="E221" i="5"/>
  <c r="E220" i="5"/>
  <c r="E218" i="5"/>
  <c r="E216" i="5"/>
  <c r="E207" i="5"/>
  <c r="Q190" i="5"/>
  <c r="P190" i="5"/>
  <c r="O190" i="5"/>
  <c r="N190" i="5"/>
  <c r="N195" i="5" s="1"/>
  <c r="M190" i="5"/>
  <c r="L190" i="5"/>
  <c r="K190" i="5"/>
  <c r="J190" i="5"/>
  <c r="I190" i="5"/>
  <c r="H190" i="5"/>
  <c r="G190" i="5"/>
  <c r="F190" i="5"/>
  <c r="F195" i="5" s="1"/>
  <c r="E182" i="5"/>
  <c r="O181" i="5"/>
  <c r="G178" i="5"/>
  <c r="E179" i="5"/>
  <c r="E166" i="5"/>
  <c r="E165" i="5"/>
  <c r="E164" i="5"/>
  <c r="E162" i="5"/>
  <c r="E160" i="5"/>
  <c r="E159" i="5" s="1"/>
  <c r="E151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26" i="5"/>
  <c r="E109" i="5"/>
  <c r="E108" i="5"/>
  <c r="E107" i="5"/>
  <c r="E105" i="5"/>
  <c r="E103" i="5" s="1"/>
  <c r="E102" i="5" s="1"/>
  <c r="E94" i="5"/>
  <c r="Q77" i="5"/>
  <c r="P77" i="5"/>
  <c r="O77" i="5"/>
  <c r="N77" i="5"/>
  <c r="M77" i="5"/>
  <c r="L77" i="5"/>
  <c r="K77" i="5"/>
  <c r="J77" i="5"/>
  <c r="I77" i="5"/>
  <c r="H77" i="5"/>
  <c r="G77" i="5"/>
  <c r="F77" i="5"/>
  <c r="E69" i="5"/>
  <c r="J65" i="5"/>
  <c r="E424" i="4"/>
  <c r="E423" i="4"/>
  <c r="E422" i="4"/>
  <c r="E420" i="4"/>
  <c r="E418" i="4" s="1"/>
  <c r="E417" i="4" s="1"/>
  <c r="E407" i="4"/>
  <c r="Q403" i="4"/>
  <c r="P403" i="4"/>
  <c r="O403" i="4"/>
  <c r="N403" i="4"/>
  <c r="M403" i="4"/>
  <c r="L403" i="4"/>
  <c r="K403" i="4"/>
  <c r="J403" i="4"/>
  <c r="I403" i="4"/>
  <c r="H403" i="4"/>
  <c r="G403" i="4"/>
  <c r="F403" i="4"/>
  <c r="Q396" i="4"/>
  <c r="Q408" i="5" s="1"/>
  <c r="Q406" i="5" s="1"/>
  <c r="P396" i="4"/>
  <c r="P408" i="5" s="1"/>
  <c r="P406" i="5" s="1"/>
  <c r="O396" i="4"/>
  <c r="O408" i="5" s="1"/>
  <c r="O420" i="5" s="1"/>
  <c r="N396" i="4"/>
  <c r="N408" i="5" s="1"/>
  <c r="N420" i="5" s="1"/>
  <c r="M396" i="4"/>
  <c r="M408" i="5" s="1"/>
  <c r="M406" i="5" s="1"/>
  <c r="L396" i="4"/>
  <c r="L408" i="5" s="1"/>
  <c r="L406" i="5" s="1"/>
  <c r="K396" i="4"/>
  <c r="K408" i="5" s="1"/>
  <c r="K406" i="5" s="1"/>
  <c r="J396" i="4"/>
  <c r="J408" i="5" s="1"/>
  <c r="I396" i="4"/>
  <c r="I408" i="5" s="1"/>
  <c r="I406" i="5" s="1"/>
  <c r="H396" i="4"/>
  <c r="H408" i="5" s="1"/>
  <c r="G396" i="4"/>
  <c r="G408" i="5" s="1"/>
  <c r="F396" i="4"/>
  <c r="F408" i="5" s="1"/>
  <c r="F420" i="5" s="1"/>
  <c r="E396" i="4"/>
  <c r="Q395" i="4"/>
  <c r="Q405" i="5" s="1"/>
  <c r="P395" i="4"/>
  <c r="O395" i="4"/>
  <c r="O405" i="5" s="1"/>
  <c r="N395" i="4"/>
  <c r="N405" i="5" s="1"/>
  <c r="M395" i="4"/>
  <c r="M405" i="5" s="1"/>
  <c r="L395" i="4"/>
  <c r="L405" i="5" s="1"/>
  <c r="K395" i="4"/>
  <c r="K405" i="5" s="1"/>
  <c r="J395" i="4"/>
  <c r="J405" i="5" s="1"/>
  <c r="I395" i="4"/>
  <c r="I405" i="5" s="1"/>
  <c r="H395" i="4"/>
  <c r="G395" i="4"/>
  <c r="G405" i="5" s="1"/>
  <c r="F395" i="4"/>
  <c r="F405" i="5" s="1"/>
  <c r="E395" i="4"/>
  <c r="Q392" i="4"/>
  <c r="P392" i="4"/>
  <c r="O392" i="4"/>
  <c r="O390" i="4" s="1"/>
  <c r="N392" i="4"/>
  <c r="N390" i="4" s="1"/>
  <c r="M392" i="4"/>
  <c r="L392" i="4"/>
  <c r="K392" i="4"/>
  <c r="J392" i="4"/>
  <c r="I392" i="4"/>
  <c r="H392" i="4"/>
  <c r="G392" i="4"/>
  <c r="F392" i="4"/>
  <c r="E860" i="4"/>
  <c r="E859" i="4"/>
  <c r="E858" i="4"/>
  <c r="E856" i="4"/>
  <c r="E854" i="4"/>
  <c r="E843" i="4"/>
  <c r="Q839" i="4"/>
  <c r="P839" i="4"/>
  <c r="O839" i="4"/>
  <c r="N839" i="4"/>
  <c r="M839" i="4"/>
  <c r="L839" i="4"/>
  <c r="K839" i="4"/>
  <c r="J839" i="4"/>
  <c r="I839" i="4"/>
  <c r="H839" i="4"/>
  <c r="G839" i="4"/>
  <c r="F839" i="4"/>
  <c r="Q832" i="4"/>
  <c r="Q859" i="5" s="1"/>
  <c r="Q871" i="5" s="1"/>
  <c r="P832" i="4"/>
  <c r="P859" i="5" s="1"/>
  <c r="O832" i="4"/>
  <c r="O859" i="5" s="1"/>
  <c r="O857" i="5" s="1"/>
  <c r="N832" i="4"/>
  <c r="N859" i="5" s="1"/>
  <c r="N857" i="5" s="1"/>
  <c r="M832" i="4"/>
  <c r="M859" i="5" s="1"/>
  <c r="M857" i="5" s="1"/>
  <c r="L832" i="4"/>
  <c r="L859" i="5" s="1"/>
  <c r="L857" i="5" s="1"/>
  <c r="K832" i="4"/>
  <c r="K859" i="5" s="1"/>
  <c r="K857" i="5" s="1"/>
  <c r="J832" i="4"/>
  <c r="J859" i="5" s="1"/>
  <c r="J871" i="5" s="1"/>
  <c r="I832" i="4"/>
  <c r="I859" i="5" s="1"/>
  <c r="I871" i="5" s="1"/>
  <c r="H832" i="4"/>
  <c r="H859" i="5" s="1"/>
  <c r="H857" i="5" s="1"/>
  <c r="G832" i="4"/>
  <c r="G859" i="5" s="1"/>
  <c r="G857" i="5" s="1"/>
  <c r="F832" i="4"/>
  <c r="F859" i="5" s="1"/>
  <c r="E859" i="5" s="1"/>
  <c r="E832" i="4"/>
  <c r="Q831" i="4"/>
  <c r="Q856" i="5" s="1"/>
  <c r="Q854" i="5" s="1"/>
  <c r="P831" i="4"/>
  <c r="P856" i="5" s="1"/>
  <c r="P854" i="5" s="1"/>
  <c r="O831" i="4"/>
  <c r="O856" i="5" s="1"/>
  <c r="O854" i="5" s="1"/>
  <c r="N831" i="4"/>
  <c r="N856" i="5" s="1"/>
  <c r="N854" i="5" s="1"/>
  <c r="M831" i="4"/>
  <c r="M856" i="5" s="1"/>
  <c r="L831" i="4"/>
  <c r="L856" i="5" s="1"/>
  <c r="L854" i="5" s="1"/>
  <c r="K831" i="4"/>
  <c r="K856" i="5" s="1"/>
  <c r="K854" i="5" s="1"/>
  <c r="J831" i="4"/>
  <c r="J856" i="5" s="1"/>
  <c r="J854" i="5" s="1"/>
  <c r="I831" i="4"/>
  <c r="I856" i="5" s="1"/>
  <c r="I854" i="5" s="1"/>
  <c r="H831" i="4"/>
  <c r="H856" i="5" s="1"/>
  <c r="H854" i="5" s="1"/>
  <c r="G831" i="4"/>
  <c r="G856" i="5" s="1"/>
  <c r="F831" i="4"/>
  <c r="F856" i="5" s="1"/>
  <c r="F854" i="5" s="1"/>
  <c r="E831" i="4"/>
  <c r="Q828" i="4"/>
  <c r="P828" i="4"/>
  <c r="O828" i="4"/>
  <c r="N828" i="4"/>
  <c r="M828" i="4"/>
  <c r="L828" i="4"/>
  <c r="K828" i="4"/>
  <c r="J828" i="4"/>
  <c r="I828" i="4"/>
  <c r="H828" i="4"/>
  <c r="G828" i="4"/>
  <c r="F828" i="4"/>
  <c r="E806" i="4"/>
  <c r="E805" i="4"/>
  <c r="E804" i="4"/>
  <c r="E802" i="4"/>
  <c r="E800" i="4"/>
  <c r="E789" i="4"/>
  <c r="Q785" i="4"/>
  <c r="P785" i="4"/>
  <c r="O785" i="4"/>
  <c r="N785" i="4"/>
  <c r="M785" i="4"/>
  <c r="L785" i="4"/>
  <c r="K785" i="4"/>
  <c r="J785" i="4"/>
  <c r="I785" i="4"/>
  <c r="H785" i="4"/>
  <c r="G785" i="4"/>
  <c r="F785" i="4"/>
  <c r="Q778" i="4"/>
  <c r="Q803" i="5" s="1"/>
  <c r="Q801" i="5" s="1"/>
  <c r="P778" i="4"/>
  <c r="P803" i="5" s="1"/>
  <c r="P801" i="5" s="1"/>
  <c r="O778" i="4"/>
  <c r="O803" i="5" s="1"/>
  <c r="O801" i="5" s="1"/>
  <c r="N778" i="4"/>
  <c r="N803" i="5" s="1"/>
  <c r="N801" i="5" s="1"/>
  <c r="M778" i="4"/>
  <c r="M803" i="5" s="1"/>
  <c r="M801" i="5" s="1"/>
  <c r="L778" i="4"/>
  <c r="L803" i="5" s="1"/>
  <c r="L815" i="5" s="1"/>
  <c r="K778" i="4"/>
  <c r="K803" i="5" s="1"/>
  <c r="K801" i="5" s="1"/>
  <c r="J778" i="4"/>
  <c r="J803" i="5" s="1"/>
  <c r="J801" i="5" s="1"/>
  <c r="I778" i="4"/>
  <c r="I803" i="5" s="1"/>
  <c r="H778" i="4"/>
  <c r="H803" i="5" s="1"/>
  <c r="H801" i="5" s="1"/>
  <c r="G778" i="4"/>
  <c r="G803" i="5" s="1"/>
  <c r="F778" i="4"/>
  <c r="F803" i="5" s="1"/>
  <c r="F801" i="5" s="1"/>
  <c r="E778" i="4"/>
  <c r="Q777" i="4"/>
  <c r="Q800" i="5" s="1"/>
  <c r="P777" i="4"/>
  <c r="P800" i="5" s="1"/>
  <c r="P798" i="5" s="1"/>
  <c r="O777" i="4"/>
  <c r="O800" i="5" s="1"/>
  <c r="N777" i="4"/>
  <c r="N800" i="5" s="1"/>
  <c r="N798" i="5" s="1"/>
  <c r="M777" i="4"/>
  <c r="M800" i="5" s="1"/>
  <c r="M798" i="5" s="1"/>
  <c r="L777" i="4"/>
  <c r="K777" i="4"/>
  <c r="K800" i="5" s="1"/>
  <c r="J777" i="4"/>
  <c r="J800" i="5" s="1"/>
  <c r="I777" i="4"/>
  <c r="I800" i="5" s="1"/>
  <c r="I798" i="5" s="1"/>
  <c r="H777" i="4"/>
  <c r="H800" i="5" s="1"/>
  <c r="H798" i="5" s="1"/>
  <c r="G777" i="4"/>
  <c r="G800" i="5" s="1"/>
  <c r="G798" i="5" s="1"/>
  <c r="G797" i="5" s="1"/>
  <c r="G796" i="5" s="1"/>
  <c r="F777" i="4"/>
  <c r="F800" i="5" s="1"/>
  <c r="E777" i="4"/>
  <c r="Q774" i="4"/>
  <c r="P774" i="4"/>
  <c r="O774" i="4"/>
  <c r="N774" i="4"/>
  <c r="M774" i="4"/>
  <c r="L774" i="4"/>
  <c r="K774" i="4"/>
  <c r="J774" i="4"/>
  <c r="I774" i="4"/>
  <c r="H774" i="4"/>
  <c r="G774" i="4"/>
  <c r="F774" i="4"/>
  <c r="E752" i="4"/>
  <c r="E751" i="4"/>
  <c r="E750" i="4"/>
  <c r="E748" i="4"/>
  <c r="E735" i="4"/>
  <c r="Q731" i="4"/>
  <c r="P731" i="4"/>
  <c r="O731" i="4"/>
  <c r="N731" i="4"/>
  <c r="M731" i="4"/>
  <c r="L731" i="4"/>
  <c r="K731" i="4"/>
  <c r="J731" i="4"/>
  <c r="I731" i="4"/>
  <c r="H731" i="4"/>
  <c r="G731" i="4"/>
  <c r="F731" i="4"/>
  <c r="Q724" i="4"/>
  <c r="Q747" i="5" s="1"/>
  <c r="Q759" i="5" s="1"/>
  <c r="P724" i="4"/>
  <c r="P747" i="5" s="1"/>
  <c r="O724" i="4"/>
  <c r="O747" i="5" s="1"/>
  <c r="N724" i="4"/>
  <c r="N747" i="5" s="1"/>
  <c r="N745" i="5" s="1"/>
  <c r="M724" i="4"/>
  <c r="M747" i="5" s="1"/>
  <c r="M745" i="5" s="1"/>
  <c r="L724" i="4"/>
  <c r="L747" i="5" s="1"/>
  <c r="L745" i="5" s="1"/>
  <c r="K724" i="4"/>
  <c r="K747" i="5" s="1"/>
  <c r="K745" i="5" s="1"/>
  <c r="J724" i="4"/>
  <c r="J747" i="5" s="1"/>
  <c r="J745" i="5" s="1"/>
  <c r="I724" i="4"/>
  <c r="I747" i="5" s="1"/>
  <c r="I745" i="5" s="1"/>
  <c r="H724" i="4"/>
  <c r="H747" i="5" s="1"/>
  <c r="G724" i="4"/>
  <c r="G747" i="5" s="1"/>
  <c r="G745" i="5" s="1"/>
  <c r="F724" i="4"/>
  <c r="F747" i="5" s="1"/>
  <c r="F759" i="5" s="1"/>
  <c r="E724" i="4"/>
  <c r="Q723" i="4"/>
  <c r="Q744" i="5" s="1"/>
  <c r="P723" i="4"/>
  <c r="P744" i="5" s="1"/>
  <c r="O723" i="4"/>
  <c r="O744" i="5" s="1"/>
  <c r="O742" i="5" s="1"/>
  <c r="N723" i="4"/>
  <c r="N744" i="5" s="1"/>
  <c r="N742" i="5" s="1"/>
  <c r="M723" i="4"/>
  <c r="M744" i="5" s="1"/>
  <c r="M742" i="5" s="1"/>
  <c r="L723" i="4"/>
  <c r="L744" i="5" s="1"/>
  <c r="L742" i="5" s="1"/>
  <c r="K723" i="4"/>
  <c r="K744" i="5" s="1"/>
  <c r="K742" i="5" s="1"/>
  <c r="J723" i="4"/>
  <c r="I723" i="4"/>
  <c r="I744" i="5" s="1"/>
  <c r="I742" i="5" s="1"/>
  <c r="H723" i="4"/>
  <c r="H744" i="5" s="1"/>
  <c r="H742" i="5" s="1"/>
  <c r="G723" i="4"/>
  <c r="G744" i="5" s="1"/>
  <c r="F723" i="4"/>
  <c r="F744" i="5" s="1"/>
  <c r="E723" i="4"/>
  <c r="Q720" i="4"/>
  <c r="P720" i="4"/>
  <c r="O720" i="4"/>
  <c r="N720" i="4"/>
  <c r="M720" i="4"/>
  <c r="L720" i="4"/>
  <c r="K720" i="4"/>
  <c r="J720" i="4"/>
  <c r="I720" i="4"/>
  <c r="H720" i="4"/>
  <c r="G720" i="4"/>
  <c r="F720" i="4"/>
  <c r="M718" i="4"/>
  <c r="E697" i="4"/>
  <c r="E696" i="4"/>
  <c r="E695" i="4"/>
  <c r="E693" i="4"/>
  <c r="E680" i="4"/>
  <c r="Q676" i="4"/>
  <c r="P676" i="4"/>
  <c r="O676" i="4"/>
  <c r="N676" i="4"/>
  <c r="M676" i="4"/>
  <c r="L676" i="4"/>
  <c r="K676" i="4"/>
  <c r="J676" i="4"/>
  <c r="I676" i="4"/>
  <c r="H676" i="4"/>
  <c r="G676" i="4"/>
  <c r="F676" i="4"/>
  <c r="Q669" i="4"/>
  <c r="Q690" i="5" s="1"/>
  <c r="Q688" i="5" s="1"/>
  <c r="P669" i="4"/>
  <c r="P690" i="5" s="1"/>
  <c r="O669" i="4"/>
  <c r="O690" i="5" s="1"/>
  <c r="O688" i="5" s="1"/>
  <c r="N669" i="4"/>
  <c r="N690" i="5" s="1"/>
  <c r="N688" i="5" s="1"/>
  <c r="M669" i="4"/>
  <c r="M690" i="5" s="1"/>
  <c r="M702" i="5" s="1"/>
  <c r="L669" i="4"/>
  <c r="L690" i="5" s="1"/>
  <c r="K669" i="4"/>
  <c r="K690" i="5" s="1"/>
  <c r="J669" i="4"/>
  <c r="J690" i="5" s="1"/>
  <c r="J702" i="5" s="1"/>
  <c r="I669" i="4"/>
  <c r="I690" i="5" s="1"/>
  <c r="I688" i="5" s="1"/>
  <c r="H669" i="4"/>
  <c r="H690" i="5" s="1"/>
  <c r="G669" i="4"/>
  <c r="G690" i="5" s="1"/>
  <c r="G688" i="5" s="1"/>
  <c r="F669" i="4"/>
  <c r="F690" i="5" s="1"/>
  <c r="E690" i="5" s="1"/>
  <c r="E669" i="4"/>
  <c r="Q668" i="4"/>
  <c r="Q687" i="5" s="1"/>
  <c r="Q685" i="5" s="1"/>
  <c r="P668" i="4"/>
  <c r="P687" i="5" s="1"/>
  <c r="P685" i="5" s="1"/>
  <c r="O668" i="4"/>
  <c r="O687" i="5" s="1"/>
  <c r="O685" i="5" s="1"/>
  <c r="O684" i="5" s="1"/>
  <c r="O683" i="5" s="1"/>
  <c r="N668" i="4"/>
  <c r="N687" i="5" s="1"/>
  <c r="N685" i="5" s="1"/>
  <c r="M668" i="4"/>
  <c r="M687" i="5" s="1"/>
  <c r="M685" i="5" s="1"/>
  <c r="L668" i="4"/>
  <c r="L687" i="5" s="1"/>
  <c r="K668" i="4"/>
  <c r="K687" i="5" s="1"/>
  <c r="K685" i="5" s="1"/>
  <c r="K684" i="5" s="1"/>
  <c r="K683" i="5" s="1"/>
  <c r="J668" i="4"/>
  <c r="J687" i="5" s="1"/>
  <c r="J685" i="5" s="1"/>
  <c r="I668" i="4"/>
  <c r="I687" i="5" s="1"/>
  <c r="I685" i="5" s="1"/>
  <c r="H668" i="4"/>
  <c r="H687" i="5" s="1"/>
  <c r="H685" i="5" s="1"/>
  <c r="G668" i="4"/>
  <c r="G687" i="5" s="1"/>
  <c r="G685" i="5" s="1"/>
  <c r="F668" i="4"/>
  <c r="F687" i="5" s="1"/>
  <c r="F685" i="5" s="1"/>
  <c r="E668" i="4"/>
  <c r="Q665" i="4"/>
  <c r="P665" i="4"/>
  <c r="P663" i="4" s="1"/>
  <c r="O665" i="4"/>
  <c r="N665" i="4"/>
  <c r="M665" i="4"/>
  <c r="L665" i="4"/>
  <c r="K665" i="4"/>
  <c r="J665" i="4"/>
  <c r="I665" i="4"/>
  <c r="H665" i="4"/>
  <c r="H663" i="4" s="1"/>
  <c r="G665" i="4"/>
  <c r="F665" i="4"/>
  <c r="M663" i="4"/>
  <c r="E643" i="4"/>
  <c r="E642" i="4"/>
  <c r="E641" i="4"/>
  <c r="E639" i="4"/>
  <c r="E637" i="4"/>
  <c r="E626" i="4"/>
  <c r="Q622" i="4"/>
  <c r="P622" i="4"/>
  <c r="O622" i="4"/>
  <c r="N622" i="4"/>
  <c r="M622" i="4"/>
  <c r="L622" i="4"/>
  <c r="K622" i="4"/>
  <c r="J622" i="4"/>
  <c r="I622" i="4"/>
  <c r="H622" i="4"/>
  <c r="G622" i="4"/>
  <c r="F622" i="4"/>
  <c r="Q615" i="4"/>
  <c r="Q634" i="5" s="1"/>
  <c r="Q632" i="5" s="1"/>
  <c r="P615" i="4"/>
  <c r="P634" i="5" s="1"/>
  <c r="P632" i="5" s="1"/>
  <c r="O615" i="4"/>
  <c r="O634" i="5" s="1"/>
  <c r="O632" i="5" s="1"/>
  <c r="N615" i="4"/>
  <c r="N634" i="5" s="1"/>
  <c r="N632" i="5" s="1"/>
  <c r="M615" i="4"/>
  <c r="M634" i="5" s="1"/>
  <c r="M646" i="5" s="1"/>
  <c r="L615" i="4"/>
  <c r="L634" i="5" s="1"/>
  <c r="K615" i="4"/>
  <c r="K634" i="5" s="1"/>
  <c r="J615" i="4"/>
  <c r="J634" i="5" s="1"/>
  <c r="I615" i="4"/>
  <c r="I634" i="5" s="1"/>
  <c r="H615" i="4"/>
  <c r="H634" i="5" s="1"/>
  <c r="H632" i="5" s="1"/>
  <c r="G615" i="4"/>
  <c r="G634" i="5" s="1"/>
  <c r="G632" i="5" s="1"/>
  <c r="F615" i="4"/>
  <c r="F634" i="5" s="1"/>
  <c r="E615" i="4"/>
  <c r="Q614" i="4"/>
  <c r="Q631" i="5" s="1"/>
  <c r="Q629" i="5" s="1"/>
  <c r="P614" i="4"/>
  <c r="P631" i="5" s="1"/>
  <c r="P629" i="5" s="1"/>
  <c r="O614" i="4"/>
  <c r="O631" i="5" s="1"/>
  <c r="O629" i="5" s="1"/>
  <c r="N614" i="4"/>
  <c r="N631" i="5" s="1"/>
  <c r="N629" i="5" s="1"/>
  <c r="M614" i="4"/>
  <c r="M631" i="5" s="1"/>
  <c r="L614" i="4"/>
  <c r="L631" i="5" s="1"/>
  <c r="L629" i="5" s="1"/>
  <c r="K614" i="4"/>
  <c r="K631" i="5" s="1"/>
  <c r="K629" i="5" s="1"/>
  <c r="K628" i="5" s="1"/>
  <c r="K627" i="5" s="1"/>
  <c r="J614" i="4"/>
  <c r="J631" i="5" s="1"/>
  <c r="J629" i="5" s="1"/>
  <c r="I614" i="4"/>
  <c r="I631" i="5" s="1"/>
  <c r="I629" i="5" s="1"/>
  <c r="H614" i="4"/>
  <c r="H631" i="5" s="1"/>
  <c r="H629" i="5" s="1"/>
  <c r="G614" i="4"/>
  <c r="G631" i="5" s="1"/>
  <c r="G629" i="5" s="1"/>
  <c r="F614" i="4"/>
  <c r="F631" i="5" s="1"/>
  <c r="F629" i="5" s="1"/>
  <c r="E614" i="4"/>
  <c r="Q611" i="4"/>
  <c r="P611" i="4"/>
  <c r="O611" i="4"/>
  <c r="N611" i="4"/>
  <c r="M611" i="4"/>
  <c r="L611" i="4"/>
  <c r="K611" i="4"/>
  <c r="J611" i="4"/>
  <c r="I611" i="4"/>
  <c r="H611" i="4"/>
  <c r="G611" i="4"/>
  <c r="F611" i="4"/>
  <c r="E588" i="4"/>
  <c r="E587" i="4"/>
  <c r="E586" i="4"/>
  <c r="E584" i="4"/>
  <c r="E582" i="4"/>
  <c r="E581" i="4" s="1"/>
  <c r="E571" i="4"/>
  <c r="Q567" i="4"/>
  <c r="P567" i="4"/>
  <c r="O567" i="4"/>
  <c r="N567" i="4"/>
  <c r="M567" i="4"/>
  <c r="L567" i="4"/>
  <c r="K567" i="4"/>
  <c r="J567" i="4"/>
  <c r="I567" i="4"/>
  <c r="H567" i="4"/>
  <c r="G567" i="4"/>
  <c r="F567" i="4"/>
  <c r="Q560" i="4"/>
  <c r="Q577" i="5" s="1"/>
  <c r="P560" i="4"/>
  <c r="P577" i="5" s="1"/>
  <c r="O560" i="4"/>
  <c r="O577" i="5" s="1"/>
  <c r="N560" i="4"/>
  <c r="N577" i="5" s="1"/>
  <c r="N575" i="5" s="1"/>
  <c r="M560" i="4"/>
  <c r="M577" i="5" s="1"/>
  <c r="M575" i="5" s="1"/>
  <c r="L560" i="4"/>
  <c r="L577" i="5" s="1"/>
  <c r="L575" i="5" s="1"/>
  <c r="K560" i="4"/>
  <c r="K577" i="5" s="1"/>
  <c r="K589" i="5" s="1"/>
  <c r="J560" i="4"/>
  <c r="J577" i="5" s="1"/>
  <c r="J575" i="5" s="1"/>
  <c r="I560" i="4"/>
  <c r="I577" i="5" s="1"/>
  <c r="I575" i="5" s="1"/>
  <c r="H560" i="4"/>
  <c r="H577" i="5" s="1"/>
  <c r="H575" i="5" s="1"/>
  <c r="G560" i="4"/>
  <c r="G577" i="5" s="1"/>
  <c r="G575" i="5" s="1"/>
  <c r="F560" i="4"/>
  <c r="F577" i="5" s="1"/>
  <c r="F589" i="5" s="1"/>
  <c r="E560" i="4"/>
  <c r="Q559" i="4"/>
  <c r="Q574" i="5" s="1"/>
  <c r="Q572" i="5" s="1"/>
  <c r="P559" i="4"/>
  <c r="P574" i="5" s="1"/>
  <c r="P572" i="5" s="1"/>
  <c r="O559" i="4"/>
  <c r="O574" i="5" s="1"/>
  <c r="O572" i="5" s="1"/>
  <c r="N559" i="4"/>
  <c r="N574" i="5" s="1"/>
  <c r="N572" i="5" s="1"/>
  <c r="M559" i="4"/>
  <c r="M574" i="5" s="1"/>
  <c r="L559" i="4"/>
  <c r="L574" i="5" s="1"/>
  <c r="L572" i="5" s="1"/>
  <c r="K559" i="4"/>
  <c r="K574" i="5" s="1"/>
  <c r="J559" i="4"/>
  <c r="J574" i="5" s="1"/>
  <c r="J572" i="5" s="1"/>
  <c r="I559" i="4"/>
  <c r="I574" i="5" s="1"/>
  <c r="I572" i="5" s="1"/>
  <c r="H559" i="4"/>
  <c r="H574" i="5" s="1"/>
  <c r="H572" i="5" s="1"/>
  <c r="G559" i="4"/>
  <c r="G574" i="5" s="1"/>
  <c r="G572" i="5" s="1"/>
  <c r="F559" i="4"/>
  <c r="F574" i="5" s="1"/>
  <c r="F572" i="5" s="1"/>
  <c r="E559" i="4"/>
  <c r="Q556" i="4"/>
  <c r="P556" i="4"/>
  <c r="O556" i="4"/>
  <c r="N556" i="4"/>
  <c r="M556" i="4"/>
  <c r="L556" i="4"/>
  <c r="K556" i="4"/>
  <c r="J556" i="4"/>
  <c r="I556" i="4"/>
  <c r="H556" i="4"/>
  <c r="G556" i="4"/>
  <c r="F556" i="4"/>
  <c r="E534" i="4"/>
  <c r="E533" i="4"/>
  <c r="E532" i="4"/>
  <c r="E530" i="4"/>
  <c r="E528" i="4" s="1"/>
  <c r="E517" i="4"/>
  <c r="Q513" i="4"/>
  <c r="P513" i="4"/>
  <c r="O513" i="4"/>
  <c r="N513" i="4"/>
  <c r="M513" i="4"/>
  <c r="L513" i="4"/>
  <c r="K513" i="4"/>
  <c r="J513" i="4"/>
  <c r="I513" i="4"/>
  <c r="H513" i="4"/>
  <c r="G513" i="4"/>
  <c r="F513" i="4"/>
  <c r="Q506" i="4"/>
  <c r="Q521" i="5" s="1"/>
  <c r="Q519" i="5" s="1"/>
  <c r="P506" i="4"/>
  <c r="P521" i="5" s="1"/>
  <c r="P519" i="5" s="1"/>
  <c r="O506" i="4"/>
  <c r="O521" i="5" s="1"/>
  <c r="O519" i="5" s="1"/>
  <c r="N506" i="4"/>
  <c r="N521" i="5" s="1"/>
  <c r="N519" i="5" s="1"/>
  <c r="M506" i="4"/>
  <c r="M521" i="5" s="1"/>
  <c r="M519" i="5" s="1"/>
  <c r="L506" i="4"/>
  <c r="L521" i="5" s="1"/>
  <c r="K506" i="4"/>
  <c r="K521" i="5" s="1"/>
  <c r="K519" i="5" s="1"/>
  <c r="J506" i="4"/>
  <c r="J521" i="5" s="1"/>
  <c r="J519" i="5" s="1"/>
  <c r="I506" i="4"/>
  <c r="I521" i="5" s="1"/>
  <c r="H506" i="4"/>
  <c r="H521" i="5" s="1"/>
  <c r="H519" i="5" s="1"/>
  <c r="G506" i="4"/>
  <c r="G521" i="5" s="1"/>
  <c r="G519" i="5" s="1"/>
  <c r="F506" i="4"/>
  <c r="F521" i="5" s="1"/>
  <c r="E521" i="5" s="1"/>
  <c r="E506" i="4"/>
  <c r="Q505" i="4"/>
  <c r="Q518" i="5" s="1"/>
  <c r="Q516" i="5" s="1"/>
  <c r="P505" i="4"/>
  <c r="P518" i="5" s="1"/>
  <c r="P516" i="5" s="1"/>
  <c r="O505" i="4"/>
  <c r="O518" i="5" s="1"/>
  <c r="O516" i="5" s="1"/>
  <c r="N505" i="4"/>
  <c r="N518" i="5" s="1"/>
  <c r="N516" i="5" s="1"/>
  <c r="M505" i="4"/>
  <c r="M518" i="5" s="1"/>
  <c r="M516" i="5" s="1"/>
  <c r="L505" i="4"/>
  <c r="L518" i="5" s="1"/>
  <c r="L516" i="5" s="1"/>
  <c r="K505" i="4"/>
  <c r="K518" i="5" s="1"/>
  <c r="K516" i="5" s="1"/>
  <c r="J505" i="4"/>
  <c r="J518" i="5" s="1"/>
  <c r="J516" i="5" s="1"/>
  <c r="I505" i="4"/>
  <c r="I518" i="5" s="1"/>
  <c r="I516" i="5" s="1"/>
  <c r="H505" i="4"/>
  <c r="H518" i="5" s="1"/>
  <c r="H516" i="5" s="1"/>
  <c r="G505" i="4"/>
  <c r="G518" i="5" s="1"/>
  <c r="F505" i="4"/>
  <c r="F518" i="5" s="1"/>
  <c r="E505" i="4"/>
  <c r="Q502" i="4"/>
  <c r="P502" i="4"/>
  <c r="O502" i="4"/>
  <c r="N502" i="4"/>
  <c r="M502" i="4"/>
  <c r="L502" i="4"/>
  <c r="K502" i="4"/>
  <c r="J502" i="4"/>
  <c r="I502" i="4"/>
  <c r="H502" i="4"/>
  <c r="G502" i="4"/>
  <c r="F502" i="4"/>
  <c r="E479" i="4"/>
  <c r="E478" i="4"/>
  <c r="E477" i="4"/>
  <c r="E475" i="4"/>
  <c r="E473" i="4" s="1"/>
  <c r="E462" i="4"/>
  <c r="Q458" i="4"/>
  <c r="P458" i="4"/>
  <c r="O458" i="4"/>
  <c r="N458" i="4"/>
  <c r="M458" i="4"/>
  <c r="L458" i="4"/>
  <c r="K458" i="4"/>
  <c r="J458" i="4"/>
  <c r="I458" i="4"/>
  <c r="H458" i="4"/>
  <c r="G458" i="4"/>
  <c r="F458" i="4"/>
  <c r="Q451" i="4"/>
  <c r="Q464" i="5" s="1"/>
  <c r="Q462" i="5" s="1"/>
  <c r="P451" i="4"/>
  <c r="P464" i="5" s="1"/>
  <c r="P462" i="5" s="1"/>
  <c r="O451" i="4"/>
  <c r="O464" i="5" s="1"/>
  <c r="N451" i="4"/>
  <c r="N464" i="5" s="1"/>
  <c r="N462" i="5" s="1"/>
  <c r="M451" i="4"/>
  <c r="M464" i="5" s="1"/>
  <c r="M462" i="5" s="1"/>
  <c r="L451" i="4"/>
  <c r="L464" i="5" s="1"/>
  <c r="L462" i="5" s="1"/>
  <c r="K451" i="4"/>
  <c r="K464" i="5" s="1"/>
  <c r="J451" i="4"/>
  <c r="J464" i="5" s="1"/>
  <c r="J462" i="5" s="1"/>
  <c r="I451" i="4"/>
  <c r="I464" i="5" s="1"/>
  <c r="I462" i="5" s="1"/>
  <c r="H451" i="4"/>
  <c r="H464" i="5" s="1"/>
  <c r="H476" i="5" s="1"/>
  <c r="G451" i="4"/>
  <c r="G464" i="5" s="1"/>
  <c r="F451" i="4"/>
  <c r="F464" i="5" s="1"/>
  <c r="E464" i="5" s="1"/>
  <c r="E451" i="4"/>
  <c r="Q450" i="4"/>
  <c r="Q461" i="5" s="1"/>
  <c r="Q459" i="5" s="1"/>
  <c r="P450" i="4"/>
  <c r="P461" i="5" s="1"/>
  <c r="P459" i="5" s="1"/>
  <c r="O450" i="4"/>
  <c r="O461" i="5" s="1"/>
  <c r="O459" i="5" s="1"/>
  <c r="N450" i="4"/>
  <c r="N461" i="5" s="1"/>
  <c r="N459" i="5" s="1"/>
  <c r="M450" i="4"/>
  <c r="M461" i="5" s="1"/>
  <c r="M459" i="5" s="1"/>
  <c r="L450" i="4"/>
  <c r="L461" i="5" s="1"/>
  <c r="L459" i="5" s="1"/>
  <c r="K450" i="4"/>
  <c r="K461" i="5" s="1"/>
  <c r="K459" i="5" s="1"/>
  <c r="J450" i="4"/>
  <c r="J461" i="5" s="1"/>
  <c r="I450" i="4"/>
  <c r="I461" i="5" s="1"/>
  <c r="I459" i="5" s="1"/>
  <c r="H450" i="4"/>
  <c r="H461" i="5" s="1"/>
  <c r="H459" i="5" s="1"/>
  <c r="G450" i="4"/>
  <c r="G461" i="5" s="1"/>
  <c r="G459" i="5" s="1"/>
  <c r="F450" i="4"/>
  <c r="F461" i="5" s="1"/>
  <c r="F459" i="5" s="1"/>
  <c r="E450" i="4"/>
  <c r="Q447" i="4"/>
  <c r="P447" i="4"/>
  <c r="O447" i="4"/>
  <c r="N447" i="4"/>
  <c r="N445" i="4" s="1"/>
  <c r="M447" i="4"/>
  <c r="L447" i="4"/>
  <c r="L445" i="4" s="1"/>
  <c r="K447" i="4"/>
  <c r="J447" i="4"/>
  <c r="I447" i="4"/>
  <c r="H447" i="4"/>
  <c r="G447" i="4"/>
  <c r="F447" i="4"/>
  <c r="F445" i="4" s="1"/>
  <c r="E370" i="4"/>
  <c r="E369" i="4"/>
  <c r="E368" i="4"/>
  <c r="E366" i="4"/>
  <c r="E364" i="4"/>
  <c r="E353" i="4"/>
  <c r="Q349" i="4"/>
  <c r="P349" i="4"/>
  <c r="O349" i="4"/>
  <c r="N349" i="4"/>
  <c r="M349" i="4"/>
  <c r="L349" i="4"/>
  <c r="K349" i="4"/>
  <c r="J349" i="4"/>
  <c r="I349" i="4"/>
  <c r="H349" i="4"/>
  <c r="G349" i="4"/>
  <c r="F349" i="4"/>
  <c r="Q342" i="4"/>
  <c r="Q352" i="5" s="1"/>
  <c r="P342" i="4"/>
  <c r="P352" i="5" s="1"/>
  <c r="P364" i="5" s="1"/>
  <c r="O342" i="4"/>
  <c r="O352" i="5" s="1"/>
  <c r="N342" i="4"/>
  <c r="N352" i="5" s="1"/>
  <c r="N350" i="5" s="1"/>
  <c r="M342" i="4"/>
  <c r="M352" i="5" s="1"/>
  <c r="M350" i="5" s="1"/>
  <c r="L342" i="4"/>
  <c r="L352" i="5" s="1"/>
  <c r="L350" i="5" s="1"/>
  <c r="K342" i="4"/>
  <c r="K352" i="5" s="1"/>
  <c r="K364" i="5" s="1"/>
  <c r="J342" i="4"/>
  <c r="J352" i="5" s="1"/>
  <c r="J364" i="5" s="1"/>
  <c r="I342" i="4"/>
  <c r="I352" i="5" s="1"/>
  <c r="I350" i="5" s="1"/>
  <c r="H342" i="4"/>
  <c r="H352" i="5" s="1"/>
  <c r="H364" i="5" s="1"/>
  <c r="G342" i="4"/>
  <c r="G352" i="5" s="1"/>
  <c r="F342" i="4"/>
  <c r="F352" i="5" s="1"/>
  <c r="F364" i="5" s="1"/>
  <c r="E342" i="4"/>
  <c r="Q341" i="4"/>
  <c r="Q349" i="5" s="1"/>
  <c r="Q347" i="5" s="1"/>
  <c r="P341" i="4"/>
  <c r="O341" i="4"/>
  <c r="O349" i="5" s="1"/>
  <c r="O347" i="5" s="1"/>
  <c r="N341" i="4"/>
  <c r="N349" i="5" s="1"/>
  <c r="N347" i="5" s="1"/>
  <c r="M341" i="4"/>
  <c r="M349" i="5" s="1"/>
  <c r="M347" i="5" s="1"/>
  <c r="L341" i="4"/>
  <c r="L349" i="5" s="1"/>
  <c r="L347" i="5" s="1"/>
  <c r="K341" i="4"/>
  <c r="K349" i="5" s="1"/>
  <c r="J341" i="4"/>
  <c r="J349" i="5" s="1"/>
  <c r="J347" i="5" s="1"/>
  <c r="I341" i="4"/>
  <c r="I349" i="5" s="1"/>
  <c r="I347" i="5" s="1"/>
  <c r="H341" i="4"/>
  <c r="G341" i="4"/>
  <c r="G349" i="5" s="1"/>
  <c r="G347" i="5" s="1"/>
  <c r="F341" i="4"/>
  <c r="F349" i="5" s="1"/>
  <c r="E341" i="4"/>
  <c r="Q338" i="4"/>
  <c r="P338" i="4"/>
  <c r="O338" i="4"/>
  <c r="N338" i="4"/>
  <c r="M338" i="4"/>
  <c r="L338" i="4"/>
  <c r="K338" i="4"/>
  <c r="J338" i="4"/>
  <c r="I338" i="4"/>
  <c r="H338" i="4"/>
  <c r="G338" i="4"/>
  <c r="F338" i="4"/>
  <c r="M336" i="4"/>
  <c r="E316" i="4"/>
  <c r="E315" i="4"/>
  <c r="E314" i="4"/>
  <c r="E312" i="4"/>
  <c r="E310" i="4"/>
  <c r="E309" i="4" s="1"/>
  <c r="E299" i="4"/>
  <c r="Q295" i="4"/>
  <c r="P295" i="4"/>
  <c r="O295" i="4"/>
  <c r="N295" i="4"/>
  <c r="M295" i="4"/>
  <c r="L295" i="4"/>
  <c r="K295" i="4"/>
  <c r="J295" i="4"/>
  <c r="I295" i="4"/>
  <c r="H295" i="4"/>
  <c r="G295" i="4"/>
  <c r="F295" i="4"/>
  <c r="Q288" i="4"/>
  <c r="Q296" i="5" s="1"/>
  <c r="Q294" i="5" s="1"/>
  <c r="P288" i="4"/>
  <c r="P296" i="5" s="1"/>
  <c r="P294" i="5" s="1"/>
  <c r="O288" i="4"/>
  <c r="O296" i="5" s="1"/>
  <c r="O294" i="5" s="1"/>
  <c r="N288" i="4"/>
  <c r="N296" i="5" s="1"/>
  <c r="N294" i="5" s="1"/>
  <c r="M288" i="4"/>
  <c r="M296" i="5" s="1"/>
  <c r="M294" i="5" s="1"/>
  <c r="L288" i="4"/>
  <c r="L296" i="5" s="1"/>
  <c r="L294" i="5" s="1"/>
  <c r="K288" i="4"/>
  <c r="K296" i="5" s="1"/>
  <c r="K308" i="5" s="1"/>
  <c r="J288" i="4"/>
  <c r="J296" i="5" s="1"/>
  <c r="I288" i="4"/>
  <c r="I296" i="5" s="1"/>
  <c r="I294" i="5" s="1"/>
  <c r="H288" i="4"/>
  <c r="H296" i="5" s="1"/>
  <c r="G288" i="4"/>
  <c r="G296" i="5" s="1"/>
  <c r="F288" i="4"/>
  <c r="F296" i="5" s="1"/>
  <c r="E296" i="5" s="1"/>
  <c r="E288" i="4"/>
  <c r="Q287" i="4"/>
  <c r="Q293" i="5" s="1"/>
  <c r="Q291" i="5" s="1"/>
  <c r="P287" i="4"/>
  <c r="P293" i="5" s="1"/>
  <c r="P291" i="5" s="1"/>
  <c r="O287" i="4"/>
  <c r="O293" i="5" s="1"/>
  <c r="O291" i="5" s="1"/>
  <c r="N287" i="4"/>
  <c r="N293" i="5" s="1"/>
  <c r="N291" i="5" s="1"/>
  <c r="M287" i="4"/>
  <c r="L287" i="4"/>
  <c r="L293" i="5" s="1"/>
  <c r="L291" i="5" s="1"/>
  <c r="K287" i="4"/>
  <c r="K293" i="5" s="1"/>
  <c r="K291" i="5" s="1"/>
  <c r="J287" i="4"/>
  <c r="J293" i="5" s="1"/>
  <c r="J291" i="5" s="1"/>
  <c r="I287" i="4"/>
  <c r="I293" i="5" s="1"/>
  <c r="I291" i="5" s="1"/>
  <c r="H287" i="4"/>
  <c r="H293" i="5" s="1"/>
  <c r="H291" i="5" s="1"/>
  <c r="G287" i="4"/>
  <c r="F287" i="4"/>
  <c r="F293" i="5" s="1"/>
  <c r="E287" i="4"/>
  <c r="Q284" i="4"/>
  <c r="P284" i="4"/>
  <c r="O284" i="4"/>
  <c r="N284" i="4"/>
  <c r="M284" i="4"/>
  <c r="L284" i="4"/>
  <c r="K284" i="4"/>
  <c r="J284" i="4"/>
  <c r="I284" i="4"/>
  <c r="H284" i="4"/>
  <c r="G284" i="4"/>
  <c r="F284" i="4"/>
  <c r="E262" i="4"/>
  <c r="E261" i="4"/>
  <c r="E260" i="4"/>
  <c r="E258" i="4"/>
  <c r="Q241" i="4"/>
  <c r="Q238" i="5" s="1"/>
  <c r="P241" i="4"/>
  <c r="P238" i="5" s="1"/>
  <c r="O241" i="4"/>
  <c r="N241" i="4"/>
  <c r="M241" i="4"/>
  <c r="L241" i="4"/>
  <c r="K241" i="4"/>
  <c r="J241" i="4"/>
  <c r="I241" i="4"/>
  <c r="I238" i="5" s="1"/>
  <c r="H241" i="4"/>
  <c r="H238" i="5" s="1"/>
  <c r="G241" i="4"/>
  <c r="F241" i="4"/>
  <c r="Q234" i="4"/>
  <c r="Q240" i="5" s="1"/>
  <c r="P234" i="4"/>
  <c r="P240" i="5" s="1"/>
  <c r="O234" i="4"/>
  <c r="O240" i="5" s="1"/>
  <c r="O238" i="5" s="1"/>
  <c r="N234" i="4"/>
  <c r="N240" i="5" s="1"/>
  <c r="M234" i="4"/>
  <c r="M240" i="5" s="1"/>
  <c r="L234" i="4"/>
  <c r="L240" i="5" s="1"/>
  <c r="K234" i="4"/>
  <c r="K240" i="5" s="1"/>
  <c r="J234" i="4"/>
  <c r="J240" i="5" s="1"/>
  <c r="I234" i="4"/>
  <c r="I240" i="5" s="1"/>
  <c r="H234" i="4"/>
  <c r="H240" i="5" s="1"/>
  <c r="G234" i="4"/>
  <c r="G240" i="5" s="1"/>
  <c r="G238" i="5" s="1"/>
  <c r="F234" i="4"/>
  <c r="F240" i="5" s="1"/>
  <c r="E234" i="4"/>
  <c r="Q233" i="4"/>
  <c r="Q237" i="5" s="1"/>
  <c r="Q235" i="5" s="1"/>
  <c r="P233" i="4"/>
  <c r="P237" i="5" s="1"/>
  <c r="P235" i="5" s="1"/>
  <c r="O233" i="4"/>
  <c r="O237" i="5" s="1"/>
  <c r="O235" i="5" s="1"/>
  <c r="N233" i="4"/>
  <c r="N237" i="5" s="1"/>
  <c r="N235" i="5" s="1"/>
  <c r="M233" i="4"/>
  <c r="M237" i="5" s="1"/>
  <c r="M235" i="5" s="1"/>
  <c r="L233" i="4"/>
  <c r="L237" i="5" s="1"/>
  <c r="L235" i="5" s="1"/>
  <c r="K233" i="4"/>
  <c r="K237" i="5" s="1"/>
  <c r="K235" i="5" s="1"/>
  <c r="J233" i="4"/>
  <c r="J237" i="5" s="1"/>
  <c r="J235" i="5" s="1"/>
  <c r="I233" i="4"/>
  <c r="I237" i="5" s="1"/>
  <c r="I235" i="5" s="1"/>
  <c r="H233" i="4"/>
  <c r="H237" i="5" s="1"/>
  <c r="H235" i="5" s="1"/>
  <c r="G233" i="4"/>
  <c r="G237" i="5" s="1"/>
  <c r="G235" i="5" s="1"/>
  <c r="F233" i="4"/>
  <c r="F237" i="5" s="1"/>
  <c r="F235" i="5" s="1"/>
  <c r="E233" i="4"/>
  <c r="Q230" i="4"/>
  <c r="P230" i="4"/>
  <c r="O230" i="4"/>
  <c r="N230" i="4"/>
  <c r="M230" i="4"/>
  <c r="L230" i="4"/>
  <c r="K230" i="4"/>
  <c r="J230" i="4"/>
  <c r="I230" i="4"/>
  <c r="H230" i="4"/>
  <c r="G230" i="4"/>
  <c r="F230" i="4"/>
  <c r="E207" i="4"/>
  <c r="E206" i="4"/>
  <c r="E205" i="4"/>
  <c r="E203" i="4"/>
  <c r="E190" i="4"/>
  <c r="Q186" i="4"/>
  <c r="P186" i="4"/>
  <c r="O186" i="4"/>
  <c r="N186" i="4"/>
  <c r="M186" i="4"/>
  <c r="L186" i="4"/>
  <c r="K186" i="4"/>
  <c r="J186" i="4"/>
  <c r="I186" i="4"/>
  <c r="H186" i="4"/>
  <c r="G186" i="4"/>
  <c r="F186" i="4"/>
  <c r="Q179" i="4"/>
  <c r="Q183" i="5" s="1"/>
  <c r="Q181" i="5" s="1"/>
  <c r="P179" i="4"/>
  <c r="P183" i="5" s="1"/>
  <c r="P181" i="5" s="1"/>
  <c r="O179" i="4"/>
  <c r="O183" i="5" s="1"/>
  <c r="N179" i="4"/>
  <c r="N183" i="5" s="1"/>
  <c r="N181" i="5" s="1"/>
  <c r="M179" i="4"/>
  <c r="M183" i="5" s="1"/>
  <c r="M181" i="5" s="1"/>
  <c r="L179" i="4"/>
  <c r="L183" i="5" s="1"/>
  <c r="L181" i="5" s="1"/>
  <c r="K179" i="4"/>
  <c r="K183" i="5" s="1"/>
  <c r="K181" i="5" s="1"/>
  <c r="J179" i="4"/>
  <c r="J183" i="5" s="1"/>
  <c r="J195" i="5" s="1"/>
  <c r="I179" i="4"/>
  <c r="I183" i="5" s="1"/>
  <c r="I181" i="5" s="1"/>
  <c r="H179" i="4"/>
  <c r="H183" i="5" s="1"/>
  <c r="H181" i="5" s="1"/>
  <c r="G179" i="4"/>
  <c r="G183" i="5" s="1"/>
  <c r="G181" i="5" s="1"/>
  <c r="F179" i="4"/>
  <c r="F183" i="5" s="1"/>
  <c r="E183" i="5" s="1"/>
  <c r="E179" i="4"/>
  <c r="Q178" i="4"/>
  <c r="Q180" i="5" s="1"/>
  <c r="Q178" i="5" s="1"/>
  <c r="P178" i="4"/>
  <c r="P180" i="5" s="1"/>
  <c r="P178" i="5" s="1"/>
  <c r="O178" i="4"/>
  <c r="O180" i="5" s="1"/>
  <c r="O178" i="5" s="1"/>
  <c r="N178" i="4"/>
  <c r="N180" i="5" s="1"/>
  <c r="N178" i="5" s="1"/>
  <c r="M178" i="4"/>
  <c r="M180" i="5" s="1"/>
  <c r="M178" i="5" s="1"/>
  <c r="L178" i="4"/>
  <c r="L180" i="5" s="1"/>
  <c r="L178" i="5" s="1"/>
  <c r="K178" i="4"/>
  <c r="K180" i="5" s="1"/>
  <c r="K178" i="5" s="1"/>
  <c r="J178" i="4"/>
  <c r="J180" i="5" s="1"/>
  <c r="J178" i="5" s="1"/>
  <c r="I178" i="4"/>
  <c r="I180" i="5" s="1"/>
  <c r="I178" i="5" s="1"/>
  <c r="H178" i="4"/>
  <c r="H180" i="5" s="1"/>
  <c r="H178" i="5" s="1"/>
  <c r="G178" i="4"/>
  <c r="G180" i="5" s="1"/>
  <c r="F178" i="4"/>
  <c r="F180" i="5" s="1"/>
  <c r="E178" i="4"/>
  <c r="Q175" i="4"/>
  <c r="P175" i="4"/>
  <c r="O175" i="4"/>
  <c r="N175" i="4"/>
  <c r="M175" i="4"/>
  <c r="L175" i="4"/>
  <c r="K175" i="4"/>
  <c r="J175" i="4"/>
  <c r="I175" i="4"/>
  <c r="H175" i="4"/>
  <c r="G175" i="4"/>
  <c r="F175" i="4"/>
  <c r="E153" i="4"/>
  <c r="E152" i="4"/>
  <c r="E151" i="4"/>
  <c r="E149" i="4"/>
  <c r="E136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Q125" i="4"/>
  <c r="Q127" i="5" s="1"/>
  <c r="P125" i="4"/>
  <c r="P127" i="5" s="1"/>
  <c r="O125" i="4"/>
  <c r="O127" i="5" s="1"/>
  <c r="N125" i="4"/>
  <c r="N127" i="5" s="1"/>
  <c r="M125" i="4"/>
  <c r="M127" i="5" s="1"/>
  <c r="L125" i="4"/>
  <c r="L127" i="5" s="1"/>
  <c r="K125" i="4"/>
  <c r="K127" i="5" s="1"/>
  <c r="J125" i="4"/>
  <c r="J127" i="5" s="1"/>
  <c r="I125" i="4"/>
  <c r="I127" i="5" s="1"/>
  <c r="H125" i="4"/>
  <c r="H127" i="5" s="1"/>
  <c r="G125" i="4"/>
  <c r="G127" i="5" s="1"/>
  <c r="F125" i="4"/>
  <c r="F127" i="5" s="1"/>
  <c r="E125" i="4"/>
  <c r="Q124" i="4"/>
  <c r="Q124" i="5" s="1"/>
  <c r="P124" i="4"/>
  <c r="P124" i="5" s="1"/>
  <c r="O124" i="4"/>
  <c r="O124" i="5" s="1"/>
  <c r="N124" i="4"/>
  <c r="N124" i="5" s="1"/>
  <c r="M124" i="4"/>
  <c r="M124" i="5" s="1"/>
  <c r="L124" i="4"/>
  <c r="L124" i="5" s="1"/>
  <c r="K124" i="4"/>
  <c r="K124" i="5" s="1"/>
  <c r="J124" i="4"/>
  <c r="J124" i="5" s="1"/>
  <c r="J122" i="5" s="1"/>
  <c r="I124" i="4"/>
  <c r="I124" i="5" s="1"/>
  <c r="H124" i="4"/>
  <c r="H124" i="5" s="1"/>
  <c r="G124" i="4"/>
  <c r="G124" i="5" s="1"/>
  <c r="F124" i="4"/>
  <c r="F124" i="5" s="1"/>
  <c r="E124" i="4"/>
  <c r="Q121" i="4"/>
  <c r="P121" i="4"/>
  <c r="O121" i="4"/>
  <c r="N121" i="4"/>
  <c r="M121" i="4"/>
  <c r="M119" i="4" s="1"/>
  <c r="L121" i="4"/>
  <c r="K121" i="4"/>
  <c r="J121" i="4"/>
  <c r="I121" i="4"/>
  <c r="H121" i="4"/>
  <c r="G121" i="4"/>
  <c r="F121" i="4"/>
  <c r="E98" i="4"/>
  <c r="E97" i="4"/>
  <c r="E96" i="4"/>
  <c r="E94" i="4"/>
  <c r="E81" i="4"/>
  <c r="Q77" i="4"/>
  <c r="P77" i="4"/>
  <c r="O77" i="4"/>
  <c r="N77" i="4"/>
  <c r="M77" i="4"/>
  <c r="L77" i="4"/>
  <c r="K77" i="4"/>
  <c r="J77" i="4"/>
  <c r="I77" i="4"/>
  <c r="H77" i="4"/>
  <c r="G77" i="4"/>
  <c r="F77" i="4"/>
  <c r="Q70" i="4"/>
  <c r="P70" i="4"/>
  <c r="P70" i="5" s="1"/>
  <c r="O70" i="4"/>
  <c r="O70" i="5" s="1"/>
  <c r="N70" i="4"/>
  <c r="N70" i="5" s="1"/>
  <c r="M70" i="4"/>
  <c r="M70" i="5" s="1"/>
  <c r="L70" i="4"/>
  <c r="K70" i="4"/>
  <c r="K70" i="5" s="1"/>
  <c r="J70" i="4"/>
  <c r="J70" i="5" s="1"/>
  <c r="I70" i="4"/>
  <c r="H70" i="4"/>
  <c r="H70" i="5" s="1"/>
  <c r="G70" i="4"/>
  <c r="G70" i="5" s="1"/>
  <c r="F70" i="4"/>
  <c r="F70" i="5" s="1"/>
  <c r="E70" i="4"/>
  <c r="Q69" i="4"/>
  <c r="Q67" i="5" s="1"/>
  <c r="P69" i="4"/>
  <c r="P67" i="5" s="1"/>
  <c r="O69" i="4"/>
  <c r="O67" i="5" s="1"/>
  <c r="N69" i="4"/>
  <c r="N67" i="5" s="1"/>
  <c r="M69" i="4"/>
  <c r="M67" i="5" s="1"/>
  <c r="L69" i="4"/>
  <c r="L67" i="5" s="1"/>
  <c r="K69" i="4"/>
  <c r="K67" i="5" s="1"/>
  <c r="J69" i="4"/>
  <c r="J67" i="5" s="1"/>
  <c r="I69" i="4"/>
  <c r="I67" i="5" s="1"/>
  <c r="H69" i="4"/>
  <c r="H67" i="5" s="1"/>
  <c r="G69" i="4"/>
  <c r="G67" i="5" s="1"/>
  <c r="F69" i="4"/>
  <c r="F67" i="5" s="1"/>
  <c r="E69" i="4"/>
  <c r="Q66" i="4"/>
  <c r="P66" i="4"/>
  <c r="O66" i="4"/>
  <c r="N66" i="4"/>
  <c r="M66" i="4"/>
  <c r="L66" i="4"/>
  <c r="K66" i="4"/>
  <c r="J66" i="4"/>
  <c r="I66" i="4"/>
  <c r="H66" i="4"/>
  <c r="G66" i="4"/>
  <c r="F66" i="4"/>
  <c r="E14" i="10"/>
  <c r="E53" i="5"/>
  <c r="E52" i="5"/>
  <c r="E51" i="5"/>
  <c r="E49" i="5"/>
  <c r="E47" i="5"/>
  <c r="E38" i="5"/>
  <c r="Q21" i="5"/>
  <c r="P21" i="5"/>
  <c r="O21" i="5"/>
  <c r="N21" i="5"/>
  <c r="M21" i="5"/>
  <c r="L21" i="5"/>
  <c r="K21" i="5"/>
  <c r="J21" i="5"/>
  <c r="I21" i="5"/>
  <c r="H21" i="5"/>
  <c r="G21" i="5"/>
  <c r="F21" i="5"/>
  <c r="E43" i="4"/>
  <c r="E42" i="4"/>
  <c r="E41" i="4"/>
  <c r="E39" i="4"/>
  <c r="E26" i="4"/>
  <c r="Q22" i="4"/>
  <c r="P22" i="4"/>
  <c r="O22" i="4"/>
  <c r="N22" i="4"/>
  <c r="M22" i="4"/>
  <c r="L22" i="4"/>
  <c r="K22" i="4"/>
  <c r="J22" i="4"/>
  <c r="I22" i="4"/>
  <c r="H22" i="4"/>
  <c r="G22" i="4"/>
  <c r="F22" i="4"/>
  <c r="Q15" i="4"/>
  <c r="Q14" i="5" s="1"/>
  <c r="P15" i="4"/>
  <c r="P14" i="5" s="1"/>
  <c r="O15" i="4"/>
  <c r="O14" i="5" s="1"/>
  <c r="N15" i="4"/>
  <c r="N14" i="5" s="1"/>
  <c r="M15" i="4"/>
  <c r="M14" i="5" s="1"/>
  <c r="M12" i="5" s="1"/>
  <c r="L15" i="4"/>
  <c r="K15" i="4"/>
  <c r="K14" i="5" s="1"/>
  <c r="J15" i="4"/>
  <c r="J14" i="5" s="1"/>
  <c r="I15" i="4"/>
  <c r="I14" i="5" s="1"/>
  <c r="H15" i="4"/>
  <c r="H14" i="5" s="1"/>
  <c r="G15" i="4"/>
  <c r="G14" i="5" s="1"/>
  <c r="F15" i="4"/>
  <c r="F14" i="5" s="1"/>
  <c r="E15" i="4"/>
  <c r="Q14" i="4"/>
  <c r="Q11" i="5" s="1"/>
  <c r="P14" i="4"/>
  <c r="P11" i="5" s="1"/>
  <c r="O14" i="4"/>
  <c r="N14" i="4"/>
  <c r="N11" i="5" s="1"/>
  <c r="M14" i="4"/>
  <c r="L14" i="4"/>
  <c r="L11" i="5" s="1"/>
  <c r="L9" i="5" s="1"/>
  <c r="K14" i="4"/>
  <c r="K11" i="5" s="1"/>
  <c r="K9" i="5" s="1"/>
  <c r="J14" i="4"/>
  <c r="J11" i="5" s="1"/>
  <c r="I14" i="4"/>
  <c r="I11" i="5" s="1"/>
  <c r="H14" i="4"/>
  <c r="H11" i="5" s="1"/>
  <c r="G14" i="4"/>
  <c r="F14" i="4"/>
  <c r="F11" i="5" s="1"/>
  <c r="E14" i="4"/>
  <c r="Q11" i="4"/>
  <c r="P11" i="4"/>
  <c r="O11" i="4"/>
  <c r="N11" i="4"/>
  <c r="M11" i="4"/>
  <c r="L11" i="4"/>
  <c r="K11" i="4"/>
  <c r="J11" i="4"/>
  <c r="I11" i="4"/>
  <c r="H11" i="4"/>
  <c r="G11" i="4"/>
  <c r="F11" i="4"/>
  <c r="L853" i="5" l="1"/>
  <c r="L852" i="5" s="1"/>
  <c r="Q684" i="5"/>
  <c r="Q683" i="5" s="1"/>
  <c r="M741" i="5"/>
  <c r="M740" i="5" s="1"/>
  <c r="J181" i="5"/>
  <c r="K294" i="5"/>
  <c r="K290" i="5" s="1"/>
  <c r="K289" i="5" s="1"/>
  <c r="I308" i="5"/>
  <c r="Q308" i="5"/>
  <c r="M476" i="5"/>
  <c r="J533" i="5"/>
  <c r="N589" i="5"/>
  <c r="G646" i="5"/>
  <c r="M632" i="5"/>
  <c r="E687" i="5"/>
  <c r="F742" i="5"/>
  <c r="I759" i="5"/>
  <c r="J815" i="5"/>
  <c r="L801" i="5"/>
  <c r="F871" i="5"/>
  <c r="Q857" i="5"/>
  <c r="I65" i="5"/>
  <c r="I70" i="5"/>
  <c r="J718" i="4"/>
  <c r="J744" i="5"/>
  <c r="J742" i="5" s="1"/>
  <c r="J741" i="5" s="1"/>
  <c r="J740" i="5" s="1"/>
  <c r="M177" i="5"/>
  <c r="M176" i="5" s="1"/>
  <c r="M238" i="5"/>
  <c r="O346" i="5"/>
  <c r="O345" i="5" s="1"/>
  <c r="K445" i="4"/>
  <c r="N458" i="5"/>
  <c r="N457" i="5" s="1"/>
  <c r="P571" i="5"/>
  <c r="P570" i="5" s="1"/>
  <c r="M609" i="4"/>
  <c r="M772" i="4"/>
  <c r="K195" i="5"/>
  <c r="E215" i="5"/>
  <c r="J308" i="5"/>
  <c r="G420" i="5"/>
  <c r="K533" i="5"/>
  <c r="E553" i="5"/>
  <c r="J589" i="5"/>
  <c r="F688" i="5"/>
  <c r="K798" i="5"/>
  <c r="E835" i="5"/>
  <c r="J857" i="5"/>
  <c r="J853" i="5" s="1"/>
  <c r="J852" i="5" s="1"/>
  <c r="E11" i="4"/>
  <c r="Q9" i="4"/>
  <c r="L177" i="5"/>
  <c r="L176" i="5" s="1"/>
  <c r="J228" i="4"/>
  <c r="E518" i="5"/>
  <c r="G571" i="5"/>
  <c r="G570" i="5" s="1"/>
  <c r="E180" i="5"/>
  <c r="H515" i="5"/>
  <c r="H514" i="5" s="1"/>
  <c r="P515" i="5"/>
  <c r="P514" i="5" s="1"/>
  <c r="Q628" i="5"/>
  <c r="Q627" i="5" s="1"/>
  <c r="N826" i="4"/>
  <c r="L195" i="5"/>
  <c r="E328" i="5"/>
  <c r="O406" i="5"/>
  <c r="H420" i="5"/>
  <c r="P420" i="5"/>
  <c r="G476" i="5"/>
  <c r="O476" i="5"/>
  <c r="L533" i="5"/>
  <c r="E609" i="5"/>
  <c r="O646" i="5"/>
  <c r="M688" i="5"/>
  <c r="Q745" i="5"/>
  <c r="J759" i="5"/>
  <c r="E803" i="5"/>
  <c r="K871" i="5"/>
  <c r="E891" i="5"/>
  <c r="Q65" i="5"/>
  <c r="Q70" i="5"/>
  <c r="L772" i="4"/>
  <c r="L800" i="5"/>
  <c r="L798" i="5" s="1"/>
  <c r="O571" i="5"/>
  <c r="O570" i="5" s="1"/>
  <c r="N336" i="4"/>
  <c r="P458" i="5"/>
  <c r="P457" i="5" s="1"/>
  <c r="Q515" i="5"/>
  <c r="Q514" i="5" s="1"/>
  <c r="G554" i="4"/>
  <c r="O554" i="4"/>
  <c r="N663" i="4"/>
  <c r="I853" i="5"/>
  <c r="I852" i="5" s="1"/>
  <c r="F178" i="5"/>
  <c r="L308" i="5"/>
  <c r="J476" i="5"/>
  <c r="K575" i="5"/>
  <c r="L589" i="5"/>
  <c r="Q646" i="5"/>
  <c r="K702" i="5"/>
  <c r="E747" i="5"/>
  <c r="K759" i="5"/>
  <c r="M815" i="5"/>
  <c r="L871" i="5"/>
  <c r="E666" i="5"/>
  <c r="J177" i="5"/>
  <c r="J176" i="5" s="1"/>
  <c r="E363" i="4"/>
  <c r="L515" i="5"/>
  <c r="L514" i="5" s="1"/>
  <c r="E853" i="4"/>
  <c r="F82" i="5"/>
  <c r="P195" i="5"/>
  <c r="N364" i="5"/>
  <c r="L420" i="5"/>
  <c r="K476" i="5"/>
  <c r="G589" i="5"/>
  <c r="O589" i="5"/>
  <c r="L646" i="5"/>
  <c r="N702" i="5"/>
  <c r="G871" i="5"/>
  <c r="O871" i="5"/>
  <c r="J515" i="5"/>
  <c r="J514" i="5" s="1"/>
  <c r="G815" i="5"/>
  <c r="O815" i="5"/>
  <c r="N871" i="5"/>
  <c r="L65" i="5"/>
  <c r="L70" i="5"/>
  <c r="K238" i="5"/>
  <c r="K282" i="4"/>
  <c r="E472" i="4"/>
  <c r="M515" i="5"/>
  <c r="M514" i="5" s="1"/>
  <c r="K609" i="4"/>
  <c r="N628" i="5"/>
  <c r="N627" i="5" s="1"/>
  <c r="I195" i="5"/>
  <c r="Q195" i="5"/>
  <c r="E359" i="5"/>
  <c r="L476" i="5"/>
  <c r="I533" i="5"/>
  <c r="Q533" i="5"/>
  <c r="H589" i="5"/>
  <c r="P589" i="5"/>
  <c r="G759" i="5"/>
  <c r="O759" i="5"/>
  <c r="P405" i="5"/>
  <c r="H405" i="5"/>
  <c r="H390" i="4"/>
  <c r="P390" i="4"/>
  <c r="E856" i="5"/>
  <c r="N853" i="5"/>
  <c r="N852" i="5" s="1"/>
  <c r="E631" i="5"/>
  <c r="E574" i="5"/>
  <c r="H500" i="4"/>
  <c r="P500" i="4"/>
  <c r="F516" i="5"/>
  <c r="E516" i="5" s="1"/>
  <c r="Q500" i="4"/>
  <c r="I500" i="4"/>
  <c r="L458" i="5"/>
  <c r="L457" i="5" s="1"/>
  <c r="H349" i="5"/>
  <c r="H347" i="5" s="1"/>
  <c r="P349" i="5"/>
  <c r="P347" i="5" s="1"/>
  <c r="M293" i="5"/>
  <c r="M291" i="5" s="1"/>
  <c r="M290" i="5" s="1"/>
  <c r="M289" i="5" s="1"/>
  <c r="G293" i="5"/>
  <c r="O234" i="5"/>
  <c r="O233" i="5" s="1"/>
  <c r="N65" i="5"/>
  <c r="H65" i="5"/>
  <c r="P65" i="5"/>
  <c r="I9" i="4"/>
  <c r="E697" i="5"/>
  <c r="E584" i="5"/>
  <c r="E471" i="5"/>
  <c r="E415" i="5"/>
  <c r="E190" i="5"/>
  <c r="E134" i="5"/>
  <c r="E641" i="5"/>
  <c r="I646" i="5"/>
  <c r="F702" i="5"/>
  <c r="Q853" i="5"/>
  <c r="Q852" i="5" s="1"/>
  <c r="H853" i="5"/>
  <c r="H852" i="5" s="1"/>
  <c r="K853" i="5"/>
  <c r="K852" i="5" s="1"/>
  <c r="E866" i="5"/>
  <c r="O853" i="5"/>
  <c r="O852" i="5" s="1"/>
  <c r="M853" i="5"/>
  <c r="M852" i="5" s="1"/>
  <c r="P853" i="5"/>
  <c r="P852" i="5" s="1"/>
  <c r="K797" i="5"/>
  <c r="K796" i="5" s="1"/>
  <c r="O797" i="5"/>
  <c r="O796" i="5" s="1"/>
  <c r="N797" i="5"/>
  <c r="N796" i="5" s="1"/>
  <c r="P797" i="5"/>
  <c r="P796" i="5" s="1"/>
  <c r="H797" i="5"/>
  <c r="H796" i="5" s="1"/>
  <c r="L797" i="5"/>
  <c r="L796" i="5" s="1"/>
  <c r="K815" i="5"/>
  <c r="E810" i="5"/>
  <c r="E754" i="5"/>
  <c r="K826" i="4"/>
  <c r="H826" i="4"/>
  <c r="P826" i="4"/>
  <c r="F826" i="4"/>
  <c r="O741" i="5"/>
  <c r="O740" i="5" s="1"/>
  <c r="K741" i="5"/>
  <c r="K740" i="5" s="1"/>
  <c r="P741" i="5"/>
  <c r="P740" i="5" s="1"/>
  <c r="H741" i="5"/>
  <c r="H740" i="5" s="1"/>
  <c r="N741" i="5"/>
  <c r="N740" i="5" s="1"/>
  <c r="I684" i="5"/>
  <c r="I683" i="5" s="1"/>
  <c r="L684" i="5"/>
  <c r="L683" i="5" s="1"/>
  <c r="N684" i="5"/>
  <c r="N683" i="5" s="1"/>
  <c r="G684" i="5"/>
  <c r="G683" i="5" s="1"/>
  <c r="F684" i="5"/>
  <c r="F683" i="5" s="1"/>
  <c r="L628" i="5"/>
  <c r="L627" i="5" s="1"/>
  <c r="I628" i="5"/>
  <c r="I627" i="5" s="1"/>
  <c r="J628" i="5"/>
  <c r="J627" i="5" s="1"/>
  <c r="O628" i="5"/>
  <c r="O627" i="5" s="1"/>
  <c r="H628" i="5"/>
  <c r="H627" i="5" s="1"/>
  <c r="P628" i="5"/>
  <c r="P627" i="5" s="1"/>
  <c r="G628" i="5"/>
  <c r="G627" i="5" s="1"/>
  <c r="E528" i="5"/>
  <c r="H571" i="5"/>
  <c r="H570" i="5" s="1"/>
  <c r="J571" i="5"/>
  <c r="J570" i="5" s="1"/>
  <c r="L571" i="5"/>
  <c r="L570" i="5" s="1"/>
  <c r="K515" i="5"/>
  <c r="K514" i="5" s="1"/>
  <c r="O515" i="5"/>
  <c r="O514" i="5" s="1"/>
  <c r="N515" i="5"/>
  <c r="N514" i="5" s="1"/>
  <c r="O458" i="5"/>
  <c r="O457" i="5" s="1"/>
  <c r="I458" i="5"/>
  <c r="I457" i="5" s="1"/>
  <c r="M458" i="5"/>
  <c r="M457" i="5" s="1"/>
  <c r="H458" i="5"/>
  <c r="H457" i="5" s="1"/>
  <c r="Q458" i="5"/>
  <c r="Q457" i="5" s="1"/>
  <c r="H195" i="5"/>
  <c r="E247" i="5"/>
  <c r="E303" i="5"/>
  <c r="O290" i="5"/>
  <c r="O289" i="5" s="1"/>
  <c r="J290" i="5"/>
  <c r="J289" i="5" s="1"/>
  <c r="L290" i="5"/>
  <c r="L289" i="5" s="1"/>
  <c r="N290" i="5"/>
  <c r="N289" i="5" s="1"/>
  <c r="H290" i="5"/>
  <c r="H289" i="5" s="1"/>
  <c r="P290" i="5"/>
  <c r="P289" i="5" s="1"/>
  <c r="O177" i="5"/>
  <c r="O176" i="5" s="1"/>
  <c r="G177" i="5"/>
  <c r="G176" i="5" s="1"/>
  <c r="K234" i="5"/>
  <c r="K233" i="5" s="1"/>
  <c r="G234" i="5"/>
  <c r="G233" i="5" s="1"/>
  <c r="I177" i="5"/>
  <c r="I176" i="5" s="1"/>
  <c r="Q177" i="5"/>
  <c r="Q176" i="5" s="1"/>
  <c r="E77" i="5"/>
  <c r="H718" i="4"/>
  <c r="P718" i="4"/>
  <c r="L718" i="4"/>
  <c r="I663" i="4"/>
  <c r="Q663" i="4"/>
  <c r="P609" i="4"/>
  <c r="P554" i="4"/>
  <c r="N500" i="4"/>
  <c r="Q390" i="4"/>
  <c r="G390" i="4"/>
  <c r="G336" i="4"/>
  <c r="I346" i="5"/>
  <c r="I345" i="5" s="1"/>
  <c r="Q346" i="5"/>
  <c r="Q345" i="5" s="1"/>
  <c r="N346" i="5"/>
  <c r="N345" i="5" s="1"/>
  <c r="H350" i="5"/>
  <c r="H346" i="5" s="1"/>
  <c r="H345" i="5" s="1"/>
  <c r="P350" i="5"/>
  <c r="L346" i="5"/>
  <c r="L345" i="5" s="1"/>
  <c r="J350" i="5"/>
  <c r="M346" i="5"/>
  <c r="M345" i="5" s="1"/>
  <c r="E352" i="5"/>
  <c r="N282" i="4"/>
  <c r="G282" i="4"/>
  <c r="O282" i="4"/>
  <c r="F282" i="4"/>
  <c r="L252" i="5"/>
  <c r="L238" i="5"/>
  <c r="L234" i="5" s="1"/>
  <c r="L233" i="5" s="1"/>
  <c r="J252" i="5"/>
  <c r="K252" i="5"/>
  <c r="Q234" i="5"/>
  <c r="Q233" i="5" s="1"/>
  <c r="H234" i="5"/>
  <c r="H233" i="5" s="1"/>
  <c r="P234" i="5"/>
  <c r="P233" i="5" s="1"/>
  <c r="N238" i="5"/>
  <c r="N234" i="5" s="1"/>
  <c r="N233" i="5" s="1"/>
  <c r="F252" i="5"/>
  <c r="N252" i="5"/>
  <c r="I234" i="5"/>
  <c r="I233" i="5" s="1"/>
  <c r="G252" i="5"/>
  <c r="O252" i="5"/>
  <c r="H252" i="5"/>
  <c r="P252" i="5"/>
  <c r="J238" i="5"/>
  <c r="J234" i="5" s="1"/>
  <c r="J233" i="5" s="1"/>
  <c r="G65" i="5"/>
  <c r="O65" i="5"/>
  <c r="E67" i="5"/>
  <c r="M65" i="5"/>
  <c r="O64" i="4"/>
  <c r="G64" i="4"/>
  <c r="M871" i="5"/>
  <c r="F857" i="5"/>
  <c r="H871" i="5"/>
  <c r="P871" i="5"/>
  <c r="G854" i="5"/>
  <c r="F797" i="5"/>
  <c r="I797" i="5"/>
  <c r="I796" i="5" s="1"/>
  <c r="Q797" i="5"/>
  <c r="Q796" i="5" s="1"/>
  <c r="M797" i="5"/>
  <c r="M796" i="5" s="1"/>
  <c r="J798" i="5"/>
  <c r="J797" i="5" s="1"/>
  <c r="J796" i="5" s="1"/>
  <c r="E799" i="5"/>
  <c r="E801" i="5"/>
  <c r="F815" i="5"/>
  <c r="N815" i="5"/>
  <c r="H815" i="5"/>
  <c r="P815" i="5"/>
  <c r="I815" i="5"/>
  <c r="Q815" i="5"/>
  <c r="Q741" i="5"/>
  <c r="Q740" i="5" s="1"/>
  <c r="L741" i="5"/>
  <c r="L740" i="5" s="1"/>
  <c r="I741" i="5"/>
  <c r="I740" i="5" s="1"/>
  <c r="M759" i="5"/>
  <c r="F745" i="5"/>
  <c r="H759" i="5"/>
  <c r="P759" i="5"/>
  <c r="G742" i="5"/>
  <c r="M684" i="5"/>
  <c r="M683" i="5" s="1"/>
  <c r="H684" i="5"/>
  <c r="H683" i="5" s="1"/>
  <c r="P684" i="5"/>
  <c r="P683" i="5" s="1"/>
  <c r="E686" i="5"/>
  <c r="L702" i="5"/>
  <c r="E685" i="5"/>
  <c r="G702" i="5"/>
  <c r="O702" i="5"/>
  <c r="H702" i="5"/>
  <c r="P702" i="5"/>
  <c r="I702" i="5"/>
  <c r="Q702" i="5"/>
  <c r="J688" i="5"/>
  <c r="E688" i="5" s="1"/>
  <c r="F646" i="5"/>
  <c r="N646" i="5"/>
  <c r="M629" i="5"/>
  <c r="M628" i="5" s="1"/>
  <c r="M627" i="5" s="1"/>
  <c r="F632" i="5"/>
  <c r="E632" i="5" s="1"/>
  <c r="E634" i="5"/>
  <c r="H646" i="5"/>
  <c r="P646" i="5"/>
  <c r="N571" i="5"/>
  <c r="N570" i="5" s="1"/>
  <c r="I571" i="5"/>
  <c r="I570" i="5" s="1"/>
  <c r="Q571" i="5"/>
  <c r="Q570" i="5" s="1"/>
  <c r="K572" i="5"/>
  <c r="M589" i="5"/>
  <c r="M572" i="5"/>
  <c r="M571" i="5" s="1"/>
  <c r="M570" i="5" s="1"/>
  <c r="F575" i="5"/>
  <c r="E577" i="5"/>
  <c r="I589" i="5"/>
  <c r="Q589" i="5"/>
  <c r="I515" i="5"/>
  <c r="I514" i="5" s="1"/>
  <c r="G515" i="5"/>
  <c r="G514" i="5" s="1"/>
  <c r="M533" i="5"/>
  <c r="F519" i="5"/>
  <c r="H533" i="5"/>
  <c r="P533" i="5"/>
  <c r="K458" i="5"/>
  <c r="K457" i="5" s="1"/>
  <c r="J459" i="5"/>
  <c r="J458" i="5" s="1"/>
  <c r="J457" i="5" s="1"/>
  <c r="E460" i="5"/>
  <c r="F476" i="5"/>
  <c r="N476" i="5"/>
  <c r="F462" i="5"/>
  <c r="F458" i="5" s="1"/>
  <c r="G462" i="5"/>
  <c r="G458" i="5" s="1"/>
  <c r="G457" i="5" s="1"/>
  <c r="E461" i="5"/>
  <c r="M420" i="5"/>
  <c r="F406" i="5"/>
  <c r="E408" i="5"/>
  <c r="I420" i="5"/>
  <c r="Q420" i="5"/>
  <c r="J346" i="5"/>
  <c r="J345" i="5" s="1"/>
  <c r="K347" i="5"/>
  <c r="K346" i="5" s="1"/>
  <c r="K345" i="5" s="1"/>
  <c r="M364" i="5"/>
  <c r="F350" i="5"/>
  <c r="G364" i="5"/>
  <c r="O364" i="5"/>
  <c r="F347" i="5"/>
  <c r="G350" i="5"/>
  <c r="I364" i="5"/>
  <c r="Q364" i="5"/>
  <c r="I290" i="5"/>
  <c r="I289" i="5" s="1"/>
  <c r="Q290" i="5"/>
  <c r="Q289" i="5" s="1"/>
  <c r="M308" i="5"/>
  <c r="F308" i="5"/>
  <c r="N308" i="5"/>
  <c r="F294" i="5"/>
  <c r="G308" i="5"/>
  <c r="O308" i="5"/>
  <c r="H308" i="5"/>
  <c r="P308" i="5"/>
  <c r="M234" i="5"/>
  <c r="M233" i="5" s="1"/>
  <c r="M252" i="5"/>
  <c r="E235" i="5"/>
  <c r="F238" i="5"/>
  <c r="E240" i="5"/>
  <c r="E237" i="5"/>
  <c r="I252" i="5"/>
  <c r="Q252" i="5"/>
  <c r="E178" i="5"/>
  <c r="H177" i="5"/>
  <c r="H176" i="5" s="1"/>
  <c r="P177" i="5"/>
  <c r="P176" i="5" s="1"/>
  <c r="N177" i="5"/>
  <c r="N176" i="5" s="1"/>
  <c r="M195" i="5"/>
  <c r="F181" i="5"/>
  <c r="G195" i="5"/>
  <c r="O195" i="5"/>
  <c r="K177" i="5"/>
  <c r="K176" i="5" s="1"/>
  <c r="E123" i="5"/>
  <c r="F122" i="5"/>
  <c r="K65" i="5"/>
  <c r="F65" i="5"/>
  <c r="E46" i="5"/>
  <c r="E13" i="5"/>
  <c r="E10" i="5"/>
  <c r="E21" i="5"/>
  <c r="I9" i="5"/>
  <c r="Q9" i="5"/>
  <c r="G228" i="4"/>
  <c r="K554" i="4"/>
  <c r="H609" i="4"/>
  <c r="E691" i="4"/>
  <c r="E690" i="4" s="1"/>
  <c r="G173" i="4"/>
  <c r="M228" i="4"/>
  <c r="M445" i="4"/>
  <c r="H445" i="4"/>
  <c r="P445" i="4"/>
  <c r="I554" i="4"/>
  <c r="Q554" i="4"/>
  <c r="P64" i="4"/>
  <c r="F228" i="4"/>
  <c r="N228" i="4"/>
  <c r="M282" i="4"/>
  <c r="G609" i="4"/>
  <c r="O609" i="4"/>
  <c r="K718" i="4"/>
  <c r="H772" i="4"/>
  <c r="P772" i="4"/>
  <c r="M826" i="4"/>
  <c r="E392" i="4"/>
  <c r="L139" i="5"/>
  <c r="F500" i="4"/>
  <c r="E799" i="4"/>
  <c r="K390" i="4"/>
  <c r="J282" i="4"/>
  <c r="L390" i="4"/>
  <c r="I228" i="4"/>
  <c r="E256" i="4"/>
  <c r="E255" i="4" s="1"/>
  <c r="H282" i="4"/>
  <c r="P282" i="4"/>
  <c r="L336" i="4"/>
  <c r="E720" i="4"/>
  <c r="N718" i="4"/>
  <c r="F390" i="4"/>
  <c r="J390" i="4"/>
  <c r="E403" i="4"/>
  <c r="M390" i="4"/>
  <c r="I390" i="4"/>
  <c r="O228" i="4"/>
  <c r="O336" i="4"/>
  <c r="O445" i="4"/>
  <c r="E513" i="4"/>
  <c r="E567" i="4"/>
  <c r="E676" i="4"/>
  <c r="O826" i="4"/>
  <c r="H122" i="5"/>
  <c r="P122" i="5"/>
  <c r="E338" i="4"/>
  <c r="I336" i="4"/>
  <c r="E447" i="4"/>
  <c r="L500" i="4"/>
  <c r="K500" i="4"/>
  <c r="J609" i="4"/>
  <c r="E636" i="4"/>
  <c r="E746" i="4"/>
  <c r="E745" i="4" s="1"/>
  <c r="O772" i="4"/>
  <c r="F663" i="4"/>
  <c r="K119" i="4"/>
  <c r="N139" i="5"/>
  <c r="J173" i="4"/>
  <c r="M173" i="4"/>
  <c r="I282" i="4"/>
  <c r="Q282" i="4"/>
  <c r="L282" i="4"/>
  <c r="E349" i="4"/>
  <c r="M500" i="4"/>
  <c r="L554" i="4"/>
  <c r="I718" i="4"/>
  <c r="Q718" i="4"/>
  <c r="E774" i="4"/>
  <c r="N772" i="4"/>
  <c r="I772" i="4"/>
  <c r="Q772" i="4"/>
  <c r="E785" i="4"/>
  <c r="P228" i="4"/>
  <c r="H336" i="4"/>
  <c r="P336" i="4"/>
  <c r="K336" i="4"/>
  <c r="M554" i="4"/>
  <c r="I609" i="4"/>
  <c r="Q609" i="4"/>
  <c r="L609" i="4"/>
  <c r="E665" i="4"/>
  <c r="O663" i="4"/>
  <c r="J663" i="4"/>
  <c r="F718" i="4"/>
  <c r="E731" i="4"/>
  <c r="H125" i="5"/>
  <c r="P125" i="5"/>
  <c r="K122" i="5"/>
  <c r="E295" i="4"/>
  <c r="E502" i="4"/>
  <c r="E622" i="4"/>
  <c r="K663" i="4"/>
  <c r="L826" i="4"/>
  <c r="E839" i="4"/>
  <c r="L122" i="5"/>
  <c r="G445" i="4"/>
  <c r="E458" i="4"/>
  <c r="J500" i="4"/>
  <c r="J554" i="4"/>
  <c r="L663" i="4"/>
  <c r="G718" i="4"/>
  <c r="O718" i="4"/>
  <c r="G772" i="4"/>
  <c r="G826" i="4"/>
  <c r="M122" i="5"/>
  <c r="E527" i="4"/>
  <c r="N609" i="4"/>
  <c r="K772" i="4"/>
  <c r="I826" i="4"/>
  <c r="Q826" i="4"/>
  <c r="J826" i="4"/>
  <c r="E828" i="4"/>
  <c r="F772" i="4"/>
  <c r="J772" i="4"/>
  <c r="G663" i="4"/>
  <c r="F609" i="4"/>
  <c r="E611" i="4"/>
  <c r="N554" i="4"/>
  <c r="H554" i="4"/>
  <c r="F554" i="4"/>
  <c r="E556" i="4"/>
  <c r="G500" i="4"/>
  <c r="O500" i="4"/>
  <c r="I445" i="4"/>
  <c r="Q445" i="4"/>
  <c r="J445" i="4"/>
  <c r="F336" i="4"/>
  <c r="Q336" i="4"/>
  <c r="J336" i="4"/>
  <c r="E284" i="4"/>
  <c r="L9" i="4"/>
  <c r="I64" i="4"/>
  <c r="Q64" i="4"/>
  <c r="K173" i="4"/>
  <c r="I119" i="4"/>
  <c r="Q119" i="4"/>
  <c r="M125" i="5"/>
  <c r="E147" i="4"/>
  <c r="E146" i="4" s="1"/>
  <c r="E92" i="4"/>
  <c r="E91" i="4" s="1"/>
  <c r="H9" i="4"/>
  <c r="P9" i="4"/>
  <c r="E201" i="4"/>
  <c r="E200" i="4" s="1"/>
  <c r="E132" i="4"/>
  <c r="J64" i="4"/>
  <c r="G122" i="5"/>
  <c r="O122" i="5"/>
  <c r="J119" i="4"/>
  <c r="E230" i="4"/>
  <c r="K228" i="4"/>
  <c r="E77" i="4"/>
  <c r="H119" i="4"/>
  <c r="P119" i="4"/>
  <c r="K125" i="5"/>
  <c r="N122" i="5"/>
  <c r="H173" i="4"/>
  <c r="P173" i="4"/>
  <c r="E186" i="4"/>
  <c r="L228" i="4"/>
  <c r="E241" i="4"/>
  <c r="L119" i="4"/>
  <c r="H64" i="4"/>
  <c r="N119" i="4"/>
  <c r="I122" i="5"/>
  <c r="Q122" i="5"/>
  <c r="E37" i="4"/>
  <c r="E36" i="4" s="1"/>
  <c r="K64" i="4"/>
  <c r="L173" i="4"/>
  <c r="Q228" i="4"/>
  <c r="M64" i="4"/>
  <c r="O173" i="4"/>
  <c r="I12" i="5"/>
  <c r="Q12" i="5"/>
  <c r="E66" i="4"/>
  <c r="E121" i="4"/>
  <c r="I125" i="5"/>
  <c r="Q125" i="5"/>
  <c r="E175" i="4"/>
  <c r="H228" i="4"/>
  <c r="F173" i="4"/>
  <c r="N173" i="4"/>
  <c r="I173" i="4"/>
  <c r="Q173" i="4"/>
  <c r="G125" i="5"/>
  <c r="F119" i="4"/>
  <c r="O125" i="5"/>
  <c r="G119" i="4"/>
  <c r="O119" i="4"/>
  <c r="L64" i="4"/>
  <c r="N64" i="4"/>
  <c r="F64" i="4"/>
  <c r="I26" i="5"/>
  <c r="Q26" i="5"/>
  <c r="K12" i="5"/>
  <c r="K8" i="5" s="1"/>
  <c r="K7" i="5" s="1"/>
  <c r="J9" i="4"/>
  <c r="M9" i="4"/>
  <c r="J9" i="5"/>
  <c r="K9" i="4"/>
  <c r="K26" i="5"/>
  <c r="G9" i="4"/>
  <c r="E22" i="4"/>
  <c r="G12" i="5"/>
  <c r="O12" i="5"/>
  <c r="O9" i="4"/>
  <c r="N9" i="5"/>
  <c r="M26" i="5"/>
  <c r="H12" i="5"/>
  <c r="P12" i="5"/>
  <c r="F12" i="5"/>
  <c r="F26" i="5"/>
  <c r="N26" i="5"/>
  <c r="N12" i="5"/>
  <c r="H9" i="5"/>
  <c r="P9" i="5"/>
  <c r="J12" i="5"/>
  <c r="L14" i="5"/>
  <c r="L12" i="5" s="1"/>
  <c r="L8" i="5" s="1"/>
  <c r="L7" i="5" s="1"/>
  <c r="G26" i="5"/>
  <c r="O26" i="5"/>
  <c r="F9" i="5"/>
  <c r="H26" i="5"/>
  <c r="P26" i="5"/>
  <c r="M11" i="5"/>
  <c r="M9" i="5" s="1"/>
  <c r="M8" i="5" s="1"/>
  <c r="M7" i="5" s="1"/>
  <c r="J26" i="5"/>
  <c r="G11" i="5"/>
  <c r="O11" i="5"/>
  <c r="O9" i="5" s="1"/>
  <c r="F9" i="4"/>
  <c r="N9" i="4"/>
  <c r="E349" i="5" l="1"/>
  <c r="E744" i="5"/>
  <c r="K571" i="5"/>
  <c r="K570" i="5" s="1"/>
  <c r="E800" i="5"/>
  <c r="D167" i="10"/>
  <c r="D157" i="10"/>
  <c r="D168" i="10" s="1"/>
  <c r="P346" i="5"/>
  <c r="P345" i="5" s="1"/>
  <c r="E293" i="5"/>
  <c r="G291" i="5"/>
  <c r="E414" i="5"/>
  <c r="E865" i="5"/>
  <c r="E834" i="4"/>
  <c r="E753" i="5"/>
  <c r="E696" i="5"/>
  <c r="E629" i="5"/>
  <c r="E589" i="5"/>
  <c r="E527" i="5"/>
  <c r="E476" i="5"/>
  <c r="E189" i="5"/>
  <c r="E195" i="5"/>
  <c r="E718" i="4"/>
  <c r="E398" i="4"/>
  <c r="E358" i="5"/>
  <c r="E282" i="4"/>
  <c r="E252" i="5"/>
  <c r="O121" i="5"/>
  <c r="O120" i="5" s="1"/>
  <c r="G121" i="5"/>
  <c r="G120" i="5" s="1"/>
  <c r="K121" i="5"/>
  <c r="K120" i="5" s="1"/>
  <c r="G139" i="5"/>
  <c r="Q139" i="5"/>
  <c r="J139" i="5"/>
  <c r="J125" i="5"/>
  <c r="J121" i="5" s="1"/>
  <c r="J120" i="5" s="1"/>
  <c r="I139" i="5"/>
  <c r="E124" i="5"/>
  <c r="P139" i="5"/>
  <c r="Q121" i="5"/>
  <c r="Q120" i="5" s="1"/>
  <c r="H139" i="5"/>
  <c r="I121" i="5"/>
  <c r="I120" i="5" s="1"/>
  <c r="M121" i="5"/>
  <c r="M120" i="5" s="1"/>
  <c r="K139" i="5"/>
  <c r="L125" i="5"/>
  <c r="L121" i="5" s="1"/>
  <c r="L120" i="5" s="1"/>
  <c r="P121" i="5"/>
  <c r="P120" i="5" s="1"/>
  <c r="O139" i="5"/>
  <c r="N125" i="5"/>
  <c r="N121" i="5" s="1"/>
  <c r="N120" i="5" s="1"/>
  <c r="M139" i="5"/>
  <c r="E127" i="5"/>
  <c r="F139" i="5"/>
  <c r="F125" i="5"/>
  <c r="F121" i="5" s="1"/>
  <c r="Q8" i="5"/>
  <c r="Q7" i="5" s="1"/>
  <c r="I8" i="5"/>
  <c r="I7" i="5" s="1"/>
  <c r="F853" i="5"/>
  <c r="E857" i="5"/>
  <c r="E871" i="5"/>
  <c r="G853" i="5"/>
  <c r="G852" i="5" s="1"/>
  <c r="E854" i="5"/>
  <c r="E815" i="5"/>
  <c r="E809" i="5"/>
  <c r="E798" i="5"/>
  <c r="E797" i="5"/>
  <c r="F796" i="5"/>
  <c r="E796" i="5" s="1"/>
  <c r="E742" i="5"/>
  <c r="G741" i="5"/>
  <c r="G740" i="5" s="1"/>
  <c r="E759" i="5"/>
  <c r="F741" i="5"/>
  <c r="E745" i="5"/>
  <c r="E702" i="5"/>
  <c r="J684" i="5"/>
  <c r="E640" i="5"/>
  <c r="E646" i="5"/>
  <c r="F628" i="5"/>
  <c r="E583" i="5"/>
  <c r="E575" i="5"/>
  <c r="F571" i="5"/>
  <c r="E572" i="5"/>
  <c r="E533" i="5"/>
  <c r="F515" i="5"/>
  <c r="E519" i="5"/>
  <c r="E458" i="5"/>
  <c r="F457" i="5"/>
  <c r="E457" i="5" s="1"/>
  <c r="E459" i="5"/>
  <c r="E470" i="5"/>
  <c r="E462" i="5"/>
  <c r="E406" i="5"/>
  <c r="E420" i="5"/>
  <c r="E350" i="5"/>
  <c r="F346" i="5"/>
  <c r="E347" i="5"/>
  <c r="E364" i="5"/>
  <c r="G346" i="5"/>
  <c r="G345" i="5" s="1"/>
  <c r="E302" i="5"/>
  <c r="E308" i="5"/>
  <c r="E294" i="5"/>
  <c r="F290" i="5"/>
  <c r="E238" i="5"/>
  <c r="E246" i="5"/>
  <c r="F234" i="5"/>
  <c r="F177" i="5"/>
  <c r="E181" i="5"/>
  <c r="E122" i="5"/>
  <c r="H121" i="5"/>
  <c r="H120" i="5" s="1"/>
  <c r="E65" i="5"/>
  <c r="E290" i="4"/>
  <c r="E390" i="4"/>
  <c r="E127" i="4"/>
  <c r="E726" i="4"/>
  <c r="E835" i="4"/>
  <c r="E399" i="4"/>
  <c r="E236" i="4"/>
  <c r="E344" i="4"/>
  <c r="E727" i="4"/>
  <c r="E453" i="4"/>
  <c r="O8" i="5"/>
  <c r="O7" i="5" s="1"/>
  <c r="E228" i="4"/>
  <c r="E780" i="4"/>
  <c r="E562" i="4"/>
  <c r="E345" i="4"/>
  <c r="E454" i="4"/>
  <c r="E671" i="4"/>
  <c r="E73" i="4"/>
  <c r="E509" i="4"/>
  <c r="E663" i="4"/>
  <c r="E291" i="4"/>
  <c r="E609" i="4"/>
  <c r="E826" i="4"/>
  <c r="E336" i="4"/>
  <c r="E181" i="4"/>
  <c r="E508" i="4"/>
  <c r="E563" i="4"/>
  <c r="E618" i="4"/>
  <c r="E672" i="4"/>
  <c r="E11" i="5"/>
  <c r="E445" i="4"/>
  <c r="E617" i="4"/>
  <c r="E781" i="4"/>
  <c r="E772" i="4"/>
  <c r="E554" i="4"/>
  <c r="E500" i="4"/>
  <c r="E237" i="4"/>
  <c r="E128" i="4"/>
  <c r="E182" i="4"/>
  <c r="N8" i="5"/>
  <c r="N7" i="5" s="1"/>
  <c r="E64" i="4"/>
  <c r="E12" i="5"/>
  <c r="J8" i="5"/>
  <c r="J7" i="5" s="1"/>
  <c r="E72" i="4"/>
  <c r="E173" i="4"/>
  <c r="E119" i="4"/>
  <c r="E9" i="4"/>
  <c r="E17" i="4"/>
  <c r="E16" i="4" s="1"/>
  <c r="P8" i="5"/>
  <c r="P7" i="5" s="1"/>
  <c r="H8" i="5"/>
  <c r="H7" i="5" s="1"/>
  <c r="E14" i="5"/>
  <c r="L26" i="5"/>
  <c r="E20" i="5" s="1"/>
  <c r="F8" i="5"/>
  <c r="G9" i="5"/>
  <c r="G8" i="5" s="1"/>
  <c r="G7" i="5" s="1"/>
  <c r="E18" i="4"/>
  <c r="G290" i="5" l="1"/>
  <c r="G289" i="5" s="1"/>
  <c r="E291" i="5"/>
  <c r="E833" i="4"/>
  <c r="H833" i="4" s="1"/>
  <c r="E779" i="4"/>
  <c r="F779" i="4" s="1"/>
  <c r="J683" i="5"/>
  <c r="E683" i="5" s="1"/>
  <c r="E684" i="5"/>
  <c r="E139" i="5"/>
  <c r="E725" i="4"/>
  <c r="N725" i="4" s="1"/>
  <c r="E670" i="4"/>
  <c r="G670" i="4" s="1"/>
  <c r="E616" i="4"/>
  <c r="G616" i="4" s="1"/>
  <c r="E561" i="4"/>
  <c r="N561" i="4" s="1"/>
  <c r="E452" i="4"/>
  <c r="H452" i="4" s="1"/>
  <c r="E397" i="4"/>
  <c r="O397" i="4" s="1"/>
  <c r="E343" i="4"/>
  <c r="P343" i="4" s="1"/>
  <c r="E289" i="4"/>
  <c r="L289" i="4" s="1"/>
  <c r="E235" i="4"/>
  <c r="G235" i="4" s="1"/>
  <c r="E180" i="4"/>
  <c r="H180" i="4" s="1"/>
  <c r="H172" i="4" s="1"/>
  <c r="E125" i="5"/>
  <c r="E126" i="4"/>
  <c r="G126" i="4" s="1"/>
  <c r="E133" i="5"/>
  <c r="E71" i="4"/>
  <c r="K71" i="4" s="1"/>
  <c r="K863" i="5"/>
  <c r="K862" i="5" s="1"/>
  <c r="O807" i="5"/>
  <c r="O806" i="5" s="1"/>
  <c r="G807" i="5"/>
  <c r="G806" i="5" s="1"/>
  <c r="K751" i="5"/>
  <c r="K750" i="5" s="1"/>
  <c r="N694" i="5"/>
  <c r="N693" i="5" s="1"/>
  <c r="F694" i="5"/>
  <c r="Q638" i="5"/>
  <c r="Q637" i="5" s="1"/>
  <c r="I638" i="5"/>
  <c r="I637" i="5" s="1"/>
  <c r="L581" i="5"/>
  <c r="L580" i="5" s="1"/>
  <c r="L525" i="5"/>
  <c r="L524" i="5" s="1"/>
  <c r="Q468" i="5"/>
  <c r="Q467" i="5" s="1"/>
  <c r="I468" i="5"/>
  <c r="I467" i="5" s="1"/>
  <c r="J412" i="5"/>
  <c r="J411" i="5" s="1"/>
  <c r="Q356" i="5"/>
  <c r="Q355" i="5" s="1"/>
  <c r="I356" i="5"/>
  <c r="I355" i="5" s="1"/>
  <c r="O300" i="5"/>
  <c r="O299" i="5" s="1"/>
  <c r="G300" i="5"/>
  <c r="Q244" i="5"/>
  <c r="Q243" i="5" s="1"/>
  <c r="I244" i="5"/>
  <c r="I243" i="5" s="1"/>
  <c r="J187" i="5"/>
  <c r="J186" i="5" s="1"/>
  <c r="K131" i="5"/>
  <c r="K130" i="5" s="1"/>
  <c r="M74" i="5"/>
  <c r="M863" i="5"/>
  <c r="M862" i="5" s="1"/>
  <c r="N525" i="5"/>
  <c r="N524" i="5" s="1"/>
  <c r="K244" i="5"/>
  <c r="K243" i="5" s="1"/>
  <c r="J863" i="5"/>
  <c r="J862" i="5" s="1"/>
  <c r="N807" i="5"/>
  <c r="N806" i="5" s="1"/>
  <c r="F807" i="5"/>
  <c r="F806" i="5" s="1"/>
  <c r="J751" i="5"/>
  <c r="J750" i="5" s="1"/>
  <c r="M694" i="5"/>
  <c r="M693" i="5" s="1"/>
  <c r="P638" i="5"/>
  <c r="P637" i="5" s="1"/>
  <c r="H638" i="5"/>
  <c r="H637" i="5" s="1"/>
  <c r="K581" i="5"/>
  <c r="K580" i="5" s="1"/>
  <c r="K525" i="5"/>
  <c r="K524" i="5" s="1"/>
  <c r="P468" i="5"/>
  <c r="P467" i="5" s="1"/>
  <c r="H468" i="5"/>
  <c r="Q412" i="5"/>
  <c r="Q411" i="5" s="1"/>
  <c r="I412" i="5"/>
  <c r="I411" i="5" s="1"/>
  <c r="P356" i="5"/>
  <c r="P355" i="5" s="1"/>
  <c r="H356" i="5"/>
  <c r="H355" i="5" s="1"/>
  <c r="N300" i="5"/>
  <c r="N299" i="5" s="1"/>
  <c r="F300" i="5"/>
  <c r="F299" i="5" s="1"/>
  <c r="P244" i="5"/>
  <c r="P243" i="5" s="1"/>
  <c r="H244" i="5"/>
  <c r="H243" i="5" s="1"/>
  <c r="Q187" i="5"/>
  <c r="Q186" i="5" s="1"/>
  <c r="I187" i="5"/>
  <c r="I186" i="5" s="1"/>
  <c r="J131" i="5"/>
  <c r="J130" i="5" s="1"/>
  <c r="L74" i="5"/>
  <c r="K638" i="5"/>
  <c r="K637" i="5" s="1"/>
  <c r="N581" i="5"/>
  <c r="N580" i="5" s="1"/>
  <c r="Q300" i="5"/>
  <c r="Q299" i="5" s="1"/>
  <c r="Q863" i="5"/>
  <c r="Q862" i="5" s="1"/>
  <c r="I863" i="5"/>
  <c r="I862" i="5" s="1"/>
  <c r="M807" i="5"/>
  <c r="M806" i="5" s="1"/>
  <c r="Q751" i="5"/>
  <c r="Q750" i="5" s="1"/>
  <c r="I751" i="5"/>
  <c r="I750" i="5" s="1"/>
  <c r="L694" i="5"/>
  <c r="L693" i="5" s="1"/>
  <c r="O638" i="5"/>
  <c r="O637" i="5" s="1"/>
  <c r="G638" i="5"/>
  <c r="G637" i="5" s="1"/>
  <c r="J581" i="5"/>
  <c r="J580" i="5" s="1"/>
  <c r="J525" i="5"/>
  <c r="J524" i="5" s="1"/>
  <c r="O468" i="5"/>
  <c r="O467" i="5" s="1"/>
  <c r="G468" i="5"/>
  <c r="G467" i="5" s="1"/>
  <c r="P412" i="5"/>
  <c r="P411" i="5" s="1"/>
  <c r="H412" i="5"/>
  <c r="H411" i="5" s="1"/>
  <c r="O356" i="5"/>
  <c r="O355" i="5" s="1"/>
  <c r="G356" i="5"/>
  <c r="M300" i="5"/>
  <c r="M299" i="5" s="1"/>
  <c r="O244" i="5"/>
  <c r="O243" i="5" s="1"/>
  <c r="G244" i="5"/>
  <c r="P187" i="5"/>
  <c r="P186" i="5" s="1"/>
  <c r="H187" i="5"/>
  <c r="H186" i="5" s="1"/>
  <c r="Q131" i="5"/>
  <c r="Q130" i="5" s="1"/>
  <c r="I131" i="5"/>
  <c r="I130" i="5" s="1"/>
  <c r="K74" i="5"/>
  <c r="I807" i="5"/>
  <c r="I806" i="5" s="1"/>
  <c r="M751" i="5"/>
  <c r="M750" i="5" s="1"/>
  <c r="L412" i="5"/>
  <c r="L411" i="5" s="1"/>
  <c r="I300" i="5"/>
  <c r="I299" i="5" s="1"/>
  <c r="P863" i="5"/>
  <c r="P862" i="5" s="1"/>
  <c r="H863" i="5"/>
  <c r="H862" i="5" s="1"/>
  <c r="L807" i="5"/>
  <c r="L806" i="5" s="1"/>
  <c r="P751" i="5"/>
  <c r="P750" i="5" s="1"/>
  <c r="H751" i="5"/>
  <c r="H750" i="5" s="1"/>
  <c r="K694" i="5"/>
  <c r="K693" i="5" s="1"/>
  <c r="N638" i="5"/>
  <c r="N637" i="5" s="1"/>
  <c r="F638" i="5"/>
  <c r="Q581" i="5"/>
  <c r="Q580" i="5" s="1"/>
  <c r="I581" i="5"/>
  <c r="I580" i="5" s="1"/>
  <c r="Q525" i="5"/>
  <c r="Q524" i="5" s="1"/>
  <c r="I525" i="5"/>
  <c r="I524" i="5" s="1"/>
  <c r="N468" i="5"/>
  <c r="N467" i="5" s="1"/>
  <c r="F468" i="5"/>
  <c r="F467" i="5" s="1"/>
  <c r="O412" i="5"/>
  <c r="O411" i="5" s="1"/>
  <c r="G412" i="5"/>
  <c r="N356" i="5"/>
  <c r="N355" i="5" s="1"/>
  <c r="F356" i="5"/>
  <c r="F355" i="5" s="1"/>
  <c r="L300" i="5"/>
  <c r="L299" i="5" s="1"/>
  <c r="N244" i="5"/>
  <c r="N243" i="5" s="1"/>
  <c r="F244" i="5"/>
  <c r="F243" i="5" s="1"/>
  <c r="O187" i="5"/>
  <c r="O186" i="5" s="1"/>
  <c r="G187" i="5"/>
  <c r="G186" i="5" s="1"/>
  <c r="P131" i="5"/>
  <c r="P130" i="5" s="1"/>
  <c r="H131" i="5"/>
  <c r="H130" i="5" s="1"/>
  <c r="J74" i="5"/>
  <c r="H694" i="5"/>
  <c r="H693" i="5" s="1"/>
  <c r="M131" i="5"/>
  <c r="M130" i="5" s="1"/>
  <c r="O74" i="5"/>
  <c r="O863" i="5"/>
  <c r="O862" i="5" s="1"/>
  <c r="G863" i="5"/>
  <c r="G862" i="5" s="1"/>
  <c r="K807" i="5"/>
  <c r="K806" i="5" s="1"/>
  <c r="O751" i="5"/>
  <c r="O750" i="5" s="1"/>
  <c r="G751" i="5"/>
  <c r="G750" i="5" s="1"/>
  <c r="J694" i="5"/>
  <c r="J693" i="5" s="1"/>
  <c r="M638" i="5"/>
  <c r="M637" i="5" s="1"/>
  <c r="P581" i="5"/>
  <c r="P580" i="5" s="1"/>
  <c r="H581" i="5"/>
  <c r="H580" i="5" s="1"/>
  <c r="P525" i="5"/>
  <c r="P524" i="5" s="1"/>
  <c r="H525" i="5"/>
  <c r="H524" i="5" s="1"/>
  <c r="M468" i="5"/>
  <c r="M467" i="5" s="1"/>
  <c r="N412" i="5"/>
  <c r="N411" i="5" s="1"/>
  <c r="F412" i="5"/>
  <c r="F411" i="5" s="1"/>
  <c r="M356" i="5"/>
  <c r="M355" i="5" s="1"/>
  <c r="K300" i="5"/>
  <c r="K299" i="5" s="1"/>
  <c r="M244" i="5"/>
  <c r="M243" i="5" s="1"/>
  <c r="N187" i="5"/>
  <c r="N186" i="5" s="1"/>
  <c r="F187" i="5"/>
  <c r="O131" i="5"/>
  <c r="O130" i="5" s="1"/>
  <c r="G131" i="5"/>
  <c r="G130" i="5" s="1"/>
  <c r="Q74" i="5"/>
  <c r="I74" i="5"/>
  <c r="F581" i="5"/>
  <c r="F580" i="5" s="1"/>
  <c r="F525" i="5"/>
  <c r="G74" i="5"/>
  <c r="N863" i="5"/>
  <c r="N862" i="5" s="1"/>
  <c r="F863" i="5"/>
  <c r="J807" i="5"/>
  <c r="J806" i="5" s="1"/>
  <c r="N751" i="5"/>
  <c r="N750" i="5" s="1"/>
  <c r="F751" i="5"/>
  <c r="Q694" i="5"/>
  <c r="Q693" i="5" s="1"/>
  <c r="I694" i="5"/>
  <c r="I693" i="5" s="1"/>
  <c r="L638" i="5"/>
  <c r="L637" i="5" s="1"/>
  <c r="O581" i="5"/>
  <c r="O580" i="5" s="1"/>
  <c r="G581" i="5"/>
  <c r="O525" i="5"/>
  <c r="O524" i="5" s="1"/>
  <c r="G525" i="5"/>
  <c r="G524" i="5" s="1"/>
  <c r="L468" i="5"/>
  <c r="L467" i="5" s="1"/>
  <c r="M412" i="5"/>
  <c r="M411" i="5" s="1"/>
  <c r="L356" i="5"/>
  <c r="L355" i="5" s="1"/>
  <c r="J300" i="5"/>
  <c r="J299" i="5" s="1"/>
  <c r="L244" i="5"/>
  <c r="L243" i="5" s="1"/>
  <c r="M187" i="5"/>
  <c r="M186" i="5" s="1"/>
  <c r="N131" i="5"/>
  <c r="N130" i="5" s="1"/>
  <c r="F131" i="5"/>
  <c r="P74" i="5"/>
  <c r="H74" i="5"/>
  <c r="Q807" i="5"/>
  <c r="Q806" i="5" s="1"/>
  <c r="P694" i="5"/>
  <c r="P693" i="5" s="1"/>
  <c r="K468" i="5"/>
  <c r="K467" i="5" s="1"/>
  <c r="K356" i="5"/>
  <c r="K355" i="5" s="1"/>
  <c r="L187" i="5"/>
  <c r="L186" i="5" s="1"/>
  <c r="L863" i="5"/>
  <c r="L862" i="5" s="1"/>
  <c r="P807" i="5"/>
  <c r="P806" i="5" s="1"/>
  <c r="H807" i="5"/>
  <c r="L751" i="5"/>
  <c r="L750" i="5" s="1"/>
  <c r="O694" i="5"/>
  <c r="O693" i="5" s="1"/>
  <c r="G694" i="5"/>
  <c r="G693" i="5" s="1"/>
  <c r="J638" i="5"/>
  <c r="J637" i="5" s="1"/>
  <c r="M581" i="5"/>
  <c r="M580" i="5" s="1"/>
  <c r="M525" i="5"/>
  <c r="M524" i="5" s="1"/>
  <c r="J468" i="5"/>
  <c r="J467" i="5" s="1"/>
  <c r="K412" i="5"/>
  <c r="K411" i="5" s="1"/>
  <c r="J356" i="5"/>
  <c r="J355" i="5" s="1"/>
  <c r="P300" i="5"/>
  <c r="P299" i="5" s="1"/>
  <c r="H300" i="5"/>
  <c r="H299" i="5" s="1"/>
  <c r="J244" i="5"/>
  <c r="J243" i="5" s="1"/>
  <c r="K187" i="5"/>
  <c r="K186" i="5" s="1"/>
  <c r="L131" i="5"/>
  <c r="L130" i="5" s="1"/>
  <c r="N74" i="5"/>
  <c r="F74" i="5"/>
  <c r="E853" i="5"/>
  <c r="F852" i="5"/>
  <c r="E852" i="5" s="1"/>
  <c r="E741" i="5"/>
  <c r="F740" i="5"/>
  <c r="E740" i="5" s="1"/>
  <c r="E628" i="5"/>
  <c r="F627" i="5"/>
  <c r="E627" i="5" s="1"/>
  <c r="E571" i="5"/>
  <c r="F570" i="5"/>
  <c r="E570" i="5" s="1"/>
  <c r="E515" i="5"/>
  <c r="F514" i="5"/>
  <c r="E514" i="5" s="1"/>
  <c r="E346" i="5"/>
  <c r="F345" i="5"/>
  <c r="E345" i="5" s="1"/>
  <c r="F289" i="5"/>
  <c r="E289" i="5" s="1"/>
  <c r="E234" i="5"/>
  <c r="F233" i="5"/>
  <c r="E233" i="5" s="1"/>
  <c r="E177" i="5"/>
  <c r="F176" i="5"/>
  <c r="E176" i="5" s="1"/>
  <c r="E121" i="5"/>
  <c r="F120" i="5"/>
  <c r="E120" i="5" s="1"/>
  <c r="P670" i="4"/>
  <c r="P662" i="4" s="1"/>
  <c r="J670" i="4"/>
  <c r="J662" i="4" s="1"/>
  <c r="M670" i="4"/>
  <c r="M662" i="4" s="1"/>
  <c r="K670" i="4"/>
  <c r="K662" i="4" s="1"/>
  <c r="N670" i="4"/>
  <c r="N662" i="4" s="1"/>
  <c r="P397" i="4"/>
  <c r="H397" i="4"/>
  <c r="O180" i="4"/>
  <c r="O172" i="4" s="1"/>
  <c r="F180" i="4"/>
  <c r="F191" i="4" s="1"/>
  <c r="N180" i="4"/>
  <c r="N172" i="4" s="1"/>
  <c r="L180" i="4"/>
  <c r="L172" i="4" s="1"/>
  <c r="J180" i="4"/>
  <c r="J172" i="4" s="1"/>
  <c r="E507" i="4"/>
  <c r="E172" i="4"/>
  <c r="P833" i="4"/>
  <c r="G833" i="4"/>
  <c r="J833" i="4"/>
  <c r="N833" i="4"/>
  <c r="F833" i="4"/>
  <c r="M833" i="4"/>
  <c r="K833" i="4"/>
  <c r="L833" i="4"/>
  <c r="E825" i="4"/>
  <c r="Q833" i="4"/>
  <c r="I833" i="4"/>
  <c r="N779" i="4"/>
  <c r="G662" i="4"/>
  <c r="P616" i="4"/>
  <c r="H616" i="4"/>
  <c r="I616" i="4"/>
  <c r="E26" i="5"/>
  <c r="F126" i="4"/>
  <c r="E118" i="4"/>
  <c r="K16" i="4"/>
  <c r="P18" i="5"/>
  <c r="P17" i="5" s="1"/>
  <c r="H18" i="5"/>
  <c r="H17" i="5" s="1"/>
  <c r="O18" i="5"/>
  <c r="O17" i="5" s="1"/>
  <c r="G18" i="5"/>
  <c r="G17" i="5" s="1"/>
  <c r="N18" i="5"/>
  <c r="N17" i="5" s="1"/>
  <c r="F18" i="5"/>
  <c r="M18" i="5"/>
  <c r="M17" i="5" s="1"/>
  <c r="L18" i="5"/>
  <c r="L17" i="5" s="1"/>
  <c r="Q18" i="5"/>
  <c r="Q17" i="5" s="1"/>
  <c r="K18" i="5"/>
  <c r="K17" i="5" s="1"/>
  <c r="I18" i="5"/>
  <c r="I17" i="5" s="1"/>
  <c r="J18" i="5"/>
  <c r="J17" i="5" s="1"/>
  <c r="E8" i="5"/>
  <c r="F7" i="5"/>
  <c r="E7" i="5" s="1"/>
  <c r="E9" i="5"/>
  <c r="M180" i="4" l="1"/>
  <c r="M172" i="4" s="1"/>
  <c r="E771" i="4"/>
  <c r="E662" i="4"/>
  <c r="E290" i="5"/>
  <c r="I779" i="4"/>
  <c r="P180" i="4"/>
  <c r="P172" i="4" s="1"/>
  <c r="L779" i="4"/>
  <c r="Q180" i="4"/>
  <c r="Q172" i="4" s="1"/>
  <c r="H779" i="4"/>
  <c r="I180" i="4"/>
  <c r="I172" i="4" s="1"/>
  <c r="F670" i="4"/>
  <c r="O833" i="4"/>
  <c r="O670" i="4"/>
  <c r="O662" i="4" s="1"/>
  <c r="Q670" i="4"/>
  <c r="Q662" i="4" s="1"/>
  <c r="K616" i="4"/>
  <c r="E608" i="4"/>
  <c r="M616" i="4"/>
  <c r="L616" i="4"/>
  <c r="F616" i="4"/>
  <c r="N616" i="4"/>
  <c r="N608" i="4" s="1"/>
  <c r="O616" i="4"/>
  <c r="O608" i="4" s="1"/>
  <c r="J561" i="4"/>
  <c r="G561" i="4"/>
  <c r="L452" i="4"/>
  <c r="L444" i="4" s="1"/>
  <c r="N452" i="4"/>
  <c r="I452" i="4"/>
  <c r="E389" i="4"/>
  <c r="L397" i="4"/>
  <c r="L389" i="4" s="1"/>
  <c r="M397" i="4"/>
  <c r="F397" i="4"/>
  <c r="J397" i="4"/>
  <c r="F289" i="4"/>
  <c r="K289" i="4"/>
  <c r="K180" i="4"/>
  <c r="K172" i="4" s="1"/>
  <c r="F172" i="4"/>
  <c r="G180" i="4"/>
  <c r="G172" i="4" s="1"/>
  <c r="O126" i="4"/>
  <c r="Q126" i="4"/>
  <c r="H126" i="4"/>
  <c r="H118" i="4" s="1"/>
  <c r="N71" i="4"/>
  <c r="G71" i="4"/>
  <c r="N397" i="4"/>
  <c r="E444" i="4"/>
  <c r="P452" i="4"/>
  <c r="Q235" i="4"/>
  <c r="O71" i="4"/>
  <c r="O63" i="4" s="1"/>
  <c r="Q71" i="4"/>
  <c r="Q63" i="4" s="1"/>
  <c r="M71" i="4"/>
  <c r="O779" i="4"/>
  <c r="Q779" i="4"/>
  <c r="Q771" i="4" s="1"/>
  <c r="G779" i="4"/>
  <c r="J779" i="4"/>
  <c r="P779" i="4"/>
  <c r="K779" i="4"/>
  <c r="K771" i="4" s="1"/>
  <c r="M779" i="4"/>
  <c r="M771" i="4" s="1"/>
  <c r="K725" i="4"/>
  <c r="M725" i="4"/>
  <c r="M717" i="4" s="1"/>
  <c r="H725" i="4"/>
  <c r="O725" i="4"/>
  <c r="O717" i="4" s="1"/>
  <c r="Q725" i="4"/>
  <c r="Q717" i="4" s="1"/>
  <c r="P725" i="4"/>
  <c r="P717" i="4" s="1"/>
  <c r="J725" i="4"/>
  <c r="J717" i="4" s="1"/>
  <c r="L725" i="4"/>
  <c r="L717" i="4" s="1"/>
  <c r="G725" i="4"/>
  <c r="E717" i="4"/>
  <c r="F725" i="4"/>
  <c r="I725" i="4"/>
  <c r="I717" i="4" s="1"/>
  <c r="I670" i="4"/>
  <c r="I662" i="4" s="1"/>
  <c r="H670" i="4"/>
  <c r="H662" i="4" s="1"/>
  <c r="L670" i="4"/>
  <c r="L662" i="4" s="1"/>
  <c r="J616" i="4"/>
  <c r="J608" i="4" s="1"/>
  <c r="Q616" i="4"/>
  <c r="Q608" i="4" s="1"/>
  <c r="L561" i="4"/>
  <c r="L553" i="4" s="1"/>
  <c r="H561" i="4"/>
  <c r="I561" i="4"/>
  <c r="I553" i="4" s="1"/>
  <c r="P561" i="4"/>
  <c r="P553" i="4" s="1"/>
  <c r="E553" i="4"/>
  <c r="M561" i="4"/>
  <c r="Q561" i="4"/>
  <c r="Q553" i="4" s="1"/>
  <c r="F561" i="4"/>
  <c r="F572" i="4" s="1"/>
  <c r="O561" i="4"/>
  <c r="O553" i="4" s="1"/>
  <c r="K561" i="4"/>
  <c r="M452" i="4"/>
  <c r="M444" i="4" s="1"/>
  <c r="J452" i="4"/>
  <c r="G452" i="4"/>
  <c r="F452" i="4"/>
  <c r="F444" i="4" s="1"/>
  <c r="Q452" i="4"/>
  <c r="Q444" i="4" s="1"/>
  <c r="O452" i="4"/>
  <c r="O444" i="4" s="1"/>
  <c r="K452" i="4"/>
  <c r="K397" i="4"/>
  <c r="K389" i="4" s="1"/>
  <c r="I397" i="4"/>
  <c r="I389" i="4" s="1"/>
  <c r="G397" i="4"/>
  <c r="G389" i="4" s="1"/>
  <c r="Q397" i="4"/>
  <c r="Q389" i="4" s="1"/>
  <c r="Q343" i="4"/>
  <c r="Q335" i="4" s="1"/>
  <c r="J343" i="4"/>
  <c r="J335" i="4" s="1"/>
  <c r="L343" i="4"/>
  <c r="L335" i="4" s="1"/>
  <c r="M343" i="4"/>
  <c r="G343" i="4"/>
  <c r="O343" i="4"/>
  <c r="O335" i="4" s="1"/>
  <c r="F343" i="4"/>
  <c r="F354" i="4" s="1"/>
  <c r="I343" i="4"/>
  <c r="I335" i="4" s="1"/>
  <c r="N343" i="4"/>
  <c r="N335" i="4" s="1"/>
  <c r="K343" i="4"/>
  <c r="K335" i="4" s="1"/>
  <c r="H343" i="4"/>
  <c r="H335" i="4" s="1"/>
  <c r="E335" i="4"/>
  <c r="O289" i="4"/>
  <c r="O281" i="4" s="1"/>
  <c r="J289" i="4"/>
  <c r="J281" i="4" s="1"/>
  <c r="H289" i="4"/>
  <c r="H281" i="4" s="1"/>
  <c r="M289" i="4"/>
  <c r="M281" i="4" s="1"/>
  <c r="E281" i="4"/>
  <c r="G289" i="4"/>
  <c r="I289" i="4"/>
  <c r="P289" i="4"/>
  <c r="N289" i="4"/>
  <c r="N281" i="4" s="1"/>
  <c r="Q289" i="4"/>
  <c r="Q281" i="4" s="1"/>
  <c r="M235" i="4"/>
  <c r="M227" i="4" s="1"/>
  <c r="O235" i="4"/>
  <c r="O227" i="4" s="1"/>
  <c r="K235" i="4"/>
  <c r="K227" i="4" s="1"/>
  <c r="E227" i="4"/>
  <c r="P235" i="4"/>
  <c r="P227" i="4" s="1"/>
  <c r="H235" i="4"/>
  <c r="H227" i="4" s="1"/>
  <c r="L235" i="4"/>
  <c r="L227" i="4" s="1"/>
  <c r="I235" i="4"/>
  <c r="I227" i="4" s="1"/>
  <c r="N235" i="4"/>
  <c r="N227" i="4" s="1"/>
  <c r="F235" i="4"/>
  <c r="F227" i="4" s="1"/>
  <c r="J235" i="4"/>
  <c r="J227" i="4" s="1"/>
  <c r="L126" i="4"/>
  <c r="L118" i="4" s="1"/>
  <c r="M126" i="4"/>
  <c r="M118" i="4" s="1"/>
  <c r="I126" i="4"/>
  <c r="I118" i="4" s="1"/>
  <c r="P126" i="4"/>
  <c r="P118" i="4" s="1"/>
  <c r="J126" i="4"/>
  <c r="N126" i="4"/>
  <c r="N118" i="4" s="1"/>
  <c r="K126" i="4"/>
  <c r="K118" i="4" s="1"/>
  <c r="E63" i="4"/>
  <c r="P71" i="4"/>
  <c r="P68" i="5" s="1"/>
  <c r="L71" i="4"/>
  <c r="L82" i="5" s="1"/>
  <c r="H71" i="4"/>
  <c r="H68" i="5" s="1"/>
  <c r="H64" i="5" s="1"/>
  <c r="H63" i="5" s="1"/>
  <c r="I71" i="4"/>
  <c r="I68" i="5" s="1"/>
  <c r="I64" i="5" s="1"/>
  <c r="I63" i="5" s="1"/>
  <c r="F71" i="4"/>
  <c r="E70" i="5" s="1"/>
  <c r="J71" i="4"/>
  <c r="J68" i="5" s="1"/>
  <c r="J64" i="5" s="1"/>
  <c r="J63" i="5" s="1"/>
  <c r="L68" i="5"/>
  <c r="L64" i="5" s="1"/>
  <c r="L63" i="5" s="1"/>
  <c r="Q68" i="5"/>
  <c r="Q64" i="5" s="1"/>
  <c r="Q63" i="5" s="1"/>
  <c r="Q82" i="5"/>
  <c r="N82" i="5"/>
  <c r="N68" i="5"/>
  <c r="N64" i="5" s="1"/>
  <c r="N63" i="5" s="1"/>
  <c r="J82" i="5"/>
  <c r="K68" i="5"/>
  <c r="K64" i="5" s="1"/>
  <c r="K63" i="5" s="1"/>
  <c r="K82" i="5"/>
  <c r="M68" i="5"/>
  <c r="M64" i="5" s="1"/>
  <c r="M63" i="5" s="1"/>
  <c r="M82" i="5"/>
  <c r="O68" i="5"/>
  <c r="O64" i="5" s="1"/>
  <c r="O63" i="5" s="1"/>
  <c r="O82" i="5"/>
  <c r="G68" i="5"/>
  <c r="G64" i="5" s="1"/>
  <c r="G63" i="5" s="1"/>
  <c r="G82" i="5"/>
  <c r="E581" i="5"/>
  <c r="G580" i="5"/>
  <c r="E580" i="5" s="1"/>
  <c r="E569" i="5" s="1"/>
  <c r="E620" i="5" s="1"/>
  <c r="E187" i="5"/>
  <c r="F186" i="5"/>
  <c r="E186" i="5" s="1"/>
  <c r="E175" i="5" s="1"/>
  <c r="E226" i="5" s="1"/>
  <c r="E412" i="5"/>
  <c r="G411" i="5"/>
  <c r="E411" i="5" s="1"/>
  <c r="E638" i="5"/>
  <c r="F637" i="5"/>
  <c r="E637" i="5" s="1"/>
  <c r="E626" i="5" s="1"/>
  <c r="E677" i="5" s="1"/>
  <c r="E694" i="5"/>
  <c r="F693" i="5"/>
  <c r="E693" i="5" s="1"/>
  <c r="E682" i="5" s="1"/>
  <c r="E733" i="5" s="1"/>
  <c r="E525" i="5"/>
  <c r="F524" i="5"/>
  <c r="E524" i="5" s="1"/>
  <c r="E513" i="5" s="1"/>
  <c r="E564" i="5" s="1"/>
  <c r="E468" i="5"/>
  <c r="H467" i="5"/>
  <c r="E467" i="5" s="1"/>
  <c r="E456" i="5" s="1"/>
  <c r="E507" i="5" s="1"/>
  <c r="E74" i="5"/>
  <c r="E807" i="5"/>
  <c r="H806" i="5"/>
  <c r="E806" i="5" s="1"/>
  <c r="E795" i="5" s="1"/>
  <c r="E846" i="5" s="1"/>
  <c r="E751" i="5"/>
  <c r="F750" i="5"/>
  <c r="E750" i="5" s="1"/>
  <c r="E739" i="5" s="1"/>
  <c r="E790" i="5" s="1"/>
  <c r="E356" i="5"/>
  <c r="G355" i="5"/>
  <c r="E355" i="5" s="1"/>
  <c r="E344" i="5" s="1"/>
  <c r="E395" i="5" s="1"/>
  <c r="E244" i="5"/>
  <c r="G243" i="5"/>
  <c r="E243" i="5" s="1"/>
  <c r="E232" i="5" s="1"/>
  <c r="E283" i="5" s="1"/>
  <c r="E131" i="5"/>
  <c r="F130" i="5"/>
  <c r="E130" i="5" s="1"/>
  <c r="E119" i="5" s="1"/>
  <c r="E170" i="5" s="1"/>
  <c r="E300" i="5"/>
  <c r="G299" i="5"/>
  <c r="E299" i="5" s="1"/>
  <c r="E288" i="5" s="1"/>
  <c r="E339" i="5" s="1"/>
  <c r="E863" i="5"/>
  <c r="F862" i="5"/>
  <c r="E862" i="5" s="1"/>
  <c r="E851" i="5" s="1"/>
  <c r="G191" i="4"/>
  <c r="H191" i="4" s="1"/>
  <c r="I191" i="4" s="1"/>
  <c r="J191" i="4" s="1"/>
  <c r="K191" i="4" s="1"/>
  <c r="L191" i="4" s="1"/>
  <c r="M191" i="4" s="1"/>
  <c r="N191" i="4" s="1"/>
  <c r="O191" i="4" s="1"/>
  <c r="P191" i="4" s="1"/>
  <c r="Q191" i="4" s="1"/>
  <c r="N389" i="4"/>
  <c r="O389" i="4"/>
  <c r="J389" i="4"/>
  <c r="H389" i="4"/>
  <c r="F408" i="4"/>
  <c r="F389" i="4"/>
  <c r="M389" i="4"/>
  <c r="P389" i="4"/>
  <c r="G507" i="4"/>
  <c r="G499" i="4" s="1"/>
  <c r="J507" i="4"/>
  <c r="J499" i="4" s="1"/>
  <c r="N507" i="4"/>
  <c r="N499" i="4" s="1"/>
  <c r="F507" i="4"/>
  <c r="K507" i="4"/>
  <c r="K499" i="4" s="1"/>
  <c r="L507" i="4"/>
  <c r="L499" i="4" s="1"/>
  <c r="I507" i="4"/>
  <c r="I499" i="4" s="1"/>
  <c r="O507" i="4"/>
  <c r="O499" i="4" s="1"/>
  <c r="Q507" i="4"/>
  <c r="Q499" i="4" s="1"/>
  <c r="P507" i="4"/>
  <c r="P499" i="4" s="1"/>
  <c r="M507" i="4"/>
  <c r="M499" i="4" s="1"/>
  <c r="H507" i="4"/>
  <c r="H499" i="4" s="1"/>
  <c r="E499" i="4"/>
  <c r="F844" i="4"/>
  <c r="G844" i="4" s="1"/>
  <c r="H844" i="4" s="1"/>
  <c r="I844" i="4" s="1"/>
  <c r="J844" i="4" s="1"/>
  <c r="K844" i="4" s="1"/>
  <c r="L844" i="4" s="1"/>
  <c r="M844" i="4" s="1"/>
  <c r="N844" i="4" s="1"/>
  <c r="O844" i="4" s="1"/>
  <c r="P844" i="4" s="1"/>
  <c r="Q844" i="4" s="1"/>
  <c r="F825" i="4"/>
  <c r="N825" i="4"/>
  <c r="I825" i="4"/>
  <c r="J825" i="4"/>
  <c r="Q825" i="4"/>
  <c r="G825" i="4"/>
  <c r="O825" i="4"/>
  <c r="L825" i="4"/>
  <c r="H825" i="4"/>
  <c r="M825" i="4"/>
  <c r="K825" i="4"/>
  <c r="P825" i="4"/>
  <c r="H771" i="4"/>
  <c r="L771" i="4"/>
  <c r="F790" i="4"/>
  <c r="F771" i="4"/>
  <c r="I771" i="4"/>
  <c r="N771" i="4"/>
  <c r="P771" i="4"/>
  <c r="G771" i="4"/>
  <c r="J771" i="4"/>
  <c r="O771" i="4"/>
  <c r="H717" i="4"/>
  <c r="N717" i="4"/>
  <c r="F736" i="4"/>
  <c r="F717" i="4"/>
  <c r="G717" i="4"/>
  <c r="K717" i="4"/>
  <c r="L608" i="4"/>
  <c r="P608" i="4"/>
  <c r="M608" i="4"/>
  <c r="F627" i="4"/>
  <c r="F608" i="4"/>
  <c r="I608" i="4"/>
  <c r="G608" i="4"/>
  <c r="K608" i="4"/>
  <c r="H608" i="4"/>
  <c r="M553" i="4"/>
  <c r="K553" i="4"/>
  <c r="N553" i="4"/>
  <c r="J553" i="4"/>
  <c r="G553" i="4"/>
  <c r="H553" i="4"/>
  <c r="J444" i="4"/>
  <c r="G444" i="4"/>
  <c r="F463" i="4"/>
  <c r="G463" i="4" s="1"/>
  <c r="H463" i="4" s="1"/>
  <c r="I463" i="4" s="1"/>
  <c r="J463" i="4" s="1"/>
  <c r="I444" i="4"/>
  <c r="N444" i="4"/>
  <c r="K444" i="4"/>
  <c r="H444" i="4"/>
  <c r="P444" i="4"/>
  <c r="M335" i="4"/>
  <c r="G335" i="4"/>
  <c r="P335" i="4"/>
  <c r="F300" i="4"/>
  <c r="G300" i="4" s="1"/>
  <c r="H300" i="4" s="1"/>
  <c r="I300" i="4" s="1"/>
  <c r="J300" i="4" s="1"/>
  <c r="K300" i="4" s="1"/>
  <c r="L300" i="4" s="1"/>
  <c r="M300" i="4" s="1"/>
  <c r="N300" i="4" s="1"/>
  <c r="O300" i="4" s="1"/>
  <c r="P300" i="4" s="1"/>
  <c r="Q300" i="4" s="1"/>
  <c r="F281" i="4"/>
  <c r="L281" i="4"/>
  <c r="G281" i="4"/>
  <c r="K281" i="4"/>
  <c r="I281" i="4"/>
  <c r="P281" i="4"/>
  <c r="P16" i="4"/>
  <c r="P8" i="4" s="1"/>
  <c r="Q16" i="4"/>
  <c r="Q8" i="4" s="1"/>
  <c r="J16" i="4"/>
  <c r="J8" i="4" s="1"/>
  <c r="M16" i="4"/>
  <c r="M8" i="4" s="1"/>
  <c r="F16" i="4"/>
  <c r="F8" i="4" s="1"/>
  <c r="O16" i="4"/>
  <c r="O8" i="4" s="1"/>
  <c r="H16" i="4"/>
  <c r="H8" i="4" s="1"/>
  <c r="I16" i="4"/>
  <c r="I8" i="4" s="1"/>
  <c r="G227" i="4"/>
  <c r="Q227" i="4"/>
  <c r="F137" i="4"/>
  <c r="G137" i="4" s="1"/>
  <c r="H137" i="4" s="1"/>
  <c r="F118" i="4"/>
  <c r="Q118" i="4"/>
  <c r="J118" i="4"/>
  <c r="G118" i="4"/>
  <c r="O118" i="4"/>
  <c r="K63" i="4"/>
  <c r="G63" i="4"/>
  <c r="L63" i="4"/>
  <c r="M63" i="4"/>
  <c r="N63" i="4"/>
  <c r="N16" i="4"/>
  <c r="N8" i="4" s="1"/>
  <c r="E8" i="4"/>
  <c r="G16" i="4"/>
  <c r="L16" i="4"/>
  <c r="L8" i="4" s="1"/>
  <c r="K8" i="4"/>
  <c r="F17" i="5"/>
  <c r="E17" i="5" s="1"/>
  <c r="E6" i="5" s="1"/>
  <c r="E57" i="5" s="1"/>
  <c r="E18" i="5"/>
  <c r="F662" i="4" l="1"/>
  <c r="F681" i="4"/>
  <c r="G681" i="4" s="1"/>
  <c r="H681" i="4" s="1"/>
  <c r="I681" i="4" s="1"/>
  <c r="J681" i="4" s="1"/>
  <c r="K681" i="4" s="1"/>
  <c r="L681" i="4" s="1"/>
  <c r="M681" i="4" s="1"/>
  <c r="N681" i="4" s="1"/>
  <c r="O681" i="4" s="1"/>
  <c r="P681" i="4" s="1"/>
  <c r="Q681" i="4" s="1"/>
  <c r="G572" i="4"/>
  <c r="H572" i="4"/>
  <c r="I572" i="4" s="1"/>
  <c r="J572" i="4" s="1"/>
  <c r="K572" i="4" s="1"/>
  <c r="L572" i="4" s="1"/>
  <c r="M572" i="4" s="1"/>
  <c r="N572" i="4" s="1"/>
  <c r="O572" i="4" s="1"/>
  <c r="P572" i="4" s="1"/>
  <c r="Q572" i="4" s="1"/>
  <c r="E572" i="4" s="1"/>
  <c r="F246" i="4"/>
  <c r="G246" i="4" s="1"/>
  <c r="H246" i="4" s="1"/>
  <c r="I246" i="4" s="1"/>
  <c r="J246" i="4" s="1"/>
  <c r="K246" i="4" s="1"/>
  <c r="L246" i="4" s="1"/>
  <c r="M246" i="4" s="1"/>
  <c r="N246" i="4" s="1"/>
  <c r="O246" i="4" s="1"/>
  <c r="P246" i="4" s="1"/>
  <c r="Q246" i="4" s="1"/>
  <c r="D202" i="10"/>
  <c r="D203" i="10"/>
  <c r="D204" i="10"/>
  <c r="D205" i="10"/>
  <c r="D206" i="10"/>
  <c r="D208" i="10"/>
  <c r="D207" i="10"/>
  <c r="D201" i="10"/>
  <c r="D200" i="10"/>
  <c r="D193" i="10"/>
  <c r="D194" i="10"/>
  <c r="D187" i="10"/>
  <c r="D186" i="10"/>
  <c r="D188" i="10"/>
  <c r="D189" i="10"/>
  <c r="D192" i="10"/>
  <c r="D190" i="10"/>
  <c r="D191" i="10"/>
  <c r="D176" i="10"/>
  <c r="D177" i="10"/>
  <c r="D178" i="10"/>
  <c r="D179" i="10"/>
  <c r="D180" i="10"/>
  <c r="D173" i="10"/>
  <c r="D172" i="10"/>
  <c r="D174" i="10"/>
  <c r="D175" i="10"/>
  <c r="D216" i="10"/>
  <c r="D215" i="10"/>
  <c r="D217" i="10"/>
  <c r="D214" i="10"/>
  <c r="D218" i="10"/>
  <c r="D219" i="10"/>
  <c r="D222" i="10"/>
  <c r="D220" i="10"/>
  <c r="D221" i="10"/>
  <c r="D147" i="10"/>
  <c r="D148" i="10"/>
  <c r="D149" i="10"/>
  <c r="D150" i="10"/>
  <c r="D151" i="10"/>
  <c r="D152" i="10"/>
  <c r="D145" i="10"/>
  <c r="D144" i="10"/>
  <c r="D146" i="10"/>
  <c r="D138" i="10"/>
  <c r="D131" i="10"/>
  <c r="D130" i="10"/>
  <c r="D132" i="10"/>
  <c r="D135" i="10"/>
  <c r="D133" i="10"/>
  <c r="D134" i="10"/>
  <c r="D136" i="10"/>
  <c r="D137" i="10"/>
  <c r="D121" i="10"/>
  <c r="D122" i="10"/>
  <c r="D123" i="10"/>
  <c r="D124" i="10"/>
  <c r="D117" i="10"/>
  <c r="D116" i="10"/>
  <c r="D118" i="10"/>
  <c r="D119" i="10"/>
  <c r="D120" i="10"/>
  <c r="D91" i="10"/>
  <c r="D87" i="10" s="1"/>
  <c r="D89" i="10"/>
  <c r="D92" i="10"/>
  <c r="D97" i="10" s="1"/>
  <c r="D93" i="10"/>
  <c r="D94" i="10"/>
  <c r="D95" i="10"/>
  <c r="D96" i="10"/>
  <c r="D88" i="10"/>
  <c r="D90" i="10"/>
  <c r="D80" i="10"/>
  <c r="D81" i="10"/>
  <c r="D82" i="10"/>
  <c r="D74" i="10"/>
  <c r="D75" i="10"/>
  <c r="D76" i="10"/>
  <c r="D73" i="10" s="1"/>
  <c r="D77" i="10"/>
  <c r="D78" i="10"/>
  <c r="D83" i="10" s="1"/>
  <c r="D79" i="10"/>
  <c r="D63" i="10"/>
  <c r="D69" i="10" s="1"/>
  <c r="D64" i="10"/>
  <c r="D65" i="10"/>
  <c r="D66" i="10"/>
  <c r="D67" i="10"/>
  <c r="D68" i="10"/>
  <c r="D61" i="10"/>
  <c r="D60" i="10"/>
  <c r="D62" i="10"/>
  <c r="D59" i="10" s="1"/>
  <c r="F63" i="4"/>
  <c r="D52" i="10"/>
  <c r="D53" i="10"/>
  <c r="D54" i="10"/>
  <c r="D47" i="10"/>
  <c r="D46" i="10"/>
  <c r="D48" i="10"/>
  <c r="D49" i="10"/>
  <c r="D50" i="10"/>
  <c r="D51" i="10"/>
  <c r="D35" i="10"/>
  <c r="D36" i="10"/>
  <c r="D37" i="10"/>
  <c r="D38" i="10"/>
  <c r="D39" i="10"/>
  <c r="D40" i="10"/>
  <c r="D33" i="10"/>
  <c r="D32" i="10"/>
  <c r="D34" i="10"/>
  <c r="D10" i="10"/>
  <c r="D11" i="10"/>
  <c r="D9" i="10"/>
  <c r="D12" i="10"/>
  <c r="D5" i="10"/>
  <c r="D4" i="10"/>
  <c r="D6" i="10"/>
  <c r="D7" i="10"/>
  <c r="D8" i="10"/>
  <c r="F553" i="4"/>
  <c r="K463" i="4"/>
  <c r="L463" i="4" s="1"/>
  <c r="M463" i="4" s="1"/>
  <c r="N463" i="4" s="1"/>
  <c r="O463" i="4" s="1"/>
  <c r="P463" i="4" s="1"/>
  <c r="Q463" i="4" s="1"/>
  <c r="E457" i="4" s="1"/>
  <c r="E455" i="4" s="1"/>
  <c r="G408" i="4"/>
  <c r="G354" i="4"/>
  <c r="H354" i="4" s="1"/>
  <c r="I354" i="4" s="1"/>
  <c r="J354" i="4" s="1"/>
  <c r="K354" i="4" s="1"/>
  <c r="F335" i="4"/>
  <c r="E185" i="4"/>
  <c r="E183" i="4" s="1"/>
  <c r="E191" i="4"/>
  <c r="I137" i="4"/>
  <c r="J137" i="4" s="1"/>
  <c r="K137" i="4" s="1"/>
  <c r="L137" i="4" s="1"/>
  <c r="M137" i="4" s="1"/>
  <c r="N137" i="4" s="1"/>
  <c r="O137" i="4" s="1"/>
  <c r="P137" i="4" s="1"/>
  <c r="Q137" i="4" s="1"/>
  <c r="L73" i="5"/>
  <c r="F82" i="4"/>
  <c r="G82" i="4" s="1"/>
  <c r="H82" i="4" s="1"/>
  <c r="I82" i="4" s="1"/>
  <c r="J82" i="4" s="1"/>
  <c r="K82" i="4" s="1"/>
  <c r="L82" i="4" s="1"/>
  <c r="M82" i="4" s="1"/>
  <c r="N82" i="4" s="1"/>
  <c r="O82" i="4" s="1"/>
  <c r="P82" i="4" s="1"/>
  <c r="Q82" i="4" s="1"/>
  <c r="P82" i="5"/>
  <c r="P63" i="4"/>
  <c r="F68" i="5"/>
  <c r="P64" i="5"/>
  <c r="P63" i="5" s="1"/>
  <c r="P73" i="5"/>
  <c r="I82" i="5"/>
  <c r="H82" i="5"/>
  <c r="I63" i="4"/>
  <c r="J63" i="4"/>
  <c r="H63" i="4"/>
  <c r="K73" i="5"/>
  <c r="Q73" i="5"/>
  <c r="O73" i="5"/>
  <c r="G73" i="5"/>
  <c r="H73" i="5"/>
  <c r="M73" i="5"/>
  <c r="J73" i="5"/>
  <c r="I73" i="5"/>
  <c r="N73" i="5"/>
  <c r="F27" i="4"/>
  <c r="G27" i="4" s="1"/>
  <c r="H27" i="4" s="1"/>
  <c r="I27" i="4" s="1"/>
  <c r="J27" i="4" s="1"/>
  <c r="K27" i="4" s="1"/>
  <c r="L27" i="4" s="1"/>
  <c r="M27" i="4" s="1"/>
  <c r="N27" i="4" s="1"/>
  <c r="O27" i="4" s="1"/>
  <c r="P27" i="4" s="1"/>
  <c r="Q27" i="4" s="1"/>
  <c r="G8" i="4"/>
  <c r="F518" i="4"/>
  <c r="G518" i="4" s="1"/>
  <c r="H518" i="4" s="1"/>
  <c r="I518" i="4" s="1"/>
  <c r="J518" i="4" s="1"/>
  <c r="K518" i="4" s="1"/>
  <c r="L518" i="4" s="1"/>
  <c r="M518" i="4" s="1"/>
  <c r="N518" i="4" s="1"/>
  <c r="O518" i="4" s="1"/>
  <c r="P518" i="4" s="1"/>
  <c r="Q518" i="4" s="1"/>
  <c r="F499" i="4"/>
  <c r="E844" i="4"/>
  <c r="E838" i="4"/>
  <c r="E836" i="4" s="1"/>
  <c r="G790" i="4"/>
  <c r="H790" i="4" s="1"/>
  <c r="I790" i="4" s="1"/>
  <c r="J790" i="4" s="1"/>
  <c r="K790" i="4" s="1"/>
  <c r="L790" i="4" s="1"/>
  <c r="M790" i="4" s="1"/>
  <c r="N790" i="4" s="1"/>
  <c r="O790" i="4" s="1"/>
  <c r="P790" i="4" s="1"/>
  <c r="Q790" i="4" s="1"/>
  <c r="G736" i="4"/>
  <c r="H736" i="4" s="1"/>
  <c r="I736" i="4" s="1"/>
  <c r="J736" i="4" s="1"/>
  <c r="K736" i="4" s="1"/>
  <c r="L736" i="4" s="1"/>
  <c r="M736" i="4" s="1"/>
  <c r="N736" i="4" s="1"/>
  <c r="O736" i="4" s="1"/>
  <c r="P736" i="4" s="1"/>
  <c r="Q736" i="4" s="1"/>
  <c r="G627" i="4"/>
  <c r="H627" i="4" s="1"/>
  <c r="I627" i="4" s="1"/>
  <c r="J627" i="4" s="1"/>
  <c r="K627" i="4" s="1"/>
  <c r="L627" i="4" s="1"/>
  <c r="M627" i="4" s="1"/>
  <c r="N627" i="4" s="1"/>
  <c r="O627" i="4" s="1"/>
  <c r="P627" i="4" s="1"/>
  <c r="Q627" i="4" s="1"/>
  <c r="E300" i="4"/>
  <c r="E294" i="4"/>
  <c r="E292" i="4" s="1"/>
  <c r="E566" i="4" l="1"/>
  <c r="E564" i="4" s="1"/>
  <c r="D209" i="10"/>
  <c r="D199" i="10"/>
  <c r="D210" i="10" s="1"/>
  <c r="D195" i="10"/>
  <c r="D185" i="10"/>
  <c r="D196" i="10" s="1"/>
  <c r="D171" i="10"/>
  <c r="D182" i="10" s="1"/>
  <c r="D181" i="10"/>
  <c r="D223" i="10"/>
  <c r="D213" i="10"/>
  <c r="D153" i="10"/>
  <c r="D143" i="10"/>
  <c r="D154" i="10" s="1"/>
  <c r="D129" i="10"/>
  <c r="D139" i="10"/>
  <c r="D125" i="10"/>
  <c r="D115" i="10"/>
  <c r="D98" i="10"/>
  <c r="D84" i="10"/>
  <c r="D70" i="10"/>
  <c r="D55" i="10"/>
  <c r="D45" i="10"/>
  <c r="D56" i="10" s="1"/>
  <c r="D31" i="10"/>
  <c r="D42" i="10" s="1"/>
  <c r="D41" i="10"/>
  <c r="D13" i="10"/>
  <c r="D3" i="10"/>
  <c r="F73" i="5"/>
  <c r="E68" i="5"/>
  <c r="E82" i="5"/>
  <c r="E681" i="4"/>
  <c r="E675" i="4"/>
  <c r="E673" i="4" s="1"/>
  <c r="E463" i="4"/>
  <c r="H408" i="4"/>
  <c r="G403" i="5"/>
  <c r="G402" i="5" s="1"/>
  <c r="G401" i="5" s="1"/>
  <c r="F403" i="5"/>
  <c r="L354" i="4"/>
  <c r="M354" i="4" s="1"/>
  <c r="N354" i="4" s="1"/>
  <c r="O354" i="4" s="1"/>
  <c r="P354" i="4" s="1"/>
  <c r="Q354" i="4" s="1"/>
  <c r="E240" i="4"/>
  <c r="E238" i="4" s="1"/>
  <c r="E246" i="4"/>
  <c r="E137" i="4"/>
  <c r="E131" i="4"/>
  <c r="E129" i="4" s="1"/>
  <c r="F64" i="5"/>
  <c r="F63" i="5" s="1"/>
  <c r="E63" i="5" s="1"/>
  <c r="E76" i="5"/>
  <c r="E82" i="4"/>
  <c r="E76" i="4"/>
  <c r="E74" i="4" s="1"/>
  <c r="E73" i="5"/>
  <c r="E21" i="4"/>
  <c r="E19" i="4" s="1"/>
  <c r="N278" i="4" s="1"/>
  <c r="E27" i="4"/>
  <c r="E512" i="4"/>
  <c r="E510" i="4" s="1"/>
  <c r="E518" i="4"/>
  <c r="E784" i="4"/>
  <c r="E782" i="4" s="1"/>
  <c r="E790" i="4"/>
  <c r="E730" i="4"/>
  <c r="E728" i="4" s="1"/>
  <c r="E736" i="4"/>
  <c r="E621" i="4"/>
  <c r="E619" i="4" s="1"/>
  <c r="E627" i="4"/>
  <c r="D126" i="10" l="1"/>
  <c r="D140" i="10"/>
  <c r="D224" i="10"/>
  <c r="D14" i="10"/>
  <c r="E64" i="5"/>
  <c r="F402" i="5"/>
  <c r="I408" i="4"/>
  <c r="E348" i="4"/>
  <c r="E346" i="4" s="1"/>
  <c r="E354" i="4"/>
  <c r="E62" i="5"/>
  <c r="E113" i="5" s="1"/>
  <c r="J60" i="4"/>
  <c r="L5" i="4"/>
  <c r="K169" i="4"/>
  <c r="N169" i="4"/>
  <c r="G5" i="4"/>
  <c r="M224" i="4"/>
  <c r="L115" i="4"/>
  <c r="O278" i="4"/>
  <c r="O714" i="4"/>
  <c r="H441" i="4"/>
  <c r="F278" i="4"/>
  <c r="J605" i="4"/>
  <c r="N714" i="4"/>
  <c r="L386" i="4"/>
  <c r="Q5" i="4"/>
  <c r="J169" i="4"/>
  <c r="I115" i="4"/>
  <c r="L822" i="4"/>
  <c r="I441" i="4"/>
  <c r="Q659" i="4"/>
  <c r="J714" i="4"/>
  <c r="O768" i="4"/>
  <c r="L169" i="4"/>
  <c r="Q496" i="4"/>
  <c r="N332" i="4"/>
  <c r="M332" i="4"/>
  <c r="K822" i="4"/>
  <c r="J332" i="4"/>
  <c r="N496" i="4"/>
  <c r="G332" i="4"/>
  <c r="O659" i="4"/>
  <c r="P822" i="4"/>
  <c r="N605" i="4"/>
  <c r="P605" i="4"/>
  <c r="H605" i="4"/>
  <c r="K386" i="4"/>
  <c r="F5" i="4"/>
  <c r="G60" i="4"/>
  <c r="I60" i="4"/>
  <c r="Q169" i="4"/>
  <c r="N115" i="4"/>
  <c r="I224" i="4"/>
  <c r="H224" i="4"/>
  <c r="L278" i="4"/>
  <c r="G768" i="4"/>
  <c r="K550" i="4"/>
  <c r="F332" i="4"/>
  <c r="O822" i="4"/>
  <c r="I496" i="4"/>
  <c r="P768" i="4"/>
  <c r="Q714" i="4"/>
  <c r="G441" i="4"/>
  <c r="N659" i="4"/>
  <c r="K605" i="4"/>
  <c r="O332" i="4"/>
  <c r="F441" i="4"/>
  <c r="K768" i="4"/>
  <c r="F496" i="4"/>
  <c r="F386" i="4"/>
  <c r="Q224" i="4"/>
  <c r="G496" i="4"/>
  <c r="O550" i="4"/>
  <c r="M496" i="4"/>
  <c r="L659" i="4"/>
  <c r="H278" i="4"/>
  <c r="P386" i="4"/>
  <c r="L60" i="4"/>
  <c r="G224" i="4"/>
  <c r="O605" i="4"/>
  <c r="H550" i="4"/>
  <c r="I605" i="4"/>
  <c r="N60" i="4"/>
  <c r="M5" i="4"/>
  <c r="N5" i="4"/>
  <c r="I169" i="4"/>
  <c r="P224" i="4"/>
  <c r="Q768" i="4"/>
  <c r="J278" i="4"/>
  <c r="M659" i="4"/>
  <c r="H822" i="4"/>
  <c r="M441" i="4"/>
  <c r="I5" i="4"/>
  <c r="H60" i="4"/>
  <c r="O115" i="4"/>
  <c r="M169" i="4"/>
  <c r="P115" i="4"/>
  <c r="K224" i="4"/>
  <c r="N224" i="4"/>
  <c r="M714" i="4"/>
  <c r="F605" i="4"/>
  <c r="P332" i="4"/>
  <c r="I822" i="4"/>
  <c r="P714" i="4"/>
  <c r="K441" i="4"/>
  <c r="O441" i="4"/>
  <c r="P550" i="4"/>
  <c r="K659" i="4"/>
  <c r="F659" i="4"/>
  <c r="P441" i="4"/>
  <c r="J496" i="4"/>
  <c r="M822" i="4"/>
  <c r="M768" i="4"/>
  <c r="J386" i="4"/>
  <c r="F550" i="4"/>
  <c r="H169" i="4"/>
  <c r="L332" i="4"/>
  <c r="K496" i="4"/>
  <c r="H496" i="4"/>
  <c r="H115" i="4"/>
  <c r="M605" i="4"/>
  <c r="P5" i="4"/>
  <c r="J224" i="4"/>
  <c r="K278" i="4"/>
  <c r="K60" i="4"/>
  <c r="O224" i="4"/>
  <c r="L496" i="4"/>
  <c r="L605" i="4"/>
  <c r="H768" i="4"/>
  <c r="G550" i="4"/>
  <c r="G386" i="4"/>
  <c r="K5" i="4"/>
  <c r="J5" i="4"/>
  <c r="M60" i="4"/>
  <c r="G169" i="4"/>
  <c r="P169" i="4"/>
  <c r="J115" i="4"/>
  <c r="F115" i="4"/>
  <c r="F60" i="4"/>
  <c r="Q550" i="4"/>
  <c r="M550" i="4"/>
  <c r="Q332" i="4"/>
  <c r="Q605" i="4"/>
  <c r="L768" i="4"/>
  <c r="Q441" i="4"/>
  <c r="Q278" i="4"/>
  <c r="J822" i="4"/>
  <c r="G659" i="4"/>
  <c r="H659" i="4"/>
  <c r="F768" i="4"/>
  <c r="H332" i="4"/>
  <c r="J768" i="4"/>
  <c r="K714" i="4"/>
  <c r="M278" i="4"/>
  <c r="L550" i="4"/>
  <c r="G278" i="4"/>
  <c r="I332" i="4"/>
  <c r="J659" i="4"/>
  <c r="K115" i="4"/>
  <c r="K332" i="4"/>
  <c r="J550" i="4"/>
  <c r="O496" i="4"/>
  <c r="G115" i="4"/>
  <c r="Q60" i="4"/>
  <c r="H714" i="4"/>
  <c r="M115" i="4"/>
  <c r="O60" i="4"/>
  <c r="G714" i="4"/>
  <c r="I768" i="4"/>
  <c r="I714" i="4"/>
  <c r="N550" i="4"/>
  <c r="F822" i="4"/>
  <c r="H5" i="4"/>
  <c r="O5" i="4"/>
  <c r="P60" i="4"/>
  <c r="F169" i="4"/>
  <c r="O169" i="4"/>
  <c r="Q115" i="4"/>
  <c r="F224" i="4"/>
  <c r="L224" i="4"/>
  <c r="N822" i="4"/>
  <c r="N441" i="4"/>
  <c r="G822" i="4"/>
  <c r="I278" i="4"/>
  <c r="L714" i="4"/>
  <c r="J441" i="4"/>
  <c r="N768" i="4"/>
  <c r="F714" i="4"/>
  <c r="I659" i="4"/>
  <c r="P659" i="4"/>
  <c r="G605" i="4"/>
  <c r="Q822" i="4"/>
  <c r="P278" i="4"/>
  <c r="Q386" i="4"/>
  <c r="L441" i="4"/>
  <c r="I386" i="4"/>
  <c r="M386" i="4"/>
  <c r="O386" i="4"/>
  <c r="H386" i="4"/>
  <c r="I550" i="4"/>
  <c r="P496" i="4"/>
  <c r="N386" i="4"/>
  <c r="D26" i="10" l="1"/>
  <c r="D19" i="10"/>
  <c r="D18" i="10"/>
  <c r="D20" i="10"/>
  <c r="D25" i="10"/>
  <c r="D21" i="10"/>
  <c r="D22" i="10"/>
  <c r="D23" i="10"/>
  <c r="D24" i="10"/>
  <c r="H403" i="5"/>
  <c r="J408" i="4"/>
  <c r="I403" i="5"/>
  <c r="I402" i="5" s="1"/>
  <c r="I401" i="5" s="1"/>
  <c r="F401" i="5"/>
  <c r="E441" i="4"/>
  <c r="E491" i="4" s="1"/>
  <c r="E768" i="4"/>
  <c r="E818" i="4" s="1"/>
  <c r="E822" i="4"/>
  <c r="E872" i="4" s="1"/>
  <c r="E332" i="4"/>
  <c r="E382" i="4" s="1"/>
  <c r="E60" i="4"/>
  <c r="E110" i="4" s="1"/>
  <c r="E659" i="4"/>
  <c r="E709" i="4" s="1"/>
  <c r="E5" i="4"/>
  <c r="E55" i="4" s="1"/>
  <c r="E115" i="4"/>
  <c r="E165" i="4" s="1"/>
  <c r="E169" i="4"/>
  <c r="E219" i="4" s="1"/>
  <c r="E278" i="4"/>
  <c r="E328" i="4" s="1"/>
  <c r="E605" i="4"/>
  <c r="E655" i="4" s="1"/>
  <c r="E714" i="4"/>
  <c r="E764" i="4" s="1"/>
  <c r="E224" i="4"/>
  <c r="E274" i="4" s="1"/>
  <c r="E496" i="4"/>
  <c r="E546" i="4" s="1"/>
  <c r="E550" i="4"/>
  <c r="E600" i="4" s="1"/>
  <c r="E386" i="4"/>
  <c r="E436" i="4" s="1"/>
  <c r="C159" i="10" l="1"/>
  <c r="F159" i="10" s="1"/>
  <c r="C158" i="10"/>
  <c r="F158" i="10" s="1"/>
  <c r="C160" i="10"/>
  <c r="C161" i="10"/>
  <c r="F161" i="10" s="1"/>
  <c r="C162" i="10"/>
  <c r="F162" i="10" s="1"/>
  <c r="C163" i="10"/>
  <c r="F163" i="10" s="1"/>
  <c r="C164" i="10"/>
  <c r="F164" i="10" s="1"/>
  <c r="C165" i="10"/>
  <c r="F165" i="10" s="1"/>
  <c r="C166" i="10"/>
  <c r="F166" i="10" s="1"/>
  <c r="C219" i="10"/>
  <c r="F219" i="10" s="1"/>
  <c r="C220" i="10"/>
  <c r="F220" i="10" s="1"/>
  <c r="C221" i="10"/>
  <c r="F221" i="10" s="1"/>
  <c r="C222" i="10"/>
  <c r="F222" i="10" s="1"/>
  <c r="C215" i="10"/>
  <c r="F215" i="10" s="1"/>
  <c r="C214" i="10"/>
  <c r="F214" i="10" s="1"/>
  <c r="C216" i="10"/>
  <c r="F216" i="10" s="1"/>
  <c r="C217" i="10"/>
  <c r="F217" i="10" s="1"/>
  <c r="C218" i="10"/>
  <c r="C204" i="10"/>
  <c r="F204" i="10" s="1"/>
  <c r="C205" i="10"/>
  <c r="F205" i="10" s="1"/>
  <c r="C206" i="10"/>
  <c r="F206" i="10" s="1"/>
  <c r="C207" i="10"/>
  <c r="C208" i="10"/>
  <c r="F208" i="10" s="1"/>
  <c r="C201" i="10"/>
  <c r="F201" i="10" s="1"/>
  <c r="C200" i="10"/>
  <c r="F200" i="10" s="1"/>
  <c r="C202" i="10"/>
  <c r="F202" i="10" s="1"/>
  <c r="C203" i="10"/>
  <c r="C122" i="10"/>
  <c r="F122" i="10" s="1"/>
  <c r="C123" i="10"/>
  <c r="F123" i="10" s="1"/>
  <c r="C124" i="10"/>
  <c r="F124" i="10" s="1"/>
  <c r="C117" i="10"/>
  <c r="F117" i="10" s="1"/>
  <c r="C116" i="10"/>
  <c r="F116" i="10" s="1"/>
  <c r="C118" i="10"/>
  <c r="F118" i="10" s="1"/>
  <c r="C119" i="10"/>
  <c r="F119" i="10" s="1"/>
  <c r="C120" i="10"/>
  <c r="C121" i="10"/>
  <c r="F121" i="10" s="1"/>
  <c r="C107" i="10"/>
  <c r="C108" i="10"/>
  <c r="C109" i="10"/>
  <c r="C110" i="10"/>
  <c r="C103" i="10"/>
  <c r="C102" i="10"/>
  <c r="C104" i="10"/>
  <c r="C105" i="10"/>
  <c r="C106" i="10"/>
  <c r="C77" i="10"/>
  <c r="F77" i="10" s="1"/>
  <c r="C78" i="10"/>
  <c r="C79" i="10"/>
  <c r="F79" i="10" s="1"/>
  <c r="C80" i="10"/>
  <c r="F80" i="10" s="1"/>
  <c r="C81" i="10"/>
  <c r="F81" i="10" s="1"/>
  <c r="C82" i="10"/>
  <c r="F82" i="10" s="1"/>
  <c r="C75" i="10"/>
  <c r="F75" i="10" s="1"/>
  <c r="C74" i="10"/>
  <c r="F74" i="10" s="1"/>
  <c r="C76" i="10"/>
  <c r="C137" i="10"/>
  <c r="F137" i="10" s="1"/>
  <c r="C138" i="10"/>
  <c r="F138" i="10" s="1"/>
  <c r="C131" i="10"/>
  <c r="F131" i="10" s="1"/>
  <c r="C130" i="10"/>
  <c r="F130" i="10" s="1"/>
  <c r="C132" i="10"/>
  <c r="F132" i="10" s="1"/>
  <c r="C133" i="10"/>
  <c r="C134" i="10"/>
  <c r="F134" i="10" s="1"/>
  <c r="C135" i="10"/>
  <c r="F135" i="10" s="1"/>
  <c r="C136" i="10"/>
  <c r="F136" i="10" s="1"/>
  <c r="C174" i="10"/>
  <c r="F174" i="10" s="1"/>
  <c r="C175" i="10"/>
  <c r="F175" i="10" s="1"/>
  <c r="C176" i="10"/>
  <c r="C177" i="10"/>
  <c r="F177" i="10" s="1"/>
  <c r="C178" i="10"/>
  <c r="F178" i="10" s="1"/>
  <c r="C179" i="10"/>
  <c r="C180" i="10"/>
  <c r="F180" i="10" s="1"/>
  <c r="C173" i="10"/>
  <c r="F173" i="10" s="1"/>
  <c r="C172" i="10"/>
  <c r="F172" i="10" s="1"/>
  <c r="C152" i="10"/>
  <c r="F152" i="10" s="1"/>
  <c r="C145" i="10"/>
  <c r="F145" i="10" s="1"/>
  <c r="C144" i="10"/>
  <c r="F144" i="10" s="1"/>
  <c r="C146" i="10"/>
  <c r="F146" i="10" s="1"/>
  <c r="C147" i="10"/>
  <c r="F147" i="10" s="1"/>
  <c r="C148" i="10"/>
  <c r="C149" i="10"/>
  <c r="F149" i="10" s="1"/>
  <c r="C150" i="10"/>
  <c r="F150" i="10" s="1"/>
  <c r="C151" i="10"/>
  <c r="F151" i="10" s="1"/>
  <c r="C62" i="10"/>
  <c r="C63" i="10"/>
  <c r="C64" i="10"/>
  <c r="F64" i="10" s="1"/>
  <c r="C65" i="10"/>
  <c r="F65" i="10" s="1"/>
  <c r="C66" i="10"/>
  <c r="F66" i="10" s="1"/>
  <c r="C67" i="10"/>
  <c r="F67" i="10" s="1"/>
  <c r="C68" i="10"/>
  <c r="F68" i="10" s="1"/>
  <c r="C61" i="10"/>
  <c r="C60" i="10"/>
  <c r="F60" i="10" s="1"/>
  <c r="C189" i="10"/>
  <c r="F189" i="10" s="1"/>
  <c r="C190" i="10"/>
  <c r="C191" i="10"/>
  <c r="F191" i="10" s="1"/>
  <c r="C192" i="10"/>
  <c r="F192" i="10" s="1"/>
  <c r="C193" i="10"/>
  <c r="F193" i="10" s="1"/>
  <c r="C194" i="10"/>
  <c r="F194" i="10" s="1"/>
  <c r="C187" i="10"/>
  <c r="F187" i="10" s="1"/>
  <c r="C186" i="10"/>
  <c r="F186" i="10" s="1"/>
  <c r="C188" i="10"/>
  <c r="F188" i="10" s="1"/>
  <c r="C92" i="10"/>
  <c r="C93" i="10"/>
  <c r="F93" i="10" s="1"/>
  <c r="C94" i="10"/>
  <c r="F94" i="10" s="1"/>
  <c r="C95" i="10"/>
  <c r="C96" i="10"/>
  <c r="F96" i="10" s="1"/>
  <c r="C89" i="10"/>
  <c r="F89" i="10" s="1"/>
  <c r="C88" i="10"/>
  <c r="F88" i="10" s="1"/>
  <c r="C90" i="10"/>
  <c r="F90" i="10" s="1"/>
  <c r="C91" i="10"/>
  <c r="C47" i="10"/>
  <c r="F47" i="10" s="1"/>
  <c r="C46" i="10"/>
  <c r="F46" i="10" s="1"/>
  <c r="C54" i="10"/>
  <c r="F54" i="10" s="1"/>
  <c r="C48" i="10"/>
  <c r="C53" i="10"/>
  <c r="F53" i="10" s="1"/>
  <c r="C49" i="10"/>
  <c r="F49" i="10" s="1"/>
  <c r="C50" i="10"/>
  <c r="F50" i="10" s="1"/>
  <c r="C51" i="10"/>
  <c r="F51" i="10" s="1"/>
  <c r="C52" i="10"/>
  <c r="F52" i="10" s="1"/>
  <c r="C37" i="10"/>
  <c r="F37" i="10" s="1"/>
  <c r="C38" i="10"/>
  <c r="F38" i="10" s="1"/>
  <c r="C39" i="10"/>
  <c r="F39" i="10" s="1"/>
  <c r="C40" i="10"/>
  <c r="F40" i="10" s="1"/>
  <c r="C33" i="10"/>
  <c r="C32" i="10"/>
  <c r="F32" i="10" s="1"/>
  <c r="C34" i="10"/>
  <c r="F34" i="10" s="1"/>
  <c r="C35" i="10"/>
  <c r="F35" i="10" s="1"/>
  <c r="C36" i="10"/>
  <c r="F36" i="10" s="1"/>
  <c r="D27" i="10"/>
  <c r="D17" i="10"/>
  <c r="C23" i="10"/>
  <c r="F23" i="10" s="1"/>
  <c r="C24" i="10"/>
  <c r="F24" i="10" s="1"/>
  <c r="C25" i="10"/>
  <c r="F25" i="10" s="1"/>
  <c r="C26" i="10"/>
  <c r="F26" i="10" s="1"/>
  <c r="C19" i="10"/>
  <c r="F19" i="10" s="1"/>
  <c r="C18" i="10"/>
  <c r="F18" i="10" s="1"/>
  <c r="C20" i="10"/>
  <c r="C22" i="10"/>
  <c r="F22" i="10" s="1"/>
  <c r="C21" i="10"/>
  <c r="F21" i="10" s="1"/>
  <c r="C9" i="10"/>
  <c r="C4" i="10"/>
  <c r="C10" i="10"/>
  <c r="C5" i="10"/>
  <c r="C6" i="10"/>
  <c r="C11" i="10"/>
  <c r="C12" i="10"/>
  <c r="C7" i="10"/>
  <c r="C8" i="10"/>
  <c r="K408" i="4"/>
  <c r="J403" i="5"/>
  <c r="J402" i="5" s="1"/>
  <c r="J401" i="5" s="1"/>
  <c r="H402" i="5"/>
  <c r="F95" i="10" l="1"/>
  <c r="F78" i="10"/>
  <c r="C83" i="10"/>
  <c r="F83" i="10" s="1"/>
  <c r="F148" i="10"/>
  <c r="C153" i="10"/>
  <c r="F153" i="10" s="1"/>
  <c r="C143" i="10"/>
  <c r="C73" i="10"/>
  <c r="F76" i="10"/>
  <c r="F207" i="10"/>
  <c r="F179" i="10"/>
  <c r="C87" i="10"/>
  <c r="F87" i="10" s="1"/>
  <c r="F91" i="10"/>
  <c r="F92" i="10"/>
  <c r="C97" i="10"/>
  <c r="F97" i="10" s="1"/>
  <c r="F190" i="10"/>
  <c r="C195" i="10"/>
  <c r="F195" i="10" s="1"/>
  <c r="C185" i="10"/>
  <c r="F133" i="10"/>
  <c r="C139" i="10"/>
  <c r="F139" i="10" s="1"/>
  <c r="C129" i="10"/>
  <c r="C101" i="10"/>
  <c r="C111" i="10"/>
  <c r="F63" i="10"/>
  <c r="C69" i="10"/>
  <c r="F69" i="10" s="1"/>
  <c r="F120" i="10"/>
  <c r="C125" i="10"/>
  <c r="F125" i="10" s="1"/>
  <c r="C115" i="10"/>
  <c r="C199" i="10"/>
  <c r="F199" i="10" s="1"/>
  <c r="F203" i="10"/>
  <c r="C209" i="10"/>
  <c r="F209" i="10" s="1"/>
  <c r="F160" i="10"/>
  <c r="C167" i="10"/>
  <c r="F167" i="10" s="1"/>
  <c r="C157" i="10"/>
  <c r="F62" i="10"/>
  <c r="C59" i="10"/>
  <c r="F59" i="10" s="1"/>
  <c r="F176" i="10"/>
  <c r="C181" i="10"/>
  <c r="F181" i="10" s="1"/>
  <c r="C171" i="10"/>
  <c r="F171" i="10" s="1"/>
  <c r="C213" i="10"/>
  <c r="F218" i="10"/>
  <c r="C223" i="10"/>
  <c r="F223" i="10" s="1"/>
  <c r="F61" i="10"/>
  <c r="C55" i="10"/>
  <c r="F55" i="10" s="1"/>
  <c r="F48" i="10"/>
  <c r="C45" i="10"/>
  <c r="F33" i="10"/>
  <c r="C41" i="10"/>
  <c r="F41" i="10" s="1"/>
  <c r="C31" i="10"/>
  <c r="D28" i="10"/>
  <c r="C17" i="10"/>
  <c r="F20" i="10"/>
  <c r="C27" i="10"/>
  <c r="F27" i="10" s="1"/>
  <c r="F7" i="10"/>
  <c r="C233" i="10"/>
  <c r="F11" i="10"/>
  <c r="C237" i="10"/>
  <c r="F12" i="10"/>
  <c r="C238" i="10"/>
  <c r="C232" i="10"/>
  <c r="F6" i="10"/>
  <c r="F5" i="10"/>
  <c r="C231" i="10"/>
  <c r="C236" i="10"/>
  <c r="F10" i="10"/>
  <c r="F4" i="10"/>
  <c r="C13" i="10"/>
  <c r="C230" i="10"/>
  <c r="C3" i="10"/>
  <c r="C234" i="10"/>
  <c r="F8" i="10"/>
  <c r="C235" i="10"/>
  <c r="F9" i="10"/>
  <c r="H401" i="5"/>
  <c r="L408" i="4"/>
  <c r="F210" i="10" l="1"/>
  <c r="F70" i="10"/>
  <c r="C70" i="10"/>
  <c r="C210" i="10"/>
  <c r="F115" i="10"/>
  <c r="F126" i="10" s="1"/>
  <c r="C126" i="10"/>
  <c r="C112" i="10"/>
  <c r="F129" i="10"/>
  <c r="F140" i="10" s="1"/>
  <c r="C140" i="10"/>
  <c r="F73" i="10"/>
  <c r="F84" i="10" s="1"/>
  <c r="C84" i="10"/>
  <c r="F157" i="10"/>
  <c r="F168" i="10" s="1"/>
  <c r="C168" i="10"/>
  <c r="F143" i="10"/>
  <c r="F154" i="10" s="1"/>
  <c r="C154" i="10"/>
  <c r="F213" i="10"/>
  <c r="F224" i="10" s="1"/>
  <c r="C224" i="10"/>
  <c r="F185" i="10"/>
  <c r="F196" i="10" s="1"/>
  <c r="C196" i="10"/>
  <c r="F98" i="10"/>
  <c r="F182" i="10"/>
  <c r="C182" i="10"/>
  <c r="C98" i="10"/>
  <c r="F45" i="10"/>
  <c r="F56" i="10" s="1"/>
  <c r="C56" i="10"/>
  <c r="F31" i="10"/>
  <c r="F42" i="10" s="1"/>
  <c r="C42" i="10"/>
  <c r="F17" i="10"/>
  <c r="F28" i="10" s="1"/>
  <c r="C28" i="10"/>
  <c r="C239" i="10"/>
  <c r="F13" i="10"/>
  <c r="C229" i="10"/>
  <c r="F3" i="10"/>
  <c r="C14" i="10"/>
  <c r="M408" i="4"/>
  <c r="L403" i="5"/>
  <c r="L402" i="5" s="1"/>
  <c r="L401" i="5" s="1"/>
  <c r="K403" i="5"/>
  <c r="F14" i="10" l="1"/>
  <c r="C240" i="10"/>
  <c r="K402" i="5"/>
  <c r="N408" i="4"/>
  <c r="M403" i="5" l="1"/>
  <c r="O408" i="4"/>
  <c r="N403" i="5"/>
  <c r="N402" i="5" s="1"/>
  <c r="N401" i="5" s="1"/>
  <c r="K401" i="5"/>
  <c r="P408" i="4" l="1"/>
  <c r="O403" i="5"/>
  <c r="O402" i="5" s="1"/>
  <c r="O401" i="5" s="1"/>
  <c r="M402" i="5"/>
  <c r="M401" i="5" l="1"/>
  <c r="Q408" i="4"/>
  <c r="P403" i="5"/>
  <c r="P402" i="5" l="1"/>
  <c r="E408" i="4"/>
  <c r="E402" i="4"/>
  <c r="E400" i="4" s="1"/>
  <c r="Q403" i="5" l="1"/>
  <c r="E405" i="5"/>
  <c r="P401" i="5"/>
  <c r="Q402" i="5" l="1"/>
  <c r="E403" i="5"/>
  <c r="Q401" i="5" l="1"/>
  <c r="E401" i="5" s="1"/>
  <c r="E400" i="5" s="1"/>
  <c r="E451" i="5" s="1"/>
  <c r="E402" i="5"/>
  <c r="D110" i="10" l="1"/>
  <c r="D103" i="10"/>
  <c r="D102" i="10"/>
  <c r="D108" i="10"/>
  <c r="D104" i="10"/>
  <c r="D105" i="10"/>
  <c r="D106" i="10"/>
  <c r="D107" i="10"/>
  <c r="D109" i="10"/>
  <c r="D236" i="10" l="1"/>
  <c r="F236" i="10" s="1"/>
  <c r="F108" i="10"/>
  <c r="D235" i="10"/>
  <c r="F235" i="10" s="1"/>
  <c r="F107" i="10"/>
  <c r="D234" i="10"/>
  <c r="F234" i="10" s="1"/>
  <c r="F106" i="10"/>
  <c r="D111" i="10"/>
  <c r="D101" i="10"/>
  <c r="D233" i="10"/>
  <c r="F233" i="10" s="1"/>
  <c r="F105" i="10"/>
  <c r="D232" i="10"/>
  <c r="F232" i="10" s="1"/>
  <c r="C9" i="3" s="1"/>
  <c r="F104" i="10"/>
  <c r="D230" i="10"/>
  <c r="F230" i="10" s="1"/>
  <c r="F102" i="10"/>
  <c r="D231" i="10"/>
  <c r="F231" i="10" s="1"/>
  <c r="F103" i="10"/>
  <c r="D237" i="10"/>
  <c r="F237" i="10" s="1"/>
  <c r="F109" i="10"/>
  <c r="D238" i="10"/>
  <c r="F238" i="10" s="1"/>
  <c r="F110" i="10"/>
  <c r="D239" i="10" l="1"/>
  <c r="F239" i="10" s="1"/>
  <c r="F111" i="10"/>
  <c r="D229" i="10"/>
  <c r="F101" i="10"/>
  <c r="D112" i="10"/>
  <c r="F112" i="10" l="1"/>
  <c r="D240" i="10"/>
  <c r="F229" i="10"/>
  <c r="F240" i="10" s="1"/>
</calcChain>
</file>

<file path=xl/sharedStrings.xml><?xml version="1.0" encoding="utf-8"?>
<sst xmlns="http://schemas.openxmlformats.org/spreadsheetml/2006/main" count="6666" uniqueCount="374">
  <si>
    <t>Project Name</t>
  </si>
  <si>
    <t>Sectoral scope</t>
  </si>
  <si>
    <t>13 - Waste handling and disposal</t>
  </si>
  <si>
    <t>Methodology</t>
  </si>
  <si>
    <t>AM0080 - Mitigation of greenhouse gases emissions with treatment of wastewater in aerobic wastewater treatment plants (Version 01)</t>
  </si>
  <si>
    <t>Version</t>
  </si>
  <si>
    <t>Date</t>
  </si>
  <si>
    <t>Project Owner</t>
  </si>
  <si>
    <t>Theoretical emissions reduction (per year)</t>
  </si>
  <si>
    <t>Parameter</t>
  </si>
  <si>
    <t>Data unit</t>
  </si>
  <si>
    <t>Details</t>
  </si>
  <si>
    <t>Source for ex-ante computation</t>
  </si>
  <si>
    <t>Average / Sum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</si>
  <si>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</si>
  <si>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</si>
  <si>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</si>
  <si>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</si>
  <si>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</si>
  <si>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</si>
  <si>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</si>
  <si>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</si>
  <si>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</si>
  <si>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</si>
  <si>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</si>
  <si>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</si>
  <si>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days/month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</si>
  <si>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indexed="8"/>
        <rFont val="Calibri"/>
        <family val="2"/>
      </rPr>
      <t>CH4,ww,y</t>
    </r>
  </si>
  <si>
    <r>
      <rPr>
        <sz val="12"/>
        <rFont val="Calibri"/>
        <family val="2"/>
      </rPr>
      <t>tCO</t>
    </r>
    <r>
      <rPr>
        <vertAlign val="subscript"/>
        <sz val="12"/>
        <rFont val="Calibri"/>
        <family val="2"/>
      </rPr>
      <t>2</t>
    </r>
    <r>
      <rPr>
        <sz val="12"/>
        <rFont val="Calibri"/>
        <family val="2"/>
      </rPr>
      <t>e/year</t>
    </r>
  </si>
  <si>
    <r>
      <rPr>
        <sz val="12"/>
        <rFont val="Calibri"/>
        <family val="2"/>
      </rPr>
      <t>Methane emissions from anaerobic treatment of the wastewater in the baseline scenario in year</t>
    </r>
    <r>
      <rPr>
        <i/>
        <sz val="12"/>
        <rFont val="Calibri"/>
        <family val="2"/>
      </rPr>
      <t xml:space="preserve"> y</t>
    </r>
  </si>
  <si>
    <r>
      <rPr>
        <sz val="12"/>
        <color theme="1"/>
        <rFont val="Calibri"/>
        <family val="2"/>
      </rPr>
      <t>GWP</t>
    </r>
    <r>
      <rPr>
        <vertAlign val="subscript"/>
        <sz val="12"/>
        <color indexed="8"/>
        <rFont val="Calibri"/>
        <family val="2"/>
      </rPr>
      <t>CH4</t>
    </r>
  </si>
  <si>
    <t>Global Warming Potential of methane valid for the commitment period</t>
  </si>
  <si>
    <r>
      <rPr>
        <sz val="12"/>
        <color theme="1"/>
        <rFont val="Calibri"/>
        <family val="2"/>
      </rPr>
      <t>B</t>
    </r>
    <r>
      <rPr>
        <vertAlign val="subscript"/>
        <sz val="12"/>
        <color indexed="8"/>
        <rFont val="Calibri"/>
        <family val="2"/>
      </rPr>
      <t>0</t>
    </r>
  </si>
  <si>
    <r>
      <rPr>
        <sz val="12"/>
        <color theme="1"/>
        <rFont val="Calibri"/>
        <family val="2"/>
      </rPr>
      <t>tCH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/tCOD</t>
    </r>
  </si>
  <si>
    <r>
      <rPr>
        <sz val="12"/>
        <color theme="1"/>
        <rFont val="Calibri"/>
        <family val="2"/>
      </rPr>
      <t>Maximum methane producing capacity of wastewater, expressing the maximum amount of CH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that can be produced from a given quantity of chemical oxygen demand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</si>
  <si>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indexed="8"/>
        <rFont val="Calibri"/>
        <family val="2"/>
      </rPr>
      <t>BL,ww,y</t>
    </r>
  </si>
  <si>
    <r>
      <rPr>
        <sz val="12"/>
        <rFont val="Calibri"/>
        <family val="2"/>
      </rPr>
      <t xml:space="preserve">Quantity of chemical oxygen demand that would have been treated in the baseline scenario in year </t>
    </r>
    <r>
      <rPr>
        <i/>
        <sz val="12"/>
        <rFont val="Calibri"/>
        <family val="2"/>
      </rPr>
      <t>y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</si>
  <si>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indexed="8"/>
        <rFont val="Calibri"/>
        <family val="2"/>
      </rPr>
      <t>PJ,ww,y</t>
    </r>
  </si>
  <si>
    <t>tCOD</t>
  </si>
  <si>
    <t>Quantity of wastewater that is treated in the aerobic wastewater plant in the project activity in a day</t>
  </si>
  <si>
    <t>FSR</t>
  </si>
  <si>
    <r>
      <rPr>
        <sz val="12"/>
        <color theme="1"/>
        <rFont val="Calibri"/>
        <family val="2"/>
      </rPr>
      <t>Q</t>
    </r>
    <r>
      <rPr>
        <vertAlign val="subscript"/>
        <sz val="12"/>
        <color indexed="8"/>
        <rFont val="Calibri"/>
        <family val="2"/>
      </rPr>
      <t>PJ,ww,m</t>
    </r>
  </si>
  <si>
    <r>
      <rPr>
        <sz val="12"/>
        <color theme="1"/>
        <rFont val="Calibri"/>
        <family val="2"/>
      </rPr>
      <t>Quantity of wastewater that is treated in the aerobic wastewater plant in the project activity in month</t>
    </r>
    <r>
      <rPr>
        <i/>
        <sz val="12"/>
        <color indexed="8"/>
        <rFont val="Calibri"/>
        <family val="2"/>
      </rPr>
      <t xml:space="preserve"> m</t>
    </r>
  </si>
  <si>
    <t>Influent COD concentration</t>
  </si>
  <si>
    <t xml:space="preserve">Average Chemical oxygen demand rate (design value) in the wastewater that is sent to be treated in the aerobic wastewater treatment plant in the project activity </t>
  </si>
  <si>
    <t>Effluent COD concentration</t>
  </si>
  <si>
    <t xml:space="preserve">Average Chemical oxygen demand rate (design value) in the wastewater that has been treated in the aerobic wastewater treatment plant in the project activity </t>
  </si>
  <si>
    <r>
      <rPr>
        <sz val="12"/>
        <color theme="1"/>
        <rFont val="Calibri"/>
        <family val="2"/>
      </rPr>
      <t>w</t>
    </r>
    <r>
      <rPr>
        <vertAlign val="subscript"/>
        <sz val="12"/>
        <color indexed="8"/>
        <rFont val="Calibri"/>
        <family val="2"/>
      </rPr>
      <t>PJ,COD,ww,m</t>
    </r>
  </si>
  <si>
    <r>
      <rPr>
        <sz val="12"/>
        <rFont val="Calibri"/>
        <family val="2"/>
      </rPr>
      <t>tCOD/m</t>
    </r>
    <r>
      <rPr>
        <vertAlign val="superscript"/>
        <sz val="12"/>
        <rFont val="Calibri"/>
        <family val="2"/>
      </rPr>
      <t>3</t>
    </r>
  </si>
  <si>
    <r>
      <rPr>
        <sz val="12"/>
        <color theme="1"/>
        <rFont val="Calibri"/>
        <family val="2"/>
      </rPr>
      <t xml:space="preserve">Average Chemical Oxygen Demand in the wastewater that is treated in the aerobic wastewater treatment plant in the project activity in month </t>
    </r>
    <r>
      <rPr>
        <i/>
        <sz val="12"/>
        <color indexed="8"/>
        <rFont val="Calibri"/>
        <family val="2"/>
      </rPr>
      <t>m</t>
    </r>
  </si>
  <si>
    <r>
      <rPr>
        <sz val="12"/>
        <color theme="1"/>
        <rFont val="Calibri"/>
        <family val="2"/>
      </rPr>
      <t xml:space="preserve">Average Chemical Oxygen Demand in the treated wastewater in the aerobic wastewater treatment plant in the project activity in month </t>
    </r>
    <r>
      <rPr>
        <i/>
        <sz val="12"/>
        <color indexed="8"/>
        <rFont val="Calibri"/>
        <family val="2"/>
      </rPr>
      <t>m</t>
    </r>
  </si>
  <si>
    <r>
      <rPr>
        <sz val="12"/>
        <color theme="1"/>
        <rFont val="Calibri"/>
        <family val="2"/>
      </rPr>
      <t>AD</t>
    </r>
    <r>
      <rPr>
        <vertAlign val="subscript"/>
        <sz val="12"/>
        <color indexed="8"/>
        <rFont val="Calibri"/>
        <family val="2"/>
      </rPr>
      <t>BL</t>
    </r>
  </si>
  <si>
    <t>Fraction</t>
  </si>
  <si>
    <t>Effluent adjustment factor expressing the percentage of COD that is degraded in open lagoons in the baseline scenario</t>
  </si>
  <si>
    <r>
      <rPr>
        <sz val="12"/>
        <color theme="1"/>
        <rFont val="Calibri"/>
        <family val="2"/>
      </rPr>
      <t>COD</t>
    </r>
    <r>
      <rPr>
        <vertAlign val="subscript"/>
        <sz val="12"/>
        <color indexed="8"/>
        <rFont val="Calibri"/>
        <family val="2"/>
      </rPr>
      <t>BL,out,x</t>
    </r>
  </si>
  <si>
    <r>
      <rPr>
        <sz val="12"/>
        <color theme="1"/>
        <rFont val="Calibri"/>
        <family val="2"/>
      </rPr>
      <t xml:space="preserve">COD of the effluent of open lagoons in the baseline scenario in the period </t>
    </r>
    <r>
      <rPr>
        <i/>
        <sz val="12"/>
        <color indexed="8"/>
        <rFont val="Calibri"/>
        <family val="2"/>
      </rPr>
      <t>x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</si>
  <si>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indexed="8"/>
        <rFont val="Calibri"/>
        <family val="2"/>
      </rPr>
      <t>BL,in,x</t>
    </r>
  </si>
  <si>
    <r>
      <rPr>
        <sz val="12"/>
        <color theme="1"/>
        <rFont val="Calibri"/>
        <family val="2"/>
      </rPr>
      <t xml:space="preserve">COD directed to open lagoons in the baseline scenario in the period </t>
    </r>
    <r>
      <rPr>
        <i/>
        <sz val="12"/>
        <color indexed="8"/>
        <rFont val="Calibri"/>
        <family val="2"/>
      </rPr>
      <t>x</t>
    </r>
  </si>
  <si>
    <r>
      <rPr>
        <sz val="12"/>
        <rFont val="Calibri"/>
        <family val="2"/>
      </rPr>
      <t>MCF</t>
    </r>
    <r>
      <rPr>
        <vertAlign val="subscript"/>
        <sz val="12"/>
        <rFont val="Calibri"/>
        <family val="2"/>
      </rPr>
      <t>BL,ww,y</t>
    </r>
  </si>
  <si>
    <r>
      <rPr>
        <sz val="12"/>
        <rFont val="Calibri"/>
        <family val="2"/>
      </rPr>
      <t xml:space="preserve">Average baseline Methane Conversion Factor in year </t>
    </r>
    <r>
      <rPr>
        <i/>
        <sz val="12"/>
        <rFont val="Calibri"/>
        <family val="2"/>
      </rPr>
      <t>y</t>
    </r>
  </si>
  <si>
    <r>
      <rPr>
        <sz val="12"/>
        <rFont val="Calibri"/>
        <family val="2"/>
      </rPr>
      <t>f</t>
    </r>
    <r>
      <rPr>
        <vertAlign val="subscript"/>
        <sz val="12"/>
        <rFont val="Calibri"/>
        <family val="2"/>
      </rPr>
      <t>BL,d,y</t>
    </r>
  </si>
  <si>
    <t>Factor expressing the influence of the depth of the lagoon on methane generation</t>
  </si>
  <si>
    <r>
      <rPr>
        <sz val="12"/>
        <rFont val="Calibri"/>
        <family val="2"/>
      </rPr>
      <t>f</t>
    </r>
    <r>
      <rPr>
        <vertAlign val="subscript"/>
        <sz val="12"/>
        <rFont val="Calibri"/>
        <family val="2"/>
      </rPr>
      <t>BL,T,y</t>
    </r>
  </si>
  <si>
    <r>
      <rPr>
        <sz val="12"/>
        <rFont val="Calibri"/>
        <family val="2"/>
      </rPr>
      <t xml:space="preserve">Factor expressing the influence of the temperature on methane generation in year </t>
    </r>
    <r>
      <rPr>
        <i/>
        <sz val="12"/>
        <rFont val="Calibri"/>
        <family val="2"/>
      </rPr>
      <t>y</t>
    </r>
  </si>
  <si>
    <r>
      <rPr>
        <sz val="12"/>
        <rFont val="Calibri"/>
        <family val="2"/>
      </rPr>
      <t>f</t>
    </r>
    <r>
      <rPr>
        <vertAlign val="subscript"/>
        <sz val="12"/>
        <rFont val="Calibri"/>
        <family val="2"/>
      </rPr>
      <t>T,m</t>
    </r>
  </si>
  <si>
    <r>
      <rPr>
        <sz val="12"/>
        <rFont val="Calibri"/>
        <family val="2"/>
      </rPr>
      <t xml:space="preserve">Factor expressing the influence of the temperature on the methane generation in month </t>
    </r>
    <r>
      <rPr>
        <i/>
        <sz val="12"/>
        <rFont val="Calibri"/>
        <family val="2"/>
      </rPr>
      <t>m</t>
    </r>
  </si>
  <si>
    <t>E</t>
  </si>
  <si>
    <t>cal/mol</t>
  </si>
  <si>
    <t>Activation energy constant</t>
  </si>
  <si>
    <r>
      <rPr>
        <sz val="12"/>
        <rFont val="Calibri"/>
        <family val="2"/>
      </rPr>
      <t>T</t>
    </r>
    <r>
      <rPr>
        <vertAlign val="subscript"/>
        <sz val="12"/>
        <rFont val="Calibri"/>
        <family val="2"/>
      </rPr>
      <t>1</t>
    </r>
  </si>
  <si>
    <t>K</t>
  </si>
  <si>
    <t>-</t>
  </si>
  <si>
    <t>R</t>
  </si>
  <si>
    <t>cal/K.mol</t>
  </si>
  <si>
    <t>Ideal gas constant</t>
  </si>
  <si>
    <r>
      <rPr>
        <sz val="12"/>
        <rFont val="Calibri"/>
        <family val="2"/>
      </rPr>
      <t>T</t>
    </r>
    <r>
      <rPr>
        <vertAlign val="subscript"/>
        <sz val="12"/>
        <rFont val="Calibri"/>
        <family val="2"/>
      </rPr>
      <t>2,m</t>
    </r>
  </si>
  <si>
    <r>
      <rPr>
        <sz val="12"/>
        <rFont val="Calibri"/>
        <family val="2"/>
      </rPr>
      <t xml:space="preserve">Average temperature at the project in month </t>
    </r>
    <r>
      <rPr>
        <i/>
        <sz val="12"/>
        <rFont val="Calibri"/>
        <family val="2"/>
      </rPr>
      <t>m</t>
    </r>
  </si>
  <si>
    <r>
      <rPr>
        <sz val="12"/>
        <rFont val="Calibri"/>
        <family val="2"/>
      </rPr>
      <t>COD</t>
    </r>
    <r>
      <rPr>
        <vertAlign val="subscript"/>
        <sz val="12"/>
        <rFont val="Calibri"/>
        <family val="2"/>
      </rPr>
      <t>BL,available,m</t>
    </r>
  </si>
  <si>
    <r>
      <rPr>
        <sz val="12"/>
        <rFont val="Calibri"/>
        <family val="2"/>
      </rPr>
      <t xml:space="preserve">Quantity of chemical oxygen demand available for degradation in month </t>
    </r>
    <r>
      <rPr>
        <i/>
        <sz val="12"/>
        <rFont val="Calibri"/>
        <family val="2"/>
      </rPr>
      <t>m</t>
    </r>
  </si>
  <si>
    <t>2. Baseline emissions from treatment of sludge</t>
  </si>
  <si>
    <t>Value applied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</si>
  <si>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indexed="8"/>
        <rFont val="Calibri"/>
        <family val="2"/>
      </rPr>
      <t>CH4,sl,y</t>
    </r>
  </si>
  <si>
    <r>
      <rPr>
        <sz val="12"/>
        <rFont val="Calibri"/>
        <family val="2"/>
      </rPr>
      <t>Methane emissions from treatment of sludge in the baseline scenario in year</t>
    </r>
    <r>
      <rPr>
        <i/>
        <sz val="12"/>
        <rFont val="Calibri"/>
        <family val="2"/>
      </rPr>
      <t xml:space="preserve"> y</t>
    </r>
  </si>
  <si>
    <t>The sludge is dried under controlled and aerobic conditions, and then disposed to a landfill</t>
  </si>
  <si>
    <r>
      <rPr>
        <sz val="12"/>
        <color theme="1"/>
        <rFont val="Calibri"/>
        <family val="2"/>
      </rPr>
      <t>Q</t>
    </r>
    <r>
      <rPr>
        <vertAlign val="subscript"/>
        <sz val="12"/>
        <color indexed="8"/>
        <rFont val="Calibri"/>
        <family val="2"/>
      </rPr>
      <t>BL,sl,y</t>
    </r>
  </si>
  <si>
    <t>tonnes/year</t>
  </si>
  <si>
    <r>
      <rPr>
        <sz val="12"/>
        <color theme="1"/>
        <rFont val="Calibri"/>
        <family val="2"/>
      </rPr>
      <t xml:space="preserve">Quantity of sludge that would have been produced and treated in the baseline scenario in year </t>
    </r>
    <r>
      <rPr>
        <i/>
        <sz val="12"/>
        <color indexed="8"/>
        <rFont val="Calibri"/>
        <family val="2"/>
      </rPr>
      <t>y</t>
    </r>
  </si>
  <si>
    <t>3. Baseline emissions from transportation of sludge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</si>
  <si>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theme="1"/>
        <rFont val="Calibri"/>
        <family val="2"/>
      </rPr>
      <t>TR,sl,y</t>
    </r>
  </si>
  <si>
    <r>
      <rPr>
        <sz val="12"/>
        <color theme="1"/>
        <rFont val="Calibri"/>
        <family val="2"/>
      </rPr>
      <t>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/year</t>
    </r>
  </si>
  <si>
    <r>
      <rPr>
        <sz val="12"/>
        <color theme="1"/>
        <rFont val="Calibri"/>
        <family val="2"/>
      </rP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emissions associated with transportation of sludge in the baseline in year </t>
    </r>
    <r>
      <rPr>
        <i/>
        <sz val="12"/>
        <color theme="1"/>
        <rFont val="Calibri"/>
        <family val="2"/>
      </rPr>
      <t>y</t>
    </r>
  </si>
  <si>
    <t>trips</t>
  </si>
  <si>
    <r>
      <rPr>
        <sz val="12"/>
        <color theme="1"/>
        <rFont val="Calibri"/>
        <family val="2"/>
      </rPr>
      <t xml:space="preserve">Number of trips for transportation of the sludge that would have been produced in the baseline in year </t>
    </r>
    <r>
      <rPr>
        <i/>
        <sz val="12"/>
        <color theme="1"/>
        <rFont val="Calibri"/>
        <family val="2"/>
      </rPr>
      <t>y</t>
    </r>
  </si>
  <si>
    <t>tonnes</t>
  </si>
  <si>
    <r>
      <rPr>
        <sz val="12"/>
        <color theme="1"/>
        <rFont val="Calibri"/>
        <family val="2"/>
      </rPr>
      <t xml:space="preserve">Quantity of sludge that would have been produced and treated in the baseline in the year </t>
    </r>
    <r>
      <rPr>
        <i/>
        <sz val="12"/>
        <color theme="1"/>
        <rFont val="Calibri"/>
        <family val="2"/>
      </rPr>
      <t>y</t>
    </r>
  </si>
  <si>
    <t>tonnes/trip</t>
  </si>
  <si>
    <r>
      <rPr>
        <sz val="12"/>
        <color theme="1"/>
        <rFont val="Calibri"/>
        <family val="2"/>
      </rPr>
      <t xml:space="preserve">Average vehicular capacity of the transportation vehicle of type </t>
    </r>
    <r>
      <rPr>
        <i/>
        <sz val="12"/>
        <color theme="1"/>
        <rFont val="Calibri"/>
        <family val="2"/>
      </rPr>
      <t>i</t>
    </r>
  </si>
  <si>
    <t>km</t>
  </si>
  <si>
    <r>
      <rPr>
        <sz val="12"/>
        <color theme="1"/>
        <rFont val="Calibri"/>
        <family val="2"/>
      </rPr>
      <t xml:space="preserve">Average distance per trip, that would have been travelled by the transportation vehicle of type </t>
    </r>
    <r>
      <rPr>
        <i/>
        <sz val="12"/>
        <color theme="1"/>
        <rFont val="Calibri"/>
        <family val="2"/>
      </rPr>
      <t xml:space="preserve">i </t>
    </r>
    <r>
      <rPr>
        <sz val="12"/>
        <color theme="1"/>
        <rFont val="Calibri"/>
        <family val="2"/>
      </rPr>
      <t xml:space="preserve">for transportation of sludge in the baseline in year </t>
    </r>
    <r>
      <rPr>
        <i/>
        <sz val="12"/>
        <color theme="1"/>
        <rFont val="Calibri"/>
        <family val="2"/>
      </rPr>
      <t>y</t>
    </r>
  </si>
  <si>
    <t>Liter/km</t>
  </si>
  <si>
    <r>
      <rPr>
        <sz val="12"/>
        <color theme="1"/>
        <rFont val="Calibri"/>
        <family val="2"/>
      </rPr>
      <t xml:space="preserve">Specific fuel consumption of the transportation vehicle of type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in the year </t>
    </r>
    <r>
      <rPr>
        <i/>
        <sz val="12"/>
        <color theme="1"/>
        <rFont val="Calibri"/>
        <family val="2"/>
      </rPr>
      <t>y</t>
    </r>
  </si>
  <si>
    <t>Density of diesel</t>
  </si>
  <si>
    <t>t/L</t>
  </si>
  <si>
    <t>TJ/tonne</t>
  </si>
  <si>
    <r>
      <rPr>
        <sz val="12"/>
        <color theme="1"/>
        <rFont val="Calibri"/>
        <family val="2"/>
      </rPr>
      <t xml:space="preserve">Net calorific value of the transportation fuel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the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</si>
  <si>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/TJ</t>
    </r>
  </si>
  <si>
    <r>
      <rPr>
        <sz val="12"/>
        <color theme="1"/>
        <rFont val="Calibri"/>
        <family val="2"/>
      </rP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 factor of the transportation fuel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the year </t>
    </r>
    <r>
      <rPr>
        <i/>
        <sz val="12"/>
        <color theme="1"/>
        <rFont val="Calibri"/>
        <family val="2"/>
      </rPr>
      <t>y</t>
    </r>
  </si>
  <si>
    <t>IPCC Vol2 Ch3 table 3.2.1</t>
  </si>
  <si>
    <t>4. Baseline emissions from consumption of electricity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</si>
  <si>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theme="1"/>
        <rFont val="Calibri"/>
        <family val="2"/>
      </rPr>
      <t>EL,y</t>
    </r>
  </si>
  <si>
    <r>
      <rPr>
        <sz val="12"/>
        <color theme="1"/>
        <rFont val="Calibri"/>
        <family val="2"/>
      </rPr>
      <t xml:space="preserve"> 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e/year</t>
    </r>
  </si>
  <si>
    <r>
      <rPr>
        <sz val="12"/>
        <color theme="1"/>
        <rFont val="Calibri"/>
        <family val="2"/>
      </rP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emissions associated with electricity generation that is displaced by the project activity and/or electricity consumption in the baseline scenario in year </t>
    </r>
    <r>
      <rPr>
        <i/>
        <sz val="12"/>
        <color theme="1"/>
        <rFont val="Calibri"/>
        <family val="2"/>
      </rPr>
      <t>y</t>
    </r>
  </si>
  <si>
    <t>No electricity consumed in the baseline senario</t>
  </si>
  <si>
    <t>5. Baseline emssions from consumption of heat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</si>
  <si>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theme="1"/>
        <rFont val="Calibri"/>
        <family val="2"/>
      </rPr>
      <t>HG,y</t>
    </r>
  </si>
  <si>
    <r>
      <rPr>
        <sz val="12"/>
        <color theme="1"/>
        <rFont val="Calibri"/>
        <family val="2"/>
      </rP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emissions associated with fossil fuel combustion for heat production in the baseline scenario in year </t>
    </r>
    <r>
      <rPr>
        <i/>
        <sz val="12"/>
        <color theme="1"/>
        <rFont val="Calibri"/>
        <family val="2"/>
      </rPr>
      <t>y</t>
    </r>
  </si>
  <si>
    <t>No heat consumed in the baseline senario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</si>
  <si>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</si>
  <si>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e/year</t>
    </r>
  </si>
  <si>
    <r>
      <rPr>
        <sz val="12"/>
        <color theme="1"/>
        <rFont val="Calibri"/>
        <family val="2"/>
      </rPr>
      <t>Baseline emissions in year</t>
    </r>
    <r>
      <rPr>
        <i/>
        <sz val="12"/>
        <color theme="1"/>
        <rFont val="Calibri"/>
        <family val="2"/>
      </rPr>
      <t xml:space="preserve"> y</t>
    </r>
  </si>
  <si>
    <t>1. Methane emissions from treatment of wastewater</t>
  </si>
  <si>
    <t>days / month</t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</si>
  <si>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CH4,ww,y</t>
    </r>
  </si>
  <si>
    <r>
      <rPr>
        <sz val="12"/>
        <color theme="1"/>
        <rFont val="Calibri"/>
        <family val="2"/>
      </rPr>
      <t xml:space="preserve">Methane emissions from treatment of wastewater in the project activity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</si>
  <si>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PE</t>
    </r>
    <r>
      <rPr>
        <vertAlign val="subscript"/>
        <sz val="12"/>
        <color theme="1"/>
        <rFont val="Calibri"/>
        <family val="2"/>
      </rPr>
      <t>CH4,wwtp,y</t>
    </r>
  </si>
  <si>
    <r>
      <rPr>
        <sz val="12"/>
        <color theme="1"/>
        <rFont val="Calibri"/>
        <family val="2"/>
      </rPr>
      <t xml:space="preserve">Methane emissions from the aerobic wastewater treatment plant in year </t>
    </r>
    <r>
      <rPr>
        <i/>
        <sz val="12"/>
        <color theme="1"/>
        <rFont val="Calibri"/>
        <family val="2"/>
      </rPr>
      <t>y</t>
    </r>
    <r>
      <rPr>
        <sz val="12"/>
        <color theme="1"/>
        <rFont val="Calibri"/>
        <family val="2"/>
      </rPr>
      <t xml:space="preserve"> due to inadequate operation and/or overloading</t>
    </r>
  </si>
  <si>
    <r>
      <rPr>
        <sz val="12"/>
        <color theme="1"/>
        <rFont val="Calibri"/>
        <family val="2"/>
      </rPr>
      <t>OR</t>
    </r>
    <r>
      <rPr>
        <vertAlign val="subscript"/>
        <sz val="12"/>
        <color theme="1"/>
        <rFont val="Calibri"/>
        <family val="2"/>
      </rPr>
      <t>i</t>
    </r>
  </si>
  <si>
    <r>
      <rPr>
        <sz val="12"/>
        <color theme="1"/>
        <rFont val="Calibri"/>
        <family val="2"/>
      </rPr>
      <t xml:space="preserve">Oxidation ration, representing the ratio between organic matter in the output and organic matter in the input of the aerobic wastewater treatment plant in day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of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</si>
  <si>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theme="1"/>
        <rFont val="Calibri"/>
        <family val="2"/>
      </rPr>
      <t>PJ,WW,i</t>
    </r>
  </si>
  <si>
    <r>
      <rPr>
        <sz val="12"/>
        <color theme="1"/>
        <rFont val="Calibri"/>
        <family val="2"/>
      </rPr>
      <t xml:space="preserve">Quantity of chemical oxygen demand that enters the aerobic wastewater treatment plant in the project activity in the day </t>
    </r>
    <r>
      <rPr>
        <i/>
        <sz val="12"/>
        <color theme="1"/>
        <rFont val="Calibri"/>
        <family val="2"/>
      </rPr>
      <t xml:space="preserve">i </t>
    </r>
    <r>
      <rPr>
        <sz val="12"/>
        <color theme="1"/>
        <rFont val="Calibri"/>
        <family val="2"/>
      </rPr>
      <t>of year y</t>
    </r>
  </si>
  <si>
    <r>
      <rPr>
        <sz val="12"/>
        <color theme="1"/>
        <rFont val="Calibri"/>
        <family val="2"/>
      </rPr>
      <t>Q</t>
    </r>
    <r>
      <rPr>
        <vertAlign val="subscript"/>
        <sz val="12"/>
        <color theme="1"/>
        <rFont val="Calibri"/>
        <family val="2"/>
      </rPr>
      <t>PJ,ww,i</t>
    </r>
  </si>
  <si>
    <r>
      <rPr>
        <sz val="12"/>
        <color theme="1"/>
        <rFont val="Calibri"/>
        <family val="2"/>
      </rPr>
      <t>m</t>
    </r>
    <r>
      <rPr>
        <vertAlign val="superscript"/>
        <sz val="12"/>
        <color theme="1"/>
        <rFont val="Calibri"/>
        <family val="2"/>
      </rPr>
      <t>3</t>
    </r>
  </si>
  <si>
    <r>
      <rPr>
        <sz val="12"/>
        <color theme="1"/>
        <rFont val="Calibri"/>
        <family val="2"/>
      </rPr>
      <t xml:space="preserve">Quantity of wastewater that is treated in the aerobic wastewater treatment plant in the project activity in day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of year</t>
    </r>
    <r>
      <rPr>
        <i/>
        <sz val="12"/>
        <color theme="1"/>
        <rFont val="Calibri"/>
        <family val="2"/>
      </rPr>
      <t xml:space="preserve"> y</t>
    </r>
  </si>
  <si>
    <r>
      <rPr>
        <sz val="12"/>
        <color theme="1"/>
        <rFont val="Calibri"/>
        <family val="2"/>
      </rPr>
      <t>w</t>
    </r>
    <r>
      <rPr>
        <vertAlign val="subscript"/>
        <sz val="12"/>
        <color theme="1"/>
        <rFont val="Calibri"/>
        <family val="2"/>
      </rPr>
      <t>PJ,COD,ww,i</t>
    </r>
  </si>
  <si>
    <r>
      <rPr>
        <sz val="12"/>
        <color theme="1"/>
        <rFont val="Calibri"/>
        <family val="2"/>
      </rPr>
      <t>tCOD/m</t>
    </r>
    <r>
      <rPr>
        <vertAlign val="superscript"/>
        <sz val="12"/>
        <color theme="1"/>
        <rFont val="Calibri"/>
        <family val="2"/>
      </rPr>
      <t>3</t>
    </r>
  </si>
  <si>
    <r>
      <rPr>
        <sz val="12"/>
        <color theme="1"/>
        <rFont val="Calibri"/>
        <family val="2"/>
      </rPr>
      <t>Average chemical oxygen demand in the wastewater that is treated in the aerobic wastewater treatment plant in the project activity in day</t>
    </r>
    <r>
      <rPr>
        <i/>
        <sz val="12"/>
        <color theme="1"/>
        <rFont val="Calibri"/>
        <family val="2"/>
      </rPr>
      <t xml:space="preserve"> i</t>
    </r>
    <r>
      <rPr>
        <sz val="12"/>
        <color theme="1"/>
        <rFont val="Calibri"/>
        <family val="2"/>
      </rPr>
      <t xml:space="preserve"> of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</si>
  <si>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theme="1"/>
        <rFont val="Calibri"/>
        <family val="2"/>
      </rPr>
      <t>PJ,effl,i</t>
    </r>
  </si>
  <si>
    <r>
      <rPr>
        <sz val="12"/>
        <color theme="1"/>
        <rFont val="Calibri"/>
        <family val="2"/>
      </rPr>
      <t>Quantity of chemical oxygen demand in the effluent of the wastewater treatment plant in the project activity in the day</t>
    </r>
    <r>
      <rPr>
        <i/>
        <sz val="12"/>
        <color theme="1"/>
        <rFont val="Calibri"/>
        <family val="2"/>
      </rPr>
      <t xml:space="preserve"> i</t>
    </r>
    <r>
      <rPr>
        <sz val="12"/>
        <color theme="1"/>
        <rFont val="Calibri"/>
        <family val="2"/>
      </rPr>
      <t xml:space="preserve"> of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</si>
  <si>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Q</t>
    </r>
    <r>
      <rPr>
        <vertAlign val="subscript"/>
        <sz val="12"/>
        <color theme="1"/>
        <rFont val="Calibri"/>
        <family val="2"/>
      </rPr>
      <t>PJ,effl,i</t>
    </r>
  </si>
  <si>
    <r>
      <rPr>
        <sz val="12"/>
        <color theme="1"/>
        <rFont val="Calibri"/>
        <family val="2"/>
      </rPr>
      <t>Quantity of effluent that leaves the aerobic wastewater treatment plant in the project activity in day</t>
    </r>
    <r>
      <rPr>
        <i/>
        <sz val="12"/>
        <color theme="1"/>
        <rFont val="Calibri"/>
        <family val="2"/>
      </rPr>
      <t xml:space="preserve"> i</t>
    </r>
    <r>
      <rPr>
        <sz val="12"/>
        <color theme="1"/>
        <rFont val="Calibri"/>
        <family val="2"/>
      </rPr>
      <t xml:space="preserve"> of year</t>
    </r>
    <r>
      <rPr>
        <i/>
        <sz val="12"/>
        <color theme="1"/>
        <rFont val="Calibri"/>
        <family val="2"/>
      </rPr>
      <t xml:space="preserve"> y</t>
    </r>
  </si>
  <si>
    <r>
      <rPr>
        <sz val="12"/>
        <color theme="1"/>
        <rFont val="Calibri"/>
        <family val="2"/>
      </rPr>
      <t>w</t>
    </r>
    <r>
      <rPr>
        <vertAlign val="subscript"/>
        <sz val="12"/>
        <color theme="1"/>
        <rFont val="Calibri"/>
        <family val="2"/>
      </rPr>
      <t>PJ,COD,effl,i</t>
    </r>
  </si>
  <si>
    <r>
      <rPr>
        <sz val="12"/>
        <color theme="1"/>
        <rFont val="Calibri"/>
        <family val="2"/>
      </rPr>
      <t xml:space="preserve">Average chemical oxygen demand in the effluent that leaves the treatment plant after secondary treatment in the project activity in day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and month </t>
    </r>
    <r>
      <rPr>
        <i/>
        <sz val="12"/>
        <color theme="1"/>
        <rFont val="Calibri"/>
        <family val="2"/>
      </rPr>
      <t>m</t>
    </r>
  </si>
  <si>
    <r>
      <rPr>
        <sz val="12"/>
        <color theme="1"/>
        <rFont val="Calibri"/>
        <family val="2"/>
      </rPr>
      <t>GWP</t>
    </r>
    <r>
      <rPr>
        <vertAlign val="subscript"/>
        <sz val="12"/>
        <color theme="1"/>
        <rFont val="Calibri"/>
        <family val="2"/>
      </rPr>
      <t>CH4</t>
    </r>
  </si>
  <si>
    <r>
      <rPr>
        <sz val="12"/>
        <color theme="1"/>
        <rFont val="Calibri"/>
        <family val="2"/>
      </rPr>
      <t>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/tCH</t>
    </r>
    <r>
      <rPr>
        <vertAlign val="subscript"/>
        <sz val="12"/>
        <color theme="1"/>
        <rFont val="Calibri"/>
        <family val="2"/>
      </rPr>
      <t>4</t>
    </r>
  </si>
  <si>
    <t>IPCC Assessment Report - Climate Change 2013</t>
  </si>
  <si>
    <r>
      <rPr>
        <sz val="12"/>
        <color theme="1"/>
        <rFont val="Calibri"/>
        <family val="2"/>
      </rPr>
      <t>B</t>
    </r>
    <r>
      <rPr>
        <vertAlign val="subscript"/>
        <sz val="12"/>
        <color theme="1"/>
        <rFont val="Calibri"/>
        <family val="2"/>
      </rPr>
      <t>0</t>
    </r>
  </si>
  <si>
    <r>
      <rPr>
        <sz val="12"/>
        <color theme="1"/>
        <rFont val="Calibri"/>
        <family val="2"/>
      </rPr>
      <t>Maximum methane producing capacity of wastewater treated in the year y, expressing the maximum amount of CH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that can be produced from a given quantity of chemical oxygen demand</t>
    </r>
  </si>
  <si>
    <r>
      <rPr>
        <sz val="12"/>
        <color theme="1"/>
        <rFont val="Calibri"/>
        <family val="2"/>
      </rPr>
      <t>PE</t>
    </r>
    <r>
      <rPr>
        <vertAlign val="subscript"/>
        <sz val="12"/>
        <color theme="1"/>
        <rFont val="Calibri"/>
        <family val="2"/>
      </rPr>
      <t>CH4,effl,y</t>
    </r>
  </si>
  <si>
    <r>
      <rPr>
        <sz val="12"/>
        <color theme="1"/>
        <rFont val="Calibri"/>
        <family val="2"/>
      </rPr>
      <t xml:space="preserve">Methane emissions due to the presence of degradable organic carbon in the effluent from the aerobic wastewater treatment plant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</si>
  <si>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MCF</t>
    </r>
    <r>
      <rPr>
        <vertAlign val="subscript"/>
        <sz val="12"/>
        <color theme="1"/>
        <rFont val="Calibri"/>
        <family val="2"/>
      </rPr>
      <t>PJ,effl,y</t>
    </r>
  </si>
  <si>
    <r>
      <rPr>
        <sz val="12"/>
        <color theme="1"/>
        <rFont val="Calibri"/>
        <family val="2"/>
      </rPr>
      <t>Average methane conversion factor in year</t>
    </r>
    <r>
      <rPr>
        <i/>
        <sz val="12"/>
        <color theme="1"/>
        <rFont val="Calibri"/>
        <family val="2"/>
      </rPr>
      <t xml:space="preserve"> y</t>
    </r>
  </si>
  <si>
    <r>
      <rPr>
        <sz val="12"/>
        <color theme="1"/>
        <rFont val="Calibri"/>
        <family val="2"/>
      </rPr>
      <t>f</t>
    </r>
    <r>
      <rPr>
        <vertAlign val="subscript"/>
        <sz val="12"/>
        <color theme="1"/>
        <rFont val="Calibri"/>
        <family val="2"/>
      </rPr>
      <t>PJ,d,y</t>
    </r>
  </si>
  <si>
    <r>
      <rPr>
        <sz val="12"/>
        <color theme="1"/>
        <rFont val="Calibri"/>
        <family val="2"/>
      </rPr>
      <t>f</t>
    </r>
    <r>
      <rPr>
        <vertAlign val="subscript"/>
        <sz val="12"/>
        <color theme="1"/>
        <rFont val="Calibri"/>
        <family val="2"/>
      </rPr>
      <t>PJ,T,y</t>
    </r>
  </si>
  <si>
    <r>
      <rPr>
        <sz val="12"/>
        <color theme="1"/>
        <rFont val="Calibri"/>
        <family val="2"/>
      </rPr>
      <t xml:space="preserve">Factor expressing the influence of the temperature on methane generation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</si>
  <si>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f</t>
    </r>
    <r>
      <rPr>
        <vertAlign val="subscript"/>
        <sz val="12"/>
        <color theme="1"/>
        <rFont val="Calibri"/>
        <family val="2"/>
      </rPr>
      <t>T,m</t>
    </r>
  </si>
  <si>
    <r>
      <rPr>
        <sz val="12"/>
        <color theme="1"/>
        <rFont val="Calibri"/>
        <family val="2"/>
      </rPr>
      <t xml:space="preserve">Factor expressing the influence of the temperature on the methane generation in month </t>
    </r>
    <r>
      <rPr>
        <i/>
        <sz val="12"/>
        <color theme="1"/>
        <rFont val="Calibri"/>
        <family val="2"/>
      </rPr>
      <t>m</t>
    </r>
  </si>
  <si>
    <r>
      <rPr>
        <sz val="12"/>
        <color theme="1"/>
        <rFont val="Calibri"/>
        <family val="2"/>
      </rPr>
      <t>T</t>
    </r>
    <r>
      <rPr>
        <vertAlign val="subscript"/>
        <sz val="12"/>
        <color theme="1"/>
        <rFont val="Calibri"/>
        <family val="2"/>
      </rPr>
      <t>1</t>
    </r>
  </si>
  <si>
    <r>
      <rPr>
        <sz val="12"/>
        <color theme="1"/>
        <rFont val="Calibri"/>
        <family val="2"/>
      </rPr>
      <t>T</t>
    </r>
    <r>
      <rPr>
        <vertAlign val="subscript"/>
        <sz val="12"/>
        <color theme="1"/>
        <rFont val="Calibri"/>
        <family val="2"/>
      </rPr>
      <t>2,m</t>
    </r>
  </si>
  <si>
    <r>
      <rPr>
        <sz val="12"/>
        <color theme="1"/>
        <rFont val="Calibri"/>
        <family val="2"/>
      </rPr>
      <t xml:space="preserve">Average temperature at the project in month </t>
    </r>
    <r>
      <rPr>
        <i/>
        <sz val="12"/>
        <color theme="1"/>
        <rFont val="Calibri"/>
        <family val="2"/>
      </rPr>
      <t>m</t>
    </r>
  </si>
  <si>
    <r>
      <rPr>
        <sz val="12"/>
        <color theme="1"/>
        <rFont val="Calibri"/>
        <family val="2"/>
      </rPr>
      <t>COD</t>
    </r>
    <r>
      <rPr>
        <vertAlign val="subscript"/>
        <sz val="12"/>
        <color theme="1"/>
        <rFont val="Calibri"/>
        <family val="2"/>
      </rPr>
      <t>PL,available,m</t>
    </r>
  </si>
  <si>
    <r>
      <rPr>
        <sz val="12"/>
        <color theme="1"/>
        <rFont val="Calibri"/>
        <family val="2"/>
      </rPr>
      <t xml:space="preserve">Quantity of chemical oxygen demand in the effluent from the aerobic wastewater treatment plant available for degradation in month </t>
    </r>
    <r>
      <rPr>
        <i/>
        <sz val="12"/>
        <color theme="1"/>
        <rFont val="Calibri"/>
        <family val="2"/>
      </rPr>
      <t>m</t>
    </r>
  </si>
  <si>
    <t>2. Methane emissions from treatment of sludge</t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</si>
  <si>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CH4,sl,y</t>
    </r>
  </si>
  <si>
    <r>
      <rPr>
        <sz val="12"/>
        <color theme="1"/>
        <rFont val="Calibri"/>
        <family val="2"/>
      </rPr>
      <t xml:space="preserve">Methane emissions from treatment of sludge in the project activity in year </t>
    </r>
    <r>
      <rPr>
        <i/>
        <sz val="12"/>
        <color theme="1"/>
        <rFont val="Calibri"/>
        <family val="2"/>
      </rPr>
      <t>y</t>
    </r>
  </si>
  <si>
    <r>
      <rPr>
        <b/>
        <sz val="12"/>
        <color theme="1"/>
        <rFont val="Calibri"/>
        <family val="2"/>
      </rPr>
      <t>3. N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O emissions from treatment of sludge</t>
    </r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</si>
  <si>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N2O,sl,y</t>
    </r>
  </si>
  <si>
    <r>
      <rPr>
        <sz val="12"/>
        <color theme="1"/>
        <rFont val="Calibri"/>
        <family val="2"/>
      </rPr>
      <t>N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O emissions from treatment of sludge in the project activity in year </t>
    </r>
    <r>
      <rPr>
        <i/>
        <sz val="12"/>
        <color theme="1"/>
        <rFont val="Calibri"/>
        <family val="2"/>
      </rPr>
      <t>y</t>
    </r>
  </si>
  <si>
    <t>4. Project emissions from electricity consumption and combustion of fossil fuels</t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</si>
  <si>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EC,y</t>
    </r>
  </si>
  <si>
    <r>
      <rPr>
        <sz val="12"/>
        <color theme="1"/>
        <rFont val="Calibri"/>
        <family val="2"/>
      </rPr>
      <t xml:space="preserve">Project emissions from electricity consumption in year </t>
    </r>
    <r>
      <rPr>
        <i/>
        <sz val="12"/>
        <color theme="1"/>
        <rFont val="Calibri"/>
        <family val="2"/>
      </rPr>
      <t>y</t>
    </r>
  </si>
  <si>
    <t>Tool 05 Equation 1</t>
  </si>
  <si>
    <r>
      <rPr>
        <sz val="12"/>
        <color theme="1"/>
        <rFont val="Calibri"/>
        <family val="2"/>
      </rPr>
      <t>EC</t>
    </r>
    <r>
      <rPr>
        <vertAlign val="subscript"/>
        <sz val="12"/>
        <color theme="1"/>
        <rFont val="Calibri"/>
        <family val="2"/>
      </rPr>
      <t>PJ,j,y</t>
    </r>
  </si>
  <si>
    <t>MWh</t>
  </si>
  <si>
    <r>
      <rPr>
        <sz val="12"/>
        <color theme="1"/>
        <rFont val="Calibri"/>
        <family val="2"/>
      </rPr>
      <t xml:space="preserve">Quantity of electricity consumed by the project electricity consumption source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</si>
  <si>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TDL</t>
    </r>
    <r>
      <rPr>
        <vertAlign val="subscript"/>
        <sz val="12"/>
        <color theme="1"/>
        <rFont val="Calibri"/>
        <family val="2"/>
      </rPr>
      <t>j,y</t>
    </r>
    <r>
      <rPr>
        <sz val="12"/>
        <color theme="1"/>
        <rFont val="Calibri"/>
        <family val="2"/>
      </rPr>
      <t> </t>
    </r>
  </si>
  <si>
    <t>ratio</t>
  </si>
  <si>
    <r>
      <rPr>
        <sz val="12"/>
        <color theme="1"/>
        <rFont val="Calibri"/>
        <family val="2"/>
      </rPr>
      <t xml:space="preserve">Average technical transmission and distribution losses for providing electricity to source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year </t>
    </r>
    <r>
      <rPr>
        <i/>
        <sz val="12"/>
        <color theme="1"/>
        <rFont val="Calibri"/>
        <family val="2"/>
      </rPr>
      <t>y</t>
    </r>
  </si>
  <si>
    <t>Tool 05 P15</t>
  </si>
  <si>
    <r>
      <rPr>
        <sz val="12"/>
        <color theme="1"/>
        <rFont val="Calibri"/>
        <family val="2"/>
      </rPr>
      <t>EF</t>
    </r>
    <r>
      <rPr>
        <vertAlign val="subscript"/>
        <sz val="12"/>
        <color theme="1"/>
        <rFont val="Calibri"/>
        <family val="2"/>
      </rPr>
      <t>EF,j,y</t>
    </r>
  </si>
  <si>
    <r>
      <rPr>
        <sz val="12"/>
        <color theme="1"/>
        <rFont val="Calibri"/>
        <family val="2"/>
      </rPr>
      <t>tCO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/MWh</t>
    </r>
  </si>
  <si>
    <r>
      <rPr>
        <sz val="12"/>
        <color theme="1"/>
        <rFont val="Calibri"/>
        <family val="2"/>
      </rPr>
      <t xml:space="preserve">Emission factor for electricity generation for source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year </t>
    </r>
    <r>
      <rPr>
        <i/>
        <sz val="12"/>
        <color theme="1"/>
        <rFont val="Calibri"/>
        <family val="2"/>
      </rPr>
      <t>y</t>
    </r>
  </si>
  <si>
    <t>https://www.mee.gov.cn/ywgz/ydqhbh/wsqtkz/202012/W020201229610353340851.pdf</t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</si>
  <si>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FC,y</t>
    </r>
  </si>
  <si>
    <r>
      <rPr>
        <sz val="12"/>
        <color theme="1"/>
        <rFont val="Calibri"/>
        <family val="2"/>
      </rPr>
      <t>Project emissions from fossil fuel consumption in year</t>
    </r>
    <r>
      <rPr>
        <i/>
        <sz val="12"/>
        <color theme="1"/>
        <rFont val="Calibri"/>
        <family val="2"/>
      </rPr>
      <t xml:space="preserve"> y</t>
    </r>
  </si>
  <si>
    <t>No fossil fuel will be used in the project activity</t>
  </si>
  <si>
    <t>5. Project emissions from transportation of sludge</t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</si>
  <si>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TR,sl,y</t>
    </r>
  </si>
  <si>
    <r>
      <rPr>
        <sz val="12"/>
        <color theme="1"/>
        <rFont val="Calibri"/>
        <family val="2"/>
      </rP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emissions associated with transportation of sludge in the project activity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</si>
  <si>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N</t>
    </r>
    <r>
      <rPr>
        <vertAlign val="subscript"/>
        <sz val="12"/>
        <color theme="1"/>
        <rFont val="Calibri"/>
        <family val="2"/>
      </rPr>
      <t>PJ,i,y</t>
    </r>
  </si>
  <si>
    <r>
      <rPr>
        <sz val="12"/>
        <color theme="1"/>
        <rFont val="Calibri"/>
        <family val="2"/>
      </rPr>
      <t xml:space="preserve">Number of trips for transportation of the sludge that would have been produced in the project activity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</si>
  <si>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Q</t>
    </r>
    <r>
      <rPr>
        <vertAlign val="subscript"/>
        <sz val="12"/>
        <color theme="1"/>
        <rFont val="Calibri"/>
        <family val="2"/>
      </rPr>
      <t>PJ,sl,y</t>
    </r>
  </si>
  <si>
    <r>
      <rPr>
        <sz val="12"/>
        <color theme="1"/>
        <rFont val="Calibri"/>
        <family val="2"/>
      </rPr>
      <t xml:space="preserve">Quantity of sludge that would have been produced and treated in the project activity in the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</si>
  <si>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q</t>
    </r>
    <r>
      <rPr>
        <vertAlign val="subscript"/>
        <sz val="12"/>
        <color theme="1"/>
        <rFont val="Calibri"/>
        <family val="2"/>
      </rPr>
      <t>PJ,i</t>
    </r>
  </si>
  <si>
    <r>
      <rPr>
        <sz val="12"/>
        <color theme="1"/>
        <rFont val="Calibri"/>
        <family val="2"/>
      </rPr>
      <t>D</t>
    </r>
    <r>
      <rPr>
        <vertAlign val="subscript"/>
        <sz val="12"/>
        <color theme="1"/>
        <rFont val="Calibri"/>
        <family val="2"/>
      </rPr>
      <t>PJ,i,y</t>
    </r>
  </si>
  <si>
    <r>
      <rPr>
        <sz val="12"/>
        <color theme="1"/>
        <rFont val="Calibri"/>
        <family val="2"/>
      </rPr>
      <t xml:space="preserve">Average distance per trip, that would have been travelled by the transportation vehicle of type </t>
    </r>
    <r>
      <rPr>
        <i/>
        <sz val="12"/>
        <color theme="1"/>
        <rFont val="Calibri"/>
        <family val="2"/>
      </rPr>
      <t xml:space="preserve">i </t>
    </r>
    <r>
      <rPr>
        <sz val="12"/>
        <color theme="1"/>
        <rFont val="Calibri"/>
        <family val="2"/>
      </rPr>
      <t xml:space="preserve">for transportation of sludge in the project activity in year </t>
    </r>
    <r>
      <rPr>
        <i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</si>
  <si>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F</t>
    </r>
    <r>
      <rPr>
        <vertAlign val="subscript"/>
        <sz val="12"/>
        <color theme="1"/>
        <rFont val="Calibri"/>
        <family val="2"/>
      </rPr>
      <t>PJ,i,y</t>
    </r>
  </si>
  <si>
    <r>
      <rPr>
        <sz val="12"/>
        <color theme="1"/>
        <rFont val="Calibri"/>
        <family val="2"/>
      </rPr>
      <t>NCV</t>
    </r>
    <r>
      <rPr>
        <vertAlign val="subscript"/>
        <sz val="12"/>
        <color theme="1"/>
        <rFont val="Calibri"/>
        <family val="2"/>
      </rPr>
      <t>PJ,j,y</t>
    </r>
  </si>
  <si>
    <r>
      <rPr>
        <sz val="12"/>
        <color theme="1"/>
        <rFont val="Calibri"/>
        <family val="2"/>
      </rPr>
      <t>EF</t>
    </r>
    <r>
      <rPr>
        <vertAlign val="subscript"/>
        <sz val="12"/>
        <color theme="1"/>
        <rFont val="Calibri"/>
        <family val="2"/>
      </rPr>
      <t>PJ,j,y</t>
    </r>
  </si>
  <si>
    <r>
      <rPr>
        <b/>
        <sz val="12"/>
        <color theme="1"/>
        <rFont val="Calibri"/>
        <family val="2"/>
      </rPr>
      <t>PE</t>
    </r>
    <r>
      <rPr>
        <b/>
        <vertAlign val="subscript"/>
        <sz val="12"/>
        <color theme="1"/>
        <rFont val="Calibri"/>
        <family val="2"/>
      </rPr>
      <t>y</t>
    </r>
  </si>
  <si>
    <r>
      <rPr>
        <sz val="12"/>
        <color theme="1"/>
        <rFont val="Calibri"/>
        <family val="2"/>
      </rPr>
      <t>Project emissions in year</t>
    </r>
    <r>
      <rPr>
        <i/>
        <sz val="12"/>
        <color theme="1"/>
        <rFont val="Calibri"/>
        <family val="2"/>
      </rPr>
      <t xml:space="preserve"> y</t>
    </r>
  </si>
  <si>
    <t>Year</t>
  </si>
  <si>
    <r>
      <rPr>
        <b/>
        <sz val="12"/>
        <color theme="1"/>
        <rFont val="Calibri"/>
        <family val="2"/>
      </rPr>
      <t>BE</t>
    </r>
    <r>
      <rPr>
        <b/>
        <vertAlign val="subscript"/>
        <sz val="12"/>
        <color theme="1"/>
        <rFont val="Calibri"/>
        <family val="2"/>
      </rPr>
      <t>y</t>
    </r>
    <r>
      <rPr>
        <b/>
        <sz val="12"/>
        <color theme="1"/>
        <rFont val="Calibri"/>
        <family val="2"/>
      </rPr>
      <t xml:space="preserve"> (t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e)</t>
    </r>
  </si>
  <si>
    <r>
      <rPr>
        <b/>
        <sz val="12"/>
        <color theme="1"/>
        <rFont val="Calibri"/>
        <family val="2"/>
      </rPr>
      <t>PEy (t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e)</t>
    </r>
  </si>
  <si>
    <r>
      <rPr>
        <b/>
        <sz val="12"/>
        <color theme="1"/>
        <rFont val="Calibri"/>
        <family val="2"/>
      </rPr>
      <t>LE</t>
    </r>
    <r>
      <rPr>
        <b/>
        <vertAlign val="subscript"/>
        <sz val="12"/>
        <color theme="1"/>
        <rFont val="Calibri"/>
        <family val="2"/>
      </rPr>
      <t>y</t>
    </r>
    <r>
      <rPr>
        <b/>
        <sz val="12"/>
        <color theme="1"/>
        <rFont val="Calibri"/>
        <family val="2"/>
      </rPr>
      <t xml:space="preserve"> (t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e)</t>
    </r>
  </si>
  <si>
    <r>
      <rPr>
        <b/>
        <sz val="12"/>
        <color theme="1"/>
        <rFont val="Calibri"/>
        <family val="2"/>
      </rPr>
      <t>ER</t>
    </r>
    <r>
      <rPr>
        <b/>
        <vertAlign val="subscript"/>
        <sz val="12"/>
        <color theme="1"/>
        <rFont val="Calibri"/>
        <family val="2"/>
      </rPr>
      <t>y</t>
    </r>
    <r>
      <rPr>
        <b/>
        <sz val="12"/>
        <color theme="1"/>
        <rFont val="Calibri"/>
        <family val="2"/>
      </rPr>
      <t xml:space="preserve"> (t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e)</t>
    </r>
  </si>
  <si>
    <r>
      <rPr>
        <b/>
        <sz val="12"/>
        <color theme="1"/>
        <rFont val="Calibri"/>
        <family val="2"/>
      </rPr>
      <t>Total (t CO</t>
    </r>
    <r>
      <rPr>
        <b/>
        <vertAlign val="sub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e)</t>
    </r>
  </si>
  <si>
    <r>
      <t xml:space="preserve">Quantity of Chemical Oxygen Demand that is treated in the aerobic wastewater treatment plant in the project activity in year </t>
    </r>
    <r>
      <rPr>
        <i/>
        <sz val="12"/>
        <color indexed="8"/>
        <rFont val="Calibri"/>
        <family val="2"/>
      </rPr>
      <t>y</t>
    </r>
    <phoneticPr fontId="24" type="noConversion"/>
  </si>
  <si>
    <r>
      <t>m</t>
    </r>
    <r>
      <rPr>
        <vertAlign val="superscript"/>
        <sz val="12"/>
        <rFont val="Calibri"/>
        <family val="2"/>
      </rPr>
      <t>3/</t>
    </r>
    <r>
      <rPr>
        <sz val="12"/>
        <rFont val="Calibri"/>
        <family val="2"/>
      </rPr>
      <t>d</t>
    </r>
    <phoneticPr fontId="24" type="noConversion"/>
  </si>
  <si>
    <r>
      <t>tCO</t>
    </r>
    <r>
      <rPr>
        <vertAlign val="subscript"/>
        <sz val="12"/>
        <rFont val="Calibri"/>
        <family val="2"/>
      </rPr>
      <t>2</t>
    </r>
    <r>
      <rPr>
        <sz val="12"/>
        <rFont val="Calibri"/>
        <family val="2"/>
      </rPr>
      <t>/tCH</t>
    </r>
    <r>
      <rPr>
        <vertAlign val="subscript"/>
        <sz val="12"/>
        <rFont val="Calibri"/>
        <family val="2"/>
      </rPr>
      <t>4</t>
    </r>
    <phoneticPr fontId="24" type="noConversion"/>
  </si>
  <si>
    <r>
      <t>tCH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/tCOD</t>
    </r>
    <phoneticPr fontId="24" type="noConversion"/>
  </si>
  <si>
    <t>tCOD/year</t>
    <phoneticPr fontId="24" type="noConversion"/>
  </si>
  <si>
    <t>tCOD</t>
    <phoneticPr fontId="24" type="noConversion"/>
  </si>
  <si>
    <t>tCOD/y</t>
    <phoneticPr fontId="24" type="noConversion"/>
  </si>
  <si>
    <r>
      <t>m</t>
    </r>
    <r>
      <rPr>
        <vertAlign val="superscript"/>
        <sz val="12"/>
        <rFont val="Calibri"/>
        <family val="2"/>
      </rPr>
      <t>3</t>
    </r>
    <phoneticPr fontId="24" type="noConversion"/>
  </si>
  <si>
    <t>mg/L</t>
    <phoneticPr fontId="24" type="noConversion"/>
  </si>
  <si>
    <r>
      <t>tCOD/m</t>
    </r>
    <r>
      <rPr>
        <vertAlign val="superscript"/>
        <sz val="12"/>
        <rFont val="Calibri"/>
        <family val="2"/>
      </rPr>
      <t>3</t>
    </r>
    <phoneticPr fontId="24" type="noConversion"/>
  </si>
  <si>
    <t>Fraction</t>
    <phoneticPr fontId="24" type="noConversion"/>
  </si>
  <si>
    <t>cal/mol</t>
    <phoneticPr fontId="24" type="noConversion"/>
  </si>
  <si>
    <t>K</t>
    <phoneticPr fontId="24" type="noConversion"/>
  </si>
  <si>
    <t>cal/K.mol</t>
    <phoneticPr fontId="24" type="noConversion"/>
  </si>
  <si>
    <t>IPCC Fifth Assessment Report - Climate Change 2014</t>
    <phoneticPr fontId="24" type="noConversion"/>
  </si>
  <si>
    <t>Maximum design influent flow</t>
    <phoneticPr fontId="24" type="noConversion"/>
  </si>
  <si>
    <t>FSR</t>
    <phoneticPr fontId="24" type="noConversion"/>
  </si>
  <si>
    <r>
      <t>N</t>
    </r>
    <r>
      <rPr>
        <vertAlign val="subscript"/>
        <sz val="12"/>
        <color theme="1"/>
        <rFont val="Calibri"/>
        <family val="2"/>
      </rPr>
      <t>BL,i,y</t>
    </r>
    <phoneticPr fontId="24" type="noConversion"/>
  </si>
  <si>
    <r>
      <t>Q</t>
    </r>
    <r>
      <rPr>
        <vertAlign val="subscript"/>
        <sz val="12"/>
        <color theme="1"/>
        <rFont val="Calibri"/>
        <family val="2"/>
      </rPr>
      <t>BL,sl,y</t>
    </r>
    <phoneticPr fontId="24" type="noConversion"/>
  </si>
  <si>
    <r>
      <t>q</t>
    </r>
    <r>
      <rPr>
        <vertAlign val="subscript"/>
        <sz val="12"/>
        <color theme="1"/>
        <rFont val="Calibri"/>
        <family val="2"/>
      </rPr>
      <t>BL,i</t>
    </r>
    <phoneticPr fontId="24" type="noConversion"/>
  </si>
  <si>
    <r>
      <t>D</t>
    </r>
    <r>
      <rPr>
        <vertAlign val="subscript"/>
        <sz val="12"/>
        <color theme="1"/>
        <rFont val="Calibri"/>
        <family val="2"/>
      </rPr>
      <t>BL,i,y</t>
    </r>
    <phoneticPr fontId="24" type="noConversion"/>
  </si>
  <si>
    <r>
      <t>F</t>
    </r>
    <r>
      <rPr>
        <vertAlign val="subscript"/>
        <sz val="12"/>
        <color theme="1"/>
        <rFont val="Calibri"/>
        <family val="2"/>
      </rPr>
      <t>BL,i,y</t>
    </r>
    <phoneticPr fontId="24" type="noConversion"/>
  </si>
  <si>
    <t>Density of diesel</t>
    <phoneticPr fontId="24" type="noConversion"/>
  </si>
  <si>
    <r>
      <t>NCV</t>
    </r>
    <r>
      <rPr>
        <vertAlign val="subscript"/>
        <sz val="12"/>
        <color theme="1"/>
        <rFont val="Calibri"/>
        <family val="2"/>
      </rPr>
      <t>BL,j,y</t>
    </r>
    <phoneticPr fontId="24" type="noConversion"/>
  </si>
  <si>
    <r>
      <t>EF</t>
    </r>
    <r>
      <rPr>
        <vertAlign val="subscript"/>
        <sz val="12"/>
        <color theme="1"/>
        <rFont val="Calibri"/>
        <family val="2"/>
      </rPr>
      <t>BL,j,y</t>
    </r>
    <phoneticPr fontId="24" type="noConversion"/>
  </si>
  <si>
    <t>Page15, https://www.ndrc.gov.cn/xxgk/zcfb/tz/201511/W020190905506438255108.pdf</t>
    <phoneticPr fontId="24" type="noConversion"/>
  </si>
  <si>
    <t>01/01/2021-31/12/2021</t>
    <phoneticPr fontId="24" type="noConversion"/>
  </si>
  <si>
    <t>01/01/2022-31/12/2022</t>
    <phoneticPr fontId="24" type="noConversion"/>
  </si>
  <si>
    <t>01/01/2023-31/12/2023</t>
    <phoneticPr fontId="24" type="noConversion"/>
  </si>
  <si>
    <t>01/01/2024-31/12/2024</t>
    <phoneticPr fontId="24" type="noConversion"/>
  </si>
  <si>
    <t>01/01/2025-31/12/2025</t>
    <phoneticPr fontId="24" type="noConversion"/>
  </si>
  <si>
    <t>01/01/2026-31/12/2026</t>
    <phoneticPr fontId="24" type="noConversion"/>
  </si>
  <si>
    <t>01/01/2027-31/12/2027</t>
    <phoneticPr fontId="24" type="noConversion"/>
  </si>
  <si>
    <t>01/01/2028-31/12/2028</t>
    <phoneticPr fontId="24" type="noConversion"/>
  </si>
  <si>
    <t>01/01/2029-31/12/2029</t>
    <phoneticPr fontId="24" type="noConversion"/>
  </si>
  <si>
    <t>Fraction</t>
    <phoneticPr fontId="24" type="noConversion"/>
  </si>
  <si>
    <t>Yunshui Wastewater Treatment Plant Project in Guangdong Province</t>
  </si>
  <si>
    <t>Yunshui Guangdong Environmental Protection Co., Ltd.</t>
  </si>
  <si>
    <t>1.Xuwen County</t>
    <phoneticPr fontId="24" type="noConversion"/>
  </si>
  <si>
    <t>2. Xinyi City</t>
    <phoneticPr fontId="24" type="noConversion"/>
  </si>
  <si>
    <t>2.1 Xinyi City Dinbao Town wastewater treatment Plant</t>
    <phoneticPr fontId="24" type="noConversion"/>
  </si>
  <si>
    <t>2.2 Xinyi City Qianpai Town wastewater treatment Plant</t>
    <phoneticPr fontId="24" type="noConversion"/>
  </si>
  <si>
    <t>3. Jieyang City</t>
    <phoneticPr fontId="24" type="noConversion"/>
  </si>
  <si>
    <t>3.3 Shangsha Town wastewater Treatment Plant, Jiexi County, Jieyang City</t>
    <phoneticPr fontId="24" type="noConversion"/>
  </si>
  <si>
    <t>4. Luoding City (Luoding Fourth Domestic wastewater Treatment Plant)</t>
    <phoneticPr fontId="24" type="noConversion"/>
  </si>
  <si>
    <t>5. Qingyuan</t>
    <phoneticPr fontId="24" type="noConversion"/>
  </si>
  <si>
    <t>5.1 Shitan Town wastewater Treatment Plant</t>
    <phoneticPr fontId="24" type="noConversion"/>
  </si>
  <si>
    <t>5.2 Litan Town wastewater Treatment Plant</t>
    <phoneticPr fontId="24" type="noConversion"/>
  </si>
  <si>
    <t>6. Yingde city</t>
    <phoneticPr fontId="24" type="noConversion"/>
  </si>
  <si>
    <t>6.1 jiulong Town wastewater Treatment Plant</t>
    <phoneticPr fontId="24" type="noConversion"/>
  </si>
  <si>
    <t>6.2 Shakou Town wastewater Treatment Plant</t>
    <phoneticPr fontId="24" type="noConversion"/>
  </si>
  <si>
    <t>7. Shanwei city</t>
  </si>
  <si>
    <t>7.1 Bomei Town wastewater Treatment Plant</t>
    <phoneticPr fontId="24" type="noConversion"/>
  </si>
  <si>
    <t>3.4 Baita Town wastewater Treatment Plant, Jiedong District, Jieyang City</t>
    <phoneticPr fontId="24" type="noConversion"/>
  </si>
  <si>
    <t>1.1 Xiaqiao Town wastewater Treatment Plant</t>
    <phoneticPr fontId="24" type="noConversion"/>
  </si>
  <si>
    <t>1.2 Qujie Town wastewater Treatment Plant</t>
    <phoneticPr fontId="24" type="noConversion"/>
  </si>
  <si>
    <t>7.3 Chikeng Town wastewater Treatment Plant</t>
    <phoneticPr fontId="24" type="noConversion"/>
  </si>
  <si>
    <r>
      <t xml:space="preserve">Quantity of wastewater that is treated in the aerobic wastewater treatment plant in the project activity in day </t>
    </r>
    <r>
      <rPr>
        <i/>
        <sz val="12"/>
        <color theme="1"/>
        <rFont val="Calibri"/>
        <family val="2"/>
      </rPr>
      <t>i</t>
    </r>
    <r>
      <rPr>
        <sz val="12"/>
        <color theme="1"/>
        <rFont val="Calibri"/>
        <family val="2"/>
      </rPr>
      <t xml:space="preserve"> of year</t>
    </r>
    <r>
      <rPr>
        <i/>
        <sz val="12"/>
        <color theme="1"/>
        <rFont val="Calibri"/>
        <family val="2"/>
      </rPr>
      <t xml:space="preserve"> y</t>
    </r>
    <phoneticPr fontId="24" type="noConversion"/>
  </si>
  <si>
    <r>
      <t>COD</t>
    </r>
    <r>
      <rPr>
        <vertAlign val="subscript"/>
        <sz val="12"/>
        <color theme="1"/>
        <rFont val="Calibri"/>
        <family val="2"/>
      </rPr>
      <t>PJ,WW,i</t>
    </r>
    <phoneticPr fontId="24" type="noConversion"/>
  </si>
  <si>
    <r>
      <t>Q</t>
    </r>
    <r>
      <rPr>
        <vertAlign val="subscript"/>
        <sz val="12"/>
        <color theme="1"/>
        <rFont val="Calibri"/>
        <family val="2"/>
      </rPr>
      <t>PJ,effl,i</t>
    </r>
    <phoneticPr fontId="24" type="noConversion"/>
  </si>
  <si>
    <t>https://m.tianqi.com/qiwen/city_zhanjiang/</t>
    <phoneticPr fontId="24" type="noConversion"/>
  </si>
  <si>
    <t>https://m.tianqi.com/qiwen/city_jieyang/</t>
    <phoneticPr fontId="24" type="noConversion"/>
  </si>
  <si>
    <t>https://m.tianqi.com/qiwen/city_Jieyang/</t>
    <phoneticPr fontId="24" type="noConversion"/>
  </si>
  <si>
    <t>https://m.tianqi.com/qiwen/city_qingyuan3/</t>
    <phoneticPr fontId="24" type="noConversion"/>
  </si>
  <si>
    <t>https://m.tianqi.com/qiwen/city_yingde/</t>
    <phoneticPr fontId="24" type="noConversion"/>
  </si>
  <si>
    <t>https://m.tianqi.com/qiwen/city_Shanwei/</t>
    <phoneticPr fontId="24" type="noConversion"/>
  </si>
  <si>
    <t>3.1 Xianqiao South Wastewater Treatment Plant, Rongcheng District, Jieyang City</t>
    <phoneticPr fontId="24" type="noConversion"/>
  </si>
  <si>
    <t>https://m.tianqi.com/qiwen/city_zhanjiang/</t>
    <phoneticPr fontId="24" type="noConversion"/>
  </si>
  <si>
    <t>https://m.tianqi.com/qiwen/city_xinyi1/</t>
    <phoneticPr fontId="24" type="noConversion"/>
  </si>
  <si>
    <t>https://m.tianqi.com/qiwen/city_luoding/</t>
    <phoneticPr fontId="24" type="noConversion"/>
  </si>
  <si>
    <t>https://m.tianqi.com/qiwen/city_xinyi1/</t>
    <phoneticPr fontId="24" type="noConversion"/>
  </si>
  <si>
    <t>https://m.tianqi.com/qiwen/city_jieyang/</t>
    <phoneticPr fontId="24" type="noConversion"/>
  </si>
  <si>
    <t>https://m.tianqi.com/qiwen/city_Jieyang/</t>
    <phoneticPr fontId="24" type="noConversion"/>
  </si>
  <si>
    <t>https://m.tianqi.com/qiwen/city_luoding/</t>
    <phoneticPr fontId="24" type="noConversion"/>
  </si>
  <si>
    <t>https://m.tianqi.com/qiwen/city_qingyuan3/</t>
    <phoneticPr fontId="24" type="noConversion"/>
  </si>
  <si>
    <t>https://m.tianqi.com/qiwen/city_yingde/</t>
    <phoneticPr fontId="24" type="noConversion"/>
  </si>
  <si>
    <t>https://m.tianqi.com/qiwen/city_Shanwei/</t>
    <phoneticPr fontId="24" type="noConversion"/>
  </si>
  <si>
    <t>Qujie Town wastewater Treatment Plant</t>
    <phoneticPr fontId="24" type="noConversion"/>
  </si>
  <si>
    <t>Xinyi City Dinbao Town wastewater treatment Plant</t>
    <phoneticPr fontId="24" type="noConversion"/>
  </si>
  <si>
    <t>Xinyi City Qianpai Town wastewater treatment Plant</t>
    <phoneticPr fontId="24" type="noConversion"/>
  </si>
  <si>
    <t>Xianqiao South Wastewater Treatment Plant</t>
    <phoneticPr fontId="24" type="noConversion"/>
  </si>
  <si>
    <t>3.2 Qiankeng Town North wastewater Plant, Jiexi County, Jieyang City</t>
    <phoneticPr fontId="24" type="noConversion"/>
  </si>
  <si>
    <t>Qiankeng Town North wastewater Plant</t>
    <phoneticPr fontId="24" type="noConversion"/>
  </si>
  <si>
    <t>Shangsha Town wastewater Treatment Plant</t>
    <phoneticPr fontId="24" type="noConversion"/>
  </si>
  <si>
    <t>Baita Town wastewater Treatment Plant</t>
    <phoneticPr fontId="24" type="noConversion"/>
  </si>
  <si>
    <t>Luoding Fourth Domestic wastewater Treatment Plant</t>
    <phoneticPr fontId="24" type="noConversion"/>
  </si>
  <si>
    <t>Shitan Town wastewater Treatment Plant</t>
    <phoneticPr fontId="24" type="noConversion"/>
  </si>
  <si>
    <t>Litan Town wastewater Treatment Plant</t>
    <phoneticPr fontId="24" type="noConversion"/>
  </si>
  <si>
    <t>jiulong Town wastewater Treatment Plant</t>
    <phoneticPr fontId="24" type="noConversion"/>
  </si>
  <si>
    <t>Shakou Town wastewater Treatment Plant</t>
    <phoneticPr fontId="24" type="noConversion"/>
  </si>
  <si>
    <t>7.2 Nantang Town wastewater Treatment Plant</t>
    <phoneticPr fontId="24" type="noConversion"/>
  </si>
  <si>
    <t>Nantang Town wastewater Treatment Plant</t>
    <phoneticPr fontId="24" type="noConversion"/>
  </si>
  <si>
    <t>Chikeng Town wastewater Treatment Plant</t>
    <phoneticPr fontId="24" type="noConversion"/>
  </si>
  <si>
    <t>Xiaqiao Town wastewater Treatment Plant</t>
    <phoneticPr fontId="24" type="noConversion"/>
  </si>
  <si>
    <t>03/09/2020-31/12/2020</t>
    <phoneticPr fontId="24" type="noConversion"/>
  </si>
  <si>
    <t>01/01/2030-02/09/2030</t>
    <phoneticPr fontId="24" type="noConversion"/>
  </si>
  <si>
    <t>05/09/2020-31/12/2020</t>
    <phoneticPr fontId="24" type="noConversion"/>
  </si>
  <si>
    <t>08/09/2020-31/12/2020</t>
    <phoneticPr fontId="24" type="noConversion"/>
  </si>
  <si>
    <t>06/09/2020-31/12/2020</t>
    <phoneticPr fontId="24" type="noConversion"/>
  </si>
  <si>
    <t>13/09/2020-31/12/2020</t>
    <phoneticPr fontId="24" type="noConversion"/>
  </si>
  <si>
    <t>10/09/2020-31/12/2020</t>
    <phoneticPr fontId="24" type="noConversion"/>
  </si>
  <si>
    <t>14/09/2020-31/12/2020</t>
    <phoneticPr fontId="24" type="noConversion"/>
  </si>
  <si>
    <t>15/09/2020-31/12/2020</t>
    <phoneticPr fontId="24" type="noConversion"/>
  </si>
  <si>
    <t>09/09/2020-31/12/2020</t>
    <phoneticPr fontId="24" type="noConversion"/>
  </si>
  <si>
    <t>12/09/2020-31/12/2020</t>
    <phoneticPr fontId="24" type="noConversion"/>
  </si>
  <si>
    <t>11/09/2020-31/12/2020</t>
    <phoneticPr fontId="24" type="noConversion"/>
  </si>
  <si>
    <t>18/09/2020-31/12/2020</t>
    <phoneticPr fontId="24" type="noConversion"/>
  </si>
  <si>
    <t>20/09/2020-31/12/2020</t>
    <phoneticPr fontId="24" type="noConversion"/>
  </si>
  <si>
    <t>Total Emission Reduction</t>
    <phoneticPr fontId="24" type="noConversion"/>
  </si>
  <si>
    <t xml:space="preserve"> Bomei Town wastewater Treatment Plant</t>
    <phoneticPr fontId="24" type="noConversion"/>
  </si>
  <si>
    <t>7.2 Nantang Town wastewater Treatment Plant</t>
    <phoneticPr fontId="24" type="noConversion"/>
  </si>
  <si>
    <r>
      <t>Quantity of effluent that leaves the aerobic wastewater treatment plant in the project activity in day</t>
    </r>
    <r>
      <rPr>
        <i/>
        <sz val="12"/>
        <color theme="1"/>
        <rFont val="Calibri"/>
        <family val="2"/>
      </rPr>
      <t xml:space="preserve"> i</t>
    </r>
    <r>
      <rPr>
        <sz val="12"/>
        <color theme="1"/>
        <rFont val="Calibri"/>
        <family val="2"/>
      </rPr>
      <t xml:space="preserve"> of year</t>
    </r>
    <r>
      <rPr>
        <i/>
        <sz val="12"/>
        <color theme="1"/>
        <rFont val="Calibri"/>
        <family val="2"/>
      </rPr>
      <t xml:space="preserve"> y</t>
    </r>
    <phoneticPr fontId="24" type="noConversion"/>
  </si>
  <si>
    <r>
      <t>COD</t>
    </r>
    <r>
      <rPr>
        <vertAlign val="subscript"/>
        <sz val="12"/>
        <color indexed="8"/>
        <rFont val="Calibri"/>
        <family val="2"/>
      </rPr>
      <t>BL,out,x</t>
    </r>
    <phoneticPr fontId="24" type="noConversion"/>
  </si>
  <si>
    <r>
      <t xml:space="preserve">COD of the effluent of open lagoons in the baseline scenario in the period </t>
    </r>
    <r>
      <rPr>
        <i/>
        <sz val="12"/>
        <color indexed="8"/>
        <rFont val="Calibri"/>
        <family val="2"/>
      </rPr>
      <t>x</t>
    </r>
    <phoneticPr fontId="24" type="noConversion"/>
  </si>
  <si>
    <r>
      <t xml:space="preserve">COD directed to open lagoons in the baseline scenario in the period </t>
    </r>
    <r>
      <rPr>
        <i/>
        <sz val="12"/>
        <color indexed="8"/>
        <rFont val="Calibri"/>
        <family val="2"/>
      </rPr>
      <t>x</t>
    </r>
    <phoneticPr fontId="24" type="noConversion"/>
  </si>
  <si>
    <r>
      <t>COD</t>
    </r>
    <r>
      <rPr>
        <vertAlign val="subscript"/>
        <sz val="12"/>
        <color indexed="8"/>
        <rFont val="Calibri"/>
        <family val="2"/>
      </rPr>
      <t>BL,in,x</t>
    </r>
    <phoneticPr fontId="24" type="noConversion"/>
  </si>
  <si>
    <t>Historical data on site in the FSR (It was calculated with conservative value)</t>
    <phoneticPr fontId="24" type="noConversion"/>
  </si>
  <si>
    <t>Historical data on site in the FSR</t>
  </si>
  <si>
    <r>
      <t>Convert the influent COD concentration in mg/l to tCOD/m</t>
    </r>
    <r>
      <rPr>
        <vertAlign val="superscript"/>
        <sz val="12"/>
        <color theme="1"/>
        <rFont val="Calibri"/>
        <family val="2"/>
      </rPr>
      <t>3</t>
    </r>
    <phoneticPr fontId="24" type="noConversion"/>
  </si>
  <si>
    <r>
      <t>Convert the effluent COD concentration in mg/l to tCOD/m</t>
    </r>
    <r>
      <rPr>
        <vertAlign val="superscript"/>
        <sz val="12"/>
        <color theme="1"/>
        <rFont val="Calibri"/>
        <family val="2"/>
      </rPr>
      <t>3</t>
    </r>
  </si>
  <si>
    <t>Multiply daily design influent flow by days in month</t>
    <phoneticPr fontId="24" type="noConversion"/>
  </si>
  <si>
    <t>Historical data on site in baseline survey report</t>
  </si>
  <si>
    <t>Historical data on site in baseline survey report</t>
    <phoneticPr fontId="24" type="noConversion"/>
  </si>
  <si>
    <t xml:space="preserve">On-site measurements available in FSR </t>
  </si>
  <si>
    <r>
      <t xml:space="preserve">Table 1 in Guidelines for Accounting Methods and Reporting of Greenhouse Gas Emissions of Transportation Enterprises (Diesel, </t>
    </r>
    <r>
      <rPr>
        <sz val="12"/>
        <color theme="1"/>
        <rFont val="宋体"/>
        <family val="3"/>
        <charset val="134"/>
      </rPr>
      <t>＞</t>
    </r>
    <r>
      <rPr>
        <sz val="12"/>
        <color theme="1"/>
        <rFont val="Calibri"/>
        <family val="2"/>
      </rPr>
      <t xml:space="preserve">4 tonne </t>
    </r>
    <r>
      <rPr>
        <sz val="12"/>
        <color theme="1"/>
        <rFont val="宋体"/>
        <family val="3"/>
        <charset val="134"/>
      </rPr>
      <t>＜</t>
    </r>
    <r>
      <rPr>
        <sz val="12"/>
        <color theme="1"/>
        <rFont val="Calibri"/>
        <family val="2"/>
      </rPr>
      <t>8 tonne)  (https://www.ndrc.gov.cn/xxgk/zcfb/tz/201511/W020190905506438255108.pdf)</t>
    </r>
    <phoneticPr fontId="24" type="noConversion"/>
  </si>
  <si>
    <t xml:space="preserve">Table 2 in Guidelines for Accounting Methods and Reporting of Greenhouse Gas Emissions of Transportation Enterprises (Diesel) (https://www.ndrc.gov.cn/xxgk/zcfb/tz/201511/W020190905506438255108.pdf)  </t>
    <phoneticPr fontId="24" type="noConversion"/>
  </si>
  <si>
    <t>As per baseline survey report, historical data available on-sit was also from Table 3.2.1 of Chapter 3 in Volume 2 of IPCC</t>
  </si>
  <si>
    <t>As per baseline survey report, historical data available on-sit was also from Table 3.2.1 of Chapter 3 in Volume 2 of IPCC</t>
    <phoneticPr fontId="24" type="noConversion"/>
  </si>
  <si>
    <t xml:space="preserve">As per baseline survey report, historical data available on-sit was also from Table 2 in Guidelines for Accounting Methods and Reporting of Greenhouse Gas Emissions of Transportation Enterprises (Diesel) (https://www.ndrc.gov.cn/xxgk/zcfb/tz/201511/W020190905506438255108.pdf)  </t>
  </si>
  <si>
    <t xml:space="preserve">As per baseline survey report, historical data available on-sit was also from Table 2 in Guidelines for Accounting Methods and Reporting of Greenhouse Gas Emissions of Transportation Enterprises (Diesel) (https://www.ndrc.gov.cn/xxgk/zcfb/tz/201511/W020190905506438255108.pdf)  </t>
    <phoneticPr fontId="24" type="noConversion"/>
  </si>
  <si>
    <t>As per baseline survey report, historical data available on-sit was also from Page15 in Guidelines for Accounting Methods and Reporting of Greenhouse Gas Emissions of Transportation Enterprises (https://www.ndrc.gov.cn/xxgk/zcfb/tz/201511/W020190905506438255108.pdf)</t>
  </si>
  <si>
    <t>As per baseline survey report, historical data available on-sit was also from Page15 in Guidelines for Accounting Methods and Reporting of Greenhouse Gas Emissions of Transportation Enterprises (https://www.ndrc.gov.cn/xxgk/zcfb/tz/201511/W020190905506438255108.pdf)</t>
    <phoneticPr fontId="24" type="noConversion"/>
  </si>
  <si>
    <r>
      <t xml:space="preserve">As per baseline survey report, historical data available on-site was also from the Table 1 in Guidelines for Accounting Methods and Reporting of Greenhouse Gas Emissions of Transportation Enterprises (Diesel, </t>
    </r>
    <r>
      <rPr>
        <sz val="12"/>
        <color theme="1"/>
        <rFont val="宋体"/>
        <family val="3"/>
        <charset val="134"/>
      </rPr>
      <t>＞</t>
    </r>
    <r>
      <rPr>
        <sz val="12"/>
        <color theme="1"/>
        <rFont val="Calibri"/>
        <family val="2"/>
      </rPr>
      <t xml:space="preserve">4 tonne </t>
    </r>
    <r>
      <rPr>
        <sz val="12"/>
        <color theme="1"/>
        <rFont val="宋体"/>
        <family val="3"/>
        <charset val="134"/>
      </rPr>
      <t>＜</t>
    </r>
    <r>
      <rPr>
        <sz val="12"/>
        <color theme="1"/>
        <rFont val="Calibri"/>
        <family val="2"/>
      </rPr>
      <t>8 tonne)  (https://www.ndrc.gov.cn/xxgk/zcfb/tz/201511/W020190905506438255108.pdf)</t>
    </r>
    <phoneticPr fontId="24" type="noConversion"/>
  </si>
  <si>
    <t>As per baseline survey report, historical data available on-site was also from the Table 1 in Guidelines for Accounting Methods and Reporting of Greenhouse Gas Emissions of Transportation Enterprises (Diesel, ＞4 tonne ＜8 tonne)  (https://www.ndrc.gov.cn/xxgk/zcfb/tz/201511/W020190905506438255108.pdf)</t>
  </si>
  <si>
    <t>AM0080 Version 01 Equation 2</t>
  </si>
  <si>
    <t>AM0080 Version 01 Equation 4</t>
  </si>
  <si>
    <t>AM0080 Version 01 Equation 5</t>
  </si>
  <si>
    <t>AM0080 Version 01 Equation 6</t>
  </si>
  <si>
    <t>AM0080 Version 01 Equation 7</t>
  </si>
  <si>
    <t>AM0080 Version 01 p.29 (Depth＞5 m)</t>
  </si>
  <si>
    <t>AM0080 Version 01 Equation 8</t>
  </si>
  <si>
    <t>AM0080 Version 01 Equation 9</t>
  </si>
  <si>
    <t>AM0080 Version 01</t>
  </si>
  <si>
    <t>AM0080 Version 01 Equation 10</t>
  </si>
  <si>
    <t>AM0080 Version 01 Equation 16</t>
  </si>
  <si>
    <t>AM0080 Version 01 Equation 17</t>
  </si>
  <si>
    <t>AM0080 Version 01 Equation 1</t>
  </si>
  <si>
    <t>AM0080 Version 01 Equation 19</t>
  </si>
  <si>
    <t>AM0080 Version 01 Equation 20</t>
  </si>
  <si>
    <t>AM0080 Version 01 Equation 22</t>
  </si>
  <si>
    <t>AM0080 Version 01 Equation 21</t>
  </si>
  <si>
    <t>AM0080 Version 01 Equation 23</t>
  </si>
  <si>
    <t>AM0080 Version 01 Equation 24</t>
  </si>
  <si>
    <t>AM0080 Version 01. p.29 (Depth＜1 m)</t>
  </si>
  <si>
    <t>AM0080 Version 01 Equation 25</t>
  </si>
  <si>
    <t>AM0080 Version 01 p.11</t>
  </si>
  <si>
    <t>AM0080 Version 01 Equation 26</t>
  </si>
  <si>
    <t>AM0080 Version 01 Equation 33</t>
  </si>
  <si>
    <t>AM0080 Version 01 Equation 34</t>
  </si>
  <si>
    <t>AM0080 Version 01 Equation 18</t>
  </si>
  <si>
    <r>
      <t>B</t>
    </r>
    <r>
      <rPr>
        <vertAlign val="subscript"/>
        <sz val="12"/>
        <color indexed="8"/>
        <rFont val="Calibri"/>
        <family val="2"/>
      </rPr>
      <t>0</t>
    </r>
    <phoneticPr fontId="24" type="noConversion"/>
  </si>
  <si>
    <r>
      <t>EF</t>
    </r>
    <r>
      <rPr>
        <vertAlign val="subscript"/>
        <sz val="12"/>
        <color theme="1"/>
        <rFont val="Calibri"/>
        <family val="2"/>
      </rPr>
      <t>PJ,j,y</t>
    </r>
    <phoneticPr fontId="24" type="noConversion"/>
  </si>
  <si>
    <r>
      <t>B</t>
    </r>
    <r>
      <rPr>
        <vertAlign val="subscript"/>
        <sz val="12"/>
        <color theme="1"/>
        <rFont val="Calibri"/>
        <family val="2"/>
      </rPr>
      <t>0</t>
    </r>
    <phoneticPr fontId="24" type="noConversion"/>
  </si>
  <si>
    <r>
      <t>Maximum methane producing capacity of wastewater treated in the year y, expressing the maximum amount of CH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 xml:space="preserve"> that can be produced from a given quantity of chemical oxygen demand</t>
    </r>
    <phoneticPr fontId="24" type="noConversion"/>
  </si>
  <si>
    <r>
      <t>CO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emission factor of the transportation fuel </t>
    </r>
    <r>
      <rPr>
        <i/>
        <sz val="12"/>
        <color theme="1"/>
        <rFont val="Calibri"/>
        <family val="2"/>
      </rPr>
      <t>j</t>
    </r>
    <r>
      <rPr>
        <sz val="12"/>
        <color theme="1"/>
        <rFont val="Calibri"/>
        <family val="2"/>
      </rPr>
      <t xml:space="preserve"> in the year </t>
    </r>
    <r>
      <rPr>
        <i/>
        <sz val="12"/>
        <color theme="1"/>
        <rFont val="Calibri"/>
        <family val="2"/>
      </rPr>
      <t>y</t>
    </r>
    <phoneticPr fontId="24" type="noConversion"/>
  </si>
  <si>
    <t>18/02/2023</t>
    <phoneticPr fontId="24" type="noConversion"/>
  </si>
  <si>
    <t>03</t>
    <phoneticPr fontId="24" type="noConversion"/>
  </si>
  <si>
    <t>Table 6.2 Volume 5 Chapter 6 of IPCC 2019 &amp; AM0080 Version 01 p.28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</si>
</sst>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0_ "/>
    <numFmt numFmtId="177" formatCode="#,##0.000000"/>
    <numFmt numFmtId="178" formatCode="_-* #,##0.00\ _€_-;\-* #,##0.00\ _€_-;_-* &quot;-&quot;??\ _€_-;_-@_-"/>
    <numFmt numFmtId="179" formatCode="#,##0_ "/>
    <numFmt numFmtId="180" formatCode="0.000000"/>
    <numFmt numFmtId="181" formatCode="0.0000"/>
    <numFmt numFmtId="182" formatCode="#,##0.00_ ;\-#,##0.00\ "/>
    <numFmt numFmtId="183" formatCode="0.0000_ "/>
    <numFmt numFmtId="184" formatCode="0.00000_ "/>
    <numFmt numFmtId="185" formatCode="#,##0_ ;\-#,##0\ "/>
    <numFmt numFmtId="186" formatCode="0.000"/>
    <numFmt numFmtId="187" formatCode="#,##0.00_ "/>
  </numFmts>
  <fonts count="33" x14ac:knownFonts="1">
    <font>
      <sz val="10"/>
      <color theme="1"/>
      <name val="Tw Cen MT"/>
      <charset val="134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vertAlign val="subscript"/>
      <sz val="12"/>
      <color theme="1"/>
      <name val="Calibri"/>
      <family val="2"/>
    </font>
    <font>
      <b/>
      <vertAlign val="subscript"/>
      <sz val="12"/>
      <color indexed="8"/>
      <name val="Calibri"/>
      <family val="2"/>
    </font>
    <font>
      <b/>
      <sz val="12"/>
      <color indexed="8"/>
      <name val="Calibri"/>
      <family val="2"/>
    </font>
    <font>
      <vertAlign val="subscript"/>
      <sz val="12"/>
      <color theme="1"/>
      <name val="Calibri"/>
      <family val="2"/>
    </font>
    <font>
      <i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theme="1"/>
      <name val="宋体"/>
      <family val="3"/>
      <charset val="134"/>
    </font>
    <font>
      <vertAlign val="subscript"/>
      <sz val="12"/>
      <name val="Calibri"/>
      <family val="2"/>
    </font>
    <font>
      <i/>
      <sz val="12"/>
      <name val="Calibri"/>
      <family val="2"/>
    </font>
    <font>
      <vertAlign val="subscript"/>
      <sz val="12"/>
      <color indexed="8"/>
      <name val="Calibri"/>
      <family val="2"/>
    </font>
    <font>
      <i/>
      <sz val="12"/>
      <color indexed="8"/>
      <name val="Calibri"/>
      <family val="2"/>
    </font>
    <font>
      <vertAlign val="superscript"/>
      <sz val="12"/>
      <name val="Calibri"/>
      <family val="2"/>
    </font>
    <font>
      <sz val="10"/>
      <color theme="1"/>
      <name val="Tw Cen MT"/>
      <family val="2"/>
    </font>
    <font>
      <sz val="9"/>
      <name val="Tw Cen MT"/>
      <family val="2"/>
    </font>
    <font>
      <b/>
      <sz val="18"/>
      <color rgb="FFFF0000"/>
      <name val="Times New Roman"/>
      <family val="1"/>
    </font>
    <font>
      <b/>
      <sz val="12"/>
      <color rgb="FFFF0000"/>
      <name val="Calibri"/>
      <family val="2"/>
    </font>
    <font>
      <b/>
      <sz val="16"/>
      <color theme="3" tint="0.39997558519241921"/>
      <name val="Calibri"/>
      <family val="2"/>
    </font>
    <font>
      <b/>
      <sz val="20"/>
      <color rgb="FFFF0000"/>
      <name val="Calibri"/>
      <family val="2"/>
    </font>
    <font>
      <sz val="20"/>
      <color rgb="FFFF0000"/>
      <name val="Calibri"/>
      <family val="2"/>
    </font>
    <font>
      <b/>
      <sz val="16"/>
      <color theme="4"/>
      <name val="Calibri"/>
      <family val="2"/>
    </font>
    <font>
      <b/>
      <sz val="20"/>
      <color theme="4"/>
      <name val="Calibri"/>
      <family val="2"/>
    </font>
    <font>
      <b/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78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177" fontId="2" fillId="0" borderId="1" xfId="1" applyNumberFormat="1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8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82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82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182" fontId="3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183" fontId="2" fillId="0" borderId="1" xfId="0" applyNumberFormat="1" applyFont="1" applyBorder="1" applyAlignment="1">
      <alignment horizontal="center" vertical="center" wrapText="1"/>
    </xf>
    <xf numFmtId="184" fontId="2" fillId="0" borderId="0" xfId="0" applyNumberFormat="1" applyFont="1" applyAlignment="1">
      <alignment horizontal="center" vertical="center" wrapText="1"/>
    </xf>
    <xf numFmtId="185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85" fontId="3" fillId="0" borderId="0" xfId="0" applyNumberFormat="1" applyFont="1" applyAlignment="1">
      <alignment horizontal="center" vertical="center" wrapText="1"/>
    </xf>
    <xf numFmtId="182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182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85" fontId="7" fillId="0" borderId="1" xfId="0" applyNumberFormat="1" applyFont="1" applyBorder="1" applyAlignment="1">
      <alignment horizontal="center" vertical="center" wrapText="1"/>
    </xf>
    <xf numFmtId="185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85" fontId="2" fillId="0" borderId="1" xfId="1" applyNumberFormat="1" applyFont="1" applyFill="1" applyBorder="1" applyAlignment="1">
      <alignment horizontal="center" vertical="center" wrapText="1"/>
    </xf>
    <xf numFmtId="185" fontId="8" fillId="0" borderId="1" xfId="1" applyNumberFormat="1" applyFont="1" applyFill="1" applyBorder="1" applyAlignment="1">
      <alignment horizontal="center" vertical="center" wrapText="1"/>
    </xf>
    <xf numFmtId="177" fontId="8" fillId="0" borderId="1" xfId="1" applyNumberFormat="1" applyFont="1" applyFill="1" applyBorder="1" applyAlignment="1">
      <alignment horizontal="center" vertical="center" wrapText="1"/>
    </xf>
    <xf numFmtId="186" fontId="2" fillId="0" borderId="1" xfId="0" applyNumberFormat="1" applyFont="1" applyBorder="1" applyAlignment="1">
      <alignment horizontal="center" vertical="center" wrapText="1"/>
    </xf>
    <xf numFmtId="185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18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82" fontId="8" fillId="0" borderId="1" xfId="1" applyNumberFormat="1" applyFont="1" applyFill="1" applyBorder="1" applyAlignment="1">
      <alignment horizontal="center" vertical="center" wrapText="1"/>
    </xf>
    <xf numFmtId="185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9" fillId="3" borderId="0" xfId="0" applyFont="1" applyFill="1"/>
    <xf numFmtId="0" fontId="9" fillId="4" borderId="0" xfId="0" applyFont="1" applyFill="1"/>
    <xf numFmtId="0" fontId="3" fillId="0" borderId="6" xfId="0" applyFont="1" applyBorder="1"/>
    <xf numFmtId="0" fontId="2" fillId="0" borderId="7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left" wrapText="1"/>
    </xf>
    <xf numFmtId="0" fontId="8" fillId="0" borderId="9" xfId="0" applyFont="1" applyBorder="1" applyAlignment="1">
      <alignment horizontal="left"/>
    </xf>
    <xf numFmtId="0" fontId="3" fillId="0" borderId="10" xfId="0" applyFont="1" applyBorder="1"/>
    <xf numFmtId="3" fontId="2" fillId="0" borderId="11" xfId="0" applyNumberFormat="1" applyFont="1" applyBorder="1" applyAlignment="1">
      <alignment horizontal="left"/>
    </xf>
    <xf numFmtId="1" fontId="1" fillId="0" borderId="0" xfId="0" applyNumberFormat="1" applyFont="1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187" fontId="2" fillId="0" borderId="0" xfId="0" applyNumberFormat="1" applyFont="1" applyAlignment="1">
      <alignment horizontal="center" vertical="center" wrapText="1"/>
    </xf>
    <xf numFmtId="179" fontId="3" fillId="0" borderId="0" xfId="0" applyNumberFormat="1" applyFont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179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2" fillId="0" borderId="0" xfId="0" applyFont="1"/>
    <xf numFmtId="3" fontId="1" fillId="0" borderId="0" xfId="0" applyNumberFormat="1" applyFont="1"/>
    <xf numFmtId="0" fontId="2" fillId="7" borderId="1" xfId="0" applyFont="1" applyFill="1" applyBorder="1" applyAlignment="1">
      <alignment horizontal="center" wrapText="1"/>
    </xf>
    <xf numFmtId="0" fontId="9" fillId="0" borderId="1" xfId="0" applyFont="1" applyBorder="1"/>
    <xf numFmtId="0" fontId="2" fillId="8" borderId="0" xfId="0" applyFont="1" applyFill="1" applyAlignment="1">
      <alignment vertical="center" wrapText="1"/>
    </xf>
    <xf numFmtId="0" fontId="9" fillId="8" borderId="0" xfId="0" applyFont="1" applyFill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1" fontId="8" fillId="0" borderId="5" xfId="0" applyNumberFormat="1" applyFont="1" applyBorder="1" applyAlignment="1">
      <alignment horizontal="center" vertical="center" wrapText="1"/>
    </xf>
    <xf numFmtId="181" fontId="8" fillId="0" borderId="2" xfId="0" applyNumberFormat="1" applyFont="1" applyBorder="1" applyAlignment="1">
      <alignment horizontal="center" vertical="center" wrapText="1"/>
    </xf>
    <xf numFmtId="181" fontId="8" fillId="0" borderId="4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justify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81" fontId="2" fillId="0" borderId="1" xfId="0" applyNumberFormat="1" applyFont="1" applyBorder="1" applyAlignment="1">
      <alignment horizontal="center" vertical="center" wrapText="1"/>
    </xf>
    <xf numFmtId="0" fontId="25" fillId="8" borderId="0" xfId="0" applyFont="1" applyFill="1" applyAlignment="1">
      <alignment horizontal="left" vertical="center" wrapText="1"/>
    </xf>
    <xf numFmtId="0" fontId="26" fillId="8" borderId="0" xfId="0" applyFont="1" applyFill="1" applyAlignment="1">
      <alignment horizontal="left" vertical="center" wrapText="1"/>
    </xf>
    <xf numFmtId="0" fontId="27" fillId="8" borderId="1" xfId="0" applyFont="1" applyFill="1" applyBorder="1" applyAlignment="1">
      <alignment horizontal="left" vertical="center" wrapText="1"/>
    </xf>
    <xf numFmtId="0" fontId="27" fillId="8" borderId="1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left" vertical="center" wrapText="1"/>
    </xf>
    <xf numFmtId="0" fontId="29" fillId="8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left" vertical="center" wrapText="1"/>
    </xf>
    <xf numFmtId="0" fontId="31" fillId="8" borderId="1" xfId="0" applyFont="1" applyFill="1" applyBorder="1" applyAlignment="1">
      <alignment horizontal="left" vertical="center" wrapText="1"/>
    </xf>
    <xf numFmtId="0" fontId="30" fillId="8" borderId="5" xfId="0" applyFont="1" applyFill="1" applyBorder="1" applyAlignment="1">
      <alignment horizontal="left" vertical="center" wrapText="1"/>
    </xf>
    <xf numFmtId="0" fontId="30" fillId="8" borderId="2" xfId="0" applyFont="1" applyFill="1" applyBorder="1" applyAlignment="1">
      <alignment horizontal="left" vertical="center" wrapText="1"/>
    </xf>
    <xf numFmtId="0" fontId="30" fillId="8" borderId="4" xfId="0" applyFont="1" applyFill="1" applyBorder="1" applyAlignment="1">
      <alignment horizontal="left" vertical="center" wrapText="1"/>
    </xf>
    <xf numFmtId="0" fontId="28" fillId="8" borderId="5" xfId="0" applyFont="1" applyFill="1" applyBorder="1" applyAlignment="1">
      <alignment horizontal="left" vertical="center" wrapText="1"/>
    </xf>
    <xf numFmtId="0" fontId="28" fillId="8" borderId="2" xfId="0" applyFont="1" applyFill="1" applyBorder="1" applyAlignment="1">
      <alignment horizontal="left" vertical="center" wrapText="1"/>
    </xf>
    <xf numFmtId="0" fontId="28" fillId="8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.tianqi.com/qiwen/city_luoding/" TargetMode="External"/><Relationship Id="rId13" Type="http://schemas.openxmlformats.org/officeDocument/2006/relationships/hyperlink" Target="https://m.tianqi.com/qiwen/city_yingde/" TargetMode="External"/><Relationship Id="rId18" Type="http://schemas.openxmlformats.org/officeDocument/2006/relationships/hyperlink" Target="https://m.tianqi.com/qiwen/city_Jieyang/" TargetMode="External"/><Relationship Id="rId3" Type="http://schemas.openxmlformats.org/officeDocument/2006/relationships/hyperlink" Target="https://m.tianqi.com/qiwen/city_xinyi1/" TargetMode="External"/><Relationship Id="rId7" Type="http://schemas.openxmlformats.org/officeDocument/2006/relationships/hyperlink" Target="https://m.tianqi.com/qiwen/city_Jieyang/" TargetMode="External"/><Relationship Id="rId12" Type="http://schemas.openxmlformats.org/officeDocument/2006/relationships/hyperlink" Target="https://m.tianqi.com/qiwen/city_yingde/" TargetMode="External"/><Relationship Id="rId17" Type="http://schemas.openxmlformats.org/officeDocument/2006/relationships/hyperlink" Target="https://m.tianqi.com/qiwen/city_Shanwei/" TargetMode="External"/><Relationship Id="rId2" Type="http://schemas.openxmlformats.org/officeDocument/2006/relationships/hyperlink" Target="https://m.tianqi.com/qiwen/city_zhanjiang/" TargetMode="External"/><Relationship Id="rId16" Type="http://schemas.openxmlformats.org/officeDocument/2006/relationships/hyperlink" Target="https://m.tianqi.com/qiwen/city_Shanwei/" TargetMode="External"/><Relationship Id="rId1" Type="http://schemas.openxmlformats.org/officeDocument/2006/relationships/hyperlink" Target="https://m.tianqi.com/qiwen/city_zhanjiang/" TargetMode="External"/><Relationship Id="rId6" Type="http://schemas.openxmlformats.org/officeDocument/2006/relationships/hyperlink" Target="https://m.tianqi.com/qiwen/city_Jieyang/" TargetMode="External"/><Relationship Id="rId11" Type="http://schemas.openxmlformats.org/officeDocument/2006/relationships/hyperlink" Target="http://cn.edcmee.org.cn/ptfb/zcbz/202106/P020210601174967736277.pdf" TargetMode="External"/><Relationship Id="rId5" Type="http://schemas.openxmlformats.org/officeDocument/2006/relationships/hyperlink" Target="https://m.tianqi.com/qiwen/city_jieyang/" TargetMode="External"/><Relationship Id="rId15" Type="http://schemas.openxmlformats.org/officeDocument/2006/relationships/hyperlink" Target="https://m.tianqi.com/qiwen/city_Shanwei/" TargetMode="External"/><Relationship Id="rId10" Type="http://schemas.openxmlformats.org/officeDocument/2006/relationships/hyperlink" Target="https://m.tianqi.com/qiwen/city_qingyuan3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m.tianqi.com/qiwen/city_xinyi1/" TargetMode="External"/><Relationship Id="rId9" Type="http://schemas.openxmlformats.org/officeDocument/2006/relationships/hyperlink" Target="https://m.tianqi.com/qiwen/city_qingyuan3/" TargetMode="External"/><Relationship Id="rId14" Type="http://schemas.openxmlformats.org/officeDocument/2006/relationships/hyperlink" Target="http://cn.edcmee.org.cn/ptfb/zcbz/202106/P020210601174967736277.pdf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ee.gov.cn/ywgz/ydqhbh/wsqtkz/202012/W020201229610353340851.pdf" TargetMode="External"/><Relationship Id="rId18" Type="http://schemas.openxmlformats.org/officeDocument/2006/relationships/hyperlink" Target="https://m.tianqi.com/qiwen/city_luoding/" TargetMode="External"/><Relationship Id="rId26" Type="http://schemas.openxmlformats.org/officeDocument/2006/relationships/hyperlink" Target="https://m.tianqi.com/qiwen/city_yingde/" TargetMode="External"/><Relationship Id="rId39" Type="http://schemas.openxmlformats.org/officeDocument/2006/relationships/hyperlink" Target="https://baike.baidu.com/item/%E6%9F%B4%E6%B2%B9%E5%AF%86%E5%BA%A6/298487" TargetMode="External"/><Relationship Id="rId3" Type="http://schemas.openxmlformats.org/officeDocument/2006/relationships/hyperlink" Target="https://www.mee.gov.cn/ywgz/ydqhbh/wsqtkz/202012/W020201229610353340851.pdf" TargetMode="External"/><Relationship Id="rId21" Type="http://schemas.openxmlformats.org/officeDocument/2006/relationships/hyperlink" Target="https://www.mee.gov.cn/ywgz/ydqhbh/wsqtkz/202012/W020201229610353340851.pdf" TargetMode="External"/><Relationship Id="rId34" Type="http://schemas.openxmlformats.org/officeDocument/2006/relationships/hyperlink" Target="https://baike.baidu.com/item/%E6%9F%B4%E6%B2%B9%E5%AF%86%E5%BA%A6/298487" TargetMode="External"/><Relationship Id="rId42" Type="http://schemas.openxmlformats.org/officeDocument/2006/relationships/hyperlink" Target="https://baike.baidu.com/item/%E6%9F%B4%E6%B2%B9%E5%AF%86%E5%BA%A6/298487" TargetMode="External"/><Relationship Id="rId47" Type="http://schemas.openxmlformats.org/officeDocument/2006/relationships/hyperlink" Target="https://baike.baidu.com/item/%E6%9F%B4%E6%B2%B9%E5%AF%86%E5%BA%A6/298487" TargetMode="External"/><Relationship Id="rId7" Type="http://schemas.openxmlformats.org/officeDocument/2006/relationships/hyperlink" Target="https://www.mee.gov.cn/ywgz/ydqhbh/wsqtkz/202012/W020201229610353340851.pdf" TargetMode="External"/><Relationship Id="rId12" Type="http://schemas.openxmlformats.org/officeDocument/2006/relationships/hyperlink" Target="https://m.tianqi.com/qiwen/city_Jieyang/" TargetMode="External"/><Relationship Id="rId17" Type="http://schemas.openxmlformats.org/officeDocument/2006/relationships/hyperlink" Target="https://www.mee.gov.cn/ywgz/ydqhbh/wsqtkz/202012/W020201229610353340851.pdf" TargetMode="External"/><Relationship Id="rId25" Type="http://schemas.openxmlformats.org/officeDocument/2006/relationships/hyperlink" Target="https://www.mee.gov.cn/ywgz/ydqhbh/wsqtkz/202012/W020201229610353340851.pdf" TargetMode="External"/><Relationship Id="rId33" Type="http://schemas.openxmlformats.org/officeDocument/2006/relationships/hyperlink" Target="https://www.mee.gov.cn/ywgz/ydqhbh/wsqtkz/202012/W020201229610353340851.pdf" TargetMode="External"/><Relationship Id="rId38" Type="http://schemas.openxmlformats.org/officeDocument/2006/relationships/hyperlink" Target="https://baike.baidu.com/item/%E6%9F%B4%E6%B2%B9%E5%AF%86%E5%BA%A6/298487" TargetMode="External"/><Relationship Id="rId46" Type="http://schemas.openxmlformats.org/officeDocument/2006/relationships/hyperlink" Target="https://baike.baidu.com/item/%E6%9F%B4%E6%B2%B9%E5%AF%86%E5%BA%A6/298487" TargetMode="External"/><Relationship Id="rId2" Type="http://schemas.openxmlformats.org/officeDocument/2006/relationships/hyperlink" Target="https://m.tianqi.com/qiwen/city_zhanjiang/" TargetMode="External"/><Relationship Id="rId16" Type="http://schemas.openxmlformats.org/officeDocument/2006/relationships/hyperlink" Target="https://m.tianqi.com/qiwen/city_Jieyang/" TargetMode="External"/><Relationship Id="rId20" Type="http://schemas.openxmlformats.org/officeDocument/2006/relationships/hyperlink" Target="https://m.tianqi.com/qiwen/city_qingyuan3/" TargetMode="External"/><Relationship Id="rId29" Type="http://schemas.openxmlformats.org/officeDocument/2006/relationships/hyperlink" Target="https://www.mee.gov.cn/ywgz/ydqhbh/wsqtkz/202012/W020201229610353340851.pdf" TargetMode="External"/><Relationship Id="rId41" Type="http://schemas.openxmlformats.org/officeDocument/2006/relationships/hyperlink" Target="https://baike.baidu.com/item/%E6%9F%B4%E6%B2%B9%E5%AF%86%E5%BA%A6/298487" TargetMode="External"/><Relationship Id="rId1" Type="http://schemas.openxmlformats.org/officeDocument/2006/relationships/hyperlink" Target="https://baike.baidu.com/item/%E6%9F%B4%E6%B2%B9%E5%AF%86%E5%BA%A6/298487" TargetMode="External"/><Relationship Id="rId6" Type="http://schemas.openxmlformats.org/officeDocument/2006/relationships/hyperlink" Target="https://m.tianqi.com/qiwen/city_xinyi1/" TargetMode="External"/><Relationship Id="rId11" Type="http://schemas.openxmlformats.org/officeDocument/2006/relationships/hyperlink" Target="https://www.mee.gov.cn/ywgz/ydqhbh/wsqtkz/202012/W020201229610353340851.pdf" TargetMode="External"/><Relationship Id="rId24" Type="http://schemas.openxmlformats.org/officeDocument/2006/relationships/hyperlink" Target="https://m.tianqi.com/qiwen/city_yingde/" TargetMode="External"/><Relationship Id="rId32" Type="http://schemas.openxmlformats.org/officeDocument/2006/relationships/hyperlink" Target="https://m.tianqi.com/qiwen/city_Shanwei/" TargetMode="External"/><Relationship Id="rId37" Type="http://schemas.openxmlformats.org/officeDocument/2006/relationships/hyperlink" Target="https://baike.baidu.com/item/%E6%9F%B4%E6%B2%B9%E5%AF%86%E5%BA%A6/298487" TargetMode="External"/><Relationship Id="rId40" Type="http://schemas.openxmlformats.org/officeDocument/2006/relationships/hyperlink" Target="https://baike.baidu.com/item/%E6%9F%B4%E6%B2%B9%E5%AF%86%E5%BA%A6/298487" TargetMode="External"/><Relationship Id="rId45" Type="http://schemas.openxmlformats.org/officeDocument/2006/relationships/hyperlink" Target="https://baike.baidu.com/item/%E6%9F%B4%E6%B2%B9%E5%AF%86%E5%BA%A6/298487" TargetMode="External"/><Relationship Id="rId5" Type="http://schemas.openxmlformats.org/officeDocument/2006/relationships/hyperlink" Target="https://www.mee.gov.cn/ywgz/ydqhbh/wsqtkz/202012/W020201229610353340851.pdf" TargetMode="External"/><Relationship Id="rId15" Type="http://schemas.openxmlformats.org/officeDocument/2006/relationships/hyperlink" Target="https://www.mee.gov.cn/ywgz/ydqhbh/wsqtkz/202012/W020201229610353340851.pdf" TargetMode="External"/><Relationship Id="rId23" Type="http://schemas.openxmlformats.org/officeDocument/2006/relationships/hyperlink" Target="https://www.mee.gov.cn/ywgz/ydqhbh/wsqtkz/202012/W020201229610353340851.pdf" TargetMode="External"/><Relationship Id="rId28" Type="http://schemas.openxmlformats.org/officeDocument/2006/relationships/hyperlink" Target="https://m.tianqi.com/qiwen/city_Shanwei/" TargetMode="External"/><Relationship Id="rId36" Type="http://schemas.openxmlformats.org/officeDocument/2006/relationships/hyperlink" Target="https://baike.baidu.com/item/%E6%9F%B4%E6%B2%B9%E5%AF%86%E5%BA%A6/298487" TargetMode="External"/><Relationship Id="rId49" Type="http://schemas.openxmlformats.org/officeDocument/2006/relationships/printerSettings" Target="../printerSettings/printerSettings3.bin"/><Relationship Id="rId10" Type="http://schemas.openxmlformats.org/officeDocument/2006/relationships/hyperlink" Target="https://m.tianqi.com/qiwen/city_jieyang/" TargetMode="External"/><Relationship Id="rId19" Type="http://schemas.openxmlformats.org/officeDocument/2006/relationships/hyperlink" Target="https://www.mee.gov.cn/ywgz/ydqhbh/wsqtkz/202012/W020201229610353340851.pdf" TargetMode="External"/><Relationship Id="rId31" Type="http://schemas.openxmlformats.org/officeDocument/2006/relationships/hyperlink" Target="https://www.mee.gov.cn/ywgz/ydqhbh/wsqtkz/202012/W020201229610353340851.pdf" TargetMode="External"/><Relationship Id="rId44" Type="http://schemas.openxmlformats.org/officeDocument/2006/relationships/hyperlink" Target="https://baike.baidu.com/item/%E6%9F%B4%E6%B2%B9%E5%AF%86%E5%BA%A6/298487" TargetMode="External"/><Relationship Id="rId4" Type="http://schemas.openxmlformats.org/officeDocument/2006/relationships/hyperlink" Target="https://m.tianqi.com/qiwen/city_zhanjiang/" TargetMode="External"/><Relationship Id="rId9" Type="http://schemas.openxmlformats.org/officeDocument/2006/relationships/hyperlink" Target="https://www.mee.gov.cn/ywgz/ydqhbh/wsqtkz/202012/W020201229610353340851.pdf" TargetMode="External"/><Relationship Id="rId14" Type="http://schemas.openxmlformats.org/officeDocument/2006/relationships/hyperlink" Target="https://m.tianqi.com/qiwen/city_Jieyang/" TargetMode="External"/><Relationship Id="rId22" Type="http://schemas.openxmlformats.org/officeDocument/2006/relationships/hyperlink" Target="https://m.tianqi.com/qiwen/city_qingyuan3/" TargetMode="External"/><Relationship Id="rId27" Type="http://schemas.openxmlformats.org/officeDocument/2006/relationships/hyperlink" Target="https://www.mee.gov.cn/ywgz/ydqhbh/wsqtkz/202012/W020201229610353340851.pdf" TargetMode="External"/><Relationship Id="rId30" Type="http://schemas.openxmlformats.org/officeDocument/2006/relationships/hyperlink" Target="https://m.tianqi.com/qiwen/city_Shanwei/" TargetMode="External"/><Relationship Id="rId35" Type="http://schemas.openxmlformats.org/officeDocument/2006/relationships/hyperlink" Target="https://baike.baidu.com/item/%E6%9F%B4%E6%B2%B9%E5%AF%86%E5%BA%A6/298487" TargetMode="External"/><Relationship Id="rId43" Type="http://schemas.openxmlformats.org/officeDocument/2006/relationships/hyperlink" Target="https://baike.baidu.com/item/%E6%9F%B4%E6%B2%B9%E5%AF%86%E5%BA%A6/298487" TargetMode="External"/><Relationship Id="rId48" Type="http://schemas.openxmlformats.org/officeDocument/2006/relationships/hyperlink" Target="https://baike.baidu.com/item/%E6%9F%B4%E6%B2%B9%E5%AF%86%E5%BA%A6/298487" TargetMode="External"/><Relationship Id="rId8" Type="http://schemas.openxmlformats.org/officeDocument/2006/relationships/hyperlink" Target="https://m.tianqi.com/qiwen/city_xinyi1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V625"/>
  <sheetViews>
    <sheetView zoomScale="110" zoomScaleNormal="110" workbookViewId="0">
      <selection activeCell="C34" sqref="C34"/>
    </sheetView>
  </sheetViews>
  <sheetFormatPr defaultColWidth="11.44140625" defaultRowHeight="10.199999999999999" x14ac:dyDescent="0.2"/>
  <cols>
    <col min="1" max="1" width="7.109375" style="79" customWidth="1"/>
    <col min="2" max="2" width="43.33203125" style="79" customWidth="1"/>
    <col min="3" max="3" width="95.44140625" style="79" customWidth="1"/>
    <col min="4" max="334" width="11.44140625" style="79"/>
    <col min="335" max="16384" width="11.44140625" style="81"/>
  </cols>
  <sheetData>
    <row r="1" spans="2:3" s="79" customFormat="1" x14ac:dyDescent="0.2"/>
    <row r="2" spans="2:3" s="79" customFormat="1" ht="10.8" thickBot="1" x14ac:dyDescent="0.25"/>
    <row r="3" spans="2:3" s="79" customFormat="1" ht="15.6" x14ac:dyDescent="0.3">
      <c r="B3" s="82" t="s">
        <v>0</v>
      </c>
      <c r="C3" s="83" t="s">
        <v>242</v>
      </c>
    </row>
    <row r="4" spans="2:3" s="79" customFormat="1" ht="15.6" x14ac:dyDescent="0.3">
      <c r="B4" s="84" t="s">
        <v>1</v>
      </c>
      <c r="C4" s="85" t="s">
        <v>2</v>
      </c>
    </row>
    <row r="5" spans="2:3" s="79" customFormat="1" ht="31.2" x14ac:dyDescent="0.3">
      <c r="B5" s="84" t="s">
        <v>3</v>
      </c>
      <c r="C5" s="86" t="s">
        <v>4</v>
      </c>
    </row>
    <row r="6" spans="2:3" s="79" customFormat="1" ht="15.6" x14ac:dyDescent="0.3">
      <c r="B6" s="84" t="s">
        <v>5</v>
      </c>
      <c r="C6" s="112" t="s">
        <v>372</v>
      </c>
    </row>
    <row r="7" spans="2:3" s="79" customFormat="1" ht="15.6" x14ac:dyDescent="0.3">
      <c r="B7" s="84" t="s">
        <v>6</v>
      </c>
      <c r="C7" s="87" t="s">
        <v>371</v>
      </c>
    </row>
    <row r="8" spans="2:3" s="79" customFormat="1" ht="15.6" x14ac:dyDescent="0.3">
      <c r="B8" s="84" t="s">
        <v>7</v>
      </c>
      <c r="C8" s="85" t="s">
        <v>243</v>
      </c>
    </row>
    <row r="9" spans="2:3" s="79" customFormat="1" ht="16.2" thickBot="1" x14ac:dyDescent="0.35">
      <c r="B9" s="88" t="s">
        <v>8</v>
      </c>
      <c r="C9" s="89">
        <f>'Emission Reductions'!F232</f>
        <v>83296</v>
      </c>
    </row>
    <row r="10" spans="2:3" s="79" customFormat="1" x14ac:dyDescent="0.2"/>
    <row r="11" spans="2:3" s="79" customFormat="1" x14ac:dyDescent="0.2"/>
    <row r="12" spans="2:3" s="79" customFormat="1" x14ac:dyDescent="0.2"/>
    <row r="13" spans="2:3" s="79" customFormat="1" x14ac:dyDescent="0.2"/>
    <row r="14" spans="2:3" s="79" customFormat="1" x14ac:dyDescent="0.2"/>
    <row r="15" spans="2:3" s="79" customFormat="1" x14ac:dyDescent="0.2"/>
    <row r="16" spans="2:3" s="79" customFormat="1" x14ac:dyDescent="0.2">
      <c r="C16" s="108"/>
    </row>
    <row r="17" s="79" customFormat="1" x14ac:dyDescent="0.2"/>
    <row r="18" s="79" customFormat="1" x14ac:dyDescent="0.2"/>
    <row r="19" s="79" customFormat="1" x14ac:dyDescent="0.2"/>
    <row r="20" s="79" customFormat="1" x14ac:dyDescent="0.2"/>
    <row r="21" s="79" customFormat="1" x14ac:dyDescent="0.2"/>
    <row r="22" s="79" customFormat="1" x14ac:dyDescent="0.2"/>
    <row r="23" s="79" customFormat="1" x14ac:dyDescent="0.2"/>
    <row r="24" s="79" customFormat="1" x14ac:dyDescent="0.2"/>
    <row r="25" s="79" customFormat="1" x14ac:dyDescent="0.2"/>
    <row r="26" s="79" customFormat="1" x14ac:dyDescent="0.2"/>
    <row r="27" s="79" customFormat="1" x14ac:dyDescent="0.2"/>
    <row r="28" s="79" customFormat="1" x14ac:dyDescent="0.2"/>
    <row r="29" s="79" customFormat="1" x14ac:dyDescent="0.2"/>
    <row r="30" s="79" customFormat="1" x14ac:dyDescent="0.2"/>
    <row r="31" s="79" customFormat="1" x14ac:dyDescent="0.2"/>
    <row r="32" s="79" customFormat="1" x14ac:dyDescent="0.2"/>
    <row r="33" s="79" customFormat="1" x14ac:dyDescent="0.2"/>
    <row r="34" s="79" customFormat="1" x14ac:dyDescent="0.2"/>
    <row r="35" s="79" customFormat="1" x14ac:dyDescent="0.2"/>
    <row r="36" s="79" customFormat="1" x14ac:dyDescent="0.2"/>
    <row r="37" s="79" customFormat="1" x14ac:dyDescent="0.2"/>
    <row r="38" s="79" customFormat="1" x14ac:dyDescent="0.2"/>
    <row r="39" s="79" customFormat="1" x14ac:dyDescent="0.2"/>
    <row r="40" s="79" customFormat="1" x14ac:dyDescent="0.2"/>
    <row r="41" s="79" customFormat="1" x14ac:dyDescent="0.2"/>
    <row r="42" s="79" customFormat="1" x14ac:dyDescent="0.2"/>
    <row r="43" s="79" customFormat="1" x14ac:dyDescent="0.2"/>
    <row r="44" s="79" customFormat="1" x14ac:dyDescent="0.2"/>
    <row r="45" s="79" customFormat="1" x14ac:dyDescent="0.2"/>
    <row r="46" s="79" customFormat="1" x14ac:dyDescent="0.2"/>
    <row r="47" s="79" customFormat="1" x14ac:dyDescent="0.2"/>
    <row r="48" s="79" customFormat="1" x14ac:dyDescent="0.2"/>
    <row r="49" s="79" customFormat="1" x14ac:dyDescent="0.2"/>
    <row r="50" s="79" customFormat="1" x14ac:dyDescent="0.2"/>
    <row r="51" s="79" customFormat="1" x14ac:dyDescent="0.2"/>
    <row r="52" s="79" customFormat="1" x14ac:dyDescent="0.2"/>
    <row r="53" s="79" customFormat="1" x14ac:dyDescent="0.2"/>
    <row r="54" s="79" customFormat="1" x14ac:dyDescent="0.2"/>
    <row r="55" s="79" customFormat="1" x14ac:dyDescent="0.2"/>
    <row r="56" s="79" customFormat="1" x14ac:dyDescent="0.2"/>
    <row r="57" s="79" customFormat="1" x14ac:dyDescent="0.2"/>
    <row r="58" s="79" customFormat="1" x14ac:dyDescent="0.2"/>
    <row r="59" s="79" customFormat="1" x14ac:dyDescent="0.2"/>
    <row r="60" s="79" customFormat="1" x14ac:dyDescent="0.2"/>
    <row r="61" s="79" customFormat="1" x14ac:dyDescent="0.2"/>
    <row r="62" s="79" customFormat="1" x14ac:dyDescent="0.2"/>
    <row r="63" s="79" customFormat="1" x14ac:dyDescent="0.2"/>
    <row r="64" s="79" customFormat="1" x14ac:dyDescent="0.2"/>
    <row r="65" s="79" customFormat="1" x14ac:dyDescent="0.2"/>
    <row r="66" s="79" customFormat="1" x14ac:dyDescent="0.2"/>
    <row r="67" s="79" customFormat="1" x14ac:dyDescent="0.2"/>
    <row r="68" s="79" customFormat="1" x14ac:dyDescent="0.2"/>
    <row r="69" s="79" customFormat="1" x14ac:dyDescent="0.2"/>
    <row r="70" s="79" customFormat="1" x14ac:dyDescent="0.2"/>
    <row r="71" s="79" customFormat="1" x14ac:dyDescent="0.2"/>
    <row r="72" s="79" customFormat="1" x14ac:dyDescent="0.2"/>
    <row r="73" s="79" customFormat="1" x14ac:dyDescent="0.2"/>
    <row r="74" s="79" customFormat="1" x14ac:dyDescent="0.2"/>
    <row r="75" s="79" customFormat="1" x14ac:dyDescent="0.2"/>
    <row r="76" s="79" customFormat="1" x14ac:dyDescent="0.2"/>
    <row r="77" s="79" customFormat="1" x14ac:dyDescent="0.2"/>
    <row r="78" s="79" customFormat="1" x14ac:dyDescent="0.2"/>
    <row r="79" s="79" customFormat="1" x14ac:dyDescent="0.2"/>
    <row r="80" s="79" customFormat="1" x14ac:dyDescent="0.2"/>
    <row r="81" s="79" customFormat="1" x14ac:dyDescent="0.2"/>
    <row r="82" s="79" customFormat="1" x14ac:dyDescent="0.2"/>
    <row r="83" s="79" customFormat="1" x14ac:dyDescent="0.2"/>
    <row r="84" s="79" customFormat="1" x14ac:dyDescent="0.2"/>
    <row r="85" s="79" customFormat="1" x14ac:dyDescent="0.2"/>
    <row r="86" s="79" customFormat="1" x14ac:dyDescent="0.2"/>
    <row r="87" s="79" customFormat="1" x14ac:dyDescent="0.2"/>
    <row r="88" s="79" customFormat="1" x14ac:dyDescent="0.2"/>
    <row r="89" s="79" customFormat="1" x14ac:dyDescent="0.2"/>
    <row r="90" s="79" customFormat="1" x14ac:dyDescent="0.2"/>
    <row r="91" s="79" customFormat="1" x14ac:dyDescent="0.2"/>
    <row r="92" s="79" customFormat="1" x14ac:dyDescent="0.2"/>
    <row r="93" s="79" customFormat="1" x14ac:dyDescent="0.2"/>
    <row r="94" s="79" customFormat="1" x14ac:dyDescent="0.2"/>
    <row r="95" s="79" customFormat="1" x14ac:dyDescent="0.2"/>
    <row r="96" s="79" customFormat="1" x14ac:dyDescent="0.2"/>
    <row r="97" s="79" customFormat="1" x14ac:dyDescent="0.2"/>
    <row r="98" s="79" customFormat="1" x14ac:dyDescent="0.2"/>
    <row r="99" s="79" customFormat="1" x14ac:dyDescent="0.2"/>
    <row r="100" s="79" customFormat="1" x14ac:dyDescent="0.2"/>
    <row r="101" s="79" customFormat="1" x14ac:dyDescent="0.2"/>
    <row r="102" s="79" customFormat="1" x14ac:dyDescent="0.2"/>
    <row r="103" s="79" customFormat="1" x14ac:dyDescent="0.2"/>
    <row r="104" s="79" customFormat="1" x14ac:dyDescent="0.2"/>
    <row r="105" s="79" customFormat="1" x14ac:dyDescent="0.2"/>
    <row r="106" s="79" customFormat="1" x14ac:dyDescent="0.2"/>
    <row r="107" s="79" customFormat="1" x14ac:dyDescent="0.2"/>
    <row r="108" s="79" customFormat="1" x14ac:dyDescent="0.2"/>
    <row r="109" s="79" customFormat="1" x14ac:dyDescent="0.2"/>
    <row r="110" s="79" customFormat="1" x14ac:dyDescent="0.2"/>
    <row r="111" s="79" customFormat="1" x14ac:dyDescent="0.2"/>
    <row r="112" s="79" customFormat="1" x14ac:dyDescent="0.2"/>
    <row r="113" s="79" customFormat="1" x14ac:dyDescent="0.2"/>
    <row r="114" s="79" customFormat="1" x14ac:dyDescent="0.2"/>
    <row r="115" s="79" customFormat="1" x14ac:dyDescent="0.2"/>
    <row r="116" s="79" customFormat="1" x14ac:dyDescent="0.2"/>
    <row r="117" s="79" customFormat="1" x14ac:dyDescent="0.2"/>
    <row r="118" s="79" customFormat="1" x14ac:dyDescent="0.2"/>
    <row r="119" s="79" customFormat="1" x14ac:dyDescent="0.2"/>
    <row r="120" s="79" customFormat="1" x14ac:dyDescent="0.2"/>
    <row r="121" s="79" customFormat="1" x14ac:dyDescent="0.2"/>
    <row r="122" s="79" customFormat="1" x14ac:dyDescent="0.2"/>
    <row r="123" s="79" customFormat="1" x14ac:dyDescent="0.2"/>
    <row r="124" s="79" customFormat="1" x14ac:dyDescent="0.2"/>
    <row r="125" s="79" customFormat="1" x14ac:dyDescent="0.2"/>
    <row r="126" s="79" customFormat="1" x14ac:dyDescent="0.2"/>
    <row r="127" s="79" customFormat="1" x14ac:dyDescent="0.2"/>
    <row r="128" s="79" customFormat="1" x14ac:dyDescent="0.2"/>
    <row r="129" s="79" customFormat="1" x14ac:dyDescent="0.2"/>
    <row r="130" s="79" customFormat="1" x14ac:dyDescent="0.2"/>
    <row r="131" s="79" customFormat="1" x14ac:dyDescent="0.2"/>
    <row r="132" s="79" customFormat="1" x14ac:dyDescent="0.2"/>
    <row r="133" s="79" customFormat="1" x14ac:dyDescent="0.2"/>
    <row r="134" s="79" customFormat="1" x14ac:dyDescent="0.2"/>
    <row r="135" s="79" customFormat="1" x14ac:dyDescent="0.2"/>
    <row r="136" s="79" customFormat="1" x14ac:dyDescent="0.2"/>
    <row r="137" s="79" customFormat="1" x14ac:dyDescent="0.2"/>
    <row r="138" s="79" customFormat="1" x14ac:dyDescent="0.2"/>
    <row r="139" s="79" customFormat="1" x14ac:dyDescent="0.2"/>
    <row r="140" s="79" customFormat="1" x14ac:dyDescent="0.2"/>
    <row r="141" s="79" customFormat="1" x14ac:dyDescent="0.2"/>
    <row r="142" s="79" customFormat="1" x14ac:dyDescent="0.2"/>
    <row r="143" s="79" customFormat="1" x14ac:dyDescent="0.2"/>
    <row r="144" s="79" customFormat="1" x14ac:dyDescent="0.2"/>
    <row r="145" s="79" customFormat="1" x14ac:dyDescent="0.2"/>
    <row r="146" s="79" customFormat="1" x14ac:dyDescent="0.2"/>
    <row r="147" s="79" customFormat="1" x14ac:dyDescent="0.2"/>
    <row r="148" s="79" customFormat="1" x14ac:dyDescent="0.2"/>
    <row r="149" s="79" customFormat="1" x14ac:dyDescent="0.2"/>
    <row r="150" s="79" customFormat="1" x14ac:dyDescent="0.2"/>
    <row r="151" s="79" customFormat="1" x14ac:dyDescent="0.2"/>
    <row r="152" s="79" customFormat="1" x14ac:dyDescent="0.2"/>
    <row r="153" s="79" customFormat="1" x14ac:dyDescent="0.2"/>
    <row r="154" s="79" customFormat="1" x14ac:dyDescent="0.2"/>
    <row r="155" s="79" customFormat="1" x14ac:dyDescent="0.2"/>
    <row r="156" s="79" customFormat="1" x14ac:dyDescent="0.2"/>
    <row r="157" s="79" customFormat="1" x14ac:dyDescent="0.2"/>
    <row r="158" s="79" customFormat="1" x14ac:dyDescent="0.2"/>
    <row r="159" s="79" customFormat="1" x14ac:dyDescent="0.2"/>
    <row r="160" s="79" customFormat="1" x14ac:dyDescent="0.2"/>
    <row r="161" s="79" customFormat="1" x14ac:dyDescent="0.2"/>
    <row r="162" s="79" customFormat="1" x14ac:dyDescent="0.2"/>
    <row r="163" s="79" customFormat="1" x14ac:dyDescent="0.2"/>
    <row r="164" s="79" customFormat="1" x14ac:dyDescent="0.2"/>
    <row r="165" s="79" customFormat="1" x14ac:dyDescent="0.2"/>
    <row r="166" s="79" customFormat="1" x14ac:dyDescent="0.2"/>
    <row r="167" s="79" customFormat="1" x14ac:dyDescent="0.2"/>
    <row r="168" s="79" customFormat="1" x14ac:dyDescent="0.2"/>
    <row r="169" s="79" customFormat="1" x14ac:dyDescent="0.2"/>
    <row r="170" s="79" customFormat="1" x14ac:dyDescent="0.2"/>
    <row r="171" s="79" customFormat="1" x14ac:dyDescent="0.2"/>
    <row r="172" s="79" customFormat="1" x14ac:dyDescent="0.2"/>
    <row r="173" s="79" customFormat="1" x14ac:dyDescent="0.2"/>
    <row r="174" s="79" customFormat="1" x14ac:dyDescent="0.2"/>
    <row r="175" s="79" customFormat="1" x14ac:dyDescent="0.2"/>
    <row r="176" s="79" customFormat="1" x14ac:dyDescent="0.2"/>
    <row r="177" s="79" customFormat="1" x14ac:dyDescent="0.2"/>
    <row r="178" s="79" customFormat="1" x14ac:dyDescent="0.2"/>
    <row r="179" s="79" customFormat="1" x14ac:dyDescent="0.2"/>
    <row r="180" s="79" customFormat="1" x14ac:dyDescent="0.2"/>
    <row r="181" s="79" customFormat="1" x14ac:dyDescent="0.2"/>
    <row r="182" s="79" customFormat="1" x14ac:dyDescent="0.2"/>
    <row r="183" s="79" customFormat="1" x14ac:dyDescent="0.2"/>
    <row r="184" s="79" customFormat="1" x14ac:dyDescent="0.2"/>
    <row r="185" s="79" customFormat="1" x14ac:dyDescent="0.2"/>
    <row r="186" s="79" customFormat="1" x14ac:dyDescent="0.2"/>
    <row r="187" s="79" customFormat="1" x14ac:dyDescent="0.2"/>
    <row r="188" s="79" customFormat="1" x14ac:dyDescent="0.2"/>
    <row r="189" s="79" customFormat="1" x14ac:dyDescent="0.2"/>
    <row r="190" s="79" customFormat="1" x14ac:dyDescent="0.2"/>
    <row r="191" s="79" customFormat="1" x14ac:dyDescent="0.2"/>
    <row r="192" s="79" customFormat="1" x14ac:dyDescent="0.2"/>
    <row r="193" s="79" customFormat="1" x14ac:dyDescent="0.2"/>
    <row r="194" s="79" customFormat="1" x14ac:dyDescent="0.2"/>
    <row r="195" s="79" customFormat="1" x14ac:dyDescent="0.2"/>
    <row r="196" s="79" customFormat="1" x14ac:dyDescent="0.2"/>
    <row r="197" s="79" customFormat="1" x14ac:dyDescent="0.2"/>
    <row r="198" s="79" customFormat="1" x14ac:dyDescent="0.2"/>
    <row r="199" s="79" customFormat="1" x14ac:dyDescent="0.2"/>
    <row r="200" s="79" customFormat="1" x14ac:dyDescent="0.2"/>
    <row r="201" s="79" customFormat="1" x14ac:dyDescent="0.2"/>
    <row r="202" s="79" customFormat="1" x14ac:dyDescent="0.2"/>
    <row r="203" s="79" customFormat="1" x14ac:dyDescent="0.2"/>
    <row r="204" s="79" customFormat="1" x14ac:dyDescent="0.2"/>
    <row r="205" s="79" customFormat="1" x14ac:dyDescent="0.2"/>
    <row r="206" s="79" customFormat="1" x14ac:dyDescent="0.2"/>
    <row r="207" s="79" customFormat="1" x14ac:dyDescent="0.2"/>
    <row r="208" s="79" customFormat="1" x14ac:dyDescent="0.2"/>
    <row r="209" s="79" customFormat="1" x14ac:dyDescent="0.2"/>
    <row r="210" s="79" customFormat="1" x14ac:dyDescent="0.2"/>
    <row r="211" s="79" customFormat="1" x14ac:dyDescent="0.2"/>
    <row r="212" s="79" customFormat="1" x14ac:dyDescent="0.2"/>
    <row r="213" s="79" customFormat="1" x14ac:dyDescent="0.2"/>
    <row r="214" s="79" customFormat="1" x14ac:dyDescent="0.2"/>
    <row r="215" s="79" customFormat="1" x14ac:dyDescent="0.2"/>
    <row r="216" s="79" customFormat="1" x14ac:dyDescent="0.2"/>
    <row r="217" s="79" customFormat="1" x14ac:dyDescent="0.2"/>
    <row r="218" s="79" customFormat="1" x14ac:dyDescent="0.2"/>
    <row r="219" s="79" customFormat="1" x14ac:dyDescent="0.2"/>
    <row r="220" s="79" customFormat="1" x14ac:dyDescent="0.2"/>
    <row r="221" s="79" customFormat="1" x14ac:dyDescent="0.2"/>
    <row r="222" s="79" customFormat="1" x14ac:dyDescent="0.2"/>
    <row r="223" s="79" customFormat="1" x14ac:dyDescent="0.2"/>
    <row r="224" s="79" customFormat="1" x14ac:dyDescent="0.2"/>
    <row r="225" s="79" customFormat="1" x14ac:dyDescent="0.2"/>
    <row r="226" s="79" customFormat="1" x14ac:dyDescent="0.2"/>
    <row r="227" s="79" customFormat="1" x14ac:dyDescent="0.2"/>
    <row r="228" s="79" customFormat="1" x14ac:dyDescent="0.2"/>
    <row r="229" s="79" customFormat="1" x14ac:dyDescent="0.2"/>
    <row r="230" s="79" customFormat="1" x14ac:dyDescent="0.2"/>
    <row r="231" s="79" customFormat="1" x14ac:dyDescent="0.2"/>
    <row r="232" s="79" customFormat="1" x14ac:dyDescent="0.2"/>
    <row r="233" s="79" customFormat="1" x14ac:dyDescent="0.2"/>
    <row r="234" s="79" customFormat="1" x14ac:dyDescent="0.2"/>
    <row r="235" s="79" customFormat="1" x14ac:dyDescent="0.2"/>
    <row r="236" s="79" customFormat="1" x14ac:dyDescent="0.2"/>
    <row r="237" s="79" customFormat="1" x14ac:dyDescent="0.2"/>
    <row r="238" s="79" customFormat="1" x14ac:dyDescent="0.2"/>
    <row r="239" s="79" customFormat="1" x14ac:dyDescent="0.2"/>
    <row r="240" s="79" customFormat="1" x14ac:dyDescent="0.2"/>
    <row r="241" s="79" customFormat="1" x14ac:dyDescent="0.2"/>
    <row r="242" s="79" customFormat="1" x14ac:dyDescent="0.2"/>
    <row r="243" s="79" customFormat="1" x14ac:dyDescent="0.2"/>
    <row r="244" s="79" customFormat="1" x14ac:dyDescent="0.2"/>
    <row r="245" s="79" customFormat="1" x14ac:dyDescent="0.2"/>
    <row r="246" s="79" customFormat="1" x14ac:dyDescent="0.2"/>
    <row r="247" s="79" customFormat="1" x14ac:dyDescent="0.2"/>
    <row r="248" s="79" customFormat="1" x14ac:dyDescent="0.2"/>
    <row r="249" s="79" customFormat="1" x14ac:dyDescent="0.2"/>
    <row r="250" s="79" customFormat="1" x14ac:dyDescent="0.2"/>
    <row r="251" s="79" customFormat="1" x14ac:dyDescent="0.2"/>
    <row r="252" s="79" customFormat="1" x14ac:dyDescent="0.2"/>
    <row r="253" s="79" customFormat="1" x14ac:dyDescent="0.2"/>
    <row r="254" s="79" customFormat="1" x14ac:dyDescent="0.2"/>
    <row r="255" s="79" customFormat="1" x14ac:dyDescent="0.2"/>
    <row r="256" s="79" customFormat="1" x14ac:dyDescent="0.2"/>
    <row r="257" s="79" customFormat="1" x14ac:dyDescent="0.2"/>
    <row r="258" s="79" customFormat="1" x14ac:dyDescent="0.2"/>
    <row r="259" s="79" customFormat="1" x14ac:dyDescent="0.2"/>
    <row r="260" s="79" customFormat="1" x14ac:dyDescent="0.2"/>
    <row r="261" s="79" customFormat="1" x14ac:dyDescent="0.2"/>
    <row r="262" s="79" customFormat="1" x14ac:dyDescent="0.2"/>
    <row r="263" s="79" customFormat="1" x14ac:dyDescent="0.2"/>
    <row r="264" s="79" customFormat="1" x14ac:dyDescent="0.2"/>
    <row r="265" s="79" customFormat="1" x14ac:dyDescent="0.2"/>
    <row r="266" s="79" customFormat="1" x14ac:dyDescent="0.2"/>
    <row r="267" s="79" customFormat="1" x14ac:dyDescent="0.2"/>
    <row r="268" s="79" customFormat="1" x14ac:dyDescent="0.2"/>
    <row r="269" s="79" customFormat="1" x14ac:dyDescent="0.2"/>
    <row r="270" s="79" customFormat="1" x14ac:dyDescent="0.2"/>
    <row r="271" s="79" customFormat="1" x14ac:dyDescent="0.2"/>
    <row r="272" s="79" customFormat="1" x14ac:dyDescent="0.2"/>
    <row r="273" s="79" customFormat="1" x14ac:dyDescent="0.2"/>
    <row r="274" s="79" customFormat="1" x14ac:dyDescent="0.2"/>
    <row r="275" s="79" customFormat="1" x14ac:dyDescent="0.2"/>
    <row r="276" s="79" customFormat="1" x14ac:dyDescent="0.2"/>
    <row r="277" s="79" customFormat="1" x14ac:dyDescent="0.2"/>
    <row r="278" s="79" customFormat="1" x14ac:dyDescent="0.2"/>
    <row r="279" s="79" customFormat="1" x14ac:dyDescent="0.2"/>
    <row r="280" s="79" customFormat="1" x14ac:dyDescent="0.2"/>
    <row r="281" s="79" customFormat="1" x14ac:dyDescent="0.2"/>
    <row r="282" s="79" customFormat="1" x14ac:dyDescent="0.2"/>
    <row r="283" s="79" customFormat="1" x14ac:dyDescent="0.2"/>
    <row r="284" s="79" customFormat="1" x14ac:dyDescent="0.2"/>
    <row r="285" s="79" customFormat="1" x14ac:dyDescent="0.2"/>
    <row r="286" s="79" customFormat="1" x14ac:dyDescent="0.2"/>
    <row r="287" s="79" customFormat="1" x14ac:dyDescent="0.2"/>
    <row r="288" s="79" customFormat="1" x14ac:dyDescent="0.2"/>
    <row r="289" s="79" customFormat="1" x14ac:dyDescent="0.2"/>
    <row r="290" s="79" customFormat="1" x14ac:dyDescent="0.2"/>
    <row r="291" s="79" customFormat="1" x14ac:dyDescent="0.2"/>
    <row r="292" s="79" customFormat="1" x14ac:dyDescent="0.2"/>
    <row r="293" s="79" customFormat="1" x14ac:dyDescent="0.2"/>
    <row r="294" s="79" customFormat="1" x14ac:dyDescent="0.2"/>
    <row r="295" s="79" customFormat="1" x14ac:dyDescent="0.2"/>
    <row r="296" s="79" customFormat="1" x14ac:dyDescent="0.2"/>
    <row r="297" s="79" customFormat="1" x14ac:dyDescent="0.2"/>
    <row r="298" s="79" customFormat="1" x14ac:dyDescent="0.2"/>
    <row r="299" s="79" customFormat="1" x14ac:dyDescent="0.2"/>
    <row r="300" s="79" customFormat="1" x14ac:dyDescent="0.2"/>
    <row r="301" s="79" customFormat="1" x14ac:dyDescent="0.2"/>
    <row r="302" s="79" customFormat="1" x14ac:dyDescent="0.2"/>
    <row r="303" s="79" customFormat="1" x14ac:dyDescent="0.2"/>
    <row r="304" s="79" customFormat="1" x14ac:dyDescent="0.2"/>
    <row r="305" s="79" customFormat="1" x14ac:dyDescent="0.2"/>
    <row r="306" s="79" customFormat="1" x14ac:dyDescent="0.2"/>
    <row r="307" s="79" customFormat="1" x14ac:dyDescent="0.2"/>
    <row r="308" s="79" customFormat="1" x14ac:dyDescent="0.2"/>
    <row r="309" s="79" customFormat="1" x14ac:dyDescent="0.2"/>
    <row r="310" s="79" customFormat="1" x14ac:dyDescent="0.2"/>
    <row r="311" s="79" customFormat="1" x14ac:dyDescent="0.2"/>
    <row r="312" s="79" customFormat="1" x14ac:dyDescent="0.2"/>
    <row r="313" s="79" customFormat="1" x14ac:dyDescent="0.2"/>
    <row r="314" s="79" customFormat="1" x14ac:dyDescent="0.2"/>
    <row r="315" s="79" customFormat="1" x14ac:dyDescent="0.2"/>
    <row r="316" s="79" customFormat="1" x14ac:dyDescent="0.2"/>
    <row r="317" s="79" customFormat="1" x14ac:dyDescent="0.2"/>
    <row r="318" s="79" customFormat="1" x14ac:dyDescent="0.2"/>
    <row r="319" s="79" customFormat="1" x14ac:dyDescent="0.2"/>
    <row r="320" s="79" customFormat="1" x14ac:dyDescent="0.2"/>
    <row r="321" s="79" customFormat="1" x14ac:dyDescent="0.2"/>
    <row r="322" s="79" customFormat="1" x14ac:dyDescent="0.2"/>
    <row r="323" s="79" customFormat="1" x14ac:dyDescent="0.2"/>
    <row r="324" s="79" customFormat="1" x14ac:dyDescent="0.2"/>
    <row r="325" s="79" customFormat="1" x14ac:dyDescent="0.2"/>
    <row r="326" s="79" customFormat="1" x14ac:dyDescent="0.2"/>
    <row r="327" s="79" customFormat="1" x14ac:dyDescent="0.2"/>
    <row r="328" s="79" customFormat="1" x14ac:dyDescent="0.2"/>
    <row r="329" s="79" customFormat="1" x14ac:dyDescent="0.2"/>
    <row r="330" s="79" customFormat="1" x14ac:dyDescent="0.2"/>
    <row r="331" s="79" customFormat="1" x14ac:dyDescent="0.2"/>
    <row r="332" s="79" customFormat="1" x14ac:dyDescent="0.2"/>
    <row r="333" s="79" customFormat="1" x14ac:dyDescent="0.2"/>
    <row r="334" s="79" customFormat="1" x14ac:dyDescent="0.2"/>
    <row r="335" s="79" customFormat="1" x14ac:dyDescent="0.2"/>
    <row r="336" s="79" customFormat="1" x14ac:dyDescent="0.2"/>
    <row r="337" s="79" customFormat="1" x14ac:dyDescent="0.2"/>
    <row r="338" s="79" customFormat="1" x14ac:dyDescent="0.2"/>
    <row r="339" s="79" customFormat="1" x14ac:dyDescent="0.2"/>
    <row r="340" s="79" customFormat="1" x14ac:dyDescent="0.2"/>
    <row r="341" s="79" customFormat="1" x14ac:dyDescent="0.2"/>
    <row r="342" s="79" customFormat="1" x14ac:dyDescent="0.2"/>
    <row r="343" s="79" customFormat="1" x14ac:dyDescent="0.2"/>
    <row r="344" s="79" customFormat="1" x14ac:dyDescent="0.2"/>
    <row r="345" s="79" customFormat="1" x14ac:dyDescent="0.2"/>
    <row r="346" s="79" customFormat="1" x14ac:dyDescent="0.2"/>
    <row r="347" s="79" customFormat="1" x14ac:dyDescent="0.2"/>
    <row r="348" s="79" customFormat="1" x14ac:dyDescent="0.2"/>
    <row r="349" s="79" customFormat="1" x14ac:dyDescent="0.2"/>
    <row r="350" s="79" customFormat="1" x14ac:dyDescent="0.2"/>
    <row r="351" s="79" customFormat="1" x14ac:dyDescent="0.2"/>
    <row r="352" s="79" customFormat="1" x14ac:dyDescent="0.2"/>
    <row r="353" s="79" customFormat="1" x14ac:dyDescent="0.2"/>
    <row r="354" s="79" customFormat="1" x14ac:dyDescent="0.2"/>
    <row r="355" s="79" customFormat="1" x14ac:dyDescent="0.2"/>
    <row r="356" s="79" customFormat="1" x14ac:dyDescent="0.2"/>
    <row r="357" s="79" customFormat="1" x14ac:dyDescent="0.2"/>
    <row r="358" s="79" customFormat="1" x14ac:dyDescent="0.2"/>
    <row r="359" s="79" customFormat="1" x14ac:dyDescent="0.2"/>
    <row r="360" s="79" customFormat="1" x14ac:dyDescent="0.2"/>
    <row r="361" s="79" customFormat="1" x14ac:dyDescent="0.2"/>
    <row r="362" s="79" customFormat="1" x14ac:dyDescent="0.2"/>
    <row r="363" s="79" customFormat="1" x14ac:dyDescent="0.2"/>
    <row r="364" s="79" customFormat="1" x14ac:dyDescent="0.2"/>
    <row r="365" s="79" customFormat="1" x14ac:dyDescent="0.2"/>
    <row r="366" s="79" customFormat="1" x14ac:dyDescent="0.2"/>
    <row r="367" s="79" customFormat="1" x14ac:dyDescent="0.2"/>
    <row r="368" s="79" customFormat="1" x14ac:dyDescent="0.2"/>
    <row r="369" s="79" customFormat="1" x14ac:dyDescent="0.2"/>
    <row r="370" s="79" customFormat="1" x14ac:dyDescent="0.2"/>
    <row r="371" s="79" customFormat="1" x14ac:dyDescent="0.2"/>
    <row r="372" s="79" customFormat="1" x14ac:dyDescent="0.2"/>
    <row r="373" s="79" customFormat="1" x14ac:dyDescent="0.2"/>
    <row r="374" s="79" customFormat="1" x14ac:dyDescent="0.2"/>
    <row r="375" s="79" customFormat="1" x14ac:dyDescent="0.2"/>
    <row r="376" s="79" customFormat="1" x14ac:dyDescent="0.2"/>
    <row r="377" s="79" customFormat="1" x14ac:dyDescent="0.2"/>
    <row r="378" s="79" customFormat="1" x14ac:dyDescent="0.2"/>
    <row r="379" s="79" customFormat="1" x14ac:dyDescent="0.2"/>
    <row r="380" s="79" customFormat="1" x14ac:dyDescent="0.2"/>
    <row r="381" s="79" customFormat="1" x14ac:dyDescent="0.2"/>
    <row r="382" s="79" customFormat="1" x14ac:dyDescent="0.2"/>
    <row r="383" s="79" customFormat="1" x14ac:dyDescent="0.2"/>
    <row r="384" s="79" customFormat="1" x14ac:dyDescent="0.2"/>
    <row r="385" s="79" customFormat="1" x14ac:dyDescent="0.2"/>
    <row r="386" s="79" customFormat="1" x14ac:dyDescent="0.2"/>
    <row r="387" s="79" customFormat="1" x14ac:dyDescent="0.2"/>
    <row r="388" s="79" customFormat="1" x14ac:dyDescent="0.2"/>
    <row r="389" s="79" customFormat="1" x14ac:dyDescent="0.2"/>
    <row r="390" s="79" customFormat="1" x14ac:dyDescent="0.2"/>
    <row r="391" s="79" customFormat="1" x14ac:dyDescent="0.2"/>
    <row r="392" s="79" customFormat="1" x14ac:dyDescent="0.2"/>
    <row r="393" s="79" customFormat="1" x14ac:dyDescent="0.2"/>
    <row r="394" s="79" customFormat="1" x14ac:dyDescent="0.2"/>
    <row r="395" s="79" customFormat="1" x14ac:dyDescent="0.2"/>
    <row r="396" s="79" customFormat="1" x14ac:dyDescent="0.2"/>
    <row r="397" s="79" customFormat="1" x14ac:dyDescent="0.2"/>
    <row r="398" s="79" customFormat="1" x14ac:dyDescent="0.2"/>
    <row r="399" s="79" customFormat="1" x14ac:dyDescent="0.2"/>
    <row r="400" s="79" customFormat="1" x14ac:dyDescent="0.2"/>
    <row r="401" s="79" customFormat="1" x14ac:dyDescent="0.2"/>
    <row r="402" s="79" customFormat="1" x14ac:dyDescent="0.2"/>
    <row r="403" s="79" customFormat="1" x14ac:dyDescent="0.2"/>
    <row r="404" s="79" customFormat="1" x14ac:dyDescent="0.2"/>
    <row r="405" s="79" customFormat="1" x14ac:dyDescent="0.2"/>
    <row r="406" s="79" customFormat="1" x14ac:dyDescent="0.2"/>
    <row r="407" s="79" customFormat="1" x14ac:dyDescent="0.2"/>
    <row r="408" s="79" customFormat="1" x14ac:dyDescent="0.2"/>
    <row r="409" s="79" customFormat="1" x14ac:dyDescent="0.2"/>
    <row r="410" s="79" customFormat="1" x14ac:dyDescent="0.2"/>
    <row r="411" s="79" customFormat="1" x14ac:dyDescent="0.2"/>
    <row r="412" s="79" customFormat="1" x14ac:dyDescent="0.2"/>
    <row r="413" s="79" customFormat="1" x14ac:dyDescent="0.2"/>
    <row r="414" s="79" customFormat="1" x14ac:dyDescent="0.2"/>
    <row r="415" s="79" customFormat="1" x14ac:dyDescent="0.2"/>
    <row r="416" s="79" customFormat="1" x14ac:dyDescent="0.2"/>
    <row r="417" s="79" customFormat="1" x14ac:dyDescent="0.2"/>
    <row r="418" s="79" customFormat="1" x14ac:dyDescent="0.2"/>
    <row r="419" s="79" customFormat="1" x14ac:dyDescent="0.2"/>
    <row r="420" s="79" customFormat="1" x14ac:dyDescent="0.2"/>
    <row r="421" s="79" customFormat="1" x14ac:dyDescent="0.2"/>
    <row r="422" s="79" customFormat="1" x14ac:dyDescent="0.2"/>
    <row r="423" s="79" customFormat="1" x14ac:dyDescent="0.2"/>
    <row r="424" s="79" customFormat="1" x14ac:dyDescent="0.2"/>
    <row r="425" s="79" customFormat="1" x14ac:dyDescent="0.2"/>
    <row r="426" s="79" customFormat="1" x14ac:dyDescent="0.2"/>
    <row r="427" s="79" customFormat="1" x14ac:dyDescent="0.2"/>
    <row r="428" s="79" customFormat="1" x14ac:dyDescent="0.2"/>
    <row r="429" s="79" customFormat="1" x14ac:dyDescent="0.2"/>
    <row r="430" s="79" customFormat="1" x14ac:dyDescent="0.2"/>
    <row r="431" s="79" customFormat="1" x14ac:dyDescent="0.2"/>
    <row r="432" s="79" customFormat="1" x14ac:dyDescent="0.2"/>
    <row r="433" s="79" customFormat="1" x14ac:dyDescent="0.2"/>
    <row r="434" s="79" customFormat="1" x14ac:dyDescent="0.2"/>
    <row r="435" s="79" customFormat="1" x14ac:dyDescent="0.2"/>
    <row r="436" s="79" customFormat="1" x14ac:dyDescent="0.2"/>
    <row r="437" s="79" customFormat="1" x14ac:dyDescent="0.2"/>
    <row r="438" s="79" customFormat="1" x14ac:dyDescent="0.2"/>
    <row r="439" s="79" customFormat="1" x14ac:dyDescent="0.2"/>
    <row r="440" s="79" customFormat="1" x14ac:dyDescent="0.2"/>
    <row r="441" s="79" customFormat="1" x14ac:dyDescent="0.2"/>
    <row r="442" s="79" customFormat="1" x14ac:dyDescent="0.2"/>
    <row r="443" s="79" customFormat="1" x14ac:dyDescent="0.2"/>
    <row r="444" s="79" customFormat="1" x14ac:dyDescent="0.2"/>
    <row r="445" s="79" customFormat="1" x14ac:dyDescent="0.2"/>
    <row r="446" s="79" customFormat="1" x14ac:dyDescent="0.2"/>
    <row r="447" s="79" customFormat="1" x14ac:dyDescent="0.2"/>
    <row r="448" s="79" customFormat="1" x14ac:dyDescent="0.2"/>
    <row r="449" s="79" customFormat="1" x14ac:dyDescent="0.2"/>
    <row r="450" s="79" customFormat="1" x14ac:dyDescent="0.2"/>
    <row r="451" s="79" customFormat="1" x14ac:dyDescent="0.2"/>
    <row r="452" s="79" customFormat="1" x14ac:dyDescent="0.2"/>
    <row r="453" s="79" customFormat="1" x14ac:dyDescent="0.2"/>
    <row r="454" s="79" customFormat="1" x14ac:dyDescent="0.2"/>
    <row r="455" s="79" customFormat="1" x14ac:dyDescent="0.2"/>
    <row r="456" s="79" customFormat="1" x14ac:dyDescent="0.2"/>
    <row r="457" s="79" customFormat="1" x14ac:dyDescent="0.2"/>
    <row r="458" s="79" customFormat="1" x14ac:dyDescent="0.2"/>
    <row r="459" s="79" customFormat="1" x14ac:dyDescent="0.2"/>
    <row r="460" s="79" customFormat="1" x14ac:dyDescent="0.2"/>
    <row r="461" s="79" customFormat="1" x14ac:dyDescent="0.2"/>
    <row r="462" s="79" customFormat="1" x14ac:dyDescent="0.2"/>
    <row r="463" s="79" customFormat="1" x14ac:dyDescent="0.2"/>
    <row r="464" s="79" customFormat="1" x14ac:dyDescent="0.2"/>
    <row r="465" s="79" customFormat="1" x14ac:dyDescent="0.2"/>
    <row r="466" s="79" customFormat="1" x14ac:dyDescent="0.2"/>
    <row r="467" s="79" customFormat="1" x14ac:dyDescent="0.2"/>
    <row r="468" s="79" customFormat="1" x14ac:dyDescent="0.2"/>
    <row r="469" s="79" customFormat="1" x14ac:dyDescent="0.2"/>
    <row r="470" s="79" customFormat="1" x14ac:dyDescent="0.2"/>
    <row r="471" s="79" customFormat="1" x14ac:dyDescent="0.2"/>
    <row r="472" s="79" customFormat="1" x14ac:dyDescent="0.2"/>
    <row r="473" s="79" customFormat="1" x14ac:dyDescent="0.2"/>
    <row r="474" s="79" customFormat="1" x14ac:dyDescent="0.2"/>
    <row r="475" s="79" customFormat="1" x14ac:dyDescent="0.2"/>
    <row r="476" s="79" customFormat="1" x14ac:dyDescent="0.2"/>
    <row r="477" s="79" customFormat="1" x14ac:dyDescent="0.2"/>
    <row r="478" s="79" customFormat="1" x14ac:dyDescent="0.2"/>
    <row r="479" s="79" customFormat="1" x14ac:dyDescent="0.2"/>
    <row r="480" s="79" customFormat="1" x14ac:dyDescent="0.2"/>
    <row r="481" s="79" customFormat="1" x14ac:dyDescent="0.2"/>
    <row r="482" s="79" customFormat="1" x14ac:dyDescent="0.2"/>
    <row r="483" s="79" customFormat="1" x14ac:dyDescent="0.2"/>
    <row r="484" s="79" customFormat="1" x14ac:dyDescent="0.2"/>
    <row r="485" s="79" customFormat="1" x14ac:dyDescent="0.2"/>
    <row r="486" s="79" customFormat="1" x14ac:dyDescent="0.2"/>
    <row r="487" s="79" customFormat="1" x14ac:dyDescent="0.2"/>
    <row r="488" s="79" customFormat="1" x14ac:dyDescent="0.2"/>
    <row r="489" s="79" customFormat="1" x14ac:dyDescent="0.2"/>
    <row r="490" s="79" customFormat="1" x14ac:dyDescent="0.2"/>
    <row r="491" s="79" customFormat="1" x14ac:dyDescent="0.2"/>
    <row r="492" s="79" customFormat="1" x14ac:dyDescent="0.2"/>
    <row r="493" s="79" customFormat="1" x14ac:dyDescent="0.2"/>
    <row r="494" s="79" customFormat="1" x14ac:dyDescent="0.2"/>
    <row r="495" s="79" customFormat="1" x14ac:dyDescent="0.2"/>
    <row r="496" s="79" customFormat="1" x14ac:dyDescent="0.2"/>
    <row r="497" s="79" customFormat="1" x14ac:dyDescent="0.2"/>
    <row r="498" s="79" customFormat="1" x14ac:dyDescent="0.2"/>
    <row r="499" s="79" customFormat="1" x14ac:dyDescent="0.2"/>
    <row r="500" s="79" customFormat="1" x14ac:dyDescent="0.2"/>
    <row r="501" s="79" customFormat="1" x14ac:dyDescent="0.2"/>
    <row r="502" s="79" customFormat="1" x14ac:dyDescent="0.2"/>
    <row r="503" s="79" customFormat="1" x14ac:dyDescent="0.2"/>
    <row r="504" s="79" customFormat="1" x14ac:dyDescent="0.2"/>
    <row r="505" s="79" customFormat="1" x14ac:dyDescent="0.2"/>
    <row r="506" s="79" customFormat="1" x14ac:dyDescent="0.2"/>
    <row r="507" s="79" customFormat="1" x14ac:dyDescent="0.2"/>
    <row r="508" s="79" customFormat="1" x14ac:dyDescent="0.2"/>
    <row r="509" s="79" customFormat="1" x14ac:dyDescent="0.2"/>
    <row r="510" s="79" customFormat="1" x14ac:dyDescent="0.2"/>
    <row r="511" s="79" customFormat="1" x14ac:dyDescent="0.2"/>
    <row r="512" s="79" customFormat="1" x14ac:dyDescent="0.2"/>
    <row r="513" s="79" customFormat="1" x14ac:dyDescent="0.2"/>
    <row r="514" s="79" customFormat="1" x14ac:dyDescent="0.2"/>
    <row r="515" s="79" customFormat="1" x14ac:dyDescent="0.2"/>
    <row r="516" s="79" customFormat="1" x14ac:dyDescent="0.2"/>
    <row r="517" s="79" customFormat="1" x14ac:dyDescent="0.2"/>
    <row r="518" s="79" customFormat="1" x14ac:dyDescent="0.2"/>
    <row r="519" s="79" customFormat="1" x14ac:dyDescent="0.2"/>
    <row r="520" s="79" customFormat="1" x14ac:dyDescent="0.2"/>
    <row r="521" s="79" customFormat="1" x14ac:dyDescent="0.2"/>
    <row r="522" s="79" customFormat="1" x14ac:dyDescent="0.2"/>
    <row r="523" s="79" customFormat="1" x14ac:dyDescent="0.2"/>
    <row r="524" s="79" customFormat="1" x14ac:dyDescent="0.2"/>
    <row r="525" s="79" customFormat="1" x14ac:dyDescent="0.2"/>
    <row r="526" s="79" customFormat="1" x14ac:dyDescent="0.2"/>
    <row r="527" s="79" customFormat="1" x14ac:dyDescent="0.2"/>
    <row r="528" s="79" customFormat="1" x14ac:dyDescent="0.2"/>
    <row r="529" s="79" customFormat="1" x14ac:dyDescent="0.2"/>
    <row r="530" s="79" customFormat="1" x14ac:dyDescent="0.2"/>
    <row r="531" s="79" customFormat="1" x14ac:dyDescent="0.2"/>
    <row r="532" s="79" customFormat="1" x14ac:dyDescent="0.2"/>
    <row r="533" s="79" customFormat="1" x14ac:dyDescent="0.2"/>
    <row r="534" s="79" customFormat="1" x14ac:dyDescent="0.2"/>
    <row r="535" s="79" customFormat="1" x14ac:dyDescent="0.2"/>
    <row r="536" s="79" customFormat="1" x14ac:dyDescent="0.2"/>
    <row r="537" s="79" customFormat="1" x14ac:dyDescent="0.2"/>
    <row r="538" s="79" customFormat="1" x14ac:dyDescent="0.2"/>
    <row r="539" s="79" customFormat="1" x14ac:dyDescent="0.2"/>
    <row r="540" s="79" customFormat="1" x14ac:dyDescent="0.2"/>
    <row r="541" s="79" customFormat="1" x14ac:dyDescent="0.2"/>
    <row r="542" s="79" customFormat="1" x14ac:dyDescent="0.2"/>
    <row r="543" s="79" customFormat="1" x14ac:dyDescent="0.2"/>
    <row r="544" s="79" customFormat="1" x14ac:dyDescent="0.2"/>
    <row r="545" s="79" customFormat="1" x14ac:dyDescent="0.2"/>
    <row r="546" s="79" customFormat="1" x14ac:dyDescent="0.2"/>
    <row r="547" s="79" customFormat="1" x14ac:dyDescent="0.2"/>
    <row r="548" s="79" customFormat="1" x14ac:dyDescent="0.2"/>
    <row r="549" s="79" customFormat="1" x14ac:dyDescent="0.2"/>
    <row r="550" s="79" customFormat="1" x14ac:dyDescent="0.2"/>
    <row r="551" s="79" customFormat="1" x14ac:dyDescent="0.2"/>
    <row r="552" s="79" customFormat="1" x14ac:dyDescent="0.2"/>
    <row r="553" s="79" customFormat="1" x14ac:dyDescent="0.2"/>
    <row r="554" s="79" customFormat="1" x14ac:dyDescent="0.2"/>
    <row r="555" s="79" customFormat="1" x14ac:dyDescent="0.2"/>
    <row r="556" s="79" customFormat="1" x14ac:dyDescent="0.2"/>
    <row r="557" s="79" customFormat="1" x14ac:dyDescent="0.2"/>
    <row r="558" s="79" customFormat="1" x14ac:dyDescent="0.2"/>
    <row r="559" s="79" customFormat="1" x14ac:dyDescent="0.2"/>
    <row r="560" s="79" customFormat="1" x14ac:dyDescent="0.2"/>
    <row r="561" s="79" customFormat="1" x14ac:dyDescent="0.2"/>
    <row r="562" s="79" customFormat="1" x14ac:dyDescent="0.2"/>
    <row r="563" s="79" customFormat="1" x14ac:dyDescent="0.2"/>
    <row r="564" s="79" customFormat="1" x14ac:dyDescent="0.2"/>
    <row r="565" s="79" customFormat="1" x14ac:dyDescent="0.2"/>
    <row r="566" s="79" customFormat="1" x14ac:dyDescent="0.2"/>
    <row r="567" s="79" customFormat="1" x14ac:dyDescent="0.2"/>
    <row r="568" s="79" customFormat="1" x14ac:dyDescent="0.2"/>
    <row r="569" s="79" customFormat="1" x14ac:dyDescent="0.2"/>
    <row r="570" s="79" customFormat="1" x14ac:dyDescent="0.2"/>
    <row r="571" s="79" customFormat="1" x14ac:dyDescent="0.2"/>
    <row r="572" s="79" customFormat="1" x14ac:dyDescent="0.2"/>
    <row r="573" s="79" customFormat="1" x14ac:dyDescent="0.2"/>
    <row r="574" s="79" customFormat="1" x14ac:dyDescent="0.2"/>
    <row r="575" s="79" customFormat="1" x14ac:dyDescent="0.2"/>
    <row r="576" s="79" customFormat="1" x14ac:dyDescent="0.2"/>
    <row r="577" s="79" customFormat="1" x14ac:dyDescent="0.2"/>
    <row r="578" s="79" customFormat="1" x14ac:dyDescent="0.2"/>
    <row r="579" s="79" customFormat="1" x14ac:dyDescent="0.2"/>
    <row r="580" s="79" customFormat="1" x14ac:dyDescent="0.2"/>
    <row r="581" s="79" customFormat="1" x14ac:dyDescent="0.2"/>
    <row r="582" s="79" customFormat="1" x14ac:dyDescent="0.2"/>
    <row r="583" s="79" customFormat="1" x14ac:dyDescent="0.2"/>
    <row r="584" s="79" customFormat="1" x14ac:dyDescent="0.2"/>
    <row r="585" s="79" customFormat="1" x14ac:dyDescent="0.2"/>
    <row r="586" s="79" customFormat="1" x14ac:dyDescent="0.2"/>
    <row r="587" s="79" customFormat="1" x14ac:dyDescent="0.2"/>
    <row r="588" s="79" customFormat="1" x14ac:dyDescent="0.2"/>
    <row r="589" s="79" customFormat="1" x14ac:dyDescent="0.2"/>
    <row r="590" s="79" customFormat="1" x14ac:dyDescent="0.2"/>
    <row r="591" s="79" customFormat="1" x14ac:dyDescent="0.2"/>
    <row r="592" s="79" customFormat="1" x14ac:dyDescent="0.2"/>
    <row r="593" s="79" customFormat="1" x14ac:dyDescent="0.2"/>
    <row r="594" s="79" customFormat="1" x14ac:dyDescent="0.2"/>
    <row r="595" s="79" customFormat="1" x14ac:dyDescent="0.2"/>
    <row r="596" s="79" customFormat="1" x14ac:dyDescent="0.2"/>
    <row r="597" s="79" customFormat="1" x14ac:dyDescent="0.2"/>
    <row r="598" s="79" customFormat="1" x14ac:dyDescent="0.2"/>
    <row r="599" s="79" customFormat="1" x14ac:dyDescent="0.2"/>
    <row r="600" s="79" customFormat="1" x14ac:dyDescent="0.2"/>
    <row r="601" s="79" customFormat="1" x14ac:dyDescent="0.2"/>
    <row r="602" s="79" customFormat="1" x14ac:dyDescent="0.2"/>
    <row r="603" s="79" customFormat="1" x14ac:dyDescent="0.2"/>
    <row r="604" s="79" customFormat="1" x14ac:dyDescent="0.2"/>
    <row r="605" s="79" customFormat="1" x14ac:dyDescent="0.2"/>
    <row r="606" s="79" customFormat="1" x14ac:dyDescent="0.2"/>
    <row r="607" s="79" customFormat="1" x14ac:dyDescent="0.2"/>
    <row r="608" s="79" customFormat="1" x14ac:dyDescent="0.2"/>
    <row r="609" spans="1:334" s="79" customFormat="1" x14ac:dyDescent="0.2"/>
    <row r="610" spans="1:334" s="79" customFormat="1" x14ac:dyDescent="0.2"/>
    <row r="611" spans="1:334" s="79" customFormat="1" x14ac:dyDescent="0.2"/>
    <row r="612" spans="1:334" s="79" customFormat="1" x14ac:dyDescent="0.2"/>
    <row r="613" spans="1:334" s="79" customFormat="1" x14ac:dyDescent="0.2"/>
    <row r="614" spans="1:334" s="79" customFormat="1" x14ac:dyDescent="0.2"/>
    <row r="615" spans="1:334" s="79" customFormat="1" x14ac:dyDescent="0.2"/>
    <row r="616" spans="1:334" s="79" customFormat="1" x14ac:dyDescent="0.2"/>
    <row r="617" spans="1:334" s="79" customFormat="1" x14ac:dyDescent="0.2"/>
    <row r="618" spans="1:334" s="79" customFormat="1" x14ac:dyDescent="0.2"/>
    <row r="619" spans="1:334" s="79" customFormat="1" x14ac:dyDescent="0.2"/>
    <row r="620" spans="1:334" s="79" customFormat="1" x14ac:dyDescent="0.2"/>
    <row r="621" spans="1:334" s="79" customFormat="1" x14ac:dyDescent="0.2"/>
    <row r="622" spans="1:334" s="79" customFormat="1" x14ac:dyDescent="0.2"/>
    <row r="623" spans="1:334" s="80" customFormat="1" x14ac:dyDescent="0.2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  <c r="AC623" s="79"/>
      <c r="AD623" s="79"/>
      <c r="AE623" s="79"/>
      <c r="AF623" s="79"/>
      <c r="AG623" s="79"/>
      <c r="AH623" s="79"/>
      <c r="AI623" s="79"/>
      <c r="AJ623" s="79"/>
      <c r="AK623" s="79"/>
      <c r="AL623" s="79"/>
      <c r="AM623" s="79"/>
      <c r="AN623" s="79"/>
      <c r="AO623" s="79"/>
      <c r="AP623" s="79"/>
      <c r="AQ623" s="79"/>
      <c r="AR623" s="79"/>
      <c r="AS623" s="79"/>
      <c r="AT623" s="79"/>
      <c r="AU623" s="79"/>
      <c r="AV623" s="79"/>
      <c r="AW623" s="79"/>
      <c r="AX623" s="79"/>
      <c r="AY623" s="79"/>
      <c r="AZ623" s="79"/>
      <c r="BA623" s="79"/>
      <c r="BB623" s="79"/>
      <c r="BC623" s="79"/>
      <c r="BD623" s="79"/>
      <c r="BE623" s="79"/>
      <c r="BF623" s="79"/>
      <c r="BG623" s="79"/>
      <c r="BH623" s="79"/>
      <c r="BI623" s="79"/>
      <c r="BJ623" s="79"/>
      <c r="BK623" s="79"/>
      <c r="BL623" s="79"/>
      <c r="BM623" s="79"/>
      <c r="BN623" s="79"/>
      <c r="BO623" s="79"/>
      <c r="BP623" s="79"/>
      <c r="BQ623" s="79"/>
      <c r="BR623" s="79"/>
      <c r="BS623" s="79"/>
      <c r="BT623" s="79"/>
      <c r="BU623" s="79"/>
      <c r="BV623" s="79"/>
      <c r="BW623" s="79"/>
      <c r="BX623" s="79"/>
      <c r="BY623" s="79"/>
      <c r="BZ623" s="79"/>
      <c r="CA623" s="79"/>
      <c r="CB623" s="79"/>
      <c r="CC623" s="79"/>
      <c r="CD623" s="79"/>
      <c r="CE623" s="79"/>
      <c r="CF623" s="79"/>
      <c r="CG623" s="79"/>
      <c r="CH623" s="79"/>
      <c r="CI623" s="79"/>
      <c r="CJ623" s="79"/>
      <c r="CK623" s="79"/>
      <c r="CL623" s="79"/>
      <c r="CM623" s="79"/>
      <c r="CN623" s="79"/>
      <c r="CO623" s="79"/>
      <c r="CP623" s="79"/>
      <c r="CQ623" s="79"/>
      <c r="CR623" s="79"/>
      <c r="CS623" s="79"/>
      <c r="CT623" s="79"/>
      <c r="CU623" s="79"/>
      <c r="CV623" s="79"/>
      <c r="CW623" s="79"/>
      <c r="CX623" s="79"/>
      <c r="CY623" s="79"/>
      <c r="CZ623" s="79"/>
      <c r="DA623" s="79"/>
      <c r="DB623" s="79"/>
      <c r="DC623" s="79"/>
      <c r="DD623" s="79"/>
      <c r="DE623" s="79"/>
      <c r="DF623" s="79"/>
      <c r="DG623" s="79"/>
      <c r="DH623" s="79"/>
      <c r="DI623" s="79"/>
      <c r="DJ623" s="79"/>
      <c r="DK623" s="79"/>
      <c r="DL623" s="79"/>
      <c r="DM623" s="79"/>
      <c r="DN623" s="79"/>
      <c r="DO623" s="79"/>
      <c r="DP623" s="79"/>
      <c r="DQ623" s="79"/>
      <c r="DR623" s="79"/>
      <c r="DS623" s="79"/>
      <c r="DT623" s="79"/>
      <c r="DU623" s="79"/>
      <c r="DV623" s="79"/>
      <c r="DW623" s="79"/>
      <c r="DX623" s="79"/>
      <c r="DY623" s="79"/>
      <c r="DZ623" s="79"/>
      <c r="EA623" s="79"/>
      <c r="EB623" s="79"/>
      <c r="EC623" s="79"/>
      <c r="ED623" s="79"/>
      <c r="EE623" s="79"/>
      <c r="EF623" s="79"/>
      <c r="EG623" s="79"/>
      <c r="EH623" s="79"/>
      <c r="EI623" s="79"/>
      <c r="EJ623" s="79"/>
      <c r="EK623" s="79"/>
      <c r="EL623" s="79"/>
      <c r="EM623" s="79"/>
      <c r="EN623" s="79"/>
      <c r="EO623" s="79"/>
      <c r="EP623" s="79"/>
      <c r="EQ623" s="79"/>
      <c r="ER623" s="79"/>
      <c r="ES623" s="79"/>
      <c r="ET623" s="79"/>
      <c r="EU623" s="79"/>
      <c r="EV623" s="79"/>
      <c r="EW623" s="79"/>
      <c r="EX623" s="79"/>
      <c r="EY623" s="79"/>
      <c r="EZ623" s="79"/>
      <c r="FA623" s="79"/>
      <c r="FB623" s="79"/>
      <c r="FC623" s="79"/>
      <c r="FD623" s="79"/>
      <c r="FE623" s="79"/>
      <c r="FF623" s="79"/>
      <c r="FG623" s="79"/>
      <c r="FH623" s="79"/>
      <c r="FI623" s="79"/>
      <c r="FJ623" s="79"/>
      <c r="FK623" s="79"/>
      <c r="FL623" s="79"/>
      <c r="FM623" s="79"/>
      <c r="FN623" s="79"/>
      <c r="FO623" s="79"/>
      <c r="FP623" s="79"/>
      <c r="FQ623" s="79"/>
      <c r="FR623" s="79"/>
      <c r="FS623" s="79"/>
      <c r="FT623" s="79"/>
      <c r="FU623" s="79"/>
      <c r="FV623" s="79"/>
      <c r="FW623" s="79"/>
      <c r="FX623" s="79"/>
      <c r="FY623" s="79"/>
      <c r="FZ623" s="79"/>
      <c r="GA623" s="79"/>
      <c r="GB623" s="79"/>
      <c r="GC623" s="79"/>
      <c r="GD623" s="79"/>
      <c r="GE623" s="79"/>
      <c r="GF623" s="79"/>
      <c r="GG623" s="79"/>
      <c r="GH623" s="79"/>
      <c r="GI623" s="79"/>
      <c r="GJ623" s="79"/>
      <c r="GK623" s="79"/>
      <c r="GL623" s="79"/>
      <c r="GM623" s="79"/>
      <c r="GN623" s="79"/>
      <c r="GO623" s="79"/>
      <c r="GP623" s="79"/>
      <c r="GQ623" s="79"/>
      <c r="GR623" s="79"/>
      <c r="GS623" s="79"/>
      <c r="GT623" s="79"/>
      <c r="GU623" s="79"/>
      <c r="GV623" s="79"/>
      <c r="GW623" s="79"/>
      <c r="GX623" s="79"/>
      <c r="GY623" s="79"/>
      <c r="GZ623" s="79"/>
      <c r="HA623" s="79"/>
      <c r="HB623" s="79"/>
      <c r="HC623" s="79"/>
      <c r="HD623" s="79"/>
      <c r="HE623" s="79"/>
      <c r="HF623" s="79"/>
      <c r="HG623" s="79"/>
      <c r="HH623" s="79"/>
      <c r="HI623" s="79"/>
      <c r="HJ623" s="79"/>
      <c r="HK623" s="79"/>
      <c r="HL623" s="79"/>
      <c r="HM623" s="79"/>
      <c r="HN623" s="79"/>
      <c r="HO623" s="79"/>
      <c r="HP623" s="79"/>
      <c r="HQ623" s="79"/>
      <c r="HR623" s="79"/>
      <c r="HS623" s="79"/>
      <c r="HT623" s="79"/>
      <c r="HU623" s="79"/>
      <c r="HV623" s="79"/>
      <c r="HW623" s="79"/>
      <c r="HX623" s="79"/>
      <c r="HY623" s="79"/>
      <c r="HZ623" s="79"/>
      <c r="IA623" s="79"/>
      <c r="IB623" s="79"/>
      <c r="IC623" s="79"/>
      <c r="ID623" s="79"/>
      <c r="IE623" s="79"/>
      <c r="IF623" s="79"/>
      <c r="IG623" s="79"/>
      <c r="IH623" s="79"/>
      <c r="II623" s="79"/>
      <c r="IJ623" s="79"/>
      <c r="IK623" s="79"/>
      <c r="IL623" s="79"/>
      <c r="IM623" s="79"/>
      <c r="IN623" s="79"/>
      <c r="IO623" s="79"/>
      <c r="IP623" s="79"/>
      <c r="IQ623" s="79"/>
      <c r="IR623" s="79"/>
      <c r="IS623" s="79"/>
      <c r="IT623" s="79"/>
      <c r="IU623" s="79"/>
      <c r="IV623" s="79"/>
      <c r="IW623" s="79"/>
      <c r="IX623" s="79"/>
      <c r="IY623" s="79"/>
      <c r="IZ623" s="79"/>
      <c r="JA623" s="79"/>
      <c r="JB623" s="79"/>
      <c r="JC623" s="79"/>
      <c r="JD623" s="79"/>
      <c r="JE623" s="79"/>
      <c r="JF623" s="79"/>
      <c r="JG623" s="79"/>
      <c r="JH623" s="79"/>
      <c r="JI623" s="79"/>
      <c r="JJ623" s="79"/>
      <c r="JK623" s="79"/>
      <c r="JL623" s="79"/>
      <c r="JM623" s="79"/>
      <c r="JN623" s="79"/>
      <c r="JO623" s="79"/>
      <c r="JP623" s="79"/>
      <c r="JQ623" s="79"/>
      <c r="JR623" s="79"/>
      <c r="JS623" s="79"/>
      <c r="JT623" s="79"/>
      <c r="JU623" s="79"/>
      <c r="JV623" s="79"/>
      <c r="JW623" s="79"/>
      <c r="JX623" s="79"/>
      <c r="JY623" s="79"/>
      <c r="JZ623" s="79"/>
      <c r="KA623" s="79"/>
      <c r="KB623" s="79"/>
      <c r="KC623" s="79"/>
      <c r="KD623" s="79"/>
      <c r="KE623" s="79"/>
      <c r="KF623" s="79"/>
      <c r="KG623" s="79"/>
      <c r="KH623" s="79"/>
      <c r="KI623" s="79"/>
      <c r="KJ623" s="79"/>
      <c r="KK623" s="79"/>
      <c r="KL623" s="79"/>
      <c r="KM623" s="79"/>
      <c r="KN623" s="79"/>
      <c r="KO623" s="79"/>
      <c r="KP623" s="79"/>
      <c r="KQ623" s="79"/>
      <c r="KR623" s="79"/>
      <c r="KS623" s="79"/>
      <c r="KT623" s="79"/>
      <c r="KU623" s="79"/>
      <c r="KV623" s="79"/>
      <c r="KW623" s="79"/>
      <c r="KX623" s="79"/>
      <c r="KY623" s="79"/>
      <c r="KZ623" s="79"/>
      <c r="LA623" s="79"/>
      <c r="LB623" s="79"/>
      <c r="LC623" s="79"/>
      <c r="LD623" s="79"/>
      <c r="LE623" s="79"/>
      <c r="LF623" s="79"/>
      <c r="LG623" s="79"/>
      <c r="LH623" s="79"/>
      <c r="LI623" s="79"/>
      <c r="LJ623" s="79"/>
      <c r="LK623" s="79"/>
      <c r="LL623" s="79"/>
      <c r="LM623" s="79"/>
      <c r="LN623" s="79"/>
      <c r="LO623" s="79"/>
      <c r="LP623" s="79"/>
      <c r="LQ623" s="79"/>
      <c r="LR623" s="79"/>
      <c r="LS623" s="79"/>
      <c r="LT623" s="79"/>
      <c r="LU623" s="79"/>
      <c r="LV623" s="79"/>
    </row>
    <row r="624" spans="1:334" s="80" customFormat="1" x14ac:dyDescent="0.2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  <c r="AC624" s="79"/>
      <c r="AD624" s="79"/>
      <c r="AE624" s="79"/>
      <c r="AF624" s="79"/>
      <c r="AG624" s="79"/>
      <c r="AH624" s="79"/>
      <c r="AI624" s="79"/>
      <c r="AJ624" s="79"/>
      <c r="AK624" s="79"/>
      <c r="AL624" s="79"/>
      <c r="AM624" s="79"/>
      <c r="AN624" s="79"/>
      <c r="AO624" s="79"/>
      <c r="AP624" s="79"/>
      <c r="AQ624" s="79"/>
      <c r="AR624" s="79"/>
      <c r="AS624" s="79"/>
      <c r="AT624" s="79"/>
      <c r="AU624" s="79"/>
      <c r="AV624" s="79"/>
      <c r="AW624" s="79"/>
      <c r="AX624" s="79"/>
      <c r="AY624" s="79"/>
      <c r="AZ624" s="79"/>
      <c r="BA624" s="79"/>
      <c r="BB624" s="79"/>
      <c r="BC624" s="79"/>
      <c r="BD624" s="79"/>
      <c r="BE624" s="79"/>
      <c r="BF624" s="79"/>
      <c r="BG624" s="79"/>
      <c r="BH624" s="79"/>
      <c r="BI624" s="79"/>
      <c r="BJ624" s="79"/>
      <c r="BK624" s="79"/>
      <c r="BL624" s="79"/>
      <c r="BM624" s="79"/>
      <c r="BN624" s="79"/>
      <c r="BO624" s="79"/>
      <c r="BP624" s="79"/>
      <c r="BQ624" s="79"/>
      <c r="BR624" s="79"/>
      <c r="BS624" s="79"/>
      <c r="BT624" s="79"/>
      <c r="BU624" s="79"/>
      <c r="BV624" s="79"/>
      <c r="BW624" s="79"/>
      <c r="BX624" s="79"/>
      <c r="BY624" s="79"/>
      <c r="BZ624" s="79"/>
      <c r="CA624" s="79"/>
      <c r="CB624" s="79"/>
      <c r="CC624" s="79"/>
      <c r="CD624" s="79"/>
      <c r="CE624" s="79"/>
      <c r="CF624" s="79"/>
      <c r="CG624" s="79"/>
      <c r="CH624" s="79"/>
      <c r="CI624" s="79"/>
      <c r="CJ624" s="79"/>
      <c r="CK624" s="79"/>
      <c r="CL624" s="79"/>
      <c r="CM624" s="79"/>
      <c r="CN624" s="79"/>
      <c r="CO624" s="79"/>
      <c r="CP624" s="79"/>
      <c r="CQ624" s="79"/>
      <c r="CR624" s="79"/>
      <c r="CS624" s="79"/>
      <c r="CT624" s="79"/>
      <c r="CU624" s="79"/>
      <c r="CV624" s="79"/>
      <c r="CW624" s="79"/>
      <c r="CX624" s="79"/>
      <c r="CY624" s="79"/>
      <c r="CZ624" s="79"/>
      <c r="DA624" s="79"/>
      <c r="DB624" s="79"/>
      <c r="DC624" s="79"/>
      <c r="DD624" s="79"/>
      <c r="DE624" s="79"/>
      <c r="DF624" s="79"/>
      <c r="DG624" s="79"/>
      <c r="DH624" s="79"/>
      <c r="DI624" s="79"/>
      <c r="DJ624" s="79"/>
      <c r="DK624" s="79"/>
      <c r="DL624" s="79"/>
      <c r="DM624" s="79"/>
      <c r="DN624" s="79"/>
      <c r="DO624" s="79"/>
      <c r="DP624" s="79"/>
      <c r="DQ624" s="79"/>
      <c r="DR624" s="79"/>
      <c r="DS624" s="79"/>
      <c r="DT624" s="79"/>
      <c r="DU624" s="79"/>
      <c r="DV624" s="79"/>
      <c r="DW624" s="79"/>
      <c r="DX624" s="79"/>
      <c r="DY624" s="79"/>
      <c r="DZ624" s="79"/>
      <c r="EA624" s="79"/>
      <c r="EB624" s="79"/>
      <c r="EC624" s="79"/>
      <c r="ED624" s="79"/>
      <c r="EE624" s="79"/>
      <c r="EF624" s="79"/>
      <c r="EG624" s="79"/>
      <c r="EH624" s="79"/>
      <c r="EI624" s="79"/>
      <c r="EJ624" s="79"/>
      <c r="EK624" s="79"/>
      <c r="EL624" s="79"/>
      <c r="EM624" s="79"/>
      <c r="EN624" s="79"/>
      <c r="EO624" s="79"/>
      <c r="EP624" s="79"/>
      <c r="EQ624" s="79"/>
      <c r="ER624" s="79"/>
      <c r="ES624" s="79"/>
      <c r="ET624" s="79"/>
      <c r="EU624" s="79"/>
      <c r="EV624" s="79"/>
      <c r="EW624" s="79"/>
      <c r="EX624" s="79"/>
      <c r="EY624" s="79"/>
      <c r="EZ624" s="79"/>
      <c r="FA624" s="79"/>
      <c r="FB624" s="79"/>
      <c r="FC624" s="79"/>
      <c r="FD624" s="79"/>
      <c r="FE624" s="79"/>
      <c r="FF624" s="79"/>
      <c r="FG624" s="79"/>
      <c r="FH624" s="79"/>
      <c r="FI624" s="79"/>
      <c r="FJ624" s="79"/>
      <c r="FK624" s="79"/>
      <c r="FL624" s="79"/>
      <c r="FM624" s="79"/>
      <c r="FN624" s="79"/>
      <c r="FO624" s="79"/>
      <c r="FP624" s="79"/>
      <c r="FQ624" s="79"/>
      <c r="FR624" s="79"/>
      <c r="FS624" s="79"/>
      <c r="FT624" s="79"/>
      <c r="FU624" s="79"/>
      <c r="FV624" s="79"/>
      <c r="FW624" s="79"/>
      <c r="FX624" s="79"/>
      <c r="FY624" s="79"/>
      <c r="FZ624" s="79"/>
      <c r="GA624" s="79"/>
      <c r="GB624" s="79"/>
      <c r="GC624" s="79"/>
      <c r="GD624" s="79"/>
      <c r="GE624" s="79"/>
      <c r="GF624" s="79"/>
      <c r="GG624" s="79"/>
      <c r="GH624" s="79"/>
      <c r="GI624" s="79"/>
      <c r="GJ624" s="79"/>
      <c r="GK624" s="79"/>
      <c r="GL624" s="79"/>
      <c r="GM624" s="79"/>
      <c r="GN624" s="79"/>
      <c r="GO624" s="79"/>
      <c r="GP624" s="79"/>
      <c r="GQ624" s="79"/>
      <c r="GR624" s="79"/>
      <c r="GS624" s="79"/>
      <c r="GT624" s="79"/>
      <c r="GU624" s="79"/>
      <c r="GV624" s="79"/>
      <c r="GW624" s="79"/>
      <c r="GX624" s="79"/>
      <c r="GY624" s="79"/>
      <c r="GZ624" s="79"/>
      <c r="HA624" s="79"/>
      <c r="HB624" s="79"/>
      <c r="HC624" s="79"/>
      <c r="HD624" s="79"/>
      <c r="HE624" s="79"/>
      <c r="HF624" s="79"/>
      <c r="HG624" s="79"/>
      <c r="HH624" s="79"/>
      <c r="HI624" s="79"/>
      <c r="HJ624" s="79"/>
      <c r="HK624" s="79"/>
      <c r="HL624" s="79"/>
      <c r="HM624" s="79"/>
      <c r="HN624" s="79"/>
      <c r="HO624" s="79"/>
      <c r="HP624" s="79"/>
      <c r="HQ624" s="79"/>
      <c r="HR624" s="79"/>
      <c r="HS624" s="79"/>
      <c r="HT624" s="79"/>
      <c r="HU624" s="79"/>
      <c r="HV624" s="79"/>
      <c r="HW624" s="79"/>
      <c r="HX624" s="79"/>
      <c r="HY624" s="79"/>
      <c r="HZ624" s="79"/>
      <c r="IA624" s="79"/>
      <c r="IB624" s="79"/>
      <c r="IC624" s="79"/>
      <c r="ID624" s="79"/>
      <c r="IE624" s="79"/>
      <c r="IF624" s="79"/>
      <c r="IG624" s="79"/>
      <c r="IH624" s="79"/>
      <c r="II624" s="79"/>
      <c r="IJ624" s="79"/>
      <c r="IK624" s="79"/>
      <c r="IL624" s="79"/>
      <c r="IM624" s="79"/>
      <c r="IN624" s="79"/>
      <c r="IO624" s="79"/>
      <c r="IP624" s="79"/>
      <c r="IQ624" s="79"/>
      <c r="IR624" s="79"/>
      <c r="IS624" s="79"/>
      <c r="IT624" s="79"/>
      <c r="IU624" s="79"/>
      <c r="IV624" s="79"/>
      <c r="IW624" s="79"/>
      <c r="IX624" s="79"/>
      <c r="IY624" s="79"/>
      <c r="IZ624" s="79"/>
      <c r="JA624" s="79"/>
      <c r="JB624" s="79"/>
      <c r="JC624" s="79"/>
      <c r="JD624" s="79"/>
      <c r="JE624" s="79"/>
      <c r="JF624" s="79"/>
      <c r="JG624" s="79"/>
      <c r="JH624" s="79"/>
      <c r="JI624" s="79"/>
      <c r="JJ624" s="79"/>
      <c r="JK624" s="79"/>
      <c r="JL624" s="79"/>
      <c r="JM624" s="79"/>
      <c r="JN624" s="79"/>
      <c r="JO624" s="79"/>
      <c r="JP624" s="79"/>
      <c r="JQ624" s="79"/>
      <c r="JR624" s="79"/>
      <c r="JS624" s="79"/>
      <c r="JT624" s="79"/>
      <c r="JU624" s="79"/>
      <c r="JV624" s="79"/>
      <c r="JW624" s="79"/>
      <c r="JX624" s="79"/>
      <c r="JY624" s="79"/>
      <c r="JZ624" s="79"/>
      <c r="KA624" s="79"/>
      <c r="KB624" s="79"/>
      <c r="KC624" s="79"/>
      <c r="KD624" s="79"/>
      <c r="KE624" s="79"/>
      <c r="KF624" s="79"/>
      <c r="KG624" s="79"/>
      <c r="KH624" s="79"/>
      <c r="KI624" s="79"/>
      <c r="KJ624" s="79"/>
      <c r="KK624" s="79"/>
      <c r="KL624" s="79"/>
      <c r="KM624" s="79"/>
      <c r="KN624" s="79"/>
      <c r="KO624" s="79"/>
      <c r="KP624" s="79"/>
      <c r="KQ624" s="79"/>
      <c r="KR624" s="79"/>
      <c r="KS624" s="79"/>
      <c r="KT624" s="79"/>
      <c r="KU624" s="79"/>
      <c r="KV624" s="79"/>
      <c r="KW624" s="79"/>
      <c r="KX624" s="79"/>
      <c r="KY624" s="79"/>
      <c r="KZ624" s="79"/>
      <c r="LA624" s="79"/>
      <c r="LB624" s="79"/>
      <c r="LC624" s="79"/>
      <c r="LD624" s="79"/>
      <c r="LE624" s="79"/>
      <c r="LF624" s="79"/>
      <c r="LG624" s="79"/>
      <c r="LH624" s="79"/>
      <c r="LI624" s="79"/>
      <c r="LJ624" s="79"/>
      <c r="LK624" s="79"/>
      <c r="LL624" s="79"/>
      <c r="LM624" s="79"/>
      <c r="LN624" s="79"/>
      <c r="LO624" s="79"/>
      <c r="LP624" s="79"/>
      <c r="LQ624" s="79"/>
      <c r="LR624" s="79"/>
      <c r="LS624" s="79"/>
      <c r="LT624" s="79"/>
      <c r="LU624" s="79"/>
      <c r="LV624" s="79"/>
    </row>
    <row r="625" spans="1:334" s="80" customFormat="1" x14ac:dyDescent="0.2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  <c r="AC625" s="79"/>
      <c r="AD625" s="79"/>
      <c r="AE625" s="79"/>
      <c r="AF625" s="79"/>
      <c r="AG625" s="79"/>
      <c r="AH625" s="79"/>
      <c r="AI625" s="79"/>
      <c r="AJ625" s="79"/>
      <c r="AK625" s="79"/>
      <c r="AL625" s="79"/>
      <c r="AM625" s="79"/>
      <c r="AN625" s="79"/>
      <c r="AO625" s="79"/>
      <c r="AP625" s="79"/>
      <c r="AQ625" s="79"/>
      <c r="AR625" s="79"/>
      <c r="AS625" s="79"/>
      <c r="AT625" s="79"/>
      <c r="AU625" s="79"/>
      <c r="AV625" s="79"/>
      <c r="AW625" s="79"/>
      <c r="AX625" s="79"/>
      <c r="AY625" s="79"/>
      <c r="AZ625" s="79"/>
      <c r="BA625" s="79"/>
      <c r="BB625" s="79"/>
      <c r="BC625" s="79"/>
      <c r="BD625" s="79"/>
      <c r="BE625" s="79"/>
      <c r="BF625" s="79"/>
      <c r="BG625" s="79"/>
      <c r="BH625" s="79"/>
      <c r="BI625" s="79"/>
      <c r="BJ625" s="79"/>
      <c r="BK625" s="79"/>
      <c r="BL625" s="79"/>
      <c r="BM625" s="79"/>
      <c r="BN625" s="79"/>
      <c r="BO625" s="79"/>
      <c r="BP625" s="79"/>
      <c r="BQ625" s="79"/>
      <c r="BR625" s="79"/>
      <c r="BS625" s="79"/>
      <c r="BT625" s="79"/>
      <c r="BU625" s="79"/>
      <c r="BV625" s="79"/>
      <c r="BW625" s="79"/>
      <c r="BX625" s="79"/>
      <c r="BY625" s="79"/>
      <c r="BZ625" s="79"/>
      <c r="CA625" s="79"/>
      <c r="CB625" s="79"/>
      <c r="CC625" s="79"/>
      <c r="CD625" s="79"/>
      <c r="CE625" s="79"/>
      <c r="CF625" s="79"/>
      <c r="CG625" s="79"/>
      <c r="CH625" s="79"/>
      <c r="CI625" s="79"/>
      <c r="CJ625" s="79"/>
      <c r="CK625" s="79"/>
      <c r="CL625" s="79"/>
      <c r="CM625" s="79"/>
      <c r="CN625" s="79"/>
      <c r="CO625" s="79"/>
      <c r="CP625" s="79"/>
      <c r="CQ625" s="79"/>
      <c r="CR625" s="79"/>
      <c r="CS625" s="79"/>
      <c r="CT625" s="79"/>
      <c r="CU625" s="79"/>
      <c r="CV625" s="79"/>
      <c r="CW625" s="79"/>
      <c r="CX625" s="79"/>
      <c r="CY625" s="79"/>
      <c r="CZ625" s="79"/>
      <c r="DA625" s="79"/>
      <c r="DB625" s="79"/>
      <c r="DC625" s="79"/>
      <c r="DD625" s="79"/>
      <c r="DE625" s="79"/>
      <c r="DF625" s="79"/>
      <c r="DG625" s="79"/>
      <c r="DH625" s="79"/>
      <c r="DI625" s="79"/>
      <c r="DJ625" s="79"/>
      <c r="DK625" s="79"/>
      <c r="DL625" s="79"/>
      <c r="DM625" s="79"/>
      <c r="DN625" s="79"/>
      <c r="DO625" s="79"/>
      <c r="DP625" s="79"/>
      <c r="DQ625" s="79"/>
      <c r="DR625" s="79"/>
      <c r="DS625" s="79"/>
      <c r="DT625" s="79"/>
      <c r="DU625" s="79"/>
      <c r="DV625" s="79"/>
      <c r="DW625" s="79"/>
      <c r="DX625" s="79"/>
      <c r="DY625" s="79"/>
      <c r="DZ625" s="79"/>
      <c r="EA625" s="79"/>
      <c r="EB625" s="79"/>
      <c r="EC625" s="79"/>
      <c r="ED625" s="79"/>
      <c r="EE625" s="79"/>
      <c r="EF625" s="79"/>
      <c r="EG625" s="79"/>
      <c r="EH625" s="79"/>
      <c r="EI625" s="79"/>
      <c r="EJ625" s="79"/>
      <c r="EK625" s="79"/>
      <c r="EL625" s="79"/>
      <c r="EM625" s="79"/>
      <c r="EN625" s="79"/>
      <c r="EO625" s="79"/>
      <c r="EP625" s="79"/>
      <c r="EQ625" s="79"/>
      <c r="ER625" s="79"/>
      <c r="ES625" s="79"/>
      <c r="ET625" s="79"/>
      <c r="EU625" s="79"/>
      <c r="EV625" s="79"/>
      <c r="EW625" s="79"/>
      <c r="EX625" s="79"/>
      <c r="EY625" s="79"/>
      <c r="EZ625" s="79"/>
      <c r="FA625" s="79"/>
      <c r="FB625" s="79"/>
      <c r="FC625" s="79"/>
      <c r="FD625" s="79"/>
      <c r="FE625" s="79"/>
      <c r="FF625" s="79"/>
      <c r="FG625" s="79"/>
      <c r="FH625" s="79"/>
      <c r="FI625" s="79"/>
      <c r="FJ625" s="79"/>
      <c r="FK625" s="79"/>
      <c r="FL625" s="79"/>
      <c r="FM625" s="79"/>
      <c r="FN625" s="79"/>
      <c r="FO625" s="79"/>
      <c r="FP625" s="79"/>
      <c r="FQ625" s="79"/>
      <c r="FR625" s="79"/>
      <c r="FS625" s="79"/>
      <c r="FT625" s="79"/>
      <c r="FU625" s="79"/>
      <c r="FV625" s="79"/>
      <c r="FW625" s="79"/>
      <c r="FX625" s="79"/>
      <c r="FY625" s="79"/>
      <c r="FZ625" s="79"/>
      <c r="GA625" s="79"/>
      <c r="GB625" s="79"/>
      <c r="GC625" s="79"/>
      <c r="GD625" s="79"/>
      <c r="GE625" s="79"/>
      <c r="GF625" s="79"/>
      <c r="GG625" s="79"/>
      <c r="GH625" s="79"/>
      <c r="GI625" s="79"/>
      <c r="GJ625" s="79"/>
      <c r="GK625" s="79"/>
      <c r="GL625" s="79"/>
      <c r="GM625" s="79"/>
      <c r="GN625" s="79"/>
      <c r="GO625" s="79"/>
      <c r="GP625" s="79"/>
      <c r="GQ625" s="79"/>
      <c r="GR625" s="79"/>
      <c r="GS625" s="79"/>
      <c r="GT625" s="79"/>
      <c r="GU625" s="79"/>
      <c r="GV625" s="79"/>
      <c r="GW625" s="79"/>
      <c r="GX625" s="79"/>
      <c r="GY625" s="79"/>
      <c r="GZ625" s="79"/>
      <c r="HA625" s="79"/>
      <c r="HB625" s="79"/>
      <c r="HC625" s="79"/>
      <c r="HD625" s="79"/>
      <c r="HE625" s="79"/>
      <c r="HF625" s="79"/>
      <c r="HG625" s="79"/>
      <c r="HH625" s="79"/>
      <c r="HI625" s="79"/>
      <c r="HJ625" s="79"/>
      <c r="HK625" s="79"/>
      <c r="HL625" s="79"/>
      <c r="HM625" s="79"/>
      <c r="HN625" s="79"/>
      <c r="HO625" s="79"/>
      <c r="HP625" s="79"/>
      <c r="HQ625" s="79"/>
      <c r="HR625" s="79"/>
      <c r="HS625" s="79"/>
      <c r="HT625" s="79"/>
      <c r="HU625" s="79"/>
      <c r="HV625" s="79"/>
      <c r="HW625" s="79"/>
      <c r="HX625" s="79"/>
      <c r="HY625" s="79"/>
      <c r="HZ625" s="79"/>
      <c r="IA625" s="79"/>
      <c r="IB625" s="79"/>
      <c r="IC625" s="79"/>
      <c r="ID625" s="79"/>
      <c r="IE625" s="79"/>
      <c r="IF625" s="79"/>
      <c r="IG625" s="79"/>
      <c r="IH625" s="79"/>
      <c r="II625" s="79"/>
      <c r="IJ625" s="79"/>
      <c r="IK625" s="79"/>
      <c r="IL625" s="79"/>
      <c r="IM625" s="79"/>
      <c r="IN625" s="79"/>
      <c r="IO625" s="79"/>
      <c r="IP625" s="79"/>
      <c r="IQ625" s="79"/>
      <c r="IR625" s="79"/>
      <c r="IS625" s="79"/>
      <c r="IT625" s="79"/>
      <c r="IU625" s="79"/>
      <c r="IV625" s="79"/>
      <c r="IW625" s="79"/>
      <c r="IX625" s="79"/>
      <c r="IY625" s="79"/>
      <c r="IZ625" s="79"/>
      <c r="JA625" s="79"/>
      <c r="JB625" s="79"/>
      <c r="JC625" s="79"/>
      <c r="JD625" s="79"/>
      <c r="JE625" s="79"/>
      <c r="JF625" s="79"/>
      <c r="JG625" s="79"/>
      <c r="JH625" s="79"/>
      <c r="JI625" s="79"/>
      <c r="JJ625" s="79"/>
      <c r="JK625" s="79"/>
      <c r="JL625" s="79"/>
      <c r="JM625" s="79"/>
      <c r="JN625" s="79"/>
      <c r="JO625" s="79"/>
      <c r="JP625" s="79"/>
      <c r="JQ625" s="79"/>
      <c r="JR625" s="79"/>
      <c r="JS625" s="79"/>
      <c r="JT625" s="79"/>
      <c r="JU625" s="79"/>
      <c r="JV625" s="79"/>
      <c r="JW625" s="79"/>
      <c r="JX625" s="79"/>
      <c r="JY625" s="79"/>
      <c r="JZ625" s="79"/>
      <c r="KA625" s="79"/>
      <c r="KB625" s="79"/>
      <c r="KC625" s="79"/>
      <c r="KD625" s="79"/>
      <c r="KE625" s="79"/>
      <c r="KF625" s="79"/>
      <c r="KG625" s="79"/>
      <c r="KH625" s="79"/>
      <c r="KI625" s="79"/>
      <c r="KJ625" s="79"/>
      <c r="KK625" s="79"/>
      <c r="KL625" s="79"/>
      <c r="KM625" s="79"/>
      <c r="KN625" s="79"/>
      <c r="KO625" s="79"/>
      <c r="KP625" s="79"/>
      <c r="KQ625" s="79"/>
      <c r="KR625" s="79"/>
      <c r="KS625" s="79"/>
      <c r="KT625" s="79"/>
      <c r="KU625" s="79"/>
      <c r="KV625" s="79"/>
      <c r="KW625" s="79"/>
      <c r="KX625" s="79"/>
      <c r="KY625" s="79"/>
      <c r="KZ625" s="79"/>
      <c r="LA625" s="79"/>
      <c r="LB625" s="79"/>
      <c r="LC625" s="79"/>
      <c r="LD625" s="79"/>
      <c r="LE625" s="79"/>
      <c r="LF625" s="79"/>
      <c r="LG625" s="79"/>
      <c r="LH625" s="79"/>
      <c r="LI625" s="79"/>
      <c r="LJ625" s="79"/>
      <c r="LK625" s="79"/>
      <c r="LL625" s="79"/>
      <c r="LM625" s="79"/>
      <c r="LN625" s="79"/>
      <c r="LO625" s="79"/>
      <c r="LP625" s="79"/>
      <c r="LQ625" s="79"/>
      <c r="LR625" s="79"/>
      <c r="LS625" s="79"/>
      <c r="LT625" s="79"/>
      <c r="LU625" s="79"/>
      <c r="LV625" s="79"/>
    </row>
  </sheetData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883"/>
  <sheetViews>
    <sheetView zoomScale="70" zoomScaleNormal="70" zoomScaleSheetLayoutView="80" workbookViewId="0">
      <selection activeCell="D12" sqref="D12"/>
    </sheetView>
  </sheetViews>
  <sheetFormatPr defaultColWidth="11.44140625" defaultRowHeight="15.6" x14ac:dyDescent="0.25"/>
  <cols>
    <col min="1" max="1" width="16.6640625" style="14" customWidth="1"/>
    <col min="2" max="2" width="12.6640625" style="13" customWidth="1"/>
    <col min="3" max="3" width="43.6640625" style="12" customWidth="1"/>
    <col min="4" max="4" width="34.33203125" style="12" customWidth="1"/>
    <col min="5" max="5" width="15.109375" style="13" customWidth="1"/>
    <col min="6" max="6" width="13.33203125" style="13" customWidth="1"/>
    <col min="7" max="8" width="13.6640625" style="13" customWidth="1"/>
    <col min="9" max="9" width="14.6640625" style="13" customWidth="1"/>
    <col min="10" max="10" width="14.33203125" style="13" customWidth="1"/>
    <col min="11" max="11" width="13.6640625" style="13" customWidth="1"/>
    <col min="12" max="12" width="14.44140625" style="13" customWidth="1"/>
    <col min="13" max="13" width="13.5546875" style="13" customWidth="1"/>
    <col min="14" max="14" width="13.6640625" style="13" customWidth="1"/>
    <col min="15" max="15" width="14.109375" style="13" customWidth="1"/>
    <col min="16" max="16" width="14.44140625" style="13" customWidth="1"/>
    <col min="17" max="17" width="14.33203125" style="13" customWidth="1"/>
    <col min="18" max="133" width="11.44140625" style="14"/>
    <col min="134" max="16384" width="11.44140625" style="55"/>
  </cols>
  <sheetData>
    <row r="1" spans="1:133" s="126" customFormat="1" ht="36.6" customHeight="1" x14ac:dyDescent="0.25">
      <c r="A1" s="125" t="s">
        <v>244</v>
      </c>
    </row>
    <row r="2" spans="1:133" ht="39.6" customHeight="1" x14ac:dyDescent="0.25">
      <c r="A2" s="127" t="s">
        <v>260</v>
      </c>
      <c r="B2" s="127"/>
      <c r="C2" s="131"/>
      <c r="D2" s="131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</row>
    <row r="3" spans="1:133" s="56" customFormat="1" x14ac:dyDescent="0.25">
      <c r="A3" s="57" t="s">
        <v>9</v>
      </c>
      <c r="B3" s="58" t="s">
        <v>10</v>
      </c>
      <c r="C3" s="34" t="s">
        <v>11</v>
      </c>
      <c r="D3" s="34" t="s">
        <v>12</v>
      </c>
      <c r="E3" s="58" t="s">
        <v>13</v>
      </c>
      <c r="F3" s="16" t="s">
        <v>14</v>
      </c>
      <c r="G3" s="16" t="s">
        <v>15</v>
      </c>
      <c r="H3" s="16" t="s">
        <v>16</v>
      </c>
      <c r="I3" s="16" t="s">
        <v>17</v>
      </c>
      <c r="J3" s="16" t="s">
        <v>18</v>
      </c>
      <c r="K3" s="16" t="s">
        <v>19</v>
      </c>
      <c r="L3" s="16" t="s">
        <v>20</v>
      </c>
      <c r="M3" s="16" t="s">
        <v>21</v>
      </c>
      <c r="N3" s="16" t="s">
        <v>22</v>
      </c>
      <c r="O3" s="16" t="s">
        <v>23</v>
      </c>
      <c r="P3" s="16" t="s">
        <v>24</v>
      </c>
      <c r="Q3" s="16" t="s">
        <v>25</v>
      </c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</row>
    <row r="4" spans="1:133" s="56" customFormat="1" x14ac:dyDescent="0.25">
      <c r="A4" s="128" t="s">
        <v>26</v>
      </c>
      <c r="B4" s="128"/>
      <c r="C4" s="129"/>
      <c r="D4" s="129"/>
      <c r="E4" s="128"/>
      <c r="F4" s="16">
        <v>31</v>
      </c>
      <c r="G4" s="16">
        <v>28</v>
      </c>
      <c r="H4" s="16">
        <v>31</v>
      </c>
      <c r="I4" s="16">
        <v>30</v>
      </c>
      <c r="J4" s="16">
        <v>31</v>
      </c>
      <c r="K4" s="16">
        <v>30</v>
      </c>
      <c r="L4" s="16">
        <v>31</v>
      </c>
      <c r="M4" s="16">
        <v>31</v>
      </c>
      <c r="N4" s="16">
        <v>30</v>
      </c>
      <c r="O4" s="16">
        <v>31</v>
      </c>
      <c r="P4" s="16">
        <v>30</v>
      </c>
      <c r="Q4" s="16">
        <v>31</v>
      </c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</row>
    <row r="5" spans="1:133" ht="46.8" x14ac:dyDescent="0.25">
      <c r="A5" s="59" t="s">
        <v>27</v>
      </c>
      <c r="B5" s="60" t="s">
        <v>28</v>
      </c>
      <c r="C5" s="53" t="s">
        <v>29</v>
      </c>
      <c r="D5" s="53" t="s">
        <v>340</v>
      </c>
      <c r="E5" s="61">
        <f>SUM(F5:Q5)</f>
        <v>2725.1200833839339</v>
      </c>
      <c r="F5" s="62">
        <f>$E$6*$E$7*F8*$E$19</f>
        <v>231.44855502712858</v>
      </c>
      <c r="G5" s="62">
        <f t="shared" ref="G5:Q5" si="0">$E$6*$E$7*G8*$E$19</f>
        <v>209.05030776643875</v>
      </c>
      <c r="H5" s="62">
        <f t="shared" si="0"/>
        <v>231.44855502712858</v>
      </c>
      <c r="I5" s="62">
        <f t="shared" si="0"/>
        <v>223.98247260689865</v>
      </c>
      <c r="J5" s="62">
        <f t="shared" si="0"/>
        <v>231.44855502712858</v>
      </c>
      <c r="K5" s="62">
        <f t="shared" si="0"/>
        <v>223.98247260689865</v>
      </c>
      <c r="L5" s="62">
        <f t="shared" si="0"/>
        <v>231.44855502712858</v>
      </c>
      <c r="M5" s="62">
        <f t="shared" si="0"/>
        <v>231.44855502712858</v>
      </c>
      <c r="N5" s="62">
        <f t="shared" si="0"/>
        <v>223.98247260689865</v>
      </c>
      <c r="O5" s="62">
        <f t="shared" si="0"/>
        <v>231.44855502712858</v>
      </c>
      <c r="P5" s="62">
        <f t="shared" si="0"/>
        <v>223.98247260689865</v>
      </c>
      <c r="Q5" s="62">
        <f t="shared" si="0"/>
        <v>231.44855502712858</v>
      </c>
    </row>
    <row r="6" spans="1:133" ht="31.2" x14ac:dyDescent="0.25">
      <c r="A6" s="63" t="s">
        <v>30</v>
      </c>
      <c r="B6" s="60" t="s">
        <v>208</v>
      </c>
      <c r="C6" s="35" t="s">
        <v>31</v>
      </c>
      <c r="D6" s="35" t="s">
        <v>220</v>
      </c>
      <c r="E6" s="130">
        <v>28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</row>
    <row r="7" spans="1:133" ht="64.8" x14ac:dyDescent="0.25">
      <c r="A7" s="63" t="s">
        <v>366</v>
      </c>
      <c r="B7" s="25" t="s">
        <v>209</v>
      </c>
      <c r="C7" s="35" t="s">
        <v>34</v>
      </c>
      <c r="D7" s="35" t="s">
        <v>373</v>
      </c>
      <c r="E7" s="130">
        <v>0.21</v>
      </c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33" ht="46.8" x14ac:dyDescent="0.25">
      <c r="A8" s="35" t="s">
        <v>35</v>
      </c>
      <c r="B8" s="25" t="s">
        <v>210</v>
      </c>
      <c r="C8" s="53" t="s">
        <v>36</v>
      </c>
      <c r="D8" s="53" t="s">
        <v>341</v>
      </c>
      <c r="E8" s="64">
        <f t="shared" ref="E8:Q8" si="1">E16*E9</f>
        <v>858.44481738761306</v>
      </c>
      <c r="F8" s="64">
        <f t="shared" si="1"/>
        <v>72.909011887715067</v>
      </c>
      <c r="G8" s="64">
        <f t="shared" si="1"/>
        <v>65.853301059871683</v>
      </c>
      <c r="H8" s="64">
        <f t="shared" si="1"/>
        <v>72.909011887715067</v>
      </c>
      <c r="I8" s="64">
        <f t="shared" si="1"/>
        <v>70.557108278433944</v>
      </c>
      <c r="J8" s="64">
        <f t="shared" si="1"/>
        <v>72.909011887715067</v>
      </c>
      <c r="K8" s="64">
        <f t="shared" si="1"/>
        <v>70.557108278433944</v>
      </c>
      <c r="L8" s="64">
        <f t="shared" si="1"/>
        <v>72.909011887715067</v>
      </c>
      <c r="M8" s="64">
        <f t="shared" si="1"/>
        <v>72.909011887715067</v>
      </c>
      <c r="N8" s="64">
        <f t="shared" si="1"/>
        <v>70.557108278433944</v>
      </c>
      <c r="O8" s="64">
        <f t="shared" si="1"/>
        <v>72.909011887715067</v>
      </c>
      <c r="P8" s="64">
        <f t="shared" si="1"/>
        <v>70.557108278433944</v>
      </c>
      <c r="Q8" s="64">
        <f t="shared" si="1"/>
        <v>72.909011887715067</v>
      </c>
    </row>
    <row r="9" spans="1:133" ht="46.8" x14ac:dyDescent="0.25">
      <c r="A9" s="35" t="s">
        <v>37</v>
      </c>
      <c r="B9" s="25" t="s">
        <v>212</v>
      </c>
      <c r="C9" s="35" t="s">
        <v>206</v>
      </c>
      <c r="D9" s="35" t="s">
        <v>342</v>
      </c>
      <c r="E9" s="20">
        <f>SUM(F9:Q9)</f>
        <v>903.37500000000011</v>
      </c>
      <c r="F9" s="20">
        <f>F11*F14</f>
        <v>76.724999999999994</v>
      </c>
      <c r="G9" s="20">
        <f t="shared" ref="G9:Q9" si="2">G11*G14</f>
        <v>69.3</v>
      </c>
      <c r="H9" s="20">
        <f t="shared" si="2"/>
        <v>76.724999999999994</v>
      </c>
      <c r="I9" s="20">
        <f t="shared" si="2"/>
        <v>74.25</v>
      </c>
      <c r="J9" s="20">
        <f t="shared" si="2"/>
        <v>76.724999999999994</v>
      </c>
      <c r="K9" s="20">
        <f t="shared" si="2"/>
        <v>74.25</v>
      </c>
      <c r="L9" s="20">
        <f t="shared" si="2"/>
        <v>76.724999999999994</v>
      </c>
      <c r="M9" s="20">
        <f t="shared" si="2"/>
        <v>76.724999999999994</v>
      </c>
      <c r="N9" s="20">
        <f t="shared" si="2"/>
        <v>74.25</v>
      </c>
      <c r="O9" s="20">
        <f t="shared" si="2"/>
        <v>76.724999999999994</v>
      </c>
      <c r="P9" s="20">
        <f t="shared" si="2"/>
        <v>74.25</v>
      </c>
      <c r="Q9" s="20">
        <f t="shared" si="2"/>
        <v>76.724999999999994</v>
      </c>
    </row>
    <row r="10" spans="1:133" ht="46.8" x14ac:dyDescent="0.3">
      <c r="A10" s="51" t="s">
        <v>221</v>
      </c>
      <c r="B10" s="60" t="s">
        <v>207</v>
      </c>
      <c r="C10" s="35" t="s">
        <v>39</v>
      </c>
      <c r="D10" s="35" t="s">
        <v>222</v>
      </c>
      <c r="E10" s="20">
        <v>5500</v>
      </c>
      <c r="F10" s="20">
        <v>5500</v>
      </c>
      <c r="G10" s="20">
        <v>5500</v>
      </c>
      <c r="H10" s="20">
        <v>5500</v>
      </c>
      <c r="I10" s="20">
        <v>5500</v>
      </c>
      <c r="J10" s="20">
        <v>5500</v>
      </c>
      <c r="K10" s="20">
        <v>5500</v>
      </c>
      <c r="L10" s="20">
        <v>5500</v>
      </c>
      <c r="M10" s="20">
        <v>5500</v>
      </c>
      <c r="N10" s="20">
        <v>5500</v>
      </c>
      <c r="O10" s="20">
        <v>5500</v>
      </c>
      <c r="P10" s="20">
        <v>5500</v>
      </c>
      <c r="Q10" s="20">
        <v>5500</v>
      </c>
    </row>
    <row r="11" spans="1:133" ht="46.8" x14ac:dyDescent="0.25">
      <c r="A11" s="35" t="s">
        <v>41</v>
      </c>
      <c r="B11" s="60" t="s">
        <v>213</v>
      </c>
      <c r="C11" s="35" t="s">
        <v>42</v>
      </c>
      <c r="D11" s="35" t="s">
        <v>326</v>
      </c>
      <c r="E11" s="65">
        <f>SUM(F11:Q11)</f>
        <v>2007500</v>
      </c>
      <c r="F11" s="65">
        <f>F10*F4</f>
        <v>170500</v>
      </c>
      <c r="G11" s="65">
        <f t="shared" ref="G11:Q11" si="3">G10*G4</f>
        <v>154000</v>
      </c>
      <c r="H11" s="65">
        <f t="shared" si="3"/>
        <v>170500</v>
      </c>
      <c r="I11" s="65">
        <f t="shared" si="3"/>
        <v>165000</v>
      </c>
      <c r="J11" s="65">
        <f t="shared" si="3"/>
        <v>170500</v>
      </c>
      <c r="K11" s="65">
        <f t="shared" si="3"/>
        <v>165000</v>
      </c>
      <c r="L11" s="65">
        <f t="shared" si="3"/>
        <v>170500</v>
      </c>
      <c r="M11" s="65">
        <f t="shared" si="3"/>
        <v>170500</v>
      </c>
      <c r="N11" s="65">
        <f t="shared" si="3"/>
        <v>165000</v>
      </c>
      <c r="O11" s="65">
        <f t="shared" si="3"/>
        <v>170500</v>
      </c>
      <c r="P11" s="65">
        <f t="shared" si="3"/>
        <v>165000</v>
      </c>
      <c r="Q11" s="65">
        <f t="shared" si="3"/>
        <v>170500</v>
      </c>
    </row>
    <row r="12" spans="1:133" ht="62.4" x14ac:dyDescent="0.25">
      <c r="A12" s="35" t="s">
        <v>43</v>
      </c>
      <c r="B12" s="60" t="s">
        <v>214</v>
      </c>
      <c r="C12" s="35" t="s">
        <v>44</v>
      </c>
      <c r="D12" s="35" t="s">
        <v>40</v>
      </c>
      <c r="E12" s="66">
        <v>450</v>
      </c>
      <c r="F12" s="66">
        <v>450</v>
      </c>
      <c r="G12" s="66">
        <v>450</v>
      </c>
      <c r="H12" s="66">
        <v>450</v>
      </c>
      <c r="I12" s="66">
        <v>450</v>
      </c>
      <c r="J12" s="66">
        <v>450</v>
      </c>
      <c r="K12" s="66">
        <v>450</v>
      </c>
      <c r="L12" s="66">
        <v>450</v>
      </c>
      <c r="M12" s="66">
        <v>450</v>
      </c>
      <c r="N12" s="66">
        <v>450</v>
      </c>
      <c r="O12" s="66">
        <v>450</v>
      </c>
      <c r="P12" s="66">
        <v>450</v>
      </c>
      <c r="Q12" s="66">
        <v>450</v>
      </c>
    </row>
    <row r="13" spans="1:133" ht="62.4" x14ac:dyDescent="0.25">
      <c r="A13" s="35" t="s">
        <v>45</v>
      </c>
      <c r="B13" s="60" t="s">
        <v>214</v>
      </c>
      <c r="C13" s="35" t="s">
        <v>46</v>
      </c>
      <c r="D13" s="35" t="s">
        <v>40</v>
      </c>
      <c r="E13" s="65">
        <v>40</v>
      </c>
      <c r="F13" s="65">
        <v>40</v>
      </c>
      <c r="G13" s="65">
        <v>40</v>
      </c>
      <c r="H13" s="65">
        <v>40</v>
      </c>
      <c r="I13" s="65">
        <v>40</v>
      </c>
      <c r="J13" s="65">
        <v>40</v>
      </c>
      <c r="K13" s="65">
        <v>40</v>
      </c>
      <c r="L13" s="65">
        <v>40</v>
      </c>
      <c r="M13" s="65">
        <v>40</v>
      </c>
      <c r="N13" s="65">
        <v>40</v>
      </c>
      <c r="O13" s="65">
        <v>40</v>
      </c>
      <c r="P13" s="65">
        <v>40</v>
      </c>
      <c r="Q13" s="65">
        <v>40</v>
      </c>
    </row>
    <row r="14" spans="1:133" ht="62.4" x14ac:dyDescent="0.25">
      <c r="A14" s="35" t="s">
        <v>47</v>
      </c>
      <c r="B14" s="60" t="s">
        <v>215</v>
      </c>
      <c r="C14" s="35" t="s">
        <v>49</v>
      </c>
      <c r="D14" s="35" t="s">
        <v>324</v>
      </c>
      <c r="E14" s="67">
        <f>E12/1000000</f>
        <v>4.4999999999999999E-4</v>
      </c>
      <c r="F14" s="22">
        <f>F12/1000000</f>
        <v>4.4999999999999999E-4</v>
      </c>
      <c r="G14" s="22">
        <f t="shared" ref="G14:Q14" si="4">G12/1000000</f>
        <v>4.4999999999999999E-4</v>
      </c>
      <c r="H14" s="22">
        <f t="shared" si="4"/>
        <v>4.4999999999999999E-4</v>
      </c>
      <c r="I14" s="22">
        <f t="shared" si="4"/>
        <v>4.4999999999999999E-4</v>
      </c>
      <c r="J14" s="22">
        <f t="shared" si="4"/>
        <v>4.4999999999999999E-4</v>
      </c>
      <c r="K14" s="22">
        <f t="shared" si="4"/>
        <v>4.4999999999999999E-4</v>
      </c>
      <c r="L14" s="22">
        <f t="shared" si="4"/>
        <v>4.4999999999999999E-4</v>
      </c>
      <c r="M14" s="22">
        <f t="shared" si="4"/>
        <v>4.4999999999999999E-4</v>
      </c>
      <c r="N14" s="22">
        <f t="shared" si="4"/>
        <v>4.4999999999999999E-4</v>
      </c>
      <c r="O14" s="22">
        <f t="shared" si="4"/>
        <v>4.4999999999999999E-4</v>
      </c>
      <c r="P14" s="22">
        <f t="shared" si="4"/>
        <v>4.4999999999999999E-4</v>
      </c>
      <c r="Q14" s="22">
        <f t="shared" si="4"/>
        <v>4.4999999999999999E-4</v>
      </c>
    </row>
    <row r="15" spans="1:133" ht="62.4" x14ac:dyDescent="0.25">
      <c r="A15" s="35" t="s">
        <v>45</v>
      </c>
      <c r="B15" s="60" t="s">
        <v>48</v>
      </c>
      <c r="C15" s="35" t="s">
        <v>50</v>
      </c>
      <c r="D15" s="35" t="s">
        <v>325</v>
      </c>
      <c r="E15" s="67">
        <f>E13/1000000</f>
        <v>4.0000000000000003E-5</v>
      </c>
      <c r="F15" s="22">
        <f>F13/1000000</f>
        <v>4.0000000000000003E-5</v>
      </c>
      <c r="G15" s="22">
        <f t="shared" ref="G15:Q15" si="5">G13/1000000</f>
        <v>4.0000000000000003E-5</v>
      </c>
      <c r="H15" s="22">
        <f t="shared" si="5"/>
        <v>4.0000000000000003E-5</v>
      </c>
      <c r="I15" s="22">
        <f t="shared" si="5"/>
        <v>4.0000000000000003E-5</v>
      </c>
      <c r="J15" s="22">
        <f t="shared" si="5"/>
        <v>4.0000000000000003E-5</v>
      </c>
      <c r="K15" s="22">
        <f t="shared" si="5"/>
        <v>4.0000000000000003E-5</v>
      </c>
      <c r="L15" s="22">
        <f t="shared" si="5"/>
        <v>4.0000000000000003E-5</v>
      </c>
      <c r="M15" s="22">
        <f t="shared" si="5"/>
        <v>4.0000000000000003E-5</v>
      </c>
      <c r="N15" s="22">
        <f t="shared" si="5"/>
        <v>4.0000000000000003E-5</v>
      </c>
      <c r="O15" s="22">
        <f t="shared" si="5"/>
        <v>4.0000000000000003E-5</v>
      </c>
      <c r="P15" s="22">
        <f t="shared" si="5"/>
        <v>4.0000000000000003E-5</v>
      </c>
      <c r="Q15" s="22">
        <f t="shared" si="5"/>
        <v>4.0000000000000003E-5</v>
      </c>
    </row>
    <row r="16" spans="1:133" ht="46.8" x14ac:dyDescent="0.25">
      <c r="A16" s="63" t="s">
        <v>51</v>
      </c>
      <c r="B16" s="25" t="s">
        <v>216</v>
      </c>
      <c r="C16" s="35" t="s">
        <v>53</v>
      </c>
      <c r="D16" s="35" t="s">
        <v>343</v>
      </c>
      <c r="E16" s="68">
        <f>(1-(E17/E18))</f>
        <v>0.95026408455803291</v>
      </c>
      <c r="F16" s="68">
        <f>E16</f>
        <v>0.95026408455803291</v>
      </c>
      <c r="G16" s="68">
        <f>E16</f>
        <v>0.95026408455803291</v>
      </c>
      <c r="H16" s="68">
        <f>E16</f>
        <v>0.95026408455803291</v>
      </c>
      <c r="I16" s="68">
        <f>E16</f>
        <v>0.95026408455803291</v>
      </c>
      <c r="J16" s="68">
        <f>E16</f>
        <v>0.95026408455803291</v>
      </c>
      <c r="K16" s="68">
        <f>E16</f>
        <v>0.95026408455803291</v>
      </c>
      <c r="L16" s="68">
        <f>E16</f>
        <v>0.95026408455803291</v>
      </c>
      <c r="M16" s="68">
        <f>E16</f>
        <v>0.95026408455803291</v>
      </c>
      <c r="N16" s="68">
        <f>E16</f>
        <v>0.95026408455803291</v>
      </c>
      <c r="O16" s="68">
        <f>E16</f>
        <v>0.95026408455803291</v>
      </c>
      <c r="P16" s="68">
        <f>E16</f>
        <v>0.95026408455803291</v>
      </c>
      <c r="Q16" s="68">
        <f>E16</f>
        <v>0.95026408455803291</v>
      </c>
    </row>
    <row r="17" spans="1:133" ht="31.2" x14ac:dyDescent="0.25">
      <c r="A17" s="35" t="s">
        <v>318</v>
      </c>
      <c r="B17" s="25" t="s">
        <v>211</v>
      </c>
      <c r="C17" s="35" t="s">
        <v>319</v>
      </c>
      <c r="D17" s="35" t="s">
        <v>323</v>
      </c>
      <c r="E17" s="52">
        <f>SUM(F17:Q17)</f>
        <v>29.678647202999993</v>
      </c>
      <c r="F17" s="52">
        <v>2.5206522281999999</v>
      </c>
      <c r="G17" s="52">
        <v>2.2767181415999995</v>
      </c>
      <c r="H17" s="52">
        <v>2.5206522281999999</v>
      </c>
      <c r="I17" s="52">
        <v>2.4393408659999998</v>
      </c>
      <c r="J17" s="52">
        <v>2.5206522281999999</v>
      </c>
      <c r="K17" s="52">
        <v>2.4393408659999998</v>
      </c>
      <c r="L17" s="52">
        <v>2.5206522281999999</v>
      </c>
      <c r="M17" s="52">
        <v>2.5206522281999999</v>
      </c>
      <c r="N17" s="52">
        <v>2.4393408659999998</v>
      </c>
      <c r="O17" s="52">
        <v>2.5206522281999999</v>
      </c>
      <c r="P17" s="52">
        <v>2.4393408659999998</v>
      </c>
      <c r="Q17" s="52">
        <v>2.5206522281999999</v>
      </c>
    </row>
    <row r="18" spans="1:133" ht="31.2" x14ac:dyDescent="0.25">
      <c r="A18" s="63" t="s">
        <v>321</v>
      </c>
      <c r="B18" s="25" t="s">
        <v>38</v>
      </c>
      <c r="C18" s="35" t="s">
        <v>320</v>
      </c>
      <c r="D18" s="35" t="s">
        <v>323</v>
      </c>
      <c r="E18" s="52">
        <f>SUM(F18:Q18)</f>
        <v>596.72465941900009</v>
      </c>
      <c r="F18" s="52">
        <v>50.680724498600007</v>
      </c>
      <c r="G18" s="52">
        <v>45.776138256800003</v>
      </c>
      <c r="H18" s="52">
        <v>50.680724498600007</v>
      </c>
      <c r="I18" s="52">
        <v>49.045862418000006</v>
      </c>
      <c r="J18" s="52">
        <v>50.680724498600007</v>
      </c>
      <c r="K18" s="52">
        <v>49.045862418000006</v>
      </c>
      <c r="L18" s="52">
        <v>50.680724498600007</v>
      </c>
      <c r="M18" s="52">
        <v>50.680724498600007</v>
      </c>
      <c r="N18" s="52">
        <v>49.045862418000006</v>
      </c>
      <c r="O18" s="52">
        <v>50.680724498600007</v>
      </c>
      <c r="P18" s="52">
        <v>49.045862418000006</v>
      </c>
      <c r="Q18" s="52">
        <v>50.680724498600007</v>
      </c>
    </row>
    <row r="19" spans="1:133" ht="31.2" x14ac:dyDescent="0.25">
      <c r="A19" s="53" t="s">
        <v>58</v>
      </c>
      <c r="B19" s="25" t="s">
        <v>216</v>
      </c>
      <c r="C19" s="53" t="s">
        <v>59</v>
      </c>
      <c r="D19" s="35" t="s">
        <v>344</v>
      </c>
      <c r="E19" s="132">
        <f>E20*E21*0.89</f>
        <v>0.53987837902526747</v>
      </c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</row>
    <row r="20" spans="1:133" ht="31.2" x14ac:dyDescent="0.25">
      <c r="A20" s="70" t="s">
        <v>60</v>
      </c>
      <c r="B20" s="25" t="s">
        <v>216</v>
      </c>
      <c r="C20" s="53" t="s">
        <v>61</v>
      </c>
      <c r="D20" s="35" t="s">
        <v>345</v>
      </c>
      <c r="E20" s="119">
        <v>0.7</v>
      </c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1"/>
    </row>
    <row r="21" spans="1:133" ht="36" customHeight="1" x14ac:dyDescent="0.25">
      <c r="A21" s="70" t="s">
        <v>62</v>
      </c>
      <c r="B21" s="25" t="s">
        <v>52</v>
      </c>
      <c r="C21" s="53" t="s">
        <v>63</v>
      </c>
      <c r="D21" s="35" t="s">
        <v>346</v>
      </c>
      <c r="E21" s="122">
        <f>(F22*F27+G22*G27+H22*H27+I22*I27+J22*J27+K22*K27+L22*L27+M22*M27+N22*N27+O22*O27+P22*P27+Q22*Q27)/(F16*F11*F14+G16*G14*G11+H16*H11*H14+I16*I14*I11+J16*J14*J11+K16*K14*K11+L16*L14*L11+M16*M14*M11+N16*N14*N11+O16*O11*O14+P16*P14*P11+Q16*Q14*Q11)</f>
        <v>0.86657845750444218</v>
      </c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4"/>
    </row>
    <row r="22" spans="1:133" s="9" customFormat="1" ht="46.8" x14ac:dyDescent="0.4">
      <c r="A22" s="71" t="s">
        <v>64</v>
      </c>
      <c r="B22" s="25" t="s">
        <v>52</v>
      </c>
      <c r="C22" s="53" t="s">
        <v>65</v>
      </c>
      <c r="D22" s="53" t="s">
        <v>347</v>
      </c>
      <c r="E22" s="72">
        <f>AVERAGE(F22:Q22)</f>
        <v>0.67826689002780516</v>
      </c>
      <c r="F22" s="72">
        <f t="shared" ref="F22:Q22" si="6">IF(F26&lt;283,0,IF(F26&gt;303,1,EXP(($E$23*(F26-$E$24))/($E$25*$E$24*F26))))</f>
        <v>0.32317176495848171</v>
      </c>
      <c r="G22" s="72">
        <f t="shared" si="6"/>
        <v>0.32317176495848171</v>
      </c>
      <c r="H22" s="72">
        <f t="shared" si="6"/>
        <v>0.46225423409862509</v>
      </c>
      <c r="I22" s="72">
        <f t="shared" si="6"/>
        <v>0.65487347206548807</v>
      </c>
      <c r="J22" s="72">
        <f t="shared" si="6"/>
        <v>0.91923925774048054</v>
      </c>
      <c r="K22" s="72">
        <f t="shared" si="6"/>
        <v>1</v>
      </c>
      <c r="L22" s="72">
        <f t="shared" si="6"/>
        <v>1</v>
      </c>
      <c r="M22" s="72">
        <f t="shared" si="6"/>
        <v>0.91923925774048054</v>
      </c>
      <c r="N22" s="72">
        <f t="shared" si="6"/>
        <v>0.91923925774048054</v>
      </c>
      <c r="O22" s="72">
        <f t="shared" si="6"/>
        <v>0.71341857634681827</v>
      </c>
      <c r="P22" s="72">
        <f t="shared" si="6"/>
        <v>0.55084569341606926</v>
      </c>
      <c r="Q22" s="72">
        <f t="shared" si="6"/>
        <v>0.35374940126825682</v>
      </c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</row>
    <row r="23" spans="1:133" s="9" customFormat="1" x14ac:dyDescent="0.25">
      <c r="A23" s="73" t="s">
        <v>66</v>
      </c>
      <c r="B23" s="60" t="s">
        <v>217</v>
      </c>
      <c r="C23" s="53" t="s">
        <v>68</v>
      </c>
      <c r="D23" s="53" t="s">
        <v>348</v>
      </c>
      <c r="E23" s="119">
        <v>15175</v>
      </c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1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</row>
    <row r="24" spans="1:133" s="9" customFormat="1" ht="18" x14ac:dyDescent="0.25">
      <c r="A24" s="73" t="s">
        <v>69</v>
      </c>
      <c r="B24" s="60" t="s">
        <v>218</v>
      </c>
      <c r="C24" s="53" t="s">
        <v>71</v>
      </c>
      <c r="D24" s="53" t="s">
        <v>348</v>
      </c>
      <c r="E24" s="119">
        <v>303.16000000000003</v>
      </c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1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</row>
    <row r="25" spans="1:133" s="9" customFormat="1" x14ac:dyDescent="0.25">
      <c r="A25" s="73" t="s">
        <v>72</v>
      </c>
      <c r="B25" s="60" t="s">
        <v>219</v>
      </c>
      <c r="C25" s="53" t="s">
        <v>74</v>
      </c>
      <c r="D25" s="53" t="s">
        <v>348</v>
      </c>
      <c r="E25" s="119">
        <v>1.9870000000000001</v>
      </c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1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</row>
    <row r="26" spans="1:133" s="9" customFormat="1" ht="31.2" x14ac:dyDescent="0.25">
      <c r="A26" s="73" t="s">
        <v>75</v>
      </c>
      <c r="B26" s="60" t="s">
        <v>218</v>
      </c>
      <c r="C26" s="53" t="s">
        <v>76</v>
      </c>
      <c r="D26" s="53" t="s">
        <v>266</v>
      </c>
      <c r="E26" s="111">
        <f>AVERAGE(F26:Q26)</f>
        <v>297.65000000000003</v>
      </c>
      <c r="F26" s="60">
        <v>290.14999999999998</v>
      </c>
      <c r="G26" s="60">
        <v>290.14999999999998</v>
      </c>
      <c r="H26" s="60">
        <v>294.14999999999998</v>
      </c>
      <c r="I26" s="60">
        <v>298.14999999999998</v>
      </c>
      <c r="J26" s="60">
        <v>302.14999999999998</v>
      </c>
      <c r="K26" s="60">
        <v>303.14999999999998</v>
      </c>
      <c r="L26" s="60">
        <v>303.14999999999998</v>
      </c>
      <c r="M26" s="60">
        <v>302.14999999999998</v>
      </c>
      <c r="N26" s="60">
        <v>302.14999999999998</v>
      </c>
      <c r="O26" s="60">
        <v>299.14999999999998</v>
      </c>
      <c r="P26" s="60">
        <v>296.14999999999998</v>
      </c>
      <c r="Q26" s="60">
        <v>291.14999999999998</v>
      </c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</row>
    <row r="27" spans="1:133" s="9" customFormat="1" ht="31.2" x14ac:dyDescent="0.4">
      <c r="A27" s="71" t="s">
        <v>77</v>
      </c>
      <c r="B27" s="60" t="s">
        <v>211</v>
      </c>
      <c r="C27" s="53" t="s">
        <v>78</v>
      </c>
      <c r="D27" s="53" t="s">
        <v>349</v>
      </c>
      <c r="E27" s="74">
        <f>SUM(F27:Q27)</f>
        <v>1175.8438858718539</v>
      </c>
      <c r="F27" s="74">
        <f>F16*F11*F14+(1-F22)*0</f>
        <v>72.909011887715067</v>
      </c>
      <c r="G27" s="74">
        <f t="shared" ref="G27:Q27" si="7">G16*G11*G14+(1-G22)*F27</f>
        <v>115.20017889445495</v>
      </c>
      <c r="H27" s="74">
        <f t="shared" si="7"/>
        <v>134.85742031928913</v>
      </c>
      <c r="I27" s="74">
        <f t="shared" si="7"/>
        <v>117.0999815194353</v>
      </c>
      <c r="J27" s="74">
        <f t="shared" si="7"/>
        <v>82.366093313800675</v>
      </c>
      <c r="K27" s="74">
        <f t="shared" si="7"/>
        <v>70.557108278433944</v>
      </c>
      <c r="L27" s="74">
        <f t="shared" si="7"/>
        <v>72.909011887715067</v>
      </c>
      <c r="M27" s="74">
        <f t="shared" si="7"/>
        <v>78.79719780517506</v>
      </c>
      <c r="N27" s="74">
        <f t="shared" si="7"/>
        <v>76.920828461150052</v>
      </c>
      <c r="O27" s="74">
        <f t="shared" si="7"/>
        <v>94.953092416693636</v>
      </c>
      <c r="P27" s="74">
        <f t="shared" si="7"/>
        <v>113.20569866085387</v>
      </c>
      <c r="Q27" s="74">
        <f t="shared" si="7"/>
        <v>146.06826242713717</v>
      </c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</row>
    <row r="29" spans="1:133" x14ac:dyDescent="0.25">
      <c r="A29" s="133" t="s">
        <v>79</v>
      </c>
      <c r="B29" s="133"/>
      <c r="C29" s="133"/>
      <c r="D29" s="133"/>
      <c r="E29" s="133"/>
    </row>
    <row r="30" spans="1:133" x14ac:dyDescent="0.25">
      <c r="A30" s="57" t="s">
        <v>9</v>
      </c>
      <c r="B30" s="58" t="s">
        <v>10</v>
      </c>
      <c r="C30" s="34" t="s">
        <v>11</v>
      </c>
      <c r="D30" s="34" t="s">
        <v>12</v>
      </c>
      <c r="E30" s="16" t="s">
        <v>80</v>
      </c>
    </row>
    <row r="31" spans="1:133" ht="46.8" x14ac:dyDescent="0.25">
      <c r="A31" s="59" t="s">
        <v>81</v>
      </c>
      <c r="B31" s="60" t="s">
        <v>28</v>
      </c>
      <c r="C31" s="53" t="s">
        <v>82</v>
      </c>
      <c r="D31" s="53" t="s">
        <v>83</v>
      </c>
      <c r="E31" s="75">
        <v>0</v>
      </c>
    </row>
    <row r="32" spans="1:133" ht="46.8" x14ac:dyDescent="0.25">
      <c r="A32" s="63" t="s">
        <v>84</v>
      </c>
      <c r="B32" s="25" t="s">
        <v>85</v>
      </c>
      <c r="C32" s="35" t="s">
        <v>86</v>
      </c>
      <c r="D32" s="35" t="str">
        <f>D38</f>
        <v>Historical data on site in the FSR (It was calculated with conservative value)</v>
      </c>
      <c r="E32" s="74">
        <f>E38</f>
        <v>261.97580645161281</v>
      </c>
    </row>
    <row r="34" spans="1:5" x14ac:dyDescent="0.25">
      <c r="A34" s="134" t="s">
        <v>87</v>
      </c>
      <c r="B34" s="134"/>
      <c r="C34" s="135"/>
      <c r="D34" s="135"/>
      <c r="E34" s="134"/>
    </row>
    <row r="35" spans="1:5" x14ac:dyDescent="0.25">
      <c r="A35" s="59" t="s">
        <v>9</v>
      </c>
      <c r="B35" s="16" t="s">
        <v>10</v>
      </c>
      <c r="C35" s="38" t="s">
        <v>11</v>
      </c>
      <c r="D35" s="38" t="s">
        <v>12</v>
      </c>
      <c r="E35" s="16" t="s">
        <v>80</v>
      </c>
    </row>
    <row r="36" spans="1:5" ht="33.6" x14ac:dyDescent="0.4">
      <c r="A36" s="76" t="s">
        <v>88</v>
      </c>
      <c r="B36" s="25" t="s">
        <v>89</v>
      </c>
      <c r="C36" s="35" t="s">
        <v>90</v>
      </c>
      <c r="D36" s="35" t="s">
        <v>350</v>
      </c>
      <c r="E36" s="50">
        <f>E37*E40*E41*E42*E43*E44</f>
        <v>0.61006980873669292</v>
      </c>
    </row>
    <row r="37" spans="1:5" ht="46.8" x14ac:dyDescent="0.4">
      <c r="A37" s="77" t="s">
        <v>223</v>
      </c>
      <c r="B37" s="25" t="s">
        <v>91</v>
      </c>
      <c r="C37" s="35" t="s">
        <v>92</v>
      </c>
      <c r="D37" s="35" t="s">
        <v>351</v>
      </c>
      <c r="E37" s="52">
        <f>E38/E39</f>
        <v>52.395161290322562</v>
      </c>
    </row>
    <row r="38" spans="1:5" ht="46.8" x14ac:dyDescent="0.25">
      <c r="A38" s="63" t="s">
        <v>224</v>
      </c>
      <c r="B38" s="25" t="s">
        <v>93</v>
      </c>
      <c r="C38" s="35" t="s">
        <v>94</v>
      </c>
      <c r="D38" s="53" t="s">
        <v>322</v>
      </c>
      <c r="E38" s="52">
        <v>261.97580645161281</v>
      </c>
    </row>
    <row r="39" spans="1:5" ht="31.2" x14ac:dyDescent="0.25">
      <c r="A39" s="63" t="s">
        <v>225</v>
      </c>
      <c r="B39" s="25" t="s">
        <v>95</v>
      </c>
      <c r="C39" s="35" t="s">
        <v>96</v>
      </c>
      <c r="D39" s="35" t="s">
        <v>328</v>
      </c>
      <c r="E39" s="25">
        <f>5</f>
        <v>5</v>
      </c>
    </row>
    <row r="40" spans="1:5" ht="62.4" x14ac:dyDescent="0.25">
      <c r="A40" s="63" t="s">
        <v>226</v>
      </c>
      <c r="B40" s="25" t="s">
        <v>97</v>
      </c>
      <c r="C40" s="35" t="s">
        <v>98</v>
      </c>
      <c r="D40" s="53" t="s">
        <v>327</v>
      </c>
      <c r="E40" s="25">
        <f>8.6*2</f>
        <v>17.2</v>
      </c>
    </row>
    <row r="41" spans="1:5" ht="172.2" x14ac:dyDescent="0.25">
      <c r="A41" s="63" t="s">
        <v>227</v>
      </c>
      <c r="B41" s="25" t="s">
        <v>99</v>
      </c>
      <c r="C41" s="35" t="s">
        <v>100</v>
      </c>
      <c r="D41" s="35" t="s">
        <v>338</v>
      </c>
      <c r="E41" s="25">
        <f>25.1/100</f>
        <v>0.251</v>
      </c>
    </row>
    <row r="42" spans="1:5" ht="140.4" x14ac:dyDescent="0.25">
      <c r="A42" s="63" t="s">
        <v>228</v>
      </c>
      <c r="B42" s="25" t="s">
        <v>102</v>
      </c>
      <c r="C42" s="35" t="s">
        <v>101</v>
      </c>
      <c r="D42" s="35" t="s">
        <v>337</v>
      </c>
      <c r="E42" s="25">
        <f>0.84/1000</f>
        <v>8.3999999999999993E-4</v>
      </c>
    </row>
    <row r="43" spans="1:5" ht="140.4" x14ac:dyDescent="0.25">
      <c r="A43" s="63" t="s">
        <v>229</v>
      </c>
      <c r="B43" s="25" t="s">
        <v>103</v>
      </c>
      <c r="C43" s="35" t="s">
        <v>104</v>
      </c>
      <c r="D43" s="35" t="s">
        <v>335</v>
      </c>
      <c r="E43" s="25">
        <f>43.33/1000</f>
        <v>4.333E-2</v>
      </c>
    </row>
    <row r="44" spans="1:5" ht="62.4" x14ac:dyDescent="0.25">
      <c r="A44" s="63" t="s">
        <v>230</v>
      </c>
      <c r="B44" s="25" t="s">
        <v>105</v>
      </c>
      <c r="C44" s="35" t="s">
        <v>106</v>
      </c>
      <c r="D44" s="35" t="s">
        <v>333</v>
      </c>
      <c r="E44" s="25">
        <v>74.099999999999994</v>
      </c>
    </row>
    <row r="46" spans="1:5" x14ac:dyDescent="0.25">
      <c r="A46" s="133" t="s">
        <v>108</v>
      </c>
      <c r="B46" s="133"/>
      <c r="C46" s="133"/>
      <c r="D46" s="133"/>
      <c r="E46" s="133"/>
    </row>
    <row r="47" spans="1:5" x14ac:dyDescent="0.25">
      <c r="A47" s="57" t="s">
        <v>9</v>
      </c>
      <c r="B47" s="58" t="s">
        <v>10</v>
      </c>
      <c r="C47" s="34" t="s">
        <v>11</v>
      </c>
      <c r="D47" s="34" t="s">
        <v>12</v>
      </c>
      <c r="E47" s="16" t="s">
        <v>80</v>
      </c>
    </row>
    <row r="48" spans="1:5" ht="64.8" x14ac:dyDescent="0.25">
      <c r="A48" s="15" t="s">
        <v>109</v>
      </c>
      <c r="B48" s="25" t="s">
        <v>110</v>
      </c>
      <c r="C48" s="35" t="s">
        <v>111</v>
      </c>
      <c r="D48" s="35" t="s">
        <v>112</v>
      </c>
      <c r="E48" s="16">
        <v>0</v>
      </c>
    </row>
    <row r="50" spans="1:133" x14ac:dyDescent="0.25">
      <c r="A50" s="133" t="s">
        <v>113</v>
      </c>
      <c r="B50" s="133"/>
      <c r="C50" s="133"/>
      <c r="D50" s="133"/>
      <c r="E50" s="133"/>
    </row>
    <row r="51" spans="1:133" x14ac:dyDescent="0.25">
      <c r="A51" s="57" t="s">
        <v>9</v>
      </c>
      <c r="B51" s="58" t="s">
        <v>10</v>
      </c>
      <c r="C51" s="34" t="s">
        <v>11</v>
      </c>
      <c r="D51" s="34" t="s">
        <v>12</v>
      </c>
      <c r="E51" s="16" t="s">
        <v>80</v>
      </c>
    </row>
    <row r="52" spans="1:133" ht="49.2" x14ac:dyDescent="0.25">
      <c r="A52" s="15" t="s">
        <v>114</v>
      </c>
      <c r="B52" s="25" t="s">
        <v>110</v>
      </c>
      <c r="C52" s="35" t="s">
        <v>115</v>
      </c>
      <c r="D52" s="35" t="s">
        <v>116</v>
      </c>
      <c r="E52" s="16">
        <v>0</v>
      </c>
    </row>
    <row r="54" spans="1:133" x14ac:dyDescent="0.25">
      <c r="A54" s="57" t="s">
        <v>9</v>
      </c>
      <c r="B54" s="58" t="s">
        <v>10</v>
      </c>
      <c r="C54" s="34" t="s">
        <v>11</v>
      </c>
      <c r="D54" s="34" t="s">
        <v>12</v>
      </c>
      <c r="E54" s="16" t="s">
        <v>80</v>
      </c>
    </row>
    <row r="55" spans="1:133" ht="18" x14ac:dyDescent="0.25">
      <c r="A55" s="59" t="s">
        <v>117</v>
      </c>
      <c r="B55" s="25" t="s">
        <v>118</v>
      </c>
      <c r="C55" s="35" t="s">
        <v>119</v>
      </c>
      <c r="D55" s="53" t="s">
        <v>352</v>
      </c>
      <c r="E55" s="18">
        <f>ROUNDDOWN(E5+E36+E31+E48+E52,0)</f>
        <v>2725</v>
      </c>
    </row>
    <row r="57" spans="1:133" s="127" customFormat="1" ht="36" customHeight="1" x14ac:dyDescent="0.25">
      <c r="A57" s="127" t="s">
        <v>261</v>
      </c>
    </row>
    <row r="58" spans="1:133" s="56" customFormat="1" x14ac:dyDescent="0.25">
      <c r="A58" s="93" t="s">
        <v>9</v>
      </c>
      <c r="B58" s="94" t="s">
        <v>10</v>
      </c>
      <c r="C58" s="95" t="s">
        <v>11</v>
      </c>
      <c r="D58" s="95" t="s">
        <v>12</v>
      </c>
      <c r="E58" s="94" t="s">
        <v>13</v>
      </c>
      <c r="F58" s="96" t="s">
        <v>14</v>
      </c>
      <c r="G58" s="96" t="s">
        <v>15</v>
      </c>
      <c r="H58" s="96" t="s">
        <v>16</v>
      </c>
      <c r="I58" s="96" t="s">
        <v>17</v>
      </c>
      <c r="J58" s="96" t="s">
        <v>18</v>
      </c>
      <c r="K58" s="96" t="s">
        <v>19</v>
      </c>
      <c r="L58" s="96" t="s">
        <v>20</v>
      </c>
      <c r="M58" s="96" t="s">
        <v>21</v>
      </c>
      <c r="N58" s="96" t="s">
        <v>22</v>
      </c>
      <c r="O58" s="96" t="s">
        <v>23</v>
      </c>
      <c r="P58" s="96" t="s">
        <v>24</v>
      </c>
      <c r="Q58" s="96" t="s">
        <v>25</v>
      </c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</row>
    <row r="59" spans="1:133" s="56" customFormat="1" x14ac:dyDescent="0.25">
      <c r="A59" s="128" t="s">
        <v>26</v>
      </c>
      <c r="B59" s="128"/>
      <c r="C59" s="129"/>
      <c r="D59" s="129"/>
      <c r="E59" s="128"/>
      <c r="F59" s="16">
        <v>31</v>
      </c>
      <c r="G59" s="16">
        <v>28</v>
      </c>
      <c r="H59" s="16">
        <v>31</v>
      </c>
      <c r="I59" s="16">
        <v>30</v>
      </c>
      <c r="J59" s="16">
        <v>31</v>
      </c>
      <c r="K59" s="16">
        <v>30</v>
      </c>
      <c r="L59" s="16">
        <v>31</v>
      </c>
      <c r="M59" s="16">
        <v>31</v>
      </c>
      <c r="N59" s="16">
        <v>30</v>
      </c>
      <c r="O59" s="16">
        <v>31</v>
      </c>
      <c r="P59" s="16">
        <v>30</v>
      </c>
      <c r="Q59" s="16">
        <v>31</v>
      </c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</row>
    <row r="60" spans="1:133" ht="46.8" x14ac:dyDescent="0.25">
      <c r="A60" s="59" t="s">
        <v>27</v>
      </c>
      <c r="B60" s="60" t="s">
        <v>28</v>
      </c>
      <c r="C60" s="53" t="s">
        <v>29</v>
      </c>
      <c r="D60" s="53" t="s">
        <v>340</v>
      </c>
      <c r="E60" s="61">
        <f>SUM(F60:Q60)</f>
        <v>3848.9283106442749</v>
      </c>
      <c r="F60" s="62">
        <f>$E$6*$E$7*F63*$E$19</f>
        <v>326.89528117800694</v>
      </c>
      <c r="G60" s="62">
        <f t="shared" ref="G60:Q60" si="8">$E$6*$E$7*G63*$E$19</f>
        <v>295.26025396723207</v>
      </c>
      <c r="H60" s="62">
        <f t="shared" si="8"/>
        <v>326.89528117800694</v>
      </c>
      <c r="I60" s="62">
        <f t="shared" si="8"/>
        <v>316.35027210774865</v>
      </c>
      <c r="J60" s="62">
        <f t="shared" si="8"/>
        <v>326.89528117800694</v>
      </c>
      <c r="K60" s="62">
        <f t="shared" si="8"/>
        <v>316.35027210774865</v>
      </c>
      <c r="L60" s="62">
        <f t="shared" si="8"/>
        <v>326.89528117800694</v>
      </c>
      <c r="M60" s="62">
        <f t="shared" si="8"/>
        <v>326.89528117800694</v>
      </c>
      <c r="N60" s="62">
        <f t="shared" si="8"/>
        <v>316.35027210774865</v>
      </c>
      <c r="O60" s="62">
        <f t="shared" si="8"/>
        <v>326.89528117800694</v>
      </c>
      <c r="P60" s="62">
        <f t="shared" si="8"/>
        <v>316.35027210774865</v>
      </c>
      <c r="Q60" s="62">
        <f t="shared" si="8"/>
        <v>326.89528117800694</v>
      </c>
    </row>
    <row r="61" spans="1:133" ht="31.2" x14ac:dyDescent="0.25">
      <c r="A61" s="63" t="s">
        <v>30</v>
      </c>
      <c r="B61" s="60" t="s">
        <v>208</v>
      </c>
      <c r="C61" s="35" t="s">
        <v>31</v>
      </c>
      <c r="D61" s="35" t="s">
        <v>220</v>
      </c>
      <c r="E61" s="130">
        <v>28</v>
      </c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</row>
    <row r="62" spans="1:133" ht="64.8" x14ac:dyDescent="0.25">
      <c r="A62" s="63" t="s">
        <v>32</v>
      </c>
      <c r="B62" s="25" t="s">
        <v>209</v>
      </c>
      <c r="C62" s="35" t="s">
        <v>34</v>
      </c>
      <c r="D62" s="35" t="s">
        <v>373</v>
      </c>
      <c r="E62" s="130">
        <v>0.21</v>
      </c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</row>
    <row r="63" spans="1:133" ht="46.8" x14ac:dyDescent="0.25">
      <c r="A63" s="35" t="s">
        <v>35</v>
      </c>
      <c r="B63" s="25" t="s">
        <v>210</v>
      </c>
      <c r="C63" s="53" t="s">
        <v>36</v>
      </c>
      <c r="D63" s="53" t="s">
        <v>341</v>
      </c>
      <c r="E63" s="64">
        <f t="shared" ref="E63:Q63" si="9">E71*E64</f>
        <v>1212.4576017458148</v>
      </c>
      <c r="F63" s="64">
        <f t="shared" si="9"/>
        <v>102.97585110717878</v>
      </c>
      <c r="G63" s="64">
        <f t="shared" si="9"/>
        <v>93.010446161322776</v>
      </c>
      <c r="H63" s="64">
        <f t="shared" si="9"/>
        <v>102.97585110717878</v>
      </c>
      <c r="I63" s="64">
        <f t="shared" si="9"/>
        <v>99.654049458560124</v>
      </c>
      <c r="J63" s="64">
        <f t="shared" si="9"/>
        <v>102.97585110717878</v>
      </c>
      <c r="K63" s="64">
        <f t="shared" si="9"/>
        <v>99.654049458560124</v>
      </c>
      <c r="L63" s="64">
        <f t="shared" si="9"/>
        <v>102.97585110717878</v>
      </c>
      <c r="M63" s="64">
        <f t="shared" si="9"/>
        <v>102.97585110717878</v>
      </c>
      <c r="N63" s="64">
        <f t="shared" si="9"/>
        <v>99.654049458560124</v>
      </c>
      <c r="O63" s="64">
        <f t="shared" si="9"/>
        <v>102.97585110717878</v>
      </c>
      <c r="P63" s="64">
        <f t="shared" si="9"/>
        <v>99.654049458560124</v>
      </c>
      <c r="Q63" s="64">
        <f t="shared" si="9"/>
        <v>102.97585110717878</v>
      </c>
    </row>
    <row r="64" spans="1:133" ht="46.8" x14ac:dyDescent="0.25">
      <c r="A64" s="35" t="s">
        <v>37</v>
      </c>
      <c r="B64" s="25" t="s">
        <v>212</v>
      </c>
      <c r="C64" s="35" t="s">
        <v>206</v>
      </c>
      <c r="D64" s="35" t="s">
        <v>342</v>
      </c>
      <c r="E64" s="20">
        <f>SUM(F64:Q64)</f>
        <v>1277.5</v>
      </c>
      <c r="F64" s="20">
        <f>F66*F69</f>
        <v>108.5</v>
      </c>
      <c r="G64" s="20">
        <f t="shared" ref="G64:Q64" si="10">G66*G69</f>
        <v>98</v>
      </c>
      <c r="H64" s="20">
        <f t="shared" si="10"/>
        <v>108.5</v>
      </c>
      <c r="I64" s="20">
        <f t="shared" si="10"/>
        <v>105</v>
      </c>
      <c r="J64" s="20">
        <f t="shared" si="10"/>
        <v>108.5</v>
      </c>
      <c r="K64" s="20">
        <f t="shared" si="10"/>
        <v>105</v>
      </c>
      <c r="L64" s="20">
        <f t="shared" si="10"/>
        <v>108.5</v>
      </c>
      <c r="M64" s="20">
        <f t="shared" si="10"/>
        <v>108.5</v>
      </c>
      <c r="N64" s="20">
        <f t="shared" si="10"/>
        <v>105</v>
      </c>
      <c r="O64" s="20">
        <f t="shared" si="10"/>
        <v>108.5</v>
      </c>
      <c r="P64" s="20">
        <f t="shared" si="10"/>
        <v>105</v>
      </c>
      <c r="Q64" s="20">
        <f t="shared" si="10"/>
        <v>108.5</v>
      </c>
    </row>
    <row r="65" spans="1:133" ht="46.8" x14ac:dyDescent="0.3">
      <c r="A65" s="51" t="s">
        <v>221</v>
      </c>
      <c r="B65" s="60" t="s">
        <v>207</v>
      </c>
      <c r="C65" s="35" t="s">
        <v>39</v>
      </c>
      <c r="D65" s="35" t="s">
        <v>222</v>
      </c>
      <c r="E65" s="20">
        <v>7000</v>
      </c>
      <c r="F65" s="20">
        <v>7000</v>
      </c>
      <c r="G65" s="20">
        <v>7000</v>
      </c>
      <c r="H65" s="20">
        <v>7000</v>
      </c>
      <c r="I65" s="20">
        <v>7000</v>
      </c>
      <c r="J65" s="20">
        <v>7000</v>
      </c>
      <c r="K65" s="20">
        <v>7000</v>
      </c>
      <c r="L65" s="20">
        <v>7000</v>
      </c>
      <c r="M65" s="20">
        <v>7000</v>
      </c>
      <c r="N65" s="20">
        <v>7000</v>
      </c>
      <c r="O65" s="20">
        <v>7000</v>
      </c>
      <c r="P65" s="20">
        <v>7000</v>
      </c>
      <c r="Q65" s="20">
        <v>7000</v>
      </c>
    </row>
    <row r="66" spans="1:133" ht="46.8" x14ac:dyDescent="0.25">
      <c r="A66" s="35" t="s">
        <v>41</v>
      </c>
      <c r="B66" s="60" t="s">
        <v>213</v>
      </c>
      <c r="C66" s="35" t="s">
        <v>42</v>
      </c>
      <c r="D66" s="35" t="s">
        <v>326</v>
      </c>
      <c r="E66" s="65">
        <f>SUM(F66:Q66)</f>
        <v>2555000</v>
      </c>
      <c r="F66" s="65">
        <f>F65*F59</f>
        <v>217000</v>
      </c>
      <c r="G66" s="65">
        <f t="shared" ref="G66:Q66" si="11">G65*G59</f>
        <v>196000</v>
      </c>
      <c r="H66" s="65">
        <f t="shared" si="11"/>
        <v>217000</v>
      </c>
      <c r="I66" s="65">
        <f t="shared" si="11"/>
        <v>210000</v>
      </c>
      <c r="J66" s="65">
        <f t="shared" si="11"/>
        <v>217000</v>
      </c>
      <c r="K66" s="65">
        <f t="shared" si="11"/>
        <v>210000</v>
      </c>
      <c r="L66" s="65">
        <f t="shared" si="11"/>
        <v>217000</v>
      </c>
      <c r="M66" s="65">
        <f t="shared" si="11"/>
        <v>217000</v>
      </c>
      <c r="N66" s="65">
        <f t="shared" si="11"/>
        <v>210000</v>
      </c>
      <c r="O66" s="65">
        <f t="shared" si="11"/>
        <v>217000</v>
      </c>
      <c r="P66" s="65">
        <f t="shared" si="11"/>
        <v>210000</v>
      </c>
      <c r="Q66" s="65">
        <f t="shared" si="11"/>
        <v>217000</v>
      </c>
    </row>
    <row r="67" spans="1:133" ht="62.4" x14ac:dyDescent="0.25">
      <c r="A67" s="35" t="s">
        <v>43</v>
      </c>
      <c r="B67" s="60" t="s">
        <v>214</v>
      </c>
      <c r="C67" s="35" t="s">
        <v>44</v>
      </c>
      <c r="D67" s="35" t="s">
        <v>40</v>
      </c>
      <c r="E67" s="66">
        <v>500</v>
      </c>
      <c r="F67" s="66">
        <v>500</v>
      </c>
      <c r="G67" s="66">
        <v>500</v>
      </c>
      <c r="H67" s="66">
        <v>500</v>
      </c>
      <c r="I67" s="66">
        <v>500</v>
      </c>
      <c r="J67" s="66">
        <v>500</v>
      </c>
      <c r="K67" s="66">
        <v>500</v>
      </c>
      <c r="L67" s="66">
        <v>500</v>
      </c>
      <c r="M67" s="66">
        <v>500</v>
      </c>
      <c r="N67" s="66">
        <v>500</v>
      </c>
      <c r="O67" s="66">
        <v>500</v>
      </c>
      <c r="P67" s="66">
        <v>500</v>
      </c>
      <c r="Q67" s="66">
        <v>500</v>
      </c>
    </row>
    <row r="68" spans="1:133" ht="62.4" x14ac:dyDescent="0.25">
      <c r="A68" s="35" t="s">
        <v>45</v>
      </c>
      <c r="B68" s="60" t="s">
        <v>214</v>
      </c>
      <c r="C68" s="35" t="s">
        <v>46</v>
      </c>
      <c r="D68" s="35" t="s">
        <v>40</v>
      </c>
      <c r="E68" s="65">
        <v>40</v>
      </c>
      <c r="F68" s="65">
        <v>40</v>
      </c>
      <c r="G68" s="65">
        <v>40</v>
      </c>
      <c r="H68" s="65">
        <v>40</v>
      </c>
      <c r="I68" s="65">
        <v>40</v>
      </c>
      <c r="J68" s="65">
        <v>40</v>
      </c>
      <c r="K68" s="65">
        <v>40</v>
      </c>
      <c r="L68" s="65">
        <v>40</v>
      </c>
      <c r="M68" s="65">
        <v>40</v>
      </c>
      <c r="N68" s="65">
        <v>40</v>
      </c>
      <c r="O68" s="65">
        <v>40</v>
      </c>
      <c r="P68" s="65">
        <v>40</v>
      </c>
      <c r="Q68" s="65">
        <v>40</v>
      </c>
    </row>
    <row r="69" spans="1:133" ht="62.4" x14ac:dyDescent="0.25">
      <c r="A69" s="35" t="s">
        <v>47</v>
      </c>
      <c r="B69" s="60" t="s">
        <v>215</v>
      </c>
      <c r="C69" s="35" t="s">
        <v>49</v>
      </c>
      <c r="D69" s="35" t="s">
        <v>324</v>
      </c>
      <c r="E69" s="67">
        <f>E67/1000000</f>
        <v>5.0000000000000001E-4</v>
      </c>
      <c r="F69" s="22">
        <f>F67/1000000</f>
        <v>5.0000000000000001E-4</v>
      </c>
      <c r="G69" s="22">
        <f t="shared" ref="G69:Q69" si="12">G67/1000000</f>
        <v>5.0000000000000001E-4</v>
      </c>
      <c r="H69" s="22">
        <f t="shared" si="12"/>
        <v>5.0000000000000001E-4</v>
      </c>
      <c r="I69" s="22">
        <f t="shared" si="12"/>
        <v>5.0000000000000001E-4</v>
      </c>
      <c r="J69" s="22">
        <f t="shared" si="12"/>
        <v>5.0000000000000001E-4</v>
      </c>
      <c r="K69" s="22">
        <f t="shared" si="12"/>
        <v>5.0000000000000001E-4</v>
      </c>
      <c r="L69" s="22">
        <f t="shared" si="12"/>
        <v>5.0000000000000001E-4</v>
      </c>
      <c r="M69" s="22">
        <f t="shared" si="12"/>
        <v>5.0000000000000001E-4</v>
      </c>
      <c r="N69" s="22">
        <f t="shared" si="12"/>
        <v>5.0000000000000001E-4</v>
      </c>
      <c r="O69" s="22">
        <f t="shared" si="12"/>
        <v>5.0000000000000001E-4</v>
      </c>
      <c r="P69" s="22">
        <f t="shared" si="12"/>
        <v>5.0000000000000001E-4</v>
      </c>
      <c r="Q69" s="22">
        <f t="shared" si="12"/>
        <v>5.0000000000000001E-4</v>
      </c>
    </row>
    <row r="70" spans="1:133" ht="62.4" x14ac:dyDescent="0.25">
      <c r="A70" s="35" t="s">
        <v>45</v>
      </c>
      <c r="B70" s="60" t="s">
        <v>48</v>
      </c>
      <c r="C70" s="35" t="s">
        <v>50</v>
      </c>
      <c r="D70" s="35" t="s">
        <v>325</v>
      </c>
      <c r="E70" s="67">
        <f>E68/1000000</f>
        <v>4.0000000000000003E-5</v>
      </c>
      <c r="F70" s="22">
        <f>F68/1000000</f>
        <v>4.0000000000000003E-5</v>
      </c>
      <c r="G70" s="22">
        <f t="shared" ref="G70:Q70" si="13">G68/1000000</f>
        <v>4.0000000000000003E-5</v>
      </c>
      <c r="H70" s="22">
        <f t="shared" si="13"/>
        <v>4.0000000000000003E-5</v>
      </c>
      <c r="I70" s="22">
        <f t="shared" si="13"/>
        <v>4.0000000000000003E-5</v>
      </c>
      <c r="J70" s="22">
        <f t="shared" si="13"/>
        <v>4.0000000000000003E-5</v>
      </c>
      <c r="K70" s="22">
        <f t="shared" si="13"/>
        <v>4.0000000000000003E-5</v>
      </c>
      <c r="L70" s="22">
        <f t="shared" si="13"/>
        <v>4.0000000000000003E-5</v>
      </c>
      <c r="M70" s="22">
        <f t="shared" si="13"/>
        <v>4.0000000000000003E-5</v>
      </c>
      <c r="N70" s="22">
        <f t="shared" si="13"/>
        <v>4.0000000000000003E-5</v>
      </c>
      <c r="O70" s="22">
        <f t="shared" si="13"/>
        <v>4.0000000000000003E-5</v>
      </c>
      <c r="P70" s="22">
        <f t="shared" si="13"/>
        <v>4.0000000000000003E-5</v>
      </c>
      <c r="Q70" s="22">
        <f t="shared" si="13"/>
        <v>4.0000000000000003E-5</v>
      </c>
    </row>
    <row r="71" spans="1:133" ht="46.8" x14ac:dyDescent="0.25">
      <c r="A71" s="63" t="s">
        <v>51</v>
      </c>
      <c r="B71" s="25" t="s">
        <v>216</v>
      </c>
      <c r="C71" s="35" t="s">
        <v>53</v>
      </c>
      <c r="D71" s="35" t="s">
        <v>343</v>
      </c>
      <c r="E71" s="68">
        <f>(1-(E72/E73))</f>
        <v>0.94908618531962019</v>
      </c>
      <c r="F71" s="68">
        <f>E71</f>
        <v>0.94908618531962019</v>
      </c>
      <c r="G71" s="68">
        <f>E71</f>
        <v>0.94908618531962019</v>
      </c>
      <c r="H71" s="68">
        <f>E71</f>
        <v>0.94908618531962019</v>
      </c>
      <c r="I71" s="68">
        <f>E71</f>
        <v>0.94908618531962019</v>
      </c>
      <c r="J71" s="68">
        <f>E71</f>
        <v>0.94908618531962019</v>
      </c>
      <c r="K71" s="68">
        <f>E71</f>
        <v>0.94908618531962019</v>
      </c>
      <c r="L71" s="68">
        <f>E71</f>
        <v>0.94908618531962019</v>
      </c>
      <c r="M71" s="68">
        <f>E71</f>
        <v>0.94908618531962019</v>
      </c>
      <c r="N71" s="68">
        <f>E71</f>
        <v>0.94908618531962019</v>
      </c>
      <c r="O71" s="68">
        <f>E71</f>
        <v>0.94908618531962019</v>
      </c>
      <c r="P71" s="68">
        <f>E71</f>
        <v>0.94908618531962019</v>
      </c>
      <c r="Q71" s="68">
        <f>E71</f>
        <v>0.94908618531962019</v>
      </c>
    </row>
    <row r="72" spans="1:133" ht="31.2" x14ac:dyDescent="0.25">
      <c r="A72" s="35" t="s">
        <v>54</v>
      </c>
      <c r="B72" s="25" t="s">
        <v>211</v>
      </c>
      <c r="C72" s="35" t="s">
        <v>55</v>
      </c>
      <c r="D72" s="35" t="s">
        <v>323</v>
      </c>
      <c r="E72" s="52">
        <f>SUM(F72:Q72)</f>
        <v>44.001030721500001</v>
      </c>
      <c r="F72" s="52">
        <v>3.7370738421</v>
      </c>
      <c r="G72" s="52">
        <v>3.3754215348000001</v>
      </c>
      <c r="H72" s="52">
        <v>3.7370738421</v>
      </c>
      <c r="I72" s="52">
        <v>3.6165230729999998</v>
      </c>
      <c r="J72" s="52">
        <v>3.7370738421</v>
      </c>
      <c r="K72" s="52">
        <v>3.6165230729999998</v>
      </c>
      <c r="L72" s="52">
        <v>3.7370738421</v>
      </c>
      <c r="M72" s="52">
        <v>3.7370738421</v>
      </c>
      <c r="N72" s="52">
        <v>3.6165230729999998</v>
      </c>
      <c r="O72" s="52">
        <v>3.7370738421</v>
      </c>
      <c r="P72" s="52">
        <v>3.6165230729999998</v>
      </c>
      <c r="Q72" s="52">
        <v>3.7370738421</v>
      </c>
    </row>
    <row r="73" spans="1:133" ht="31.2" x14ac:dyDescent="0.25">
      <c r="A73" s="63" t="s">
        <v>56</v>
      </c>
      <c r="B73" s="25" t="s">
        <v>38</v>
      </c>
      <c r="C73" s="35" t="s">
        <v>57</v>
      </c>
      <c r="D73" s="35" t="s">
        <v>323</v>
      </c>
      <c r="E73" s="52">
        <f>SUM(F73:Q73)</f>
        <v>864.22577050499979</v>
      </c>
      <c r="F73" s="52">
        <v>73.399996946999991</v>
      </c>
      <c r="G73" s="52">
        <v>66.296771436</v>
      </c>
      <c r="H73" s="52">
        <v>73.399996946999991</v>
      </c>
      <c r="I73" s="52">
        <v>71.032255109999994</v>
      </c>
      <c r="J73" s="52">
        <v>73.399996946999991</v>
      </c>
      <c r="K73" s="52">
        <v>71.032255109999994</v>
      </c>
      <c r="L73" s="52">
        <v>73.399996946999991</v>
      </c>
      <c r="M73" s="52">
        <v>73.399996946999991</v>
      </c>
      <c r="N73" s="52">
        <v>71.032255109999994</v>
      </c>
      <c r="O73" s="52">
        <v>73.399996946999991</v>
      </c>
      <c r="P73" s="52">
        <v>71.032255109999994</v>
      </c>
      <c r="Q73" s="52">
        <v>73.399996946999991</v>
      </c>
    </row>
    <row r="74" spans="1:133" ht="31.2" x14ac:dyDescent="0.25">
      <c r="A74" s="53" t="s">
        <v>58</v>
      </c>
      <c r="B74" s="25" t="s">
        <v>216</v>
      </c>
      <c r="C74" s="53" t="s">
        <v>59</v>
      </c>
      <c r="D74" s="35" t="s">
        <v>344</v>
      </c>
      <c r="E74" s="132">
        <f>E75*E76*0.89</f>
        <v>0.53987837902526747</v>
      </c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</row>
    <row r="75" spans="1:133" ht="31.2" x14ac:dyDescent="0.25">
      <c r="A75" s="70" t="s">
        <v>60</v>
      </c>
      <c r="B75" s="25" t="s">
        <v>216</v>
      </c>
      <c r="C75" s="53" t="s">
        <v>61</v>
      </c>
      <c r="D75" s="35" t="s">
        <v>345</v>
      </c>
      <c r="E75" s="119">
        <v>0.7</v>
      </c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1"/>
    </row>
    <row r="76" spans="1:133" ht="36" customHeight="1" x14ac:dyDescent="0.25">
      <c r="A76" s="70" t="s">
        <v>62</v>
      </c>
      <c r="B76" s="25" t="s">
        <v>52</v>
      </c>
      <c r="C76" s="53" t="s">
        <v>63</v>
      </c>
      <c r="D76" s="35" t="s">
        <v>346</v>
      </c>
      <c r="E76" s="122">
        <f>(F77*F82+G77*G82+H77*H82+I77*I82+J77*J82+K77*K82+L77*L82+M77*M82+N77*N82+O77*O82+P77*P82+Q77*Q82)/(F71*F66*F69+G71*G69*G66+H71*H66*H69+I71*I69*I66+J71*J69*J66+K71*K69*K66+L71*L69*L66+M71*M69*M66+N71*N69*N66+O71*O66*O69+P71*P69*P66+Q71*Q69*Q66)</f>
        <v>0.86657845750444229</v>
      </c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4"/>
    </row>
    <row r="77" spans="1:133" s="9" customFormat="1" ht="46.8" x14ac:dyDescent="0.4">
      <c r="A77" s="71" t="s">
        <v>64</v>
      </c>
      <c r="B77" s="25" t="s">
        <v>52</v>
      </c>
      <c r="C77" s="53" t="s">
        <v>65</v>
      </c>
      <c r="D77" s="53" t="s">
        <v>347</v>
      </c>
      <c r="E77" s="72">
        <f>AVERAGE(F77:Q77)</f>
        <v>0.67826689002780516</v>
      </c>
      <c r="F77" s="72">
        <f t="shared" ref="F77:Q77" si="14">IF(F81&lt;283,0,IF(F81&gt;303,1,EXP(($E$23*(F81-$E$24))/($E$25*$E$24*F81))))</f>
        <v>0.32317176495848171</v>
      </c>
      <c r="G77" s="72">
        <f t="shared" si="14"/>
        <v>0.32317176495848171</v>
      </c>
      <c r="H77" s="72">
        <f t="shared" si="14"/>
        <v>0.46225423409862509</v>
      </c>
      <c r="I77" s="72">
        <f t="shared" si="14"/>
        <v>0.65487347206548807</v>
      </c>
      <c r="J77" s="72">
        <f t="shared" si="14"/>
        <v>0.91923925774048054</v>
      </c>
      <c r="K77" s="72">
        <f t="shared" si="14"/>
        <v>1</v>
      </c>
      <c r="L77" s="72">
        <f t="shared" si="14"/>
        <v>1</v>
      </c>
      <c r="M77" s="72">
        <f t="shared" si="14"/>
        <v>0.91923925774048054</v>
      </c>
      <c r="N77" s="72">
        <f t="shared" si="14"/>
        <v>0.91923925774048054</v>
      </c>
      <c r="O77" s="72">
        <f t="shared" si="14"/>
        <v>0.71341857634681827</v>
      </c>
      <c r="P77" s="72">
        <f t="shared" si="14"/>
        <v>0.55084569341606926</v>
      </c>
      <c r="Q77" s="72">
        <f t="shared" si="14"/>
        <v>0.35374940126825682</v>
      </c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  <c r="DI77" s="78"/>
      <c r="DJ77" s="78"/>
      <c r="DK77" s="78"/>
      <c r="DL77" s="78"/>
      <c r="DM77" s="78"/>
      <c r="DN77" s="78"/>
      <c r="DO77" s="78"/>
      <c r="DP77" s="78"/>
      <c r="DQ77" s="78"/>
      <c r="DR77" s="78"/>
      <c r="DS77" s="78"/>
      <c r="DT77" s="78"/>
      <c r="DU77" s="78"/>
      <c r="DV77" s="78"/>
      <c r="DW77" s="78"/>
      <c r="DX77" s="78"/>
      <c r="DY77" s="78"/>
      <c r="DZ77" s="78"/>
      <c r="EA77" s="78"/>
      <c r="EB77" s="78"/>
      <c r="EC77" s="78"/>
    </row>
    <row r="78" spans="1:133" s="9" customFormat="1" x14ac:dyDescent="0.25">
      <c r="A78" s="73" t="s">
        <v>66</v>
      </c>
      <c r="B78" s="60" t="s">
        <v>217</v>
      </c>
      <c r="C78" s="53" t="s">
        <v>68</v>
      </c>
      <c r="D78" s="53" t="s">
        <v>348</v>
      </c>
      <c r="E78" s="119">
        <v>15175</v>
      </c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1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  <c r="DK78" s="78"/>
      <c r="DL78" s="78"/>
      <c r="DM78" s="78"/>
      <c r="DN78" s="78"/>
      <c r="DO78" s="78"/>
      <c r="DP78" s="78"/>
      <c r="DQ78" s="78"/>
      <c r="DR78" s="78"/>
      <c r="DS78" s="78"/>
      <c r="DT78" s="78"/>
      <c r="DU78" s="78"/>
      <c r="DV78" s="78"/>
      <c r="DW78" s="78"/>
      <c r="DX78" s="78"/>
      <c r="DY78" s="78"/>
      <c r="DZ78" s="78"/>
      <c r="EA78" s="78"/>
      <c r="EB78" s="78"/>
      <c r="EC78" s="78"/>
    </row>
    <row r="79" spans="1:133" s="9" customFormat="1" ht="18" x14ac:dyDescent="0.25">
      <c r="A79" s="73" t="s">
        <v>69</v>
      </c>
      <c r="B79" s="60" t="s">
        <v>218</v>
      </c>
      <c r="C79" s="53" t="s">
        <v>71</v>
      </c>
      <c r="D79" s="53" t="s">
        <v>348</v>
      </c>
      <c r="E79" s="119">
        <v>303.16000000000003</v>
      </c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1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</row>
    <row r="80" spans="1:133" s="9" customFormat="1" x14ac:dyDescent="0.25">
      <c r="A80" s="73" t="s">
        <v>72</v>
      </c>
      <c r="B80" s="60" t="s">
        <v>219</v>
      </c>
      <c r="C80" s="53" t="s">
        <v>74</v>
      </c>
      <c r="D80" s="53" t="s">
        <v>348</v>
      </c>
      <c r="E80" s="119">
        <v>1.9870000000000001</v>
      </c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1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8"/>
      <c r="DJ80" s="78"/>
      <c r="DK80" s="78"/>
      <c r="DL80" s="78"/>
      <c r="DM80" s="78"/>
      <c r="DN80" s="78"/>
      <c r="DO80" s="78"/>
      <c r="DP80" s="78"/>
      <c r="DQ80" s="78"/>
      <c r="DR80" s="78"/>
      <c r="DS80" s="78"/>
      <c r="DT80" s="78"/>
      <c r="DU80" s="78"/>
      <c r="DV80" s="78"/>
      <c r="DW80" s="78"/>
      <c r="DX80" s="78"/>
      <c r="DY80" s="78"/>
      <c r="DZ80" s="78"/>
      <c r="EA80" s="78"/>
      <c r="EB80" s="78"/>
      <c r="EC80" s="78"/>
    </row>
    <row r="81" spans="1:133" s="9" customFormat="1" ht="31.2" x14ac:dyDescent="0.25">
      <c r="A81" s="73" t="s">
        <v>75</v>
      </c>
      <c r="B81" s="60" t="s">
        <v>218</v>
      </c>
      <c r="C81" s="53" t="s">
        <v>76</v>
      </c>
      <c r="D81" s="53" t="s">
        <v>266</v>
      </c>
      <c r="E81" s="111">
        <f>AVERAGE(F81:Q81)</f>
        <v>297.65000000000003</v>
      </c>
      <c r="F81" s="60">
        <v>290.14999999999998</v>
      </c>
      <c r="G81" s="60">
        <v>290.14999999999998</v>
      </c>
      <c r="H81" s="60">
        <v>294.14999999999998</v>
      </c>
      <c r="I81" s="60">
        <v>298.14999999999998</v>
      </c>
      <c r="J81" s="60">
        <v>302.14999999999998</v>
      </c>
      <c r="K81" s="60">
        <v>303.14999999999998</v>
      </c>
      <c r="L81" s="60">
        <v>303.14999999999998</v>
      </c>
      <c r="M81" s="60">
        <v>302.14999999999998</v>
      </c>
      <c r="N81" s="60">
        <v>302.14999999999998</v>
      </c>
      <c r="O81" s="60">
        <v>299.14999999999998</v>
      </c>
      <c r="P81" s="60">
        <v>296.14999999999998</v>
      </c>
      <c r="Q81" s="60">
        <v>291.14999999999998</v>
      </c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C81" s="78"/>
      <c r="DD81" s="78"/>
      <c r="DE81" s="78"/>
      <c r="DF81" s="78"/>
      <c r="DG81" s="78"/>
      <c r="DH81" s="78"/>
      <c r="DI81" s="78"/>
      <c r="DJ81" s="78"/>
      <c r="DK81" s="78"/>
      <c r="DL81" s="78"/>
      <c r="DM81" s="78"/>
      <c r="DN81" s="78"/>
      <c r="DO81" s="78"/>
      <c r="DP81" s="78"/>
      <c r="DQ81" s="78"/>
      <c r="DR81" s="78"/>
      <c r="DS81" s="78"/>
      <c r="DT81" s="78"/>
      <c r="DU81" s="78"/>
      <c r="DV81" s="78"/>
      <c r="DW81" s="78"/>
      <c r="DX81" s="78"/>
      <c r="DY81" s="78"/>
      <c r="DZ81" s="78"/>
      <c r="EA81" s="78"/>
      <c r="EB81" s="78"/>
      <c r="EC81" s="78"/>
    </row>
    <row r="82" spans="1:133" s="9" customFormat="1" ht="31.2" x14ac:dyDescent="0.4">
      <c r="A82" s="71" t="s">
        <v>77</v>
      </c>
      <c r="B82" s="60" t="s">
        <v>211</v>
      </c>
      <c r="C82" s="53" t="s">
        <v>78</v>
      </c>
      <c r="D82" s="53" t="s">
        <v>349</v>
      </c>
      <c r="E82" s="74">
        <f>SUM(F82:Q82)</f>
        <v>1660.74840107974</v>
      </c>
      <c r="F82" s="74">
        <f>F71*F66*F69+(1-F77)*0</f>
        <v>102.9758511071788</v>
      </c>
      <c r="G82" s="74">
        <f t="shared" ref="G82:Q82" si="15">G71*G66*G69+(1-G77)*F82</f>
        <v>162.70740971809278</v>
      </c>
      <c r="H82" s="74">
        <f t="shared" si="15"/>
        <v>190.47107176386339</v>
      </c>
      <c r="I82" s="74">
        <f t="shared" si="15"/>
        <v>165.39066912838754</v>
      </c>
      <c r="J82" s="74">
        <f t="shared" si="15"/>
        <v>116.33292430878596</v>
      </c>
      <c r="K82" s="74">
        <f t="shared" si="15"/>
        <v>99.654049458560124</v>
      </c>
      <c r="L82" s="74">
        <f t="shared" si="15"/>
        <v>102.9758511071788</v>
      </c>
      <c r="M82" s="74">
        <f t="shared" si="15"/>
        <v>111.29225727740031</v>
      </c>
      <c r="N82" s="74">
        <f t="shared" si="15"/>
        <v>108.64209476402038</v>
      </c>
      <c r="O82" s="74">
        <f t="shared" si="15"/>
        <v>134.11065729331563</v>
      </c>
      <c r="P82" s="74">
        <f t="shared" si="15"/>
        <v>159.89042874065447</v>
      </c>
      <c r="Q82" s="74">
        <f t="shared" si="15"/>
        <v>206.30513641230186</v>
      </c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/>
      <c r="DH82" s="78"/>
      <c r="DI82" s="78"/>
      <c r="DJ82" s="78"/>
      <c r="DK82" s="78"/>
      <c r="DL82" s="78"/>
      <c r="DM82" s="78"/>
      <c r="DN82" s="78"/>
      <c r="DO82" s="78"/>
      <c r="DP82" s="78"/>
      <c r="DQ82" s="78"/>
      <c r="DR82" s="78"/>
      <c r="DS82" s="78"/>
      <c r="DT82" s="78"/>
      <c r="DU82" s="78"/>
      <c r="DV82" s="78"/>
      <c r="DW82" s="78"/>
      <c r="DX82" s="78"/>
      <c r="DY82" s="78"/>
      <c r="DZ82" s="78"/>
      <c r="EA82" s="78"/>
      <c r="EB82" s="78"/>
      <c r="EC82" s="78"/>
    </row>
    <row r="84" spans="1:133" x14ac:dyDescent="0.25">
      <c r="A84" s="133" t="s">
        <v>79</v>
      </c>
      <c r="B84" s="133"/>
      <c r="C84" s="133"/>
      <c r="D84" s="133"/>
      <c r="E84" s="133"/>
    </row>
    <row r="85" spans="1:133" x14ac:dyDescent="0.25">
      <c r="A85" s="57" t="s">
        <v>9</v>
      </c>
      <c r="B85" s="58" t="s">
        <v>10</v>
      </c>
      <c r="C85" s="34" t="s">
        <v>11</v>
      </c>
      <c r="D85" s="34" t="s">
        <v>12</v>
      </c>
      <c r="E85" s="16" t="s">
        <v>80</v>
      </c>
    </row>
    <row r="86" spans="1:133" ht="46.8" x14ac:dyDescent="0.25">
      <c r="A86" s="59" t="s">
        <v>81</v>
      </c>
      <c r="B86" s="60" t="s">
        <v>28</v>
      </c>
      <c r="C86" s="53" t="s">
        <v>82</v>
      </c>
      <c r="D86" s="53" t="s">
        <v>83</v>
      </c>
      <c r="E86" s="75">
        <v>0</v>
      </c>
    </row>
    <row r="87" spans="1:133" ht="46.8" x14ac:dyDescent="0.25">
      <c r="A87" s="63" t="s">
        <v>84</v>
      </c>
      <c r="B87" s="25" t="s">
        <v>85</v>
      </c>
      <c r="C87" s="35" t="s">
        <v>86</v>
      </c>
      <c r="D87" s="35" t="str">
        <f>D93</f>
        <v>Historical data on site in the FSR (It was calculated with conservative value)</v>
      </c>
      <c r="E87" s="66">
        <v>489.1</v>
      </c>
    </row>
    <row r="89" spans="1:133" x14ac:dyDescent="0.25">
      <c r="A89" s="134" t="s">
        <v>87</v>
      </c>
      <c r="B89" s="134"/>
      <c r="C89" s="135"/>
      <c r="D89" s="135"/>
      <c r="E89" s="134"/>
    </row>
    <row r="90" spans="1:133" x14ac:dyDescent="0.25">
      <c r="A90" s="59" t="s">
        <v>9</v>
      </c>
      <c r="B90" s="16" t="s">
        <v>10</v>
      </c>
      <c r="C90" s="38" t="s">
        <v>11</v>
      </c>
      <c r="D90" s="38" t="s">
        <v>12</v>
      </c>
      <c r="E90" s="16" t="s">
        <v>80</v>
      </c>
    </row>
    <row r="91" spans="1:133" ht="33.6" x14ac:dyDescent="0.4">
      <c r="A91" s="76" t="s">
        <v>88</v>
      </c>
      <c r="B91" s="25" t="s">
        <v>89</v>
      </c>
      <c r="C91" s="35" t="s">
        <v>90</v>
      </c>
      <c r="D91" s="35" t="s">
        <v>350</v>
      </c>
      <c r="E91" s="50">
        <f>E92*E95*E96*E97*E98*E99</f>
        <v>1.1532120740973706</v>
      </c>
    </row>
    <row r="92" spans="1:133" ht="46.8" x14ac:dyDescent="0.4">
      <c r="A92" s="77" t="s">
        <v>223</v>
      </c>
      <c r="B92" s="25" t="s">
        <v>91</v>
      </c>
      <c r="C92" s="35" t="s">
        <v>92</v>
      </c>
      <c r="D92" s="35" t="s">
        <v>351</v>
      </c>
      <c r="E92" s="52">
        <f>E93/E94</f>
        <v>68.690645161290334</v>
      </c>
    </row>
    <row r="93" spans="1:133" ht="46.8" x14ac:dyDescent="0.25">
      <c r="A93" s="63" t="s">
        <v>224</v>
      </c>
      <c r="B93" s="25" t="s">
        <v>93</v>
      </c>
      <c r="C93" s="35" t="s">
        <v>94</v>
      </c>
      <c r="D93" s="53" t="s">
        <v>322</v>
      </c>
      <c r="E93" s="52">
        <v>343.45322580645166</v>
      </c>
    </row>
    <row r="94" spans="1:133" ht="31.2" x14ac:dyDescent="0.25">
      <c r="A94" s="63" t="s">
        <v>225</v>
      </c>
      <c r="B94" s="25" t="s">
        <v>95</v>
      </c>
      <c r="C94" s="35" t="s">
        <v>96</v>
      </c>
      <c r="D94" s="35" t="s">
        <v>327</v>
      </c>
      <c r="E94" s="25">
        <f>5</f>
        <v>5</v>
      </c>
    </row>
    <row r="95" spans="1:133" ht="62.4" x14ac:dyDescent="0.25">
      <c r="A95" s="63" t="s">
        <v>226</v>
      </c>
      <c r="B95" s="25" t="s">
        <v>97</v>
      </c>
      <c r="C95" s="35" t="s">
        <v>98</v>
      </c>
      <c r="D95" s="53" t="s">
        <v>327</v>
      </c>
      <c r="E95" s="25">
        <f>12.4*2</f>
        <v>24.8</v>
      </c>
    </row>
    <row r="96" spans="1:133" ht="172.2" x14ac:dyDescent="0.25">
      <c r="A96" s="63" t="s">
        <v>227</v>
      </c>
      <c r="B96" s="25" t="s">
        <v>99</v>
      </c>
      <c r="C96" s="35" t="s">
        <v>100</v>
      </c>
      <c r="D96" s="35" t="s">
        <v>338</v>
      </c>
      <c r="E96" s="25">
        <f>25.1/100</f>
        <v>0.251</v>
      </c>
    </row>
    <row r="97" spans="1:5" ht="140.4" x14ac:dyDescent="0.25">
      <c r="A97" s="63" t="s">
        <v>228</v>
      </c>
      <c r="B97" s="25" t="s">
        <v>102</v>
      </c>
      <c r="C97" s="35" t="s">
        <v>101</v>
      </c>
      <c r="D97" s="35" t="s">
        <v>337</v>
      </c>
      <c r="E97" s="25">
        <f>0.84/1000</f>
        <v>8.3999999999999993E-4</v>
      </c>
    </row>
    <row r="98" spans="1:5" ht="140.4" x14ac:dyDescent="0.25">
      <c r="A98" s="63" t="s">
        <v>229</v>
      </c>
      <c r="B98" s="25" t="s">
        <v>103</v>
      </c>
      <c r="C98" s="35" t="s">
        <v>104</v>
      </c>
      <c r="D98" s="35" t="s">
        <v>335</v>
      </c>
      <c r="E98" s="25">
        <f>43.33/1000</f>
        <v>4.333E-2</v>
      </c>
    </row>
    <row r="99" spans="1:5" ht="62.4" x14ac:dyDescent="0.25">
      <c r="A99" s="63" t="s">
        <v>230</v>
      </c>
      <c r="B99" s="25" t="s">
        <v>105</v>
      </c>
      <c r="C99" s="35" t="s">
        <v>370</v>
      </c>
      <c r="D99" s="35" t="s">
        <v>333</v>
      </c>
      <c r="E99" s="25">
        <v>74.099999999999994</v>
      </c>
    </row>
    <row r="101" spans="1:5" x14ac:dyDescent="0.25">
      <c r="A101" s="133" t="s">
        <v>108</v>
      </c>
      <c r="B101" s="133"/>
      <c r="C101" s="133"/>
      <c r="D101" s="133"/>
      <c r="E101" s="133"/>
    </row>
    <row r="102" spans="1:5" x14ac:dyDescent="0.25">
      <c r="A102" s="57" t="s">
        <v>9</v>
      </c>
      <c r="B102" s="58" t="s">
        <v>10</v>
      </c>
      <c r="C102" s="34" t="s">
        <v>11</v>
      </c>
      <c r="D102" s="34" t="s">
        <v>12</v>
      </c>
      <c r="E102" s="16" t="s">
        <v>80</v>
      </c>
    </row>
    <row r="103" spans="1:5" ht="64.8" x14ac:dyDescent="0.25">
      <c r="A103" s="15" t="s">
        <v>109</v>
      </c>
      <c r="B103" s="25" t="s">
        <v>110</v>
      </c>
      <c r="C103" s="35" t="s">
        <v>111</v>
      </c>
      <c r="D103" s="35" t="s">
        <v>112</v>
      </c>
      <c r="E103" s="16">
        <v>0</v>
      </c>
    </row>
    <row r="105" spans="1:5" x14ac:dyDescent="0.25">
      <c r="A105" s="133" t="s">
        <v>113</v>
      </c>
      <c r="B105" s="133"/>
      <c r="C105" s="133"/>
      <c r="D105" s="133"/>
      <c r="E105" s="133"/>
    </row>
    <row r="106" spans="1:5" x14ac:dyDescent="0.25">
      <c r="A106" s="57" t="s">
        <v>9</v>
      </c>
      <c r="B106" s="58" t="s">
        <v>10</v>
      </c>
      <c r="C106" s="34" t="s">
        <v>11</v>
      </c>
      <c r="D106" s="34" t="s">
        <v>12</v>
      </c>
      <c r="E106" s="16" t="s">
        <v>80</v>
      </c>
    </row>
    <row r="107" spans="1:5" ht="49.2" x14ac:dyDescent="0.25">
      <c r="A107" s="15" t="s">
        <v>114</v>
      </c>
      <c r="B107" s="25" t="s">
        <v>110</v>
      </c>
      <c r="C107" s="35" t="s">
        <v>115</v>
      </c>
      <c r="D107" s="35" t="s">
        <v>116</v>
      </c>
      <c r="E107" s="16">
        <v>0</v>
      </c>
    </row>
    <row r="109" spans="1:5" x14ac:dyDescent="0.25">
      <c r="A109" s="57" t="s">
        <v>9</v>
      </c>
      <c r="B109" s="58" t="s">
        <v>10</v>
      </c>
      <c r="C109" s="34" t="s">
        <v>11</v>
      </c>
      <c r="D109" s="34" t="s">
        <v>12</v>
      </c>
      <c r="E109" s="16" t="s">
        <v>80</v>
      </c>
    </row>
    <row r="110" spans="1:5" ht="18" x14ac:dyDescent="0.25">
      <c r="A110" s="102" t="s">
        <v>117</v>
      </c>
      <c r="B110" s="97" t="s">
        <v>118</v>
      </c>
      <c r="C110" s="98" t="s">
        <v>119</v>
      </c>
      <c r="D110" s="99" t="s">
        <v>352</v>
      </c>
      <c r="E110" s="103">
        <f>ROUNDDOWN(E60+E91+E86+E103+E107,0)</f>
        <v>3850</v>
      </c>
    </row>
    <row r="111" spans="1:5" s="137" customFormat="1" ht="38.4" customHeight="1" x14ac:dyDescent="0.25">
      <c r="A111" s="136" t="s">
        <v>245</v>
      </c>
    </row>
    <row r="112" spans="1:5" s="138" customFormat="1" ht="43.2" customHeight="1" x14ac:dyDescent="0.25">
      <c r="A112" s="138" t="s">
        <v>246</v>
      </c>
    </row>
    <row r="113" spans="1:133" s="56" customFormat="1" x14ac:dyDescent="0.25">
      <c r="A113" s="93" t="s">
        <v>9</v>
      </c>
      <c r="B113" s="94" t="s">
        <v>10</v>
      </c>
      <c r="C113" s="95" t="s">
        <v>11</v>
      </c>
      <c r="D113" s="95" t="s">
        <v>12</v>
      </c>
      <c r="E113" s="94" t="s">
        <v>13</v>
      </c>
      <c r="F113" s="96" t="s">
        <v>14</v>
      </c>
      <c r="G113" s="96" t="s">
        <v>15</v>
      </c>
      <c r="H113" s="96" t="s">
        <v>16</v>
      </c>
      <c r="I113" s="96" t="s">
        <v>17</v>
      </c>
      <c r="J113" s="96" t="s">
        <v>18</v>
      </c>
      <c r="K113" s="96" t="s">
        <v>19</v>
      </c>
      <c r="L113" s="96" t="s">
        <v>20</v>
      </c>
      <c r="M113" s="96" t="s">
        <v>21</v>
      </c>
      <c r="N113" s="96" t="s">
        <v>22</v>
      </c>
      <c r="O113" s="96" t="s">
        <v>23</v>
      </c>
      <c r="P113" s="96" t="s">
        <v>24</v>
      </c>
      <c r="Q113" s="96" t="s">
        <v>25</v>
      </c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54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4"/>
      <c r="DX113" s="54"/>
      <c r="DY113" s="54"/>
      <c r="DZ113" s="54"/>
      <c r="EA113" s="54"/>
      <c r="EB113" s="54"/>
      <c r="EC113" s="54"/>
    </row>
    <row r="114" spans="1:133" s="56" customFormat="1" x14ac:dyDescent="0.25">
      <c r="A114" s="128" t="s">
        <v>26</v>
      </c>
      <c r="B114" s="128"/>
      <c r="C114" s="129"/>
      <c r="D114" s="129"/>
      <c r="E114" s="128"/>
      <c r="F114" s="16">
        <v>31</v>
      </c>
      <c r="G114" s="16">
        <v>28</v>
      </c>
      <c r="H114" s="16">
        <v>31</v>
      </c>
      <c r="I114" s="16">
        <v>30</v>
      </c>
      <c r="J114" s="16">
        <v>31</v>
      </c>
      <c r="K114" s="16">
        <v>30</v>
      </c>
      <c r="L114" s="16">
        <v>31</v>
      </c>
      <c r="M114" s="16">
        <v>31</v>
      </c>
      <c r="N114" s="16">
        <v>30</v>
      </c>
      <c r="O114" s="16">
        <v>31</v>
      </c>
      <c r="P114" s="16">
        <v>30</v>
      </c>
      <c r="Q114" s="16">
        <v>31</v>
      </c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</row>
    <row r="115" spans="1:133" ht="46.8" x14ac:dyDescent="0.25">
      <c r="A115" s="59" t="s">
        <v>27</v>
      </c>
      <c r="B115" s="60" t="s">
        <v>28</v>
      </c>
      <c r="C115" s="53" t="s">
        <v>29</v>
      </c>
      <c r="D115" s="53" t="s">
        <v>340</v>
      </c>
      <c r="E115" s="61">
        <f>SUM(F115:Q115)</f>
        <v>1211.8133943178511</v>
      </c>
      <c r="F115" s="62">
        <f>$E$6*$E$7*F118*$E$19</f>
        <v>102.92113759959831</v>
      </c>
      <c r="G115" s="62">
        <f t="shared" ref="G115:Q115" si="16">$E$6*$E$7*G118*$E$19</f>
        <v>92.961027509314633</v>
      </c>
      <c r="H115" s="62">
        <f t="shared" si="16"/>
        <v>102.92113759959831</v>
      </c>
      <c r="I115" s="62">
        <f t="shared" si="16"/>
        <v>99.601100902837089</v>
      </c>
      <c r="J115" s="62">
        <f t="shared" si="16"/>
        <v>102.92113759959831</v>
      </c>
      <c r="K115" s="62">
        <f t="shared" si="16"/>
        <v>99.601100902837089</v>
      </c>
      <c r="L115" s="62">
        <f t="shared" si="16"/>
        <v>102.92113759959831</v>
      </c>
      <c r="M115" s="62">
        <f t="shared" si="16"/>
        <v>102.92113759959831</v>
      </c>
      <c r="N115" s="62">
        <f t="shared" si="16"/>
        <v>99.601100902837089</v>
      </c>
      <c r="O115" s="62">
        <f t="shared" si="16"/>
        <v>102.92113759959831</v>
      </c>
      <c r="P115" s="62">
        <f t="shared" si="16"/>
        <v>99.601100902837089</v>
      </c>
      <c r="Q115" s="62">
        <f t="shared" si="16"/>
        <v>102.92113759959831</v>
      </c>
    </row>
    <row r="116" spans="1:133" ht="31.2" x14ac:dyDescent="0.25">
      <c r="A116" s="63" t="s">
        <v>30</v>
      </c>
      <c r="B116" s="60" t="s">
        <v>208</v>
      </c>
      <c r="C116" s="35" t="s">
        <v>31</v>
      </c>
      <c r="D116" s="35" t="s">
        <v>220</v>
      </c>
      <c r="E116" s="130">
        <v>28</v>
      </c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</row>
    <row r="117" spans="1:133" ht="64.8" x14ac:dyDescent="0.25">
      <c r="A117" s="63" t="s">
        <v>32</v>
      </c>
      <c r="B117" s="25" t="s">
        <v>209</v>
      </c>
      <c r="C117" s="35" t="s">
        <v>34</v>
      </c>
      <c r="D117" s="35" t="s">
        <v>373</v>
      </c>
      <c r="E117" s="130">
        <v>0.21</v>
      </c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</row>
    <row r="118" spans="1:133" ht="46.8" x14ac:dyDescent="0.25">
      <c r="A118" s="35" t="s">
        <v>35</v>
      </c>
      <c r="B118" s="25" t="s">
        <v>210</v>
      </c>
      <c r="C118" s="53" t="s">
        <v>36</v>
      </c>
      <c r="D118" s="53" t="s">
        <v>341</v>
      </c>
      <c r="E118" s="64">
        <f t="shared" ref="E118:Q118" si="17">E126*E119</f>
        <v>381.73544510423329</v>
      </c>
      <c r="F118" s="64">
        <f t="shared" si="17"/>
        <v>32.421366570496524</v>
      </c>
      <c r="G118" s="64">
        <f t="shared" si="17"/>
        <v>29.283814966900092</v>
      </c>
      <c r="H118" s="64">
        <f t="shared" si="17"/>
        <v>32.421366570496524</v>
      </c>
      <c r="I118" s="64">
        <f t="shared" si="17"/>
        <v>31.375516035964381</v>
      </c>
      <c r="J118" s="64">
        <f t="shared" si="17"/>
        <v>32.421366570496524</v>
      </c>
      <c r="K118" s="64">
        <f t="shared" si="17"/>
        <v>31.375516035964381</v>
      </c>
      <c r="L118" s="64">
        <f t="shared" si="17"/>
        <v>32.421366570496524</v>
      </c>
      <c r="M118" s="64">
        <f t="shared" si="17"/>
        <v>32.421366570496524</v>
      </c>
      <c r="N118" s="64">
        <f t="shared" si="17"/>
        <v>31.375516035964381</v>
      </c>
      <c r="O118" s="64">
        <f t="shared" si="17"/>
        <v>32.421366570496524</v>
      </c>
      <c r="P118" s="64">
        <f t="shared" si="17"/>
        <v>31.375516035964381</v>
      </c>
      <c r="Q118" s="64">
        <f t="shared" si="17"/>
        <v>32.421366570496524</v>
      </c>
    </row>
    <row r="119" spans="1:133" ht="46.8" x14ac:dyDescent="0.25">
      <c r="A119" s="35" t="s">
        <v>37</v>
      </c>
      <c r="B119" s="25" t="s">
        <v>212</v>
      </c>
      <c r="C119" s="35" t="s">
        <v>206</v>
      </c>
      <c r="D119" s="35" t="s">
        <v>342</v>
      </c>
      <c r="E119" s="20">
        <f>SUM(F119:Q119)</f>
        <v>405.15</v>
      </c>
      <c r="F119" s="20">
        <f>F121*F124</f>
        <v>34.409999999999997</v>
      </c>
      <c r="G119" s="20">
        <f t="shared" ref="G119:Q119" si="18">G121*G124</f>
        <v>31.08</v>
      </c>
      <c r="H119" s="20">
        <f t="shared" si="18"/>
        <v>34.409999999999997</v>
      </c>
      <c r="I119" s="20">
        <f t="shared" si="18"/>
        <v>33.299999999999997</v>
      </c>
      <c r="J119" s="20">
        <f t="shared" si="18"/>
        <v>34.409999999999997</v>
      </c>
      <c r="K119" s="20">
        <f t="shared" si="18"/>
        <v>33.299999999999997</v>
      </c>
      <c r="L119" s="20">
        <f t="shared" si="18"/>
        <v>34.409999999999997</v>
      </c>
      <c r="M119" s="20">
        <f t="shared" si="18"/>
        <v>34.409999999999997</v>
      </c>
      <c r="N119" s="20">
        <f t="shared" si="18"/>
        <v>33.299999999999997</v>
      </c>
      <c r="O119" s="20">
        <f t="shared" si="18"/>
        <v>34.409999999999997</v>
      </c>
      <c r="P119" s="20">
        <f t="shared" si="18"/>
        <v>33.299999999999997</v>
      </c>
      <c r="Q119" s="20">
        <f t="shared" si="18"/>
        <v>34.409999999999997</v>
      </c>
    </row>
    <row r="120" spans="1:133" ht="46.8" x14ac:dyDescent="0.3">
      <c r="A120" s="51" t="s">
        <v>221</v>
      </c>
      <c r="B120" s="60" t="s">
        <v>207</v>
      </c>
      <c r="C120" s="35" t="s">
        <v>39</v>
      </c>
      <c r="D120" s="35" t="s">
        <v>222</v>
      </c>
      <c r="E120" s="20">
        <v>3700</v>
      </c>
      <c r="F120" s="20">
        <v>3700</v>
      </c>
      <c r="G120" s="20">
        <v>3700</v>
      </c>
      <c r="H120" s="20">
        <v>3700</v>
      </c>
      <c r="I120" s="20">
        <v>3700</v>
      </c>
      <c r="J120" s="20">
        <v>3700</v>
      </c>
      <c r="K120" s="20">
        <v>3700</v>
      </c>
      <c r="L120" s="20">
        <v>3700</v>
      </c>
      <c r="M120" s="20">
        <v>3700</v>
      </c>
      <c r="N120" s="20">
        <v>3700</v>
      </c>
      <c r="O120" s="20">
        <v>3700</v>
      </c>
      <c r="P120" s="20">
        <v>3700</v>
      </c>
      <c r="Q120" s="20">
        <v>3700</v>
      </c>
    </row>
    <row r="121" spans="1:133" ht="46.8" x14ac:dyDescent="0.25">
      <c r="A121" s="35" t="s">
        <v>41</v>
      </c>
      <c r="B121" s="60" t="s">
        <v>213</v>
      </c>
      <c r="C121" s="35" t="s">
        <v>42</v>
      </c>
      <c r="D121" s="35" t="s">
        <v>326</v>
      </c>
      <c r="E121" s="65">
        <f>SUM(F121:Q121)</f>
        <v>1350500</v>
      </c>
      <c r="F121" s="65">
        <f>F120*F114</f>
        <v>114700</v>
      </c>
      <c r="G121" s="65">
        <f t="shared" ref="G121:Q121" si="19">G120*G114</f>
        <v>103600</v>
      </c>
      <c r="H121" s="65">
        <f t="shared" si="19"/>
        <v>114700</v>
      </c>
      <c r="I121" s="65">
        <f t="shared" si="19"/>
        <v>111000</v>
      </c>
      <c r="J121" s="65">
        <f t="shared" si="19"/>
        <v>114700</v>
      </c>
      <c r="K121" s="65">
        <f t="shared" si="19"/>
        <v>111000</v>
      </c>
      <c r="L121" s="65">
        <f t="shared" si="19"/>
        <v>114700</v>
      </c>
      <c r="M121" s="65">
        <f t="shared" si="19"/>
        <v>114700</v>
      </c>
      <c r="N121" s="65">
        <f t="shared" si="19"/>
        <v>111000</v>
      </c>
      <c r="O121" s="65">
        <f t="shared" si="19"/>
        <v>114700</v>
      </c>
      <c r="P121" s="65">
        <f t="shared" si="19"/>
        <v>111000</v>
      </c>
      <c r="Q121" s="65">
        <f t="shared" si="19"/>
        <v>114700</v>
      </c>
    </row>
    <row r="122" spans="1:133" ht="62.4" x14ac:dyDescent="0.25">
      <c r="A122" s="35" t="s">
        <v>43</v>
      </c>
      <c r="B122" s="60" t="s">
        <v>214</v>
      </c>
      <c r="C122" s="35" t="s">
        <v>44</v>
      </c>
      <c r="D122" s="35" t="s">
        <v>40</v>
      </c>
      <c r="E122" s="66">
        <v>300</v>
      </c>
      <c r="F122" s="66">
        <v>300</v>
      </c>
      <c r="G122" s="66">
        <v>300</v>
      </c>
      <c r="H122" s="66">
        <v>300</v>
      </c>
      <c r="I122" s="66">
        <v>300</v>
      </c>
      <c r="J122" s="66">
        <v>300</v>
      </c>
      <c r="K122" s="66">
        <v>300</v>
      </c>
      <c r="L122" s="66">
        <v>300</v>
      </c>
      <c r="M122" s="66">
        <v>300</v>
      </c>
      <c r="N122" s="66">
        <v>300</v>
      </c>
      <c r="O122" s="66">
        <v>300</v>
      </c>
      <c r="P122" s="66">
        <v>300</v>
      </c>
      <c r="Q122" s="66">
        <v>300</v>
      </c>
    </row>
    <row r="123" spans="1:133" ht="62.4" x14ac:dyDescent="0.25">
      <c r="A123" s="35" t="s">
        <v>45</v>
      </c>
      <c r="B123" s="60" t="s">
        <v>214</v>
      </c>
      <c r="C123" s="35" t="s">
        <v>46</v>
      </c>
      <c r="D123" s="35" t="s">
        <v>40</v>
      </c>
      <c r="E123" s="65">
        <v>40</v>
      </c>
      <c r="F123" s="65">
        <v>40</v>
      </c>
      <c r="G123" s="65">
        <v>40</v>
      </c>
      <c r="H123" s="65">
        <v>40</v>
      </c>
      <c r="I123" s="65">
        <v>40</v>
      </c>
      <c r="J123" s="65">
        <v>40</v>
      </c>
      <c r="K123" s="65">
        <v>40</v>
      </c>
      <c r="L123" s="65">
        <v>40</v>
      </c>
      <c r="M123" s="65">
        <v>40</v>
      </c>
      <c r="N123" s="65">
        <v>40</v>
      </c>
      <c r="O123" s="65">
        <v>40</v>
      </c>
      <c r="P123" s="65">
        <v>40</v>
      </c>
      <c r="Q123" s="65">
        <v>40</v>
      </c>
    </row>
    <row r="124" spans="1:133" ht="62.4" x14ac:dyDescent="0.25">
      <c r="A124" s="35" t="s">
        <v>47</v>
      </c>
      <c r="B124" s="60" t="s">
        <v>215</v>
      </c>
      <c r="C124" s="35" t="s">
        <v>49</v>
      </c>
      <c r="D124" s="35" t="s">
        <v>324</v>
      </c>
      <c r="E124" s="67">
        <f>E122/1000000</f>
        <v>2.9999999999999997E-4</v>
      </c>
      <c r="F124" s="22">
        <f>F122/1000000</f>
        <v>2.9999999999999997E-4</v>
      </c>
      <c r="G124" s="22">
        <f t="shared" ref="G124:Q124" si="20">G122/1000000</f>
        <v>2.9999999999999997E-4</v>
      </c>
      <c r="H124" s="22">
        <f t="shared" si="20"/>
        <v>2.9999999999999997E-4</v>
      </c>
      <c r="I124" s="22">
        <f t="shared" si="20"/>
        <v>2.9999999999999997E-4</v>
      </c>
      <c r="J124" s="22">
        <f t="shared" si="20"/>
        <v>2.9999999999999997E-4</v>
      </c>
      <c r="K124" s="22">
        <f t="shared" si="20"/>
        <v>2.9999999999999997E-4</v>
      </c>
      <c r="L124" s="22">
        <f t="shared" si="20"/>
        <v>2.9999999999999997E-4</v>
      </c>
      <c r="M124" s="22">
        <f t="shared" si="20"/>
        <v>2.9999999999999997E-4</v>
      </c>
      <c r="N124" s="22">
        <f t="shared" si="20"/>
        <v>2.9999999999999997E-4</v>
      </c>
      <c r="O124" s="22">
        <f t="shared" si="20"/>
        <v>2.9999999999999997E-4</v>
      </c>
      <c r="P124" s="22">
        <f t="shared" si="20"/>
        <v>2.9999999999999997E-4</v>
      </c>
      <c r="Q124" s="22">
        <f t="shared" si="20"/>
        <v>2.9999999999999997E-4</v>
      </c>
    </row>
    <row r="125" spans="1:133" ht="62.4" x14ac:dyDescent="0.25">
      <c r="A125" s="35" t="s">
        <v>45</v>
      </c>
      <c r="B125" s="60" t="s">
        <v>48</v>
      </c>
      <c r="C125" s="35" t="s">
        <v>50</v>
      </c>
      <c r="D125" s="35" t="s">
        <v>325</v>
      </c>
      <c r="E125" s="67">
        <f>E123/1000000</f>
        <v>4.0000000000000003E-5</v>
      </c>
      <c r="F125" s="22">
        <f>F123/1000000</f>
        <v>4.0000000000000003E-5</v>
      </c>
      <c r="G125" s="22">
        <f t="shared" ref="G125:Q125" si="21">G123/1000000</f>
        <v>4.0000000000000003E-5</v>
      </c>
      <c r="H125" s="22">
        <f t="shared" si="21"/>
        <v>4.0000000000000003E-5</v>
      </c>
      <c r="I125" s="22">
        <f t="shared" si="21"/>
        <v>4.0000000000000003E-5</v>
      </c>
      <c r="J125" s="22">
        <f t="shared" si="21"/>
        <v>4.0000000000000003E-5</v>
      </c>
      <c r="K125" s="22">
        <f t="shared" si="21"/>
        <v>4.0000000000000003E-5</v>
      </c>
      <c r="L125" s="22">
        <f t="shared" si="21"/>
        <v>4.0000000000000003E-5</v>
      </c>
      <c r="M125" s="22">
        <f t="shared" si="21"/>
        <v>4.0000000000000003E-5</v>
      </c>
      <c r="N125" s="22">
        <f t="shared" si="21"/>
        <v>4.0000000000000003E-5</v>
      </c>
      <c r="O125" s="22">
        <f t="shared" si="21"/>
        <v>4.0000000000000003E-5</v>
      </c>
      <c r="P125" s="22">
        <f t="shared" si="21"/>
        <v>4.0000000000000003E-5</v>
      </c>
      <c r="Q125" s="22">
        <f t="shared" si="21"/>
        <v>4.0000000000000003E-5</v>
      </c>
    </row>
    <row r="126" spans="1:133" ht="46.8" x14ac:dyDescent="0.25">
      <c r="A126" s="63" t="s">
        <v>51</v>
      </c>
      <c r="B126" s="25" t="s">
        <v>216</v>
      </c>
      <c r="C126" s="35" t="s">
        <v>53</v>
      </c>
      <c r="D126" s="35" t="s">
        <v>343</v>
      </c>
      <c r="E126" s="68">
        <f>(1-(E127/E128))</f>
        <v>0.94220768876769923</v>
      </c>
      <c r="F126" s="68">
        <f>E126</f>
        <v>0.94220768876769923</v>
      </c>
      <c r="G126" s="68">
        <f>E126</f>
        <v>0.94220768876769923</v>
      </c>
      <c r="H126" s="68">
        <f>E126</f>
        <v>0.94220768876769923</v>
      </c>
      <c r="I126" s="68">
        <f>E126</f>
        <v>0.94220768876769923</v>
      </c>
      <c r="J126" s="68">
        <f>E126</f>
        <v>0.94220768876769923</v>
      </c>
      <c r="K126" s="68">
        <f>E126</f>
        <v>0.94220768876769923</v>
      </c>
      <c r="L126" s="68">
        <f>E126</f>
        <v>0.94220768876769923</v>
      </c>
      <c r="M126" s="68">
        <f>E126</f>
        <v>0.94220768876769923</v>
      </c>
      <c r="N126" s="68">
        <f>E126</f>
        <v>0.94220768876769923</v>
      </c>
      <c r="O126" s="68">
        <f>E126</f>
        <v>0.94220768876769923</v>
      </c>
      <c r="P126" s="68">
        <f>E126</f>
        <v>0.94220768876769923</v>
      </c>
      <c r="Q126" s="68">
        <f>E126</f>
        <v>0.94220768876769923</v>
      </c>
    </row>
    <row r="127" spans="1:133" ht="31.2" x14ac:dyDescent="0.25">
      <c r="A127" s="35" t="s">
        <v>54</v>
      </c>
      <c r="B127" s="25" t="s">
        <v>211</v>
      </c>
      <c r="C127" s="35" t="s">
        <v>55</v>
      </c>
      <c r="D127" s="35" t="s">
        <v>323</v>
      </c>
      <c r="E127" s="52">
        <f>SUM(F127:Q127)</f>
        <v>12.081330932</v>
      </c>
      <c r="F127" s="52">
        <v>1.0260856408000001</v>
      </c>
      <c r="G127" s="52">
        <v>0.92678703040000021</v>
      </c>
      <c r="H127" s="52">
        <v>1.0260856408000001</v>
      </c>
      <c r="I127" s="52">
        <v>0.9929861040000002</v>
      </c>
      <c r="J127" s="52">
        <v>1.0260856408000001</v>
      </c>
      <c r="K127" s="52">
        <v>0.9929861040000002</v>
      </c>
      <c r="L127" s="52">
        <v>1.0260856408000001</v>
      </c>
      <c r="M127" s="52">
        <v>1.0260856408000001</v>
      </c>
      <c r="N127" s="52">
        <v>0.9929861040000002</v>
      </c>
      <c r="O127" s="52">
        <v>1.0260856408000001</v>
      </c>
      <c r="P127" s="52">
        <v>0.9929861040000002</v>
      </c>
      <c r="Q127" s="52">
        <v>1.0260856408000001</v>
      </c>
    </row>
    <row r="128" spans="1:133" ht="31.2" x14ac:dyDescent="0.25">
      <c r="A128" s="63" t="s">
        <v>56</v>
      </c>
      <c r="B128" s="25" t="s">
        <v>38</v>
      </c>
      <c r="C128" s="35" t="s">
        <v>57</v>
      </c>
      <c r="D128" s="35" t="s">
        <v>323</v>
      </c>
      <c r="E128" s="52">
        <f>SUM(F128:Q128)</f>
        <v>209.047374545</v>
      </c>
      <c r="F128" s="52">
        <v>17.754708522999998</v>
      </c>
      <c r="G128" s="52">
        <v>16.036510923999998</v>
      </c>
      <c r="H128" s="52">
        <v>17.754708522999998</v>
      </c>
      <c r="I128" s="52">
        <v>17.181975989999998</v>
      </c>
      <c r="J128" s="52">
        <v>17.754708522999998</v>
      </c>
      <c r="K128" s="52">
        <v>17.181975989999998</v>
      </c>
      <c r="L128" s="52">
        <v>17.754708522999998</v>
      </c>
      <c r="M128" s="52">
        <v>17.754708522999998</v>
      </c>
      <c r="N128" s="52">
        <v>17.181975989999998</v>
      </c>
      <c r="O128" s="52">
        <v>17.754708522999998</v>
      </c>
      <c r="P128" s="52">
        <v>17.181975989999998</v>
      </c>
      <c r="Q128" s="52">
        <v>17.754708522999998</v>
      </c>
    </row>
    <row r="129" spans="1:133" ht="31.2" x14ac:dyDescent="0.25">
      <c r="A129" s="53" t="s">
        <v>58</v>
      </c>
      <c r="B129" s="25" t="s">
        <v>216</v>
      </c>
      <c r="C129" s="53" t="s">
        <v>59</v>
      </c>
      <c r="D129" s="35" t="s">
        <v>344</v>
      </c>
      <c r="E129" s="132">
        <f>E130*E131*0.89</f>
        <v>0.54345821758634461</v>
      </c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</row>
    <row r="130" spans="1:133" ht="31.2" x14ac:dyDescent="0.25">
      <c r="A130" s="70" t="s">
        <v>60</v>
      </c>
      <c r="B130" s="25" t="s">
        <v>216</v>
      </c>
      <c r="C130" s="53" t="s">
        <v>61</v>
      </c>
      <c r="D130" s="35" t="s">
        <v>345</v>
      </c>
      <c r="E130" s="119">
        <v>0.7</v>
      </c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1"/>
    </row>
    <row r="131" spans="1:133" ht="36" customHeight="1" x14ac:dyDescent="0.25">
      <c r="A131" s="70" t="s">
        <v>62</v>
      </c>
      <c r="B131" s="25" t="s">
        <v>52</v>
      </c>
      <c r="C131" s="53" t="s">
        <v>63</v>
      </c>
      <c r="D131" s="35" t="s">
        <v>346</v>
      </c>
      <c r="E131" s="122">
        <f>(F132*F137+G132*G137+H132*H137+I132*I137+J132*J137+K132*K137+L132*L137+M132*M137+N132*N137+O132*O137+P132*P137+Q132*Q137)/(F126*F121*F124+G126*G124*G121+H126*H121*H124+I126*I124*I121+J126*J124*J121+K126*K124*K121+L126*L124*L121+M126*M124*M121+N126*N124*N121+O126*O121*O124+P126*P124*P121+Q126*Q124*Q121)</f>
        <v>0.87232458681596237</v>
      </c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4"/>
    </row>
    <row r="132" spans="1:133" s="9" customFormat="1" ht="46.8" x14ac:dyDescent="0.4">
      <c r="A132" s="71" t="s">
        <v>64</v>
      </c>
      <c r="B132" s="25" t="s">
        <v>52</v>
      </c>
      <c r="C132" s="53" t="s">
        <v>65</v>
      </c>
      <c r="D132" s="53" t="s">
        <v>347</v>
      </c>
      <c r="E132" s="72">
        <f>AVERAGE(F132:Q132)</f>
        <v>0.68492017684835282</v>
      </c>
      <c r="F132" s="72">
        <f t="shared" ref="F132:Q132" si="22">IF(F136&lt;283,0,IF(F136&gt;303,1,EXP(($E$23*(F136-$E$24))/($E$25*$E$24*F136))))</f>
        <v>0.32317176495848171</v>
      </c>
      <c r="G132" s="72">
        <f t="shared" si="22"/>
        <v>0.35374940126825682</v>
      </c>
      <c r="H132" s="72">
        <f t="shared" si="22"/>
        <v>0.50475941545474445</v>
      </c>
      <c r="I132" s="72">
        <f t="shared" si="22"/>
        <v>0.65487347206548807</v>
      </c>
      <c r="J132" s="72">
        <f t="shared" si="22"/>
        <v>0.84523513966163832</v>
      </c>
      <c r="K132" s="72">
        <f t="shared" si="22"/>
        <v>1</v>
      </c>
      <c r="L132" s="72">
        <f t="shared" si="22"/>
        <v>1</v>
      </c>
      <c r="M132" s="72">
        <f t="shared" si="22"/>
        <v>1</v>
      </c>
      <c r="N132" s="72">
        <f t="shared" si="22"/>
        <v>0.91923925774048054</v>
      </c>
      <c r="O132" s="72">
        <f t="shared" si="22"/>
        <v>0.71341857634681827</v>
      </c>
      <c r="P132" s="72">
        <f t="shared" si="22"/>
        <v>0.55084569341606926</v>
      </c>
      <c r="Q132" s="72">
        <f t="shared" si="22"/>
        <v>0.35374940126825682</v>
      </c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78"/>
      <c r="CB132" s="78"/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8"/>
      <c r="CP132" s="78"/>
      <c r="CQ132" s="78"/>
      <c r="CR132" s="78"/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C132" s="78"/>
      <c r="DD132" s="78"/>
      <c r="DE132" s="78"/>
      <c r="DF132" s="78"/>
      <c r="DG132" s="78"/>
      <c r="DH132" s="78"/>
      <c r="DI132" s="78"/>
      <c r="DJ132" s="78"/>
      <c r="DK132" s="78"/>
      <c r="DL132" s="78"/>
      <c r="DM132" s="78"/>
      <c r="DN132" s="78"/>
      <c r="DO132" s="78"/>
      <c r="DP132" s="78"/>
      <c r="DQ132" s="78"/>
      <c r="DR132" s="78"/>
      <c r="DS132" s="78"/>
      <c r="DT132" s="78"/>
      <c r="DU132" s="78"/>
      <c r="DV132" s="78"/>
      <c r="DW132" s="78"/>
      <c r="DX132" s="78"/>
      <c r="DY132" s="78"/>
      <c r="DZ132" s="78"/>
      <c r="EA132" s="78"/>
      <c r="EB132" s="78"/>
      <c r="EC132" s="78"/>
    </row>
    <row r="133" spans="1:133" s="9" customFormat="1" x14ac:dyDescent="0.25">
      <c r="A133" s="73" t="s">
        <v>66</v>
      </c>
      <c r="B133" s="60" t="s">
        <v>217</v>
      </c>
      <c r="C133" s="53" t="s">
        <v>68</v>
      </c>
      <c r="D133" s="53" t="s">
        <v>348</v>
      </c>
      <c r="E133" s="119">
        <v>15175</v>
      </c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1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8"/>
      <c r="CP133" s="78"/>
      <c r="CQ133" s="78"/>
      <c r="CR133" s="78"/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C133" s="78"/>
      <c r="DD133" s="78"/>
      <c r="DE133" s="78"/>
      <c r="DF133" s="78"/>
      <c r="DG133" s="78"/>
      <c r="DH133" s="78"/>
      <c r="DI133" s="78"/>
      <c r="DJ133" s="78"/>
      <c r="DK133" s="78"/>
      <c r="DL133" s="78"/>
      <c r="DM133" s="78"/>
      <c r="DN133" s="78"/>
      <c r="DO133" s="78"/>
      <c r="DP133" s="78"/>
      <c r="DQ133" s="78"/>
      <c r="DR133" s="78"/>
      <c r="DS133" s="78"/>
      <c r="DT133" s="78"/>
      <c r="DU133" s="78"/>
      <c r="DV133" s="78"/>
      <c r="DW133" s="78"/>
      <c r="DX133" s="78"/>
      <c r="DY133" s="78"/>
      <c r="DZ133" s="78"/>
      <c r="EA133" s="78"/>
      <c r="EB133" s="78"/>
      <c r="EC133" s="78"/>
    </row>
    <row r="134" spans="1:133" s="9" customFormat="1" ht="18" x14ac:dyDescent="0.25">
      <c r="A134" s="73" t="s">
        <v>69</v>
      </c>
      <c r="B134" s="60" t="s">
        <v>218</v>
      </c>
      <c r="C134" s="53" t="s">
        <v>71</v>
      </c>
      <c r="D134" s="53" t="s">
        <v>348</v>
      </c>
      <c r="E134" s="119">
        <v>303.16000000000003</v>
      </c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1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  <c r="BI134" s="78"/>
      <c r="BJ134" s="78"/>
      <c r="BK134" s="78"/>
      <c r="BL134" s="78"/>
      <c r="BM134" s="78"/>
      <c r="BN134" s="78"/>
      <c r="BO134" s="78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8"/>
      <c r="CP134" s="78"/>
      <c r="CQ134" s="78"/>
      <c r="CR134" s="78"/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C134" s="78"/>
      <c r="DD134" s="78"/>
      <c r="DE134" s="78"/>
      <c r="DF134" s="78"/>
      <c r="DG134" s="78"/>
      <c r="DH134" s="78"/>
      <c r="DI134" s="78"/>
      <c r="DJ134" s="78"/>
      <c r="DK134" s="78"/>
      <c r="DL134" s="78"/>
      <c r="DM134" s="78"/>
      <c r="DN134" s="78"/>
      <c r="DO134" s="78"/>
      <c r="DP134" s="78"/>
      <c r="DQ134" s="78"/>
      <c r="DR134" s="78"/>
      <c r="DS134" s="78"/>
      <c r="DT134" s="78"/>
      <c r="DU134" s="78"/>
      <c r="DV134" s="78"/>
      <c r="DW134" s="78"/>
      <c r="DX134" s="78"/>
      <c r="DY134" s="78"/>
      <c r="DZ134" s="78"/>
      <c r="EA134" s="78"/>
      <c r="EB134" s="78"/>
      <c r="EC134" s="78"/>
    </row>
    <row r="135" spans="1:133" s="9" customFormat="1" x14ac:dyDescent="0.25">
      <c r="A135" s="73" t="s">
        <v>72</v>
      </c>
      <c r="B135" s="60" t="s">
        <v>219</v>
      </c>
      <c r="C135" s="53" t="s">
        <v>74</v>
      </c>
      <c r="D135" s="53" t="s">
        <v>348</v>
      </c>
      <c r="E135" s="119">
        <v>1.9870000000000001</v>
      </c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1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  <c r="BR135" s="78"/>
      <c r="BS135" s="78"/>
      <c r="BT135" s="78"/>
      <c r="BU135" s="78"/>
      <c r="BV135" s="78"/>
      <c r="BW135" s="78"/>
      <c r="BX135" s="78"/>
      <c r="BY135" s="78"/>
      <c r="BZ135" s="78"/>
      <c r="CA135" s="78"/>
      <c r="CB135" s="78"/>
      <c r="CC135" s="78"/>
      <c r="CD135" s="78"/>
      <c r="CE135" s="78"/>
      <c r="CF135" s="78"/>
      <c r="CG135" s="78"/>
      <c r="CH135" s="78"/>
      <c r="CI135" s="78"/>
      <c r="CJ135" s="78"/>
      <c r="CK135" s="78"/>
      <c r="CL135" s="78"/>
      <c r="CM135" s="78"/>
      <c r="CN135" s="78"/>
      <c r="CO135" s="78"/>
      <c r="CP135" s="78"/>
      <c r="CQ135" s="78"/>
      <c r="CR135" s="78"/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C135" s="78"/>
      <c r="DD135" s="78"/>
      <c r="DE135" s="78"/>
      <c r="DF135" s="78"/>
      <c r="DG135" s="78"/>
      <c r="DH135" s="78"/>
      <c r="DI135" s="78"/>
      <c r="DJ135" s="78"/>
      <c r="DK135" s="78"/>
      <c r="DL135" s="78"/>
      <c r="DM135" s="78"/>
      <c r="DN135" s="78"/>
      <c r="DO135" s="78"/>
      <c r="DP135" s="78"/>
      <c r="DQ135" s="78"/>
      <c r="DR135" s="78"/>
      <c r="DS135" s="78"/>
      <c r="DT135" s="78"/>
      <c r="DU135" s="78"/>
      <c r="DV135" s="78"/>
      <c r="DW135" s="78"/>
      <c r="DX135" s="78"/>
      <c r="DY135" s="78"/>
      <c r="DZ135" s="78"/>
      <c r="EA135" s="78"/>
      <c r="EB135" s="78"/>
      <c r="EC135" s="78"/>
    </row>
    <row r="136" spans="1:133" s="9" customFormat="1" ht="31.2" x14ac:dyDescent="0.25">
      <c r="A136" s="73" t="s">
        <v>75</v>
      </c>
      <c r="B136" s="60" t="s">
        <v>218</v>
      </c>
      <c r="C136" s="53" t="s">
        <v>76</v>
      </c>
      <c r="D136" s="53" t="s">
        <v>274</v>
      </c>
      <c r="E136" s="111">
        <f>AVERAGE(F136:Q136)</f>
        <v>297.81666666666672</v>
      </c>
      <c r="F136" s="60">
        <v>290.14999999999998</v>
      </c>
      <c r="G136" s="60">
        <v>291.14999999999998</v>
      </c>
      <c r="H136" s="60">
        <v>295.14999999999998</v>
      </c>
      <c r="I136" s="60">
        <v>298.14999999999998</v>
      </c>
      <c r="J136" s="60">
        <v>301.14999999999998</v>
      </c>
      <c r="K136" s="60">
        <v>303.14999999999998</v>
      </c>
      <c r="L136" s="60">
        <v>303.14999999999998</v>
      </c>
      <c r="M136" s="60">
        <v>303.14999999999998</v>
      </c>
      <c r="N136" s="60">
        <v>302.14999999999998</v>
      </c>
      <c r="O136" s="60">
        <v>299.14999999999998</v>
      </c>
      <c r="P136" s="60">
        <v>296.14999999999998</v>
      </c>
      <c r="Q136" s="60">
        <v>291.14999999999998</v>
      </c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  <c r="BI136" s="78"/>
      <c r="BJ136" s="78"/>
      <c r="BK136" s="78"/>
      <c r="BL136" s="78"/>
      <c r="BM136" s="78"/>
      <c r="BN136" s="78"/>
      <c r="BO136" s="78"/>
      <c r="BP136" s="78"/>
      <c r="BQ136" s="78"/>
      <c r="BR136" s="78"/>
      <c r="BS136" s="78"/>
      <c r="BT136" s="78"/>
      <c r="BU136" s="78"/>
      <c r="BV136" s="78"/>
      <c r="BW136" s="78"/>
      <c r="BX136" s="78"/>
      <c r="BY136" s="78"/>
      <c r="BZ136" s="78"/>
      <c r="CA136" s="78"/>
      <c r="CB136" s="78"/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8"/>
      <c r="CP136" s="78"/>
      <c r="CQ136" s="78"/>
      <c r="CR136" s="78"/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C136" s="78"/>
      <c r="DD136" s="78"/>
      <c r="DE136" s="78"/>
      <c r="DF136" s="78"/>
      <c r="DG136" s="78"/>
      <c r="DH136" s="78"/>
      <c r="DI136" s="78"/>
      <c r="DJ136" s="78"/>
      <c r="DK136" s="78"/>
      <c r="DL136" s="78"/>
      <c r="DM136" s="78"/>
      <c r="DN136" s="78"/>
      <c r="DO136" s="78"/>
      <c r="DP136" s="78"/>
      <c r="DQ136" s="78"/>
      <c r="DR136" s="78"/>
      <c r="DS136" s="78"/>
      <c r="DT136" s="78"/>
      <c r="DU136" s="78"/>
      <c r="DV136" s="78"/>
      <c r="DW136" s="78"/>
      <c r="DX136" s="78"/>
      <c r="DY136" s="78"/>
      <c r="DZ136" s="78"/>
      <c r="EA136" s="78"/>
      <c r="EB136" s="78"/>
      <c r="EC136" s="78"/>
    </row>
    <row r="137" spans="1:133" s="9" customFormat="1" ht="31.2" x14ac:dyDescent="0.4">
      <c r="A137" s="71" t="s">
        <v>77</v>
      </c>
      <c r="B137" s="60" t="s">
        <v>211</v>
      </c>
      <c r="C137" s="53" t="s">
        <v>78</v>
      </c>
      <c r="D137" s="53" t="s">
        <v>349</v>
      </c>
      <c r="E137" s="74">
        <f>SUM(F137:Q137)</f>
        <v>519.07236389117111</v>
      </c>
      <c r="F137" s="74">
        <f>F126*F121*F124+(1-F132)*0</f>
        <v>32.421366570496524</v>
      </c>
      <c r="G137" s="74">
        <f t="shared" ref="G137:Q137" si="23">G126*G121*G124+(1-G132)*F137</f>
        <v>50.236142524784796</v>
      </c>
      <c r="H137" s="74">
        <f t="shared" si="23"/>
        <v>57.300343159769717</v>
      </c>
      <c r="I137" s="74">
        <f t="shared" si="23"/>
        <v>51.151384520151765</v>
      </c>
      <c r="J137" s="74">
        <f t="shared" si="23"/>
        <v>40.33780345187165</v>
      </c>
      <c r="K137" s="74">
        <f t="shared" si="23"/>
        <v>31.375516035964381</v>
      </c>
      <c r="L137" s="74">
        <f t="shared" si="23"/>
        <v>32.421366570496524</v>
      </c>
      <c r="M137" s="74">
        <f t="shared" si="23"/>
        <v>32.421366570496524</v>
      </c>
      <c r="N137" s="74">
        <f t="shared" si="23"/>
        <v>33.993889665265648</v>
      </c>
      <c r="O137" s="74">
        <f t="shared" si="23"/>
        <v>42.163383866277535</v>
      </c>
      <c r="P137" s="74">
        <f t="shared" si="23"/>
        <v>50.31338147965436</v>
      </c>
      <c r="Q137" s="74">
        <f t="shared" si="23"/>
        <v>64.936419475941761</v>
      </c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78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78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8"/>
      <c r="CP137" s="78"/>
      <c r="CQ137" s="78"/>
      <c r="CR137" s="78"/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C137" s="78"/>
      <c r="DD137" s="78"/>
      <c r="DE137" s="78"/>
      <c r="DF137" s="78"/>
      <c r="DG137" s="78"/>
      <c r="DH137" s="78"/>
      <c r="DI137" s="78"/>
      <c r="DJ137" s="78"/>
      <c r="DK137" s="78"/>
      <c r="DL137" s="78"/>
      <c r="DM137" s="78"/>
      <c r="DN137" s="78"/>
      <c r="DO137" s="78"/>
      <c r="DP137" s="78"/>
      <c r="DQ137" s="78"/>
      <c r="DR137" s="78"/>
      <c r="DS137" s="78"/>
      <c r="DT137" s="78"/>
      <c r="DU137" s="78"/>
      <c r="DV137" s="78"/>
      <c r="DW137" s="78"/>
      <c r="DX137" s="78"/>
      <c r="DY137" s="78"/>
      <c r="DZ137" s="78"/>
      <c r="EA137" s="78"/>
      <c r="EB137" s="78"/>
      <c r="EC137" s="78"/>
    </row>
    <row r="139" spans="1:133" x14ac:dyDescent="0.25">
      <c r="A139" s="133" t="s">
        <v>79</v>
      </c>
      <c r="B139" s="133"/>
      <c r="C139" s="133"/>
      <c r="D139" s="133"/>
      <c r="E139" s="133"/>
    </row>
    <row r="140" spans="1:133" x14ac:dyDescent="0.25">
      <c r="A140" s="57" t="s">
        <v>9</v>
      </c>
      <c r="B140" s="58" t="s">
        <v>10</v>
      </c>
      <c r="C140" s="34" t="s">
        <v>11</v>
      </c>
      <c r="D140" s="34" t="s">
        <v>12</v>
      </c>
      <c r="E140" s="16" t="s">
        <v>80</v>
      </c>
    </row>
    <row r="141" spans="1:133" ht="46.8" x14ac:dyDescent="0.25">
      <c r="A141" s="59" t="s">
        <v>81</v>
      </c>
      <c r="B141" s="60" t="s">
        <v>28</v>
      </c>
      <c r="C141" s="53" t="s">
        <v>82</v>
      </c>
      <c r="D141" s="53" t="s">
        <v>83</v>
      </c>
      <c r="E141" s="75">
        <v>0</v>
      </c>
    </row>
    <row r="142" spans="1:133" ht="46.8" x14ac:dyDescent="0.25">
      <c r="A142" s="63" t="s">
        <v>84</v>
      </c>
      <c r="B142" s="25" t="s">
        <v>85</v>
      </c>
      <c r="C142" s="35" t="s">
        <v>86</v>
      </c>
      <c r="D142" s="35" t="str">
        <f>D148</f>
        <v>Historical data on site in the FSR (It was calculated with conservative value)</v>
      </c>
      <c r="E142" s="74">
        <f>E148</f>
        <v>141.408064516129</v>
      </c>
    </row>
    <row r="144" spans="1:133" x14ac:dyDescent="0.25">
      <c r="A144" s="134" t="s">
        <v>87</v>
      </c>
      <c r="B144" s="134"/>
      <c r="C144" s="135"/>
      <c r="D144" s="135"/>
      <c r="E144" s="134"/>
    </row>
    <row r="145" spans="1:5" x14ac:dyDescent="0.25">
      <c r="A145" s="59" t="s">
        <v>9</v>
      </c>
      <c r="B145" s="16" t="s">
        <v>10</v>
      </c>
      <c r="C145" s="38" t="s">
        <v>11</v>
      </c>
      <c r="D145" s="38" t="s">
        <v>12</v>
      </c>
      <c r="E145" s="16" t="s">
        <v>80</v>
      </c>
    </row>
    <row r="146" spans="1:5" ht="33.6" x14ac:dyDescent="0.4">
      <c r="A146" s="76" t="s">
        <v>88</v>
      </c>
      <c r="B146" s="25" t="s">
        <v>89</v>
      </c>
      <c r="C146" s="35" t="s">
        <v>90</v>
      </c>
      <c r="D146" s="35" t="s">
        <v>350</v>
      </c>
      <c r="E146" s="50">
        <f>E147*E150*E151*E152*E153*E154</f>
        <v>0.63562674412646736</v>
      </c>
    </row>
    <row r="147" spans="1:5" ht="46.8" x14ac:dyDescent="0.4">
      <c r="A147" s="77" t="s">
        <v>223</v>
      </c>
      <c r="B147" s="25" t="s">
        <v>91</v>
      </c>
      <c r="C147" s="35" t="s">
        <v>92</v>
      </c>
      <c r="D147" s="35" t="s">
        <v>351</v>
      </c>
      <c r="E147" s="52">
        <f>E148/E149</f>
        <v>28.281612903225799</v>
      </c>
    </row>
    <row r="148" spans="1:5" ht="46.8" x14ac:dyDescent="0.25">
      <c r="A148" s="63" t="s">
        <v>224</v>
      </c>
      <c r="B148" s="25" t="s">
        <v>93</v>
      </c>
      <c r="C148" s="35" t="s">
        <v>94</v>
      </c>
      <c r="D148" s="53" t="s">
        <v>322</v>
      </c>
      <c r="E148" s="52">
        <v>141.408064516129</v>
      </c>
    </row>
    <row r="149" spans="1:5" ht="31.2" x14ac:dyDescent="0.25">
      <c r="A149" s="63" t="s">
        <v>225</v>
      </c>
      <c r="B149" s="25" t="s">
        <v>95</v>
      </c>
      <c r="C149" s="35" t="s">
        <v>96</v>
      </c>
      <c r="D149" s="35" t="s">
        <v>327</v>
      </c>
      <c r="E149" s="25">
        <f>5</f>
        <v>5</v>
      </c>
    </row>
    <row r="150" spans="1:5" ht="62.4" x14ac:dyDescent="0.25">
      <c r="A150" s="63" t="s">
        <v>226</v>
      </c>
      <c r="B150" s="25" t="s">
        <v>97</v>
      </c>
      <c r="C150" s="35" t="s">
        <v>98</v>
      </c>
      <c r="D150" s="53" t="s">
        <v>327</v>
      </c>
      <c r="E150" s="25">
        <f>16.6*2</f>
        <v>33.200000000000003</v>
      </c>
    </row>
    <row r="151" spans="1:5" ht="172.2" x14ac:dyDescent="0.25">
      <c r="A151" s="63" t="s">
        <v>227</v>
      </c>
      <c r="B151" s="25" t="s">
        <v>99</v>
      </c>
      <c r="C151" s="35" t="s">
        <v>100</v>
      </c>
      <c r="D151" s="35" t="s">
        <v>338</v>
      </c>
      <c r="E151" s="25">
        <f>25.1/100</f>
        <v>0.251</v>
      </c>
    </row>
    <row r="152" spans="1:5" ht="140.4" x14ac:dyDescent="0.25">
      <c r="A152" s="63" t="s">
        <v>228</v>
      </c>
      <c r="B152" s="25" t="s">
        <v>102</v>
      </c>
      <c r="C152" s="35" t="s">
        <v>101</v>
      </c>
      <c r="D152" s="35" t="s">
        <v>337</v>
      </c>
      <c r="E152" s="25">
        <f>0.84/1000</f>
        <v>8.3999999999999993E-4</v>
      </c>
    </row>
    <row r="153" spans="1:5" ht="140.4" x14ac:dyDescent="0.25">
      <c r="A153" s="63" t="s">
        <v>229</v>
      </c>
      <c r="B153" s="25" t="s">
        <v>103</v>
      </c>
      <c r="C153" s="35" t="s">
        <v>104</v>
      </c>
      <c r="D153" s="35" t="s">
        <v>335</v>
      </c>
      <c r="E153" s="25">
        <f>43.33/1000</f>
        <v>4.333E-2</v>
      </c>
    </row>
    <row r="154" spans="1:5" ht="62.4" x14ac:dyDescent="0.25">
      <c r="A154" s="63" t="s">
        <v>230</v>
      </c>
      <c r="B154" s="25" t="s">
        <v>105</v>
      </c>
      <c r="C154" s="35" t="s">
        <v>106</v>
      </c>
      <c r="D154" s="35" t="s">
        <v>333</v>
      </c>
      <c r="E154" s="25">
        <v>74.099999999999994</v>
      </c>
    </row>
    <row r="156" spans="1:5" x14ac:dyDescent="0.25">
      <c r="A156" s="133" t="s">
        <v>108</v>
      </c>
      <c r="B156" s="133"/>
      <c r="C156" s="133"/>
      <c r="D156" s="133"/>
      <c r="E156" s="133"/>
    </row>
    <row r="157" spans="1:5" x14ac:dyDescent="0.25">
      <c r="A157" s="57" t="s">
        <v>9</v>
      </c>
      <c r="B157" s="58" t="s">
        <v>10</v>
      </c>
      <c r="C157" s="34" t="s">
        <v>11</v>
      </c>
      <c r="D157" s="34" t="s">
        <v>12</v>
      </c>
      <c r="E157" s="16" t="s">
        <v>80</v>
      </c>
    </row>
    <row r="158" spans="1:5" ht="64.8" x14ac:dyDescent="0.25">
      <c r="A158" s="15" t="s">
        <v>109</v>
      </c>
      <c r="B158" s="25" t="s">
        <v>110</v>
      </c>
      <c r="C158" s="35" t="s">
        <v>111</v>
      </c>
      <c r="D158" s="35" t="s">
        <v>112</v>
      </c>
      <c r="E158" s="16">
        <v>0</v>
      </c>
    </row>
    <row r="160" spans="1:5" x14ac:dyDescent="0.25">
      <c r="A160" s="133" t="s">
        <v>113</v>
      </c>
      <c r="B160" s="133"/>
      <c r="C160" s="133"/>
      <c r="D160" s="133"/>
      <c r="E160" s="133"/>
    </row>
    <row r="161" spans="1:133" x14ac:dyDescent="0.25">
      <c r="A161" s="57" t="s">
        <v>9</v>
      </c>
      <c r="B161" s="58" t="s">
        <v>10</v>
      </c>
      <c r="C161" s="34" t="s">
        <v>11</v>
      </c>
      <c r="D161" s="34" t="s">
        <v>12</v>
      </c>
      <c r="E161" s="16" t="s">
        <v>80</v>
      </c>
    </row>
    <row r="162" spans="1:133" ht="49.2" x14ac:dyDescent="0.25">
      <c r="A162" s="15" t="s">
        <v>114</v>
      </c>
      <c r="B162" s="25" t="s">
        <v>110</v>
      </c>
      <c r="C162" s="35" t="s">
        <v>115</v>
      </c>
      <c r="D162" s="35" t="s">
        <v>116</v>
      </c>
      <c r="E162" s="16">
        <v>0</v>
      </c>
    </row>
    <row r="164" spans="1:133" x14ac:dyDescent="0.25">
      <c r="A164" s="57" t="s">
        <v>9</v>
      </c>
      <c r="B164" s="58" t="s">
        <v>10</v>
      </c>
      <c r="C164" s="34" t="s">
        <v>11</v>
      </c>
      <c r="D164" s="34" t="s">
        <v>12</v>
      </c>
      <c r="E164" s="16" t="s">
        <v>80</v>
      </c>
    </row>
    <row r="165" spans="1:133" ht="18" x14ac:dyDescent="0.25">
      <c r="A165" s="59" t="s">
        <v>117</v>
      </c>
      <c r="B165" s="25" t="s">
        <v>118</v>
      </c>
      <c r="C165" s="35" t="s">
        <v>119</v>
      </c>
      <c r="D165" s="53" t="s">
        <v>352</v>
      </c>
      <c r="E165" s="18">
        <f>ROUNDDOWN(E115+E146+E141+E158+E162,0)</f>
        <v>1212</v>
      </c>
    </row>
    <row r="166" spans="1:133" s="138" customFormat="1" ht="43.2" customHeight="1" x14ac:dyDescent="0.25">
      <c r="A166" s="138" t="s">
        <v>247</v>
      </c>
    </row>
    <row r="167" spans="1:133" s="56" customFormat="1" x14ac:dyDescent="0.25">
      <c r="A167" s="93" t="s">
        <v>9</v>
      </c>
      <c r="B167" s="94" t="s">
        <v>10</v>
      </c>
      <c r="C167" s="95" t="s">
        <v>11</v>
      </c>
      <c r="D167" s="95" t="s">
        <v>12</v>
      </c>
      <c r="E167" s="94" t="s">
        <v>13</v>
      </c>
      <c r="F167" s="96" t="s">
        <v>14</v>
      </c>
      <c r="G167" s="96" t="s">
        <v>15</v>
      </c>
      <c r="H167" s="96" t="s">
        <v>16</v>
      </c>
      <c r="I167" s="96" t="s">
        <v>17</v>
      </c>
      <c r="J167" s="96" t="s">
        <v>18</v>
      </c>
      <c r="K167" s="96" t="s">
        <v>19</v>
      </c>
      <c r="L167" s="96" t="s">
        <v>20</v>
      </c>
      <c r="M167" s="96" t="s">
        <v>21</v>
      </c>
      <c r="N167" s="96" t="s">
        <v>22</v>
      </c>
      <c r="O167" s="96" t="s">
        <v>23</v>
      </c>
      <c r="P167" s="96" t="s">
        <v>24</v>
      </c>
      <c r="Q167" s="96" t="s">
        <v>25</v>
      </c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  <c r="CG167" s="54"/>
      <c r="CH167" s="54"/>
      <c r="CI167" s="54"/>
      <c r="CJ167" s="54"/>
      <c r="CK167" s="54"/>
      <c r="CL167" s="54"/>
      <c r="CM167" s="54"/>
      <c r="CN167" s="54"/>
      <c r="CO167" s="54"/>
      <c r="CP167" s="54"/>
      <c r="CQ167" s="54"/>
      <c r="CR167" s="54"/>
      <c r="CS167" s="54"/>
      <c r="CT167" s="54"/>
      <c r="CU167" s="54"/>
      <c r="CV167" s="54"/>
      <c r="CW167" s="54"/>
      <c r="CX167" s="54"/>
      <c r="CY167" s="54"/>
      <c r="CZ167" s="54"/>
      <c r="DA167" s="54"/>
      <c r="DB167" s="54"/>
      <c r="DC167" s="54"/>
      <c r="DD167" s="54"/>
      <c r="DE167" s="54"/>
      <c r="DF167" s="54"/>
      <c r="DG167" s="54"/>
      <c r="DH167" s="54"/>
      <c r="DI167" s="54"/>
      <c r="DJ167" s="54"/>
      <c r="DK167" s="54"/>
      <c r="DL167" s="54"/>
      <c r="DM167" s="54"/>
      <c r="DN167" s="54"/>
      <c r="DO167" s="54"/>
      <c r="DP167" s="54"/>
      <c r="DQ167" s="54"/>
      <c r="DR167" s="54"/>
      <c r="DS167" s="54"/>
      <c r="DT167" s="54"/>
      <c r="DU167" s="54"/>
      <c r="DV167" s="54"/>
      <c r="DW167" s="54"/>
      <c r="DX167" s="54"/>
      <c r="DY167" s="54"/>
      <c r="DZ167" s="54"/>
      <c r="EA167" s="54"/>
      <c r="EB167" s="54"/>
      <c r="EC167" s="54"/>
    </row>
    <row r="168" spans="1:133" s="56" customFormat="1" x14ac:dyDescent="0.25">
      <c r="A168" s="128" t="s">
        <v>26</v>
      </c>
      <c r="B168" s="128"/>
      <c r="C168" s="129"/>
      <c r="D168" s="129"/>
      <c r="E168" s="128"/>
      <c r="F168" s="16">
        <v>31</v>
      </c>
      <c r="G168" s="16">
        <v>28</v>
      </c>
      <c r="H168" s="16">
        <v>31</v>
      </c>
      <c r="I168" s="16">
        <v>30</v>
      </c>
      <c r="J168" s="16">
        <v>31</v>
      </c>
      <c r="K168" s="16">
        <v>30</v>
      </c>
      <c r="L168" s="16">
        <v>31</v>
      </c>
      <c r="M168" s="16">
        <v>31</v>
      </c>
      <c r="N168" s="16">
        <v>30</v>
      </c>
      <c r="O168" s="16">
        <v>31</v>
      </c>
      <c r="P168" s="16">
        <v>30</v>
      </c>
      <c r="Q168" s="16">
        <v>31</v>
      </c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  <c r="CG168" s="54"/>
      <c r="CH168" s="54"/>
      <c r="CI168" s="54"/>
      <c r="CJ168" s="54"/>
      <c r="CK168" s="54"/>
      <c r="CL168" s="54"/>
      <c r="CM168" s="54"/>
      <c r="CN168" s="54"/>
      <c r="CO168" s="54"/>
      <c r="CP168" s="54"/>
      <c r="CQ168" s="54"/>
      <c r="CR168" s="54"/>
      <c r="CS168" s="54"/>
      <c r="CT168" s="54"/>
      <c r="CU168" s="54"/>
      <c r="CV168" s="54"/>
      <c r="CW168" s="54"/>
      <c r="CX168" s="54"/>
      <c r="CY168" s="54"/>
      <c r="CZ168" s="54"/>
      <c r="DA168" s="54"/>
      <c r="DB168" s="54"/>
      <c r="DC168" s="54"/>
      <c r="DD168" s="54"/>
      <c r="DE168" s="54"/>
      <c r="DF168" s="54"/>
      <c r="DG168" s="54"/>
      <c r="DH168" s="54"/>
      <c r="DI168" s="54"/>
      <c r="DJ168" s="54"/>
      <c r="DK168" s="54"/>
      <c r="DL168" s="54"/>
      <c r="DM168" s="54"/>
      <c r="DN168" s="54"/>
      <c r="DO168" s="54"/>
      <c r="DP168" s="54"/>
      <c r="DQ168" s="54"/>
      <c r="DR168" s="54"/>
      <c r="DS168" s="54"/>
      <c r="DT168" s="54"/>
      <c r="DU168" s="54"/>
      <c r="DV168" s="54"/>
      <c r="DW168" s="54"/>
      <c r="DX168" s="54"/>
      <c r="DY168" s="54"/>
      <c r="DZ168" s="54"/>
      <c r="EA168" s="54"/>
      <c r="EB168" s="54"/>
      <c r="EC168" s="54"/>
    </row>
    <row r="169" spans="1:133" ht="46.8" x14ac:dyDescent="0.25">
      <c r="A169" s="59" t="s">
        <v>27</v>
      </c>
      <c r="B169" s="60" t="s">
        <v>28</v>
      </c>
      <c r="C169" s="53" t="s">
        <v>29</v>
      </c>
      <c r="D169" s="53" t="s">
        <v>340</v>
      </c>
      <c r="E169" s="61">
        <f>SUM(F169:Q169)</f>
        <v>3121.9957500424125</v>
      </c>
      <c r="F169" s="62">
        <f>$E$6*$E$7*F172*$E$19</f>
        <v>265.15580342825962</v>
      </c>
      <c r="G169" s="62">
        <f t="shared" ref="G169:Q169" si="24">$E$6*$E$7*G172*$E$19</f>
        <v>239.49556438681515</v>
      </c>
      <c r="H169" s="62">
        <f t="shared" si="24"/>
        <v>265.15580342825962</v>
      </c>
      <c r="I169" s="62">
        <f t="shared" si="24"/>
        <v>256.60239041444487</v>
      </c>
      <c r="J169" s="62">
        <f t="shared" si="24"/>
        <v>265.15580342825962</v>
      </c>
      <c r="K169" s="62">
        <f t="shared" si="24"/>
        <v>256.60239041444487</v>
      </c>
      <c r="L169" s="62">
        <f t="shared" si="24"/>
        <v>265.15580342825962</v>
      </c>
      <c r="M169" s="62">
        <f t="shared" si="24"/>
        <v>265.15580342825962</v>
      </c>
      <c r="N169" s="62">
        <f t="shared" si="24"/>
        <v>256.60239041444487</v>
      </c>
      <c r="O169" s="62">
        <f t="shared" si="24"/>
        <v>265.15580342825962</v>
      </c>
      <c r="P169" s="62">
        <f t="shared" si="24"/>
        <v>256.60239041444487</v>
      </c>
      <c r="Q169" s="62">
        <f t="shared" si="24"/>
        <v>265.15580342825962</v>
      </c>
    </row>
    <row r="170" spans="1:133" ht="31.2" x14ac:dyDescent="0.25">
      <c r="A170" s="63" t="s">
        <v>30</v>
      </c>
      <c r="B170" s="60" t="s">
        <v>208</v>
      </c>
      <c r="C170" s="35" t="s">
        <v>31</v>
      </c>
      <c r="D170" s="35" t="s">
        <v>220</v>
      </c>
      <c r="E170" s="130">
        <v>28</v>
      </c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</row>
    <row r="171" spans="1:133" ht="64.8" x14ac:dyDescent="0.25">
      <c r="A171" s="63" t="s">
        <v>32</v>
      </c>
      <c r="B171" s="25" t="s">
        <v>209</v>
      </c>
      <c r="C171" s="35" t="s">
        <v>34</v>
      </c>
      <c r="D171" s="35" t="s">
        <v>373</v>
      </c>
      <c r="E171" s="130">
        <v>0.21</v>
      </c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</row>
    <row r="172" spans="1:133" ht="46.8" x14ac:dyDescent="0.25">
      <c r="A172" s="35" t="s">
        <v>35</v>
      </c>
      <c r="B172" s="25" t="s">
        <v>210</v>
      </c>
      <c r="C172" s="53" t="s">
        <v>36</v>
      </c>
      <c r="D172" s="53" t="s">
        <v>341</v>
      </c>
      <c r="E172" s="64">
        <f t="shared" ref="E172:Q172" si="25">E180*E173</f>
        <v>983.4653114449477</v>
      </c>
      <c r="F172" s="64">
        <f t="shared" si="25"/>
        <v>83.527190835050348</v>
      </c>
      <c r="G172" s="64">
        <f t="shared" si="25"/>
        <v>75.443914302626126</v>
      </c>
      <c r="H172" s="64">
        <f t="shared" si="25"/>
        <v>83.527190835050348</v>
      </c>
      <c r="I172" s="64">
        <f t="shared" si="25"/>
        <v>80.832765324242288</v>
      </c>
      <c r="J172" s="64">
        <f t="shared" si="25"/>
        <v>83.527190835050348</v>
      </c>
      <c r="K172" s="64">
        <f t="shared" si="25"/>
        <v>80.832765324242288</v>
      </c>
      <c r="L172" s="64">
        <f t="shared" si="25"/>
        <v>83.527190835050348</v>
      </c>
      <c r="M172" s="64">
        <f t="shared" si="25"/>
        <v>83.527190835050348</v>
      </c>
      <c r="N172" s="64">
        <f t="shared" si="25"/>
        <v>80.832765324242288</v>
      </c>
      <c r="O172" s="64">
        <f t="shared" si="25"/>
        <v>83.527190835050348</v>
      </c>
      <c r="P172" s="64">
        <f t="shared" si="25"/>
        <v>80.832765324242288</v>
      </c>
      <c r="Q172" s="64">
        <f t="shared" si="25"/>
        <v>83.527190835050348</v>
      </c>
    </row>
    <row r="173" spans="1:133" ht="46.8" x14ac:dyDescent="0.25">
      <c r="A173" s="35" t="s">
        <v>37</v>
      </c>
      <c r="B173" s="25" t="s">
        <v>212</v>
      </c>
      <c r="C173" s="35" t="s">
        <v>206</v>
      </c>
      <c r="D173" s="35" t="s">
        <v>342</v>
      </c>
      <c r="E173" s="20">
        <f>SUM(F173:Q173)</f>
        <v>1034.7749999999999</v>
      </c>
      <c r="F173" s="20">
        <f>F175*F178</f>
        <v>87.884999999999991</v>
      </c>
      <c r="G173" s="20">
        <f t="shared" ref="G173:Q173" si="26">G175*G178</f>
        <v>79.38</v>
      </c>
      <c r="H173" s="20">
        <f t="shared" si="26"/>
        <v>87.884999999999991</v>
      </c>
      <c r="I173" s="20">
        <f t="shared" si="26"/>
        <v>85.05</v>
      </c>
      <c r="J173" s="20">
        <f t="shared" si="26"/>
        <v>87.884999999999991</v>
      </c>
      <c r="K173" s="20">
        <f t="shared" si="26"/>
        <v>85.05</v>
      </c>
      <c r="L173" s="20">
        <f t="shared" si="26"/>
        <v>87.884999999999991</v>
      </c>
      <c r="M173" s="20">
        <f t="shared" si="26"/>
        <v>87.884999999999991</v>
      </c>
      <c r="N173" s="20">
        <f t="shared" si="26"/>
        <v>85.05</v>
      </c>
      <c r="O173" s="20">
        <f t="shared" si="26"/>
        <v>87.884999999999991</v>
      </c>
      <c r="P173" s="20">
        <f t="shared" si="26"/>
        <v>85.05</v>
      </c>
      <c r="Q173" s="20">
        <f t="shared" si="26"/>
        <v>87.884999999999991</v>
      </c>
    </row>
    <row r="174" spans="1:133" ht="46.8" x14ac:dyDescent="0.3">
      <c r="A174" s="51" t="s">
        <v>221</v>
      </c>
      <c r="B174" s="60" t="s">
        <v>207</v>
      </c>
      <c r="C174" s="35" t="s">
        <v>39</v>
      </c>
      <c r="D174" s="35" t="s">
        <v>326</v>
      </c>
      <c r="E174" s="20">
        <v>6300</v>
      </c>
      <c r="F174" s="20">
        <v>6300</v>
      </c>
      <c r="G174" s="20">
        <v>6300</v>
      </c>
      <c r="H174" s="20">
        <v>6300</v>
      </c>
      <c r="I174" s="20">
        <v>6300</v>
      </c>
      <c r="J174" s="20">
        <v>6300</v>
      </c>
      <c r="K174" s="20">
        <v>6300</v>
      </c>
      <c r="L174" s="20">
        <v>6300</v>
      </c>
      <c r="M174" s="20">
        <v>6300</v>
      </c>
      <c r="N174" s="20">
        <v>6300</v>
      </c>
      <c r="O174" s="20">
        <v>6300</v>
      </c>
      <c r="P174" s="20">
        <v>6300</v>
      </c>
      <c r="Q174" s="20">
        <v>6300</v>
      </c>
    </row>
    <row r="175" spans="1:133" ht="46.8" x14ac:dyDescent="0.25">
      <c r="A175" s="35" t="s">
        <v>41</v>
      </c>
      <c r="B175" s="60" t="s">
        <v>213</v>
      </c>
      <c r="C175" s="35" t="s">
        <v>42</v>
      </c>
      <c r="D175" s="35" t="s">
        <v>40</v>
      </c>
      <c r="E175" s="65">
        <f>SUM(F175:Q175)</f>
        <v>2299500</v>
      </c>
      <c r="F175" s="65">
        <f>F174*F168</f>
        <v>195300</v>
      </c>
      <c r="G175" s="65">
        <f t="shared" ref="G175:Q175" si="27">G174*G168</f>
        <v>176400</v>
      </c>
      <c r="H175" s="65">
        <f t="shared" si="27"/>
        <v>195300</v>
      </c>
      <c r="I175" s="65">
        <f t="shared" si="27"/>
        <v>189000</v>
      </c>
      <c r="J175" s="65">
        <f t="shared" si="27"/>
        <v>195300</v>
      </c>
      <c r="K175" s="65">
        <f t="shared" si="27"/>
        <v>189000</v>
      </c>
      <c r="L175" s="65">
        <f t="shared" si="27"/>
        <v>195300</v>
      </c>
      <c r="M175" s="65">
        <f t="shared" si="27"/>
        <v>195300</v>
      </c>
      <c r="N175" s="65">
        <f t="shared" si="27"/>
        <v>189000</v>
      </c>
      <c r="O175" s="65">
        <f t="shared" si="27"/>
        <v>195300</v>
      </c>
      <c r="P175" s="65">
        <f t="shared" si="27"/>
        <v>189000</v>
      </c>
      <c r="Q175" s="65">
        <f t="shared" si="27"/>
        <v>195300</v>
      </c>
    </row>
    <row r="176" spans="1:133" ht="62.4" x14ac:dyDescent="0.25">
      <c r="A176" s="35" t="s">
        <v>43</v>
      </c>
      <c r="B176" s="60" t="s">
        <v>214</v>
      </c>
      <c r="C176" s="35" t="s">
        <v>44</v>
      </c>
      <c r="D176" s="35" t="s">
        <v>40</v>
      </c>
      <c r="E176" s="66">
        <v>450</v>
      </c>
      <c r="F176" s="66">
        <v>450</v>
      </c>
      <c r="G176" s="66">
        <v>450</v>
      </c>
      <c r="H176" s="66">
        <v>450</v>
      </c>
      <c r="I176" s="66">
        <v>450</v>
      </c>
      <c r="J176" s="66">
        <v>450</v>
      </c>
      <c r="K176" s="66">
        <v>450</v>
      </c>
      <c r="L176" s="66">
        <v>450</v>
      </c>
      <c r="M176" s="66">
        <v>450</v>
      </c>
      <c r="N176" s="66">
        <v>450</v>
      </c>
      <c r="O176" s="66">
        <v>450</v>
      </c>
      <c r="P176" s="66">
        <v>450</v>
      </c>
      <c r="Q176" s="66">
        <v>450</v>
      </c>
    </row>
    <row r="177" spans="1:133" ht="62.4" x14ac:dyDescent="0.25">
      <c r="A177" s="35" t="s">
        <v>45</v>
      </c>
      <c r="B177" s="60" t="s">
        <v>214</v>
      </c>
      <c r="C177" s="35" t="s">
        <v>46</v>
      </c>
      <c r="D177" s="35" t="s">
        <v>324</v>
      </c>
      <c r="E177" s="65">
        <v>40</v>
      </c>
      <c r="F177" s="65">
        <v>40</v>
      </c>
      <c r="G177" s="65">
        <v>40</v>
      </c>
      <c r="H177" s="65">
        <v>40</v>
      </c>
      <c r="I177" s="65">
        <v>40</v>
      </c>
      <c r="J177" s="65">
        <v>40</v>
      </c>
      <c r="K177" s="65">
        <v>40</v>
      </c>
      <c r="L177" s="65">
        <v>40</v>
      </c>
      <c r="M177" s="65">
        <v>40</v>
      </c>
      <c r="N177" s="65">
        <v>40</v>
      </c>
      <c r="O177" s="65">
        <v>40</v>
      </c>
      <c r="P177" s="65">
        <v>40</v>
      </c>
      <c r="Q177" s="65">
        <v>40</v>
      </c>
    </row>
    <row r="178" spans="1:133" ht="62.4" x14ac:dyDescent="0.25">
      <c r="A178" s="35" t="s">
        <v>47</v>
      </c>
      <c r="B178" s="60" t="s">
        <v>215</v>
      </c>
      <c r="C178" s="35" t="s">
        <v>49</v>
      </c>
      <c r="D178" s="35" t="s">
        <v>325</v>
      </c>
      <c r="E178" s="67">
        <f>E176/1000000</f>
        <v>4.4999999999999999E-4</v>
      </c>
      <c r="F178" s="22">
        <f>F176/1000000</f>
        <v>4.4999999999999999E-4</v>
      </c>
      <c r="G178" s="22">
        <f t="shared" ref="G178:Q178" si="28">G176/1000000</f>
        <v>4.4999999999999999E-4</v>
      </c>
      <c r="H178" s="22">
        <f t="shared" si="28"/>
        <v>4.4999999999999999E-4</v>
      </c>
      <c r="I178" s="22">
        <f t="shared" si="28"/>
        <v>4.4999999999999999E-4</v>
      </c>
      <c r="J178" s="22">
        <f t="shared" si="28"/>
        <v>4.4999999999999999E-4</v>
      </c>
      <c r="K178" s="22">
        <f t="shared" si="28"/>
        <v>4.4999999999999999E-4</v>
      </c>
      <c r="L178" s="22">
        <f t="shared" si="28"/>
        <v>4.4999999999999999E-4</v>
      </c>
      <c r="M178" s="22">
        <f t="shared" si="28"/>
        <v>4.4999999999999999E-4</v>
      </c>
      <c r="N178" s="22">
        <f t="shared" si="28"/>
        <v>4.4999999999999999E-4</v>
      </c>
      <c r="O178" s="22">
        <f t="shared" si="28"/>
        <v>4.4999999999999999E-4</v>
      </c>
      <c r="P178" s="22">
        <f t="shared" si="28"/>
        <v>4.4999999999999999E-4</v>
      </c>
      <c r="Q178" s="22">
        <f t="shared" si="28"/>
        <v>4.4999999999999999E-4</v>
      </c>
    </row>
    <row r="179" spans="1:133" ht="62.4" x14ac:dyDescent="0.25">
      <c r="A179" s="35" t="s">
        <v>45</v>
      </c>
      <c r="B179" s="60" t="s">
        <v>48</v>
      </c>
      <c r="C179" s="35" t="s">
        <v>50</v>
      </c>
      <c r="D179" s="35"/>
      <c r="E179" s="67">
        <f>E177/1000000</f>
        <v>4.0000000000000003E-5</v>
      </c>
      <c r="F179" s="22">
        <f>F177/1000000</f>
        <v>4.0000000000000003E-5</v>
      </c>
      <c r="G179" s="22">
        <f t="shared" ref="G179:Q179" si="29">G177/1000000</f>
        <v>4.0000000000000003E-5</v>
      </c>
      <c r="H179" s="22">
        <f t="shared" si="29"/>
        <v>4.0000000000000003E-5</v>
      </c>
      <c r="I179" s="22">
        <f t="shared" si="29"/>
        <v>4.0000000000000003E-5</v>
      </c>
      <c r="J179" s="22">
        <f t="shared" si="29"/>
        <v>4.0000000000000003E-5</v>
      </c>
      <c r="K179" s="22">
        <f t="shared" si="29"/>
        <v>4.0000000000000003E-5</v>
      </c>
      <c r="L179" s="22">
        <f t="shared" si="29"/>
        <v>4.0000000000000003E-5</v>
      </c>
      <c r="M179" s="22">
        <f t="shared" si="29"/>
        <v>4.0000000000000003E-5</v>
      </c>
      <c r="N179" s="22">
        <f t="shared" si="29"/>
        <v>4.0000000000000003E-5</v>
      </c>
      <c r="O179" s="22">
        <f t="shared" si="29"/>
        <v>4.0000000000000003E-5</v>
      </c>
      <c r="P179" s="22">
        <f t="shared" si="29"/>
        <v>4.0000000000000003E-5</v>
      </c>
      <c r="Q179" s="22">
        <f t="shared" si="29"/>
        <v>4.0000000000000003E-5</v>
      </c>
    </row>
    <row r="180" spans="1:133" ht="46.8" x14ac:dyDescent="0.25">
      <c r="A180" s="63" t="s">
        <v>51</v>
      </c>
      <c r="B180" s="25" t="s">
        <v>216</v>
      </c>
      <c r="C180" s="35" t="s">
        <v>53</v>
      </c>
      <c r="D180" s="35" t="s">
        <v>343</v>
      </c>
      <c r="E180" s="68">
        <f>(1-(E181/E182))</f>
        <v>0.95041464226034433</v>
      </c>
      <c r="F180" s="68">
        <f>E180</f>
        <v>0.95041464226034433</v>
      </c>
      <c r="G180" s="68">
        <f>E180</f>
        <v>0.95041464226034433</v>
      </c>
      <c r="H180" s="68">
        <f>E180</f>
        <v>0.95041464226034433</v>
      </c>
      <c r="I180" s="68">
        <f>E180</f>
        <v>0.95041464226034433</v>
      </c>
      <c r="J180" s="68">
        <f>E180</f>
        <v>0.95041464226034433</v>
      </c>
      <c r="K180" s="68">
        <f>E180</f>
        <v>0.95041464226034433</v>
      </c>
      <c r="L180" s="68">
        <f>E180</f>
        <v>0.95041464226034433</v>
      </c>
      <c r="M180" s="68">
        <f>E180</f>
        <v>0.95041464226034433</v>
      </c>
      <c r="N180" s="68">
        <f>E180</f>
        <v>0.95041464226034433</v>
      </c>
      <c r="O180" s="68">
        <f>E180</f>
        <v>0.95041464226034433</v>
      </c>
      <c r="P180" s="68">
        <f>E180</f>
        <v>0.95041464226034433</v>
      </c>
      <c r="Q180" s="68">
        <f>E180</f>
        <v>0.95041464226034433</v>
      </c>
    </row>
    <row r="181" spans="1:133" ht="31.2" x14ac:dyDescent="0.25">
      <c r="A181" s="35" t="s">
        <v>54</v>
      </c>
      <c r="B181" s="25" t="s">
        <v>211</v>
      </c>
      <c r="C181" s="35" t="s">
        <v>55</v>
      </c>
      <c r="D181" s="35" t="s">
        <v>323</v>
      </c>
      <c r="E181" s="52">
        <f>SUM(F181:Q181)</f>
        <v>36.991459943999999</v>
      </c>
      <c r="F181" s="52">
        <v>3.1417404336000003</v>
      </c>
      <c r="G181" s="52">
        <v>2.8377010368000004</v>
      </c>
      <c r="H181" s="52">
        <v>3.1417404336000003</v>
      </c>
      <c r="I181" s="52">
        <v>3.0403939680000005</v>
      </c>
      <c r="J181" s="52">
        <v>3.1417404336000003</v>
      </c>
      <c r="K181" s="52">
        <v>3.0403939680000005</v>
      </c>
      <c r="L181" s="52">
        <v>3.1417404336000003</v>
      </c>
      <c r="M181" s="52">
        <v>3.1417404336000003</v>
      </c>
      <c r="N181" s="52">
        <v>3.0403939680000005</v>
      </c>
      <c r="O181" s="52">
        <v>3.1417404336000003</v>
      </c>
      <c r="P181" s="52">
        <v>3.0403939680000005</v>
      </c>
      <c r="Q181" s="52">
        <v>3.1417404336000003</v>
      </c>
    </row>
    <row r="182" spans="1:133" ht="31.2" x14ac:dyDescent="0.25">
      <c r="A182" s="63" t="s">
        <v>56</v>
      </c>
      <c r="B182" s="25" t="s">
        <v>38</v>
      </c>
      <c r="C182" s="35" t="s">
        <v>57</v>
      </c>
      <c r="D182" s="35" t="s">
        <v>323</v>
      </c>
      <c r="E182" s="52">
        <f>SUM(F182:Q182)</f>
        <v>746.01579236800012</v>
      </c>
      <c r="F182" s="52">
        <v>63.360245379199995</v>
      </c>
      <c r="G182" s="52">
        <v>57.228608729599998</v>
      </c>
      <c r="H182" s="52">
        <v>63.360245379199995</v>
      </c>
      <c r="I182" s="52">
        <v>61.316366496000008</v>
      </c>
      <c r="J182" s="52">
        <v>63.360245379199995</v>
      </c>
      <c r="K182" s="52">
        <v>61.316366496000008</v>
      </c>
      <c r="L182" s="52">
        <v>63.360245379199995</v>
      </c>
      <c r="M182" s="52">
        <v>63.360245379199995</v>
      </c>
      <c r="N182" s="52">
        <v>61.316366496000008</v>
      </c>
      <c r="O182" s="52">
        <v>63.360245379199995</v>
      </c>
      <c r="P182" s="52">
        <v>61.316366496000008</v>
      </c>
      <c r="Q182" s="52">
        <v>63.360245379199995</v>
      </c>
    </row>
    <row r="183" spans="1:133" ht="31.2" x14ac:dyDescent="0.25">
      <c r="A183" s="53" t="s">
        <v>58</v>
      </c>
      <c r="B183" s="25" t="s">
        <v>216</v>
      </c>
      <c r="C183" s="53" t="s">
        <v>59</v>
      </c>
      <c r="D183" s="35" t="s">
        <v>344</v>
      </c>
      <c r="E183" s="132">
        <f>E184*E185*0.89</f>
        <v>0.54345821758634472</v>
      </c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</row>
    <row r="184" spans="1:133" ht="31.2" x14ac:dyDescent="0.25">
      <c r="A184" s="70" t="s">
        <v>60</v>
      </c>
      <c r="B184" s="25" t="s">
        <v>216</v>
      </c>
      <c r="C184" s="53" t="s">
        <v>61</v>
      </c>
      <c r="D184" s="35" t="s">
        <v>345</v>
      </c>
      <c r="E184" s="119">
        <v>0.7</v>
      </c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1"/>
    </row>
    <row r="185" spans="1:133" ht="36" customHeight="1" x14ac:dyDescent="0.25">
      <c r="A185" s="70" t="s">
        <v>62</v>
      </c>
      <c r="B185" s="25" t="s">
        <v>52</v>
      </c>
      <c r="C185" s="53" t="s">
        <v>63</v>
      </c>
      <c r="D185" s="35" t="s">
        <v>346</v>
      </c>
      <c r="E185" s="122">
        <f>(F186*F191+G186*G191+H186*H191+I186*I191+J186*J191+K186*K191+L186*L191+M186*M191+N186*N191+O186*O191+P186*P191+Q186*Q191)/(F180*F175*F178+G180*G178*G175+H180*H175*H178+I180*I178*I175+J180*J178*J175+K180*K178*K175+L180*L178*L175+M180*M178*M175+N180*N178*N175+O180*O175*O178+P180*P178*P175+Q180*Q178*Q175)</f>
        <v>0.87232458681596259</v>
      </c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4"/>
    </row>
    <row r="186" spans="1:133" s="9" customFormat="1" ht="46.8" x14ac:dyDescent="0.4">
      <c r="A186" s="71" t="s">
        <v>64</v>
      </c>
      <c r="B186" s="25" t="s">
        <v>52</v>
      </c>
      <c r="C186" s="53" t="s">
        <v>65</v>
      </c>
      <c r="D186" s="53" t="s">
        <v>347</v>
      </c>
      <c r="E186" s="72">
        <f>AVERAGE(F186:Q186)</f>
        <v>0.68492017684835282</v>
      </c>
      <c r="F186" s="72">
        <f t="shared" ref="F186:Q186" si="30">IF(F190&lt;283,0,IF(F190&gt;303,1,EXP(($E$23*(F190-$E$24))/($E$25*$E$24*F190))))</f>
        <v>0.32317176495848171</v>
      </c>
      <c r="G186" s="72">
        <f t="shared" si="30"/>
        <v>0.35374940126825682</v>
      </c>
      <c r="H186" s="72">
        <f t="shared" si="30"/>
        <v>0.50475941545474445</v>
      </c>
      <c r="I186" s="72">
        <f t="shared" si="30"/>
        <v>0.65487347206548807</v>
      </c>
      <c r="J186" s="72">
        <f t="shared" si="30"/>
        <v>0.84523513966163832</v>
      </c>
      <c r="K186" s="72">
        <f t="shared" si="30"/>
        <v>1</v>
      </c>
      <c r="L186" s="72">
        <f t="shared" si="30"/>
        <v>1</v>
      </c>
      <c r="M186" s="72">
        <f t="shared" si="30"/>
        <v>1</v>
      </c>
      <c r="N186" s="72">
        <f t="shared" si="30"/>
        <v>0.91923925774048054</v>
      </c>
      <c r="O186" s="72">
        <f t="shared" si="30"/>
        <v>0.71341857634681827</v>
      </c>
      <c r="P186" s="72">
        <f t="shared" si="30"/>
        <v>0.55084569341606926</v>
      </c>
      <c r="Q186" s="72">
        <f t="shared" si="30"/>
        <v>0.35374940126825682</v>
      </c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  <c r="BK186" s="78"/>
      <c r="BL186" s="78"/>
      <c r="BM186" s="78"/>
      <c r="BN186" s="78"/>
      <c r="BO186" s="78"/>
      <c r="BP186" s="78"/>
      <c r="BQ186" s="78"/>
      <c r="BR186" s="78"/>
      <c r="BS186" s="78"/>
      <c r="BT186" s="78"/>
      <c r="BU186" s="78"/>
      <c r="BV186" s="78"/>
      <c r="BW186" s="78"/>
      <c r="BX186" s="78"/>
      <c r="BY186" s="78"/>
      <c r="BZ186" s="78"/>
      <c r="CA186" s="78"/>
      <c r="CB186" s="78"/>
      <c r="CC186" s="78"/>
      <c r="CD186" s="78"/>
      <c r="CE186" s="78"/>
      <c r="CF186" s="78"/>
      <c r="CG186" s="78"/>
      <c r="CH186" s="78"/>
      <c r="CI186" s="78"/>
      <c r="CJ186" s="78"/>
      <c r="CK186" s="78"/>
      <c r="CL186" s="78"/>
      <c r="CM186" s="78"/>
      <c r="CN186" s="78"/>
      <c r="CO186" s="78"/>
      <c r="CP186" s="78"/>
      <c r="CQ186" s="78"/>
      <c r="CR186" s="78"/>
      <c r="CS186" s="78"/>
      <c r="CT186" s="78"/>
      <c r="CU186" s="78"/>
      <c r="CV186" s="78"/>
      <c r="CW186" s="78"/>
      <c r="CX186" s="78"/>
      <c r="CY186" s="78"/>
      <c r="CZ186" s="78"/>
      <c r="DA186" s="78"/>
      <c r="DB186" s="78"/>
      <c r="DC186" s="78"/>
      <c r="DD186" s="78"/>
      <c r="DE186" s="78"/>
      <c r="DF186" s="78"/>
      <c r="DG186" s="78"/>
      <c r="DH186" s="78"/>
      <c r="DI186" s="78"/>
      <c r="DJ186" s="78"/>
      <c r="DK186" s="78"/>
      <c r="DL186" s="78"/>
      <c r="DM186" s="78"/>
      <c r="DN186" s="78"/>
      <c r="DO186" s="78"/>
      <c r="DP186" s="78"/>
      <c r="DQ186" s="78"/>
      <c r="DR186" s="78"/>
      <c r="DS186" s="78"/>
      <c r="DT186" s="78"/>
      <c r="DU186" s="78"/>
      <c r="DV186" s="78"/>
      <c r="DW186" s="78"/>
      <c r="DX186" s="78"/>
      <c r="DY186" s="78"/>
      <c r="DZ186" s="78"/>
      <c r="EA186" s="78"/>
      <c r="EB186" s="78"/>
      <c r="EC186" s="78"/>
    </row>
    <row r="187" spans="1:133" s="9" customFormat="1" x14ac:dyDescent="0.25">
      <c r="A187" s="73" t="s">
        <v>66</v>
      </c>
      <c r="B187" s="60" t="s">
        <v>217</v>
      </c>
      <c r="C187" s="53" t="s">
        <v>68</v>
      </c>
      <c r="D187" s="53" t="s">
        <v>348</v>
      </c>
      <c r="E187" s="119">
        <v>15175</v>
      </c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1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78"/>
      <c r="CA187" s="78"/>
      <c r="CB187" s="78"/>
      <c r="CC187" s="78"/>
      <c r="CD187" s="78"/>
      <c r="CE187" s="78"/>
      <c r="CF187" s="78"/>
      <c r="CG187" s="78"/>
      <c r="CH187" s="78"/>
      <c r="CI187" s="78"/>
      <c r="CJ187" s="78"/>
      <c r="CK187" s="78"/>
      <c r="CL187" s="78"/>
      <c r="CM187" s="78"/>
      <c r="CN187" s="78"/>
      <c r="CO187" s="78"/>
      <c r="CP187" s="78"/>
      <c r="CQ187" s="78"/>
      <c r="CR187" s="78"/>
      <c r="CS187" s="78"/>
      <c r="CT187" s="78"/>
      <c r="CU187" s="78"/>
      <c r="CV187" s="78"/>
      <c r="CW187" s="78"/>
      <c r="CX187" s="78"/>
      <c r="CY187" s="78"/>
      <c r="CZ187" s="78"/>
      <c r="DA187" s="78"/>
      <c r="DB187" s="78"/>
      <c r="DC187" s="78"/>
      <c r="DD187" s="78"/>
      <c r="DE187" s="78"/>
      <c r="DF187" s="78"/>
      <c r="DG187" s="78"/>
      <c r="DH187" s="78"/>
      <c r="DI187" s="78"/>
      <c r="DJ187" s="78"/>
      <c r="DK187" s="78"/>
      <c r="DL187" s="78"/>
      <c r="DM187" s="78"/>
      <c r="DN187" s="78"/>
      <c r="DO187" s="78"/>
      <c r="DP187" s="78"/>
      <c r="DQ187" s="78"/>
      <c r="DR187" s="78"/>
      <c r="DS187" s="78"/>
      <c r="DT187" s="78"/>
      <c r="DU187" s="78"/>
      <c r="DV187" s="78"/>
      <c r="DW187" s="78"/>
      <c r="DX187" s="78"/>
      <c r="DY187" s="78"/>
      <c r="DZ187" s="78"/>
      <c r="EA187" s="78"/>
      <c r="EB187" s="78"/>
      <c r="EC187" s="78"/>
    </row>
    <row r="188" spans="1:133" s="9" customFormat="1" ht="18" x14ac:dyDescent="0.25">
      <c r="A188" s="73" t="s">
        <v>69</v>
      </c>
      <c r="B188" s="60" t="s">
        <v>218</v>
      </c>
      <c r="C188" s="53" t="s">
        <v>71</v>
      </c>
      <c r="D188" s="53" t="s">
        <v>348</v>
      </c>
      <c r="E188" s="119">
        <v>303.16000000000003</v>
      </c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1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78"/>
      <c r="CG188" s="78"/>
      <c r="CH188" s="78"/>
      <c r="CI188" s="78"/>
      <c r="CJ188" s="78"/>
      <c r="CK188" s="78"/>
      <c r="CL188" s="78"/>
      <c r="CM188" s="78"/>
      <c r="CN188" s="78"/>
      <c r="CO188" s="78"/>
      <c r="CP188" s="78"/>
      <c r="CQ188" s="78"/>
      <c r="CR188" s="78"/>
      <c r="CS188" s="78"/>
      <c r="CT188" s="78"/>
      <c r="CU188" s="78"/>
      <c r="CV188" s="78"/>
      <c r="CW188" s="78"/>
      <c r="CX188" s="78"/>
      <c r="CY188" s="78"/>
      <c r="CZ188" s="78"/>
      <c r="DA188" s="78"/>
      <c r="DB188" s="78"/>
      <c r="DC188" s="78"/>
      <c r="DD188" s="78"/>
      <c r="DE188" s="78"/>
      <c r="DF188" s="78"/>
      <c r="DG188" s="78"/>
      <c r="DH188" s="78"/>
      <c r="DI188" s="78"/>
      <c r="DJ188" s="78"/>
      <c r="DK188" s="78"/>
      <c r="DL188" s="78"/>
      <c r="DM188" s="78"/>
      <c r="DN188" s="78"/>
      <c r="DO188" s="78"/>
      <c r="DP188" s="78"/>
      <c r="DQ188" s="78"/>
      <c r="DR188" s="78"/>
      <c r="DS188" s="78"/>
      <c r="DT188" s="78"/>
      <c r="DU188" s="78"/>
      <c r="DV188" s="78"/>
      <c r="DW188" s="78"/>
      <c r="DX188" s="78"/>
      <c r="DY188" s="78"/>
      <c r="DZ188" s="78"/>
      <c r="EA188" s="78"/>
      <c r="EB188" s="78"/>
      <c r="EC188" s="78"/>
    </row>
    <row r="189" spans="1:133" s="9" customFormat="1" x14ac:dyDescent="0.25">
      <c r="A189" s="73" t="s">
        <v>72</v>
      </c>
      <c r="B189" s="60" t="s">
        <v>219</v>
      </c>
      <c r="C189" s="53" t="s">
        <v>74</v>
      </c>
      <c r="D189" s="53" t="s">
        <v>348</v>
      </c>
      <c r="E189" s="119">
        <v>1.9870000000000001</v>
      </c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1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  <c r="BK189" s="78"/>
      <c r="BL189" s="78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78"/>
      <c r="CA189" s="78"/>
      <c r="CB189" s="78"/>
      <c r="CC189" s="78"/>
      <c r="CD189" s="78"/>
      <c r="CE189" s="78"/>
      <c r="CF189" s="78"/>
      <c r="CG189" s="78"/>
      <c r="CH189" s="78"/>
      <c r="CI189" s="78"/>
      <c r="CJ189" s="78"/>
      <c r="CK189" s="78"/>
      <c r="CL189" s="78"/>
      <c r="CM189" s="78"/>
      <c r="CN189" s="78"/>
      <c r="CO189" s="78"/>
      <c r="CP189" s="78"/>
      <c r="CQ189" s="78"/>
      <c r="CR189" s="78"/>
      <c r="CS189" s="78"/>
      <c r="CT189" s="78"/>
      <c r="CU189" s="78"/>
      <c r="CV189" s="78"/>
      <c r="CW189" s="78"/>
      <c r="CX189" s="78"/>
      <c r="CY189" s="78"/>
      <c r="CZ189" s="78"/>
      <c r="DA189" s="78"/>
      <c r="DB189" s="78"/>
      <c r="DC189" s="78"/>
      <c r="DD189" s="78"/>
      <c r="DE189" s="78"/>
      <c r="DF189" s="78"/>
      <c r="DG189" s="78"/>
      <c r="DH189" s="78"/>
      <c r="DI189" s="78"/>
      <c r="DJ189" s="78"/>
      <c r="DK189" s="78"/>
      <c r="DL189" s="78"/>
      <c r="DM189" s="78"/>
      <c r="DN189" s="78"/>
      <c r="DO189" s="78"/>
      <c r="DP189" s="78"/>
      <c r="DQ189" s="78"/>
      <c r="DR189" s="78"/>
      <c r="DS189" s="78"/>
      <c r="DT189" s="78"/>
      <c r="DU189" s="78"/>
      <c r="DV189" s="78"/>
      <c r="DW189" s="78"/>
      <c r="DX189" s="78"/>
      <c r="DY189" s="78"/>
      <c r="DZ189" s="78"/>
      <c r="EA189" s="78"/>
      <c r="EB189" s="78"/>
      <c r="EC189" s="78"/>
    </row>
    <row r="190" spans="1:133" s="9" customFormat="1" ht="31.2" x14ac:dyDescent="0.25">
      <c r="A190" s="73" t="s">
        <v>75</v>
      </c>
      <c r="B190" s="60" t="s">
        <v>218</v>
      </c>
      <c r="C190" s="53" t="s">
        <v>76</v>
      </c>
      <c r="D190" s="53" t="s">
        <v>274</v>
      </c>
      <c r="E190" s="111">
        <f>AVERAGE(F190:Q190)</f>
        <v>297.81666666666672</v>
      </c>
      <c r="F190" s="60">
        <v>290.14999999999998</v>
      </c>
      <c r="G190" s="60">
        <v>291.14999999999998</v>
      </c>
      <c r="H190" s="60">
        <v>295.14999999999998</v>
      </c>
      <c r="I190" s="60">
        <v>298.14999999999998</v>
      </c>
      <c r="J190" s="60">
        <v>301.14999999999998</v>
      </c>
      <c r="K190" s="60">
        <v>303.14999999999998</v>
      </c>
      <c r="L190" s="60">
        <v>303.14999999999998</v>
      </c>
      <c r="M190" s="60">
        <v>303.14999999999998</v>
      </c>
      <c r="N190" s="60">
        <v>302.14999999999998</v>
      </c>
      <c r="O190" s="60">
        <v>299.14999999999998</v>
      </c>
      <c r="P190" s="60">
        <v>296.14999999999998</v>
      </c>
      <c r="Q190" s="60">
        <v>291.14999999999998</v>
      </c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78"/>
      <c r="CA190" s="78"/>
      <c r="CB190" s="78"/>
      <c r="CC190" s="78"/>
      <c r="CD190" s="78"/>
      <c r="CE190" s="78"/>
      <c r="CF190" s="78"/>
      <c r="CG190" s="78"/>
      <c r="CH190" s="78"/>
      <c r="CI190" s="78"/>
      <c r="CJ190" s="78"/>
      <c r="CK190" s="78"/>
      <c r="CL190" s="78"/>
      <c r="CM190" s="78"/>
      <c r="CN190" s="78"/>
      <c r="CO190" s="78"/>
      <c r="CP190" s="78"/>
      <c r="CQ190" s="78"/>
      <c r="CR190" s="78"/>
      <c r="CS190" s="78"/>
      <c r="CT190" s="78"/>
      <c r="CU190" s="78"/>
      <c r="CV190" s="78"/>
      <c r="CW190" s="78"/>
      <c r="CX190" s="78"/>
      <c r="CY190" s="78"/>
      <c r="CZ190" s="78"/>
      <c r="DA190" s="78"/>
      <c r="DB190" s="78"/>
      <c r="DC190" s="78"/>
      <c r="DD190" s="78"/>
      <c r="DE190" s="78"/>
      <c r="DF190" s="78"/>
      <c r="DG190" s="78"/>
      <c r="DH190" s="78"/>
      <c r="DI190" s="78"/>
      <c r="DJ190" s="78"/>
      <c r="DK190" s="78"/>
      <c r="DL190" s="78"/>
      <c r="DM190" s="78"/>
      <c r="DN190" s="78"/>
      <c r="DO190" s="78"/>
      <c r="DP190" s="78"/>
      <c r="DQ190" s="78"/>
      <c r="DR190" s="78"/>
      <c r="DS190" s="78"/>
      <c r="DT190" s="78"/>
      <c r="DU190" s="78"/>
      <c r="DV190" s="78"/>
      <c r="DW190" s="78"/>
      <c r="DX190" s="78"/>
      <c r="DY190" s="78"/>
      <c r="DZ190" s="78"/>
      <c r="EA190" s="78"/>
      <c r="EB190" s="78"/>
      <c r="EC190" s="78"/>
    </row>
    <row r="191" spans="1:133" s="9" customFormat="1" ht="31.2" x14ac:dyDescent="0.4">
      <c r="A191" s="71" t="s">
        <v>77</v>
      </c>
      <c r="B191" s="60" t="s">
        <v>211</v>
      </c>
      <c r="C191" s="53" t="s">
        <v>78</v>
      </c>
      <c r="D191" s="53" t="s">
        <v>349</v>
      </c>
      <c r="E191" s="74">
        <f>SUM(F191:Q191)</f>
        <v>1337.2865175705811</v>
      </c>
      <c r="F191" s="74">
        <f>F180*F175*F178+(1-F186)*0</f>
        <v>83.527190835050362</v>
      </c>
      <c r="G191" s="74">
        <f t="shared" ref="G191:Q191" si="31">G180*G175*G178+(1-G186)*F191</f>
        <v>129.42341139015798</v>
      </c>
      <c r="H191" s="74">
        <f t="shared" si="31"/>
        <v>147.62291674575329</v>
      </c>
      <c r="I191" s="74">
        <f t="shared" si="31"/>
        <v>131.78135002426961</v>
      </c>
      <c r="J191" s="74">
        <f t="shared" si="31"/>
        <v>103.9223130667572</v>
      </c>
      <c r="K191" s="74">
        <f t="shared" si="31"/>
        <v>80.832765324242274</v>
      </c>
      <c r="L191" s="74">
        <f t="shared" si="31"/>
        <v>83.527190835050362</v>
      </c>
      <c r="M191" s="74">
        <f t="shared" si="31"/>
        <v>83.527190835050362</v>
      </c>
      <c r="N191" s="74">
        <f t="shared" si="31"/>
        <v>87.578483254933474</v>
      </c>
      <c r="O191" s="74">
        <f t="shared" si="31"/>
        <v>108.62555724763553</v>
      </c>
      <c r="P191" s="74">
        <f t="shared" si="31"/>
        <v>129.62240216709708</v>
      </c>
      <c r="Q191" s="74">
        <f t="shared" si="31"/>
        <v>167.29574584458365</v>
      </c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78"/>
      <c r="CA191" s="78"/>
      <c r="CB191" s="78"/>
      <c r="CC191" s="78"/>
      <c r="CD191" s="78"/>
      <c r="CE191" s="78"/>
      <c r="CF191" s="78"/>
      <c r="CG191" s="78"/>
      <c r="CH191" s="78"/>
      <c r="CI191" s="78"/>
      <c r="CJ191" s="78"/>
      <c r="CK191" s="78"/>
      <c r="CL191" s="78"/>
      <c r="CM191" s="78"/>
      <c r="CN191" s="78"/>
      <c r="CO191" s="78"/>
      <c r="CP191" s="78"/>
      <c r="CQ191" s="78"/>
      <c r="CR191" s="78"/>
      <c r="CS191" s="78"/>
      <c r="CT191" s="78"/>
      <c r="CU191" s="78"/>
      <c r="CV191" s="78"/>
      <c r="CW191" s="78"/>
      <c r="CX191" s="78"/>
      <c r="CY191" s="78"/>
      <c r="CZ191" s="78"/>
      <c r="DA191" s="78"/>
      <c r="DB191" s="78"/>
      <c r="DC191" s="78"/>
      <c r="DD191" s="78"/>
      <c r="DE191" s="78"/>
      <c r="DF191" s="78"/>
      <c r="DG191" s="78"/>
      <c r="DH191" s="78"/>
      <c r="DI191" s="78"/>
      <c r="DJ191" s="78"/>
      <c r="DK191" s="78"/>
      <c r="DL191" s="78"/>
      <c r="DM191" s="78"/>
      <c r="DN191" s="78"/>
      <c r="DO191" s="78"/>
      <c r="DP191" s="78"/>
      <c r="DQ191" s="78"/>
      <c r="DR191" s="78"/>
      <c r="DS191" s="78"/>
      <c r="DT191" s="78"/>
      <c r="DU191" s="78"/>
      <c r="DV191" s="78"/>
      <c r="DW191" s="78"/>
      <c r="DX191" s="78"/>
      <c r="DY191" s="78"/>
      <c r="DZ191" s="78"/>
      <c r="EA191" s="78"/>
      <c r="EB191" s="78"/>
      <c r="EC191" s="78"/>
    </row>
    <row r="193" spans="1:5" x14ac:dyDescent="0.25">
      <c r="A193" s="133" t="s">
        <v>79</v>
      </c>
      <c r="B193" s="133"/>
      <c r="C193" s="133"/>
      <c r="D193" s="133"/>
      <c r="E193" s="133"/>
    </row>
    <row r="194" spans="1:5" x14ac:dyDescent="0.25">
      <c r="A194" s="57" t="s">
        <v>9</v>
      </c>
      <c r="B194" s="58" t="s">
        <v>10</v>
      </c>
      <c r="C194" s="34" t="s">
        <v>11</v>
      </c>
      <c r="D194" s="34" t="s">
        <v>12</v>
      </c>
      <c r="E194" s="16" t="s">
        <v>80</v>
      </c>
    </row>
    <row r="195" spans="1:5" ht="46.8" x14ac:dyDescent="0.25">
      <c r="A195" s="59" t="s">
        <v>81</v>
      </c>
      <c r="B195" s="60" t="s">
        <v>28</v>
      </c>
      <c r="C195" s="53" t="s">
        <v>82</v>
      </c>
      <c r="D195" s="53" t="s">
        <v>83</v>
      </c>
      <c r="E195" s="75">
        <v>0</v>
      </c>
    </row>
    <row r="196" spans="1:5" ht="46.8" x14ac:dyDescent="0.25">
      <c r="A196" s="63" t="s">
        <v>84</v>
      </c>
      <c r="B196" s="25" t="s">
        <v>85</v>
      </c>
      <c r="C196" s="35" t="s">
        <v>86</v>
      </c>
      <c r="D196" s="35" t="str">
        <f>D202</f>
        <v>Historical data on site in the FSR (It was calculated with conservative value)</v>
      </c>
      <c r="E196" s="74">
        <f>E202</f>
        <v>325.79193548387099</v>
      </c>
    </row>
    <row r="198" spans="1:5" x14ac:dyDescent="0.25">
      <c r="A198" s="134" t="s">
        <v>87</v>
      </c>
      <c r="B198" s="134"/>
      <c r="C198" s="135"/>
      <c r="D198" s="135"/>
      <c r="E198" s="134"/>
    </row>
    <row r="199" spans="1:5" x14ac:dyDescent="0.25">
      <c r="A199" s="59" t="s">
        <v>9</v>
      </c>
      <c r="B199" s="16" t="s">
        <v>10</v>
      </c>
      <c r="C199" s="38" t="s">
        <v>11</v>
      </c>
      <c r="D199" s="38" t="s">
        <v>12</v>
      </c>
      <c r="E199" s="16" t="s">
        <v>80</v>
      </c>
    </row>
    <row r="200" spans="1:5" ht="33.6" x14ac:dyDescent="0.4">
      <c r="A200" s="76" t="s">
        <v>88</v>
      </c>
      <c r="B200" s="25" t="s">
        <v>89</v>
      </c>
      <c r="C200" s="35" t="s">
        <v>90</v>
      </c>
      <c r="D200" s="35" t="s">
        <v>350</v>
      </c>
      <c r="E200" s="50">
        <f>E201*E204*E205*E206*E207*E208</f>
        <v>0.83807682400611905</v>
      </c>
    </row>
    <row r="201" spans="1:5" ht="46.8" x14ac:dyDescent="0.4">
      <c r="A201" s="77" t="s">
        <v>223</v>
      </c>
      <c r="B201" s="25" t="s">
        <v>91</v>
      </c>
      <c r="C201" s="35" t="s">
        <v>92</v>
      </c>
      <c r="D201" s="35" t="s">
        <v>351</v>
      </c>
      <c r="E201" s="52">
        <f>E202/E203</f>
        <v>65.158387096774192</v>
      </c>
    </row>
    <row r="202" spans="1:5" ht="46.8" x14ac:dyDescent="0.25">
      <c r="A202" s="63" t="s">
        <v>224</v>
      </c>
      <c r="B202" s="25" t="s">
        <v>93</v>
      </c>
      <c r="C202" s="35" t="s">
        <v>94</v>
      </c>
      <c r="D202" s="53" t="s">
        <v>322</v>
      </c>
      <c r="E202" s="52">
        <v>325.79193548387099</v>
      </c>
    </row>
    <row r="203" spans="1:5" ht="31.2" x14ac:dyDescent="0.25">
      <c r="A203" s="63" t="s">
        <v>225</v>
      </c>
      <c r="B203" s="25" t="s">
        <v>95</v>
      </c>
      <c r="C203" s="35" t="s">
        <v>96</v>
      </c>
      <c r="D203" s="35" t="s">
        <v>327</v>
      </c>
      <c r="E203" s="25">
        <f>5</f>
        <v>5</v>
      </c>
    </row>
    <row r="204" spans="1:5" ht="62.4" x14ac:dyDescent="0.25">
      <c r="A204" s="63" t="s">
        <v>226</v>
      </c>
      <c r="B204" s="25" t="s">
        <v>97</v>
      </c>
      <c r="C204" s="35" t="s">
        <v>98</v>
      </c>
      <c r="D204" s="53" t="s">
        <v>327</v>
      </c>
      <c r="E204" s="25">
        <f>9.5*2</f>
        <v>19</v>
      </c>
    </row>
    <row r="205" spans="1:5" ht="172.2" x14ac:dyDescent="0.25">
      <c r="A205" s="63" t="s">
        <v>227</v>
      </c>
      <c r="B205" s="25" t="s">
        <v>99</v>
      </c>
      <c r="C205" s="35" t="s">
        <v>100</v>
      </c>
      <c r="D205" s="35" t="s">
        <v>338</v>
      </c>
      <c r="E205" s="25">
        <f>25.1/100</f>
        <v>0.251</v>
      </c>
    </row>
    <row r="206" spans="1:5" ht="140.4" x14ac:dyDescent="0.25">
      <c r="A206" s="63" t="s">
        <v>228</v>
      </c>
      <c r="B206" s="25" t="s">
        <v>102</v>
      </c>
      <c r="C206" s="35" t="s">
        <v>101</v>
      </c>
      <c r="D206" s="35" t="s">
        <v>337</v>
      </c>
      <c r="E206" s="25">
        <f>0.84/1000</f>
        <v>8.3999999999999993E-4</v>
      </c>
    </row>
    <row r="207" spans="1:5" ht="140.4" x14ac:dyDescent="0.25">
      <c r="A207" s="63" t="s">
        <v>229</v>
      </c>
      <c r="B207" s="25" t="s">
        <v>103</v>
      </c>
      <c r="C207" s="35" t="s">
        <v>104</v>
      </c>
      <c r="D207" s="35" t="s">
        <v>335</v>
      </c>
      <c r="E207" s="25">
        <f>43.33/1000</f>
        <v>4.333E-2</v>
      </c>
    </row>
    <row r="208" spans="1:5" ht="62.4" x14ac:dyDescent="0.25">
      <c r="A208" s="63" t="s">
        <v>230</v>
      </c>
      <c r="B208" s="25" t="s">
        <v>105</v>
      </c>
      <c r="C208" s="35" t="s">
        <v>106</v>
      </c>
      <c r="D208" s="35" t="s">
        <v>333</v>
      </c>
      <c r="E208" s="25">
        <v>74.099999999999994</v>
      </c>
    </row>
    <row r="210" spans="1:133" x14ac:dyDescent="0.25">
      <c r="A210" s="133" t="s">
        <v>108</v>
      </c>
      <c r="B210" s="133"/>
      <c r="C210" s="133"/>
      <c r="D210" s="133"/>
      <c r="E210" s="133"/>
    </row>
    <row r="211" spans="1:133" x14ac:dyDescent="0.25">
      <c r="A211" s="57" t="s">
        <v>9</v>
      </c>
      <c r="B211" s="58" t="s">
        <v>10</v>
      </c>
      <c r="C211" s="34" t="s">
        <v>11</v>
      </c>
      <c r="D211" s="34" t="s">
        <v>12</v>
      </c>
      <c r="E211" s="16" t="s">
        <v>80</v>
      </c>
    </row>
    <row r="212" spans="1:133" ht="64.8" x14ac:dyDescent="0.25">
      <c r="A212" s="15" t="s">
        <v>109</v>
      </c>
      <c r="B212" s="25" t="s">
        <v>110</v>
      </c>
      <c r="C212" s="35" t="s">
        <v>111</v>
      </c>
      <c r="D212" s="35" t="s">
        <v>112</v>
      </c>
      <c r="E212" s="16">
        <v>0</v>
      </c>
    </row>
    <row r="214" spans="1:133" x14ac:dyDescent="0.25">
      <c r="A214" s="133" t="s">
        <v>113</v>
      </c>
      <c r="B214" s="133"/>
      <c r="C214" s="133"/>
      <c r="D214" s="133"/>
      <c r="E214" s="133"/>
    </row>
    <row r="215" spans="1:133" x14ac:dyDescent="0.25">
      <c r="A215" s="57" t="s">
        <v>9</v>
      </c>
      <c r="B215" s="58" t="s">
        <v>10</v>
      </c>
      <c r="C215" s="34" t="s">
        <v>11</v>
      </c>
      <c r="D215" s="34" t="s">
        <v>12</v>
      </c>
      <c r="E215" s="16" t="s">
        <v>80</v>
      </c>
    </row>
    <row r="216" spans="1:133" ht="49.2" x14ac:dyDescent="0.25">
      <c r="A216" s="15" t="s">
        <v>114</v>
      </c>
      <c r="B216" s="25" t="s">
        <v>110</v>
      </c>
      <c r="C216" s="35" t="s">
        <v>115</v>
      </c>
      <c r="D216" s="35" t="s">
        <v>116</v>
      </c>
      <c r="E216" s="16">
        <v>0</v>
      </c>
    </row>
    <row r="218" spans="1:133" x14ac:dyDescent="0.25">
      <c r="A218" s="57" t="s">
        <v>9</v>
      </c>
      <c r="B218" s="58" t="s">
        <v>10</v>
      </c>
      <c r="C218" s="34" t="s">
        <v>11</v>
      </c>
      <c r="D218" s="34" t="s">
        <v>12</v>
      </c>
      <c r="E218" s="16" t="s">
        <v>80</v>
      </c>
    </row>
    <row r="219" spans="1:133" ht="18" x14ac:dyDescent="0.25">
      <c r="A219" s="59" t="s">
        <v>117</v>
      </c>
      <c r="B219" s="25" t="s">
        <v>118</v>
      </c>
      <c r="C219" s="35" t="s">
        <v>119</v>
      </c>
      <c r="D219" s="53" t="s">
        <v>352</v>
      </c>
      <c r="E219" s="18">
        <f>ROUNDDOWN(E169+E200+E195+E212+E216,0)</f>
        <v>3122</v>
      </c>
    </row>
    <row r="220" spans="1:133" s="137" customFormat="1" ht="38.4" customHeight="1" x14ac:dyDescent="0.25">
      <c r="A220" s="136" t="s">
        <v>248</v>
      </c>
    </row>
    <row r="221" spans="1:133" s="139" customFormat="1" ht="38.4" customHeight="1" x14ac:dyDescent="0.25">
      <c r="A221" s="139" t="s">
        <v>272</v>
      </c>
    </row>
    <row r="222" spans="1:133" s="56" customFormat="1" x14ac:dyDescent="0.25">
      <c r="A222" s="93" t="s">
        <v>9</v>
      </c>
      <c r="B222" s="94" t="s">
        <v>10</v>
      </c>
      <c r="C222" s="95" t="s">
        <v>11</v>
      </c>
      <c r="D222" s="95" t="s">
        <v>12</v>
      </c>
      <c r="E222" s="94" t="s">
        <v>13</v>
      </c>
      <c r="F222" s="96" t="s">
        <v>14</v>
      </c>
      <c r="G222" s="96" t="s">
        <v>15</v>
      </c>
      <c r="H222" s="96" t="s">
        <v>16</v>
      </c>
      <c r="I222" s="96" t="s">
        <v>17</v>
      </c>
      <c r="J222" s="96" t="s">
        <v>18</v>
      </c>
      <c r="K222" s="96" t="s">
        <v>19</v>
      </c>
      <c r="L222" s="96" t="s">
        <v>20</v>
      </c>
      <c r="M222" s="96" t="s">
        <v>21</v>
      </c>
      <c r="N222" s="96" t="s">
        <v>22</v>
      </c>
      <c r="O222" s="96" t="s">
        <v>23</v>
      </c>
      <c r="P222" s="96" t="s">
        <v>24</v>
      </c>
      <c r="Q222" s="96" t="s">
        <v>25</v>
      </c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  <c r="BQ222" s="54"/>
      <c r="BR222" s="54"/>
      <c r="BS222" s="54"/>
      <c r="BT222" s="54"/>
      <c r="BU222" s="54"/>
      <c r="BV222" s="54"/>
      <c r="BW222" s="54"/>
      <c r="BX222" s="54"/>
      <c r="BY222" s="54"/>
      <c r="BZ222" s="54"/>
      <c r="CA222" s="54"/>
      <c r="CB222" s="54"/>
      <c r="CC222" s="54"/>
      <c r="CD222" s="54"/>
      <c r="CE222" s="54"/>
      <c r="CF222" s="54"/>
      <c r="CG222" s="54"/>
      <c r="CH222" s="54"/>
      <c r="CI222" s="54"/>
      <c r="CJ222" s="54"/>
      <c r="CK222" s="54"/>
      <c r="CL222" s="54"/>
      <c r="CM222" s="54"/>
      <c r="CN222" s="54"/>
      <c r="CO222" s="54"/>
      <c r="CP222" s="54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</row>
    <row r="223" spans="1:133" s="56" customFormat="1" x14ac:dyDescent="0.25">
      <c r="A223" s="128" t="s">
        <v>26</v>
      </c>
      <c r="B223" s="128"/>
      <c r="C223" s="129"/>
      <c r="D223" s="129"/>
      <c r="E223" s="128"/>
      <c r="F223" s="16">
        <v>31</v>
      </c>
      <c r="G223" s="16">
        <v>28</v>
      </c>
      <c r="H223" s="16">
        <v>31</v>
      </c>
      <c r="I223" s="16">
        <v>30</v>
      </c>
      <c r="J223" s="16">
        <v>31</v>
      </c>
      <c r="K223" s="16">
        <v>30</v>
      </c>
      <c r="L223" s="16">
        <v>31</v>
      </c>
      <c r="M223" s="16">
        <v>31</v>
      </c>
      <c r="N223" s="16">
        <v>30</v>
      </c>
      <c r="O223" s="16">
        <v>31</v>
      </c>
      <c r="P223" s="16">
        <v>30</v>
      </c>
      <c r="Q223" s="16">
        <v>31</v>
      </c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  <c r="BQ223" s="54"/>
      <c r="BR223" s="54"/>
      <c r="BS223" s="54"/>
      <c r="BT223" s="54"/>
      <c r="BU223" s="54"/>
      <c r="BV223" s="54"/>
      <c r="BW223" s="54"/>
      <c r="BX223" s="54"/>
      <c r="BY223" s="54"/>
      <c r="BZ223" s="54"/>
      <c r="CA223" s="54"/>
      <c r="CB223" s="54"/>
      <c r="CC223" s="54"/>
      <c r="CD223" s="54"/>
      <c r="CE223" s="54"/>
      <c r="CF223" s="54"/>
      <c r="CG223" s="54"/>
      <c r="CH223" s="54"/>
      <c r="CI223" s="54"/>
      <c r="CJ223" s="54"/>
      <c r="CK223" s="54"/>
      <c r="CL223" s="54"/>
      <c r="CM223" s="54"/>
      <c r="CN223" s="54"/>
      <c r="CO223" s="54"/>
      <c r="CP223" s="54"/>
      <c r="CQ223" s="54"/>
      <c r="CR223" s="54"/>
      <c r="CS223" s="54"/>
      <c r="CT223" s="54"/>
      <c r="CU223" s="54"/>
      <c r="CV223" s="54"/>
      <c r="CW223" s="54"/>
      <c r="CX223" s="54"/>
      <c r="CY223" s="54"/>
      <c r="CZ223" s="54"/>
      <c r="DA223" s="54"/>
      <c r="DB223" s="54"/>
      <c r="DC223" s="54"/>
      <c r="DD223" s="54"/>
      <c r="DE223" s="54"/>
      <c r="DF223" s="54"/>
      <c r="DG223" s="54"/>
      <c r="DH223" s="54"/>
      <c r="DI223" s="54"/>
      <c r="DJ223" s="54"/>
      <c r="DK223" s="54"/>
      <c r="DL223" s="54"/>
      <c r="DM223" s="54"/>
      <c r="DN223" s="54"/>
      <c r="DO223" s="54"/>
      <c r="DP223" s="54"/>
      <c r="DQ223" s="54"/>
      <c r="DR223" s="54"/>
      <c r="DS223" s="54"/>
      <c r="DT223" s="54"/>
      <c r="DU223" s="54"/>
      <c r="DV223" s="54"/>
      <c r="DW223" s="54"/>
      <c r="DX223" s="54"/>
      <c r="DY223" s="54"/>
      <c r="DZ223" s="54"/>
      <c r="EA223" s="54"/>
      <c r="EB223" s="54"/>
      <c r="EC223" s="54"/>
    </row>
    <row r="224" spans="1:133" ht="46.8" x14ac:dyDescent="0.25">
      <c r="A224" s="59" t="s">
        <v>27</v>
      </c>
      <c r="B224" s="60" t="s">
        <v>28</v>
      </c>
      <c r="C224" s="53" t="s">
        <v>29</v>
      </c>
      <c r="D224" s="53" t="s">
        <v>340</v>
      </c>
      <c r="E224" s="61">
        <f>SUM(F224:Q224)</f>
        <v>5502.5804256173242</v>
      </c>
      <c r="F224" s="62">
        <f>$E$6*$E$7*F227*$E$19</f>
        <v>467.34244710722481</v>
      </c>
      <c r="G224" s="62">
        <f t="shared" ref="G224:Q224" si="32">$E$6*$E$7*G227*$E$19</f>
        <v>422.11575867749337</v>
      </c>
      <c r="H224" s="62">
        <f t="shared" si="32"/>
        <v>467.34244710722481</v>
      </c>
      <c r="I224" s="62">
        <f t="shared" si="32"/>
        <v>452.26688429731433</v>
      </c>
      <c r="J224" s="62">
        <f t="shared" si="32"/>
        <v>467.34244710722481</v>
      </c>
      <c r="K224" s="62">
        <f t="shared" si="32"/>
        <v>452.26688429731433</v>
      </c>
      <c r="L224" s="62">
        <f t="shared" si="32"/>
        <v>467.34244710722481</v>
      </c>
      <c r="M224" s="62">
        <f t="shared" si="32"/>
        <v>467.34244710722481</v>
      </c>
      <c r="N224" s="62">
        <f t="shared" si="32"/>
        <v>452.26688429731433</v>
      </c>
      <c r="O224" s="62">
        <f t="shared" si="32"/>
        <v>467.34244710722481</v>
      </c>
      <c r="P224" s="62">
        <f t="shared" si="32"/>
        <v>452.26688429731433</v>
      </c>
      <c r="Q224" s="62">
        <f t="shared" si="32"/>
        <v>467.34244710722481</v>
      </c>
    </row>
    <row r="225" spans="1:17" ht="31.2" x14ac:dyDescent="0.25">
      <c r="A225" s="63" t="s">
        <v>30</v>
      </c>
      <c r="B225" s="60" t="s">
        <v>208</v>
      </c>
      <c r="C225" s="35" t="s">
        <v>31</v>
      </c>
      <c r="D225" s="35" t="s">
        <v>220</v>
      </c>
      <c r="E225" s="130">
        <v>28</v>
      </c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</row>
    <row r="226" spans="1:17" ht="64.8" x14ac:dyDescent="0.25">
      <c r="A226" s="63" t="s">
        <v>32</v>
      </c>
      <c r="B226" s="25" t="s">
        <v>209</v>
      </c>
      <c r="C226" s="35" t="s">
        <v>34</v>
      </c>
      <c r="D226" s="35" t="s">
        <v>373</v>
      </c>
      <c r="E226" s="130">
        <v>0.21</v>
      </c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</row>
    <row r="227" spans="1:17" ht="46.8" x14ac:dyDescent="0.25">
      <c r="A227" s="35" t="s">
        <v>35</v>
      </c>
      <c r="B227" s="25" t="s">
        <v>210</v>
      </c>
      <c r="C227" s="53" t="s">
        <v>36</v>
      </c>
      <c r="D227" s="53" t="s">
        <v>341</v>
      </c>
      <c r="E227" s="64">
        <f t="shared" ref="E227:Q227" si="33">E235*E228</f>
        <v>1733.3774307531005</v>
      </c>
      <c r="F227" s="64">
        <f t="shared" si="33"/>
        <v>147.21835713245511</v>
      </c>
      <c r="G227" s="64">
        <f t="shared" si="33"/>
        <v>132.97141934544334</v>
      </c>
      <c r="H227" s="64">
        <f t="shared" si="33"/>
        <v>147.21835713245511</v>
      </c>
      <c r="I227" s="64">
        <f t="shared" si="33"/>
        <v>142.46937787011785</v>
      </c>
      <c r="J227" s="64">
        <f t="shared" si="33"/>
        <v>147.21835713245511</v>
      </c>
      <c r="K227" s="64">
        <f t="shared" si="33"/>
        <v>142.46937787011785</v>
      </c>
      <c r="L227" s="64">
        <f t="shared" si="33"/>
        <v>147.21835713245511</v>
      </c>
      <c r="M227" s="64">
        <f t="shared" si="33"/>
        <v>147.21835713245511</v>
      </c>
      <c r="N227" s="64">
        <f t="shared" si="33"/>
        <v>142.46937787011785</v>
      </c>
      <c r="O227" s="64">
        <f t="shared" si="33"/>
        <v>147.21835713245511</v>
      </c>
      <c r="P227" s="64">
        <f t="shared" si="33"/>
        <v>142.46937787011785</v>
      </c>
      <c r="Q227" s="64">
        <f t="shared" si="33"/>
        <v>147.21835713245511</v>
      </c>
    </row>
    <row r="228" spans="1:17" ht="46.8" x14ac:dyDescent="0.25">
      <c r="A228" s="35" t="s">
        <v>37</v>
      </c>
      <c r="B228" s="25" t="s">
        <v>212</v>
      </c>
      <c r="C228" s="35" t="s">
        <v>206</v>
      </c>
      <c r="D228" s="35" t="s">
        <v>342</v>
      </c>
      <c r="E228" s="20">
        <f>SUM(F228:Q228)</f>
        <v>1825</v>
      </c>
      <c r="F228" s="20">
        <f>F230*F233</f>
        <v>155</v>
      </c>
      <c r="G228" s="20">
        <f t="shared" ref="G228:Q228" si="34">G230*G233</f>
        <v>140</v>
      </c>
      <c r="H228" s="20">
        <f t="shared" si="34"/>
        <v>155</v>
      </c>
      <c r="I228" s="20">
        <f t="shared" si="34"/>
        <v>150</v>
      </c>
      <c r="J228" s="20">
        <f t="shared" si="34"/>
        <v>155</v>
      </c>
      <c r="K228" s="20">
        <f t="shared" si="34"/>
        <v>150</v>
      </c>
      <c r="L228" s="20">
        <f t="shared" si="34"/>
        <v>155</v>
      </c>
      <c r="M228" s="20">
        <f t="shared" si="34"/>
        <v>155</v>
      </c>
      <c r="N228" s="20">
        <f t="shared" si="34"/>
        <v>150</v>
      </c>
      <c r="O228" s="20">
        <f t="shared" si="34"/>
        <v>155</v>
      </c>
      <c r="P228" s="20">
        <f t="shared" si="34"/>
        <v>150</v>
      </c>
      <c r="Q228" s="20">
        <f t="shared" si="34"/>
        <v>155</v>
      </c>
    </row>
    <row r="229" spans="1:17" ht="46.8" x14ac:dyDescent="0.3">
      <c r="A229" s="51" t="s">
        <v>221</v>
      </c>
      <c r="B229" s="60" t="s">
        <v>207</v>
      </c>
      <c r="C229" s="35" t="s">
        <v>39</v>
      </c>
      <c r="D229" s="35" t="s">
        <v>222</v>
      </c>
      <c r="E229" s="20">
        <v>10000</v>
      </c>
      <c r="F229" s="20">
        <v>10000</v>
      </c>
      <c r="G229" s="20">
        <v>10000</v>
      </c>
      <c r="H229" s="20">
        <v>10000</v>
      </c>
      <c r="I229" s="20">
        <v>10000</v>
      </c>
      <c r="J229" s="20">
        <v>10000</v>
      </c>
      <c r="K229" s="20">
        <v>10000</v>
      </c>
      <c r="L229" s="20">
        <v>10000</v>
      </c>
      <c r="M229" s="20">
        <v>10000</v>
      </c>
      <c r="N229" s="20">
        <v>10000</v>
      </c>
      <c r="O229" s="20">
        <v>10000</v>
      </c>
      <c r="P229" s="20">
        <v>10000</v>
      </c>
      <c r="Q229" s="20">
        <v>10000</v>
      </c>
    </row>
    <row r="230" spans="1:17" ht="46.8" x14ac:dyDescent="0.25">
      <c r="A230" s="35" t="s">
        <v>41</v>
      </c>
      <c r="B230" s="60" t="s">
        <v>213</v>
      </c>
      <c r="C230" s="35" t="s">
        <v>42</v>
      </c>
      <c r="D230" s="35" t="s">
        <v>326</v>
      </c>
      <c r="E230" s="65">
        <f>SUM(F230:Q230)</f>
        <v>3650000</v>
      </c>
      <c r="F230" s="65">
        <f>F229*F223</f>
        <v>310000</v>
      </c>
      <c r="G230" s="65">
        <f t="shared" ref="G230:Q230" si="35">G229*G223</f>
        <v>280000</v>
      </c>
      <c r="H230" s="65">
        <f t="shared" si="35"/>
        <v>310000</v>
      </c>
      <c r="I230" s="65">
        <f t="shared" si="35"/>
        <v>300000</v>
      </c>
      <c r="J230" s="65">
        <f t="shared" si="35"/>
        <v>310000</v>
      </c>
      <c r="K230" s="65">
        <f t="shared" si="35"/>
        <v>300000</v>
      </c>
      <c r="L230" s="65">
        <f t="shared" si="35"/>
        <v>310000</v>
      </c>
      <c r="M230" s="65">
        <f t="shared" si="35"/>
        <v>310000</v>
      </c>
      <c r="N230" s="65">
        <f t="shared" si="35"/>
        <v>300000</v>
      </c>
      <c r="O230" s="65">
        <f t="shared" si="35"/>
        <v>310000</v>
      </c>
      <c r="P230" s="65">
        <f t="shared" si="35"/>
        <v>300000</v>
      </c>
      <c r="Q230" s="65">
        <f t="shared" si="35"/>
        <v>310000</v>
      </c>
    </row>
    <row r="231" spans="1:17" ht="62.4" x14ac:dyDescent="0.25">
      <c r="A231" s="35" t="s">
        <v>43</v>
      </c>
      <c r="B231" s="60" t="s">
        <v>214</v>
      </c>
      <c r="C231" s="35" t="s">
        <v>44</v>
      </c>
      <c r="D231" s="35" t="s">
        <v>40</v>
      </c>
      <c r="E231" s="66">
        <v>500</v>
      </c>
      <c r="F231" s="66">
        <v>500</v>
      </c>
      <c r="G231" s="66">
        <v>500</v>
      </c>
      <c r="H231" s="66">
        <v>500</v>
      </c>
      <c r="I231" s="66">
        <v>500</v>
      </c>
      <c r="J231" s="66">
        <v>500</v>
      </c>
      <c r="K231" s="66">
        <v>500</v>
      </c>
      <c r="L231" s="66">
        <v>500</v>
      </c>
      <c r="M231" s="66">
        <v>500</v>
      </c>
      <c r="N231" s="66">
        <v>500</v>
      </c>
      <c r="O231" s="66">
        <v>500</v>
      </c>
      <c r="P231" s="66">
        <v>500</v>
      </c>
      <c r="Q231" s="66">
        <v>500</v>
      </c>
    </row>
    <row r="232" spans="1:17" ht="62.4" x14ac:dyDescent="0.25">
      <c r="A232" s="35" t="s">
        <v>45</v>
      </c>
      <c r="B232" s="60" t="s">
        <v>214</v>
      </c>
      <c r="C232" s="35" t="s">
        <v>46</v>
      </c>
      <c r="D232" s="35" t="s">
        <v>40</v>
      </c>
      <c r="E232" s="65">
        <v>40</v>
      </c>
      <c r="F232" s="65">
        <v>40</v>
      </c>
      <c r="G232" s="65">
        <v>40</v>
      </c>
      <c r="H232" s="65">
        <v>40</v>
      </c>
      <c r="I232" s="65">
        <v>40</v>
      </c>
      <c r="J232" s="65">
        <v>40</v>
      </c>
      <c r="K232" s="65">
        <v>40</v>
      </c>
      <c r="L232" s="65">
        <v>40</v>
      </c>
      <c r="M232" s="65">
        <v>40</v>
      </c>
      <c r="N232" s="65">
        <v>40</v>
      </c>
      <c r="O232" s="65">
        <v>40</v>
      </c>
      <c r="P232" s="65">
        <v>40</v>
      </c>
      <c r="Q232" s="65">
        <v>40</v>
      </c>
    </row>
    <row r="233" spans="1:17" ht="62.4" x14ac:dyDescent="0.25">
      <c r="A233" s="35" t="s">
        <v>47</v>
      </c>
      <c r="B233" s="60" t="s">
        <v>215</v>
      </c>
      <c r="C233" s="35" t="s">
        <v>49</v>
      </c>
      <c r="D233" s="35" t="s">
        <v>324</v>
      </c>
      <c r="E233" s="67">
        <f>E231/1000000</f>
        <v>5.0000000000000001E-4</v>
      </c>
      <c r="F233" s="22">
        <f>F231/1000000</f>
        <v>5.0000000000000001E-4</v>
      </c>
      <c r="G233" s="22">
        <f t="shared" ref="G233:Q233" si="36">G231/1000000</f>
        <v>5.0000000000000001E-4</v>
      </c>
      <c r="H233" s="22">
        <f t="shared" si="36"/>
        <v>5.0000000000000001E-4</v>
      </c>
      <c r="I233" s="22">
        <f t="shared" si="36"/>
        <v>5.0000000000000001E-4</v>
      </c>
      <c r="J233" s="22">
        <f t="shared" si="36"/>
        <v>5.0000000000000001E-4</v>
      </c>
      <c r="K233" s="22">
        <f t="shared" si="36"/>
        <v>5.0000000000000001E-4</v>
      </c>
      <c r="L233" s="22">
        <f t="shared" si="36"/>
        <v>5.0000000000000001E-4</v>
      </c>
      <c r="M233" s="22">
        <f t="shared" si="36"/>
        <v>5.0000000000000001E-4</v>
      </c>
      <c r="N233" s="22">
        <f t="shared" si="36"/>
        <v>5.0000000000000001E-4</v>
      </c>
      <c r="O233" s="22">
        <f t="shared" si="36"/>
        <v>5.0000000000000001E-4</v>
      </c>
      <c r="P233" s="22">
        <f t="shared" si="36"/>
        <v>5.0000000000000001E-4</v>
      </c>
      <c r="Q233" s="22">
        <f t="shared" si="36"/>
        <v>5.0000000000000001E-4</v>
      </c>
    </row>
    <row r="234" spans="1:17" ht="62.4" x14ac:dyDescent="0.25">
      <c r="A234" s="35" t="s">
        <v>45</v>
      </c>
      <c r="B234" s="60" t="s">
        <v>48</v>
      </c>
      <c r="C234" s="35" t="s">
        <v>50</v>
      </c>
      <c r="D234" s="35" t="s">
        <v>325</v>
      </c>
      <c r="E234" s="67">
        <f>E232/1000000</f>
        <v>4.0000000000000003E-5</v>
      </c>
      <c r="F234" s="22">
        <f>F232/1000000</f>
        <v>4.0000000000000003E-5</v>
      </c>
      <c r="G234" s="22">
        <f t="shared" ref="G234:Q234" si="37">G232/1000000</f>
        <v>4.0000000000000003E-5</v>
      </c>
      <c r="H234" s="22">
        <f t="shared" si="37"/>
        <v>4.0000000000000003E-5</v>
      </c>
      <c r="I234" s="22">
        <f t="shared" si="37"/>
        <v>4.0000000000000003E-5</v>
      </c>
      <c r="J234" s="22">
        <f t="shared" si="37"/>
        <v>4.0000000000000003E-5</v>
      </c>
      <c r="K234" s="22">
        <f t="shared" si="37"/>
        <v>4.0000000000000003E-5</v>
      </c>
      <c r="L234" s="22">
        <f t="shared" si="37"/>
        <v>4.0000000000000003E-5</v>
      </c>
      <c r="M234" s="22">
        <f t="shared" si="37"/>
        <v>4.0000000000000003E-5</v>
      </c>
      <c r="N234" s="22">
        <f t="shared" si="37"/>
        <v>4.0000000000000003E-5</v>
      </c>
      <c r="O234" s="22">
        <f t="shared" si="37"/>
        <v>4.0000000000000003E-5</v>
      </c>
      <c r="P234" s="22">
        <f t="shared" si="37"/>
        <v>4.0000000000000003E-5</v>
      </c>
      <c r="Q234" s="22">
        <f t="shared" si="37"/>
        <v>4.0000000000000003E-5</v>
      </c>
    </row>
    <row r="235" spans="1:17" ht="46.8" x14ac:dyDescent="0.25">
      <c r="A235" s="63" t="s">
        <v>51</v>
      </c>
      <c r="B235" s="25" t="s">
        <v>216</v>
      </c>
      <c r="C235" s="35" t="s">
        <v>53</v>
      </c>
      <c r="D235" s="35" t="s">
        <v>343</v>
      </c>
      <c r="E235" s="68">
        <f>(1-(E236/E237))</f>
        <v>0.94979585246745235</v>
      </c>
      <c r="F235" s="68">
        <f>E235</f>
        <v>0.94979585246745235</v>
      </c>
      <c r="G235" s="68">
        <f>E235</f>
        <v>0.94979585246745235</v>
      </c>
      <c r="H235" s="68">
        <f>E235</f>
        <v>0.94979585246745235</v>
      </c>
      <c r="I235" s="68">
        <f>E235</f>
        <v>0.94979585246745235</v>
      </c>
      <c r="J235" s="68">
        <f>E235</f>
        <v>0.94979585246745235</v>
      </c>
      <c r="K235" s="68">
        <f>E235</f>
        <v>0.94979585246745235</v>
      </c>
      <c r="L235" s="68">
        <f>E235</f>
        <v>0.94979585246745235</v>
      </c>
      <c r="M235" s="68">
        <f>E235</f>
        <v>0.94979585246745235</v>
      </c>
      <c r="N235" s="68">
        <f>E235</f>
        <v>0.94979585246745235</v>
      </c>
      <c r="O235" s="68">
        <f>E235</f>
        <v>0.94979585246745235</v>
      </c>
      <c r="P235" s="68">
        <f>E235</f>
        <v>0.94979585246745235</v>
      </c>
      <c r="Q235" s="68">
        <f>E235</f>
        <v>0.94979585246745235</v>
      </c>
    </row>
    <row r="236" spans="1:17" ht="31.2" x14ac:dyDescent="0.25">
      <c r="A236" s="35" t="s">
        <v>54</v>
      </c>
      <c r="B236" s="25" t="s">
        <v>211</v>
      </c>
      <c r="C236" s="35" t="s">
        <v>55</v>
      </c>
      <c r="D236" s="35" t="s">
        <v>323</v>
      </c>
      <c r="E236" s="52">
        <f>SUM(F236:Q236)</f>
        <v>71.109113010499996</v>
      </c>
      <c r="F236" s="52">
        <v>6.0394041186999994</v>
      </c>
      <c r="G236" s="52">
        <v>5.4549456556000004</v>
      </c>
      <c r="H236" s="52">
        <v>6.0394041186999994</v>
      </c>
      <c r="I236" s="52">
        <v>5.844584631</v>
      </c>
      <c r="J236" s="52">
        <v>6.0394041186999994</v>
      </c>
      <c r="K236" s="52">
        <v>5.844584631</v>
      </c>
      <c r="L236" s="52">
        <v>6.0394041186999994</v>
      </c>
      <c r="M236" s="52">
        <v>6.0394041186999994</v>
      </c>
      <c r="N236" s="52">
        <v>5.844584631</v>
      </c>
      <c r="O236" s="52">
        <v>6.0394041186999994</v>
      </c>
      <c r="P236" s="52">
        <v>5.844584631</v>
      </c>
      <c r="Q236" s="52">
        <v>6.0394041186999994</v>
      </c>
    </row>
    <row r="237" spans="1:17" ht="31.2" x14ac:dyDescent="0.25">
      <c r="A237" s="63" t="s">
        <v>56</v>
      </c>
      <c r="B237" s="25" t="s">
        <v>38</v>
      </c>
      <c r="C237" s="35" t="s">
        <v>57</v>
      </c>
      <c r="D237" s="35" t="s">
        <v>323</v>
      </c>
      <c r="E237" s="52">
        <f>SUM(F237:Q237)</f>
        <v>1416.3991722874998</v>
      </c>
      <c r="F237" s="52">
        <v>120.29691600250001</v>
      </c>
      <c r="G237" s="52">
        <v>108.65527897000001</v>
      </c>
      <c r="H237" s="52">
        <v>120.29691600250001</v>
      </c>
      <c r="I237" s="52">
        <v>116.416370325</v>
      </c>
      <c r="J237" s="52">
        <v>120.29691600250001</v>
      </c>
      <c r="K237" s="52">
        <v>116.416370325</v>
      </c>
      <c r="L237" s="52">
        <v>120.29691600250001</v>
      </c>
      <c r="M237" s="52">
        <v>120.29691600250001</v>
      </c>
      <c r="N237" s="52">
        <v>116.416370325</v>
      </c>
      <c r="O237" s="52">
        <v>120.29691600250001</v>
      </c>
      <c r="P237" s="52">
        <v>116.416370325</v>
      </c>
      <c r="Q237" s="52">
        <v>120.29691600250001</v>
      </c>
    </row>
    <row r="238" spans="1:17" ht="31.2" x14ac:dyDescent="0.25">
      <c r="A238" s="53" t="s">
        <v>58</v>
      </c>
      <c r="B238" s="25" t="s">
        <v>216</v>
      </c>
      <c r="C238" s="53" t="s">
        <v>59</v>
      </c>
      <c r="D238" s="35" t="s">
        <v>344</v>
      </c>
      <c r="E238" s="132">
        <f>E239*E240*0.89</f>
        <v>0.52915382983457859</v>
      </c>
      <c r="F238" s="132"/>
      <c r="G238" s="132"/>
      <c r="H238" s="132"/>
      <c r="I238" s="132"/>
      <c r="J238" s="132"/>
      <c r="K238" s="132"/>
      <c r="L238" s="132"/>
      <c r="M238" s="132"/>
      <c r="N238" s="132"/>
      <c r="O238" s="132"/>
      <c r="P238" s="132"/>
      <c r="Q238" s="132"/>
    </row>
    <row r="239" spans="1:17" ht="31.2" x14ac:dyDescent="0.25">
      <c r="A239" s="70" t="s">
        <v>60</v>
      </c>
      <c r="B239" s="25" t="s">
        <v>216</v>
      </c>
      <c r="C239" s="53" t="s">
        <v>61</v>
      </c>
      <c r="D239" s="35" t="s">
        <v>345</v>
      </c>
      <c r="E239" s="119">
        <v>0.7</v>
      </c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1"/>
    </row>
    <row r="240" spans="1:17" ht="36" customHeight="1" x14ac:dyDescent="0.25">
      <c r="A240" s="70" t="s">
        <v>62</v>
      </c>
      <c r="B240" s="25" t="s">
        <v>52</v>
      </c>
      <c r="C240" s="53" t="s">
        <v>63</v>
      </c>
      <c r="D240" s="35" t="s">
        <v>346</v>
      </c>
      <c r="E240" s="122">
        <f>(F241*F246+G241*G246+H241*H246+I241*I246+J241*J246+K241*K246+L241*L246+M241*M246+N241*N246+O241*O246+P241*P246+Q241*Q246)/(F235*F230*F233+G235*G233*G230+H235*H230*H233+I235*I233*I230+J235*J233*J230+K235*K233*K230+L235*L233*L230+M235*M233*M230+N235*N233*N230+O235*O230*O233+P235*P233*P230+Q235*Q233*Q230)</f>
        <v>0.84936409283238934</v>
      </c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  <c r="Q240" s="124"/>
    </row>
    <row r="241" spans="1:133" s="9" customFormat="1" ht="46.8" x14ac:dyDescent="0.4">
      <c r="A241" s="71" t="s">
        <v>64</v>
      </c>
      <c r="B241" s="25" t="s">
        <v>52</v>
      </c>
      <c r="C241" s="53" t="s">
        <v>65</v>
      </c>
      <c r="D241" s="53" t="s">
        <v>347</v>
      </c>
      <c r="E241" s="72">
        <f>AVERAGE(F241:Q241)</f>
        <v>0.62806589860815809</v>
      </c>
      <c r="F241" s="72">
        <f t="shared" ref="F241:Q241" si="38">IF(F245&lt;283,0,IF(F245&gt;303,1,EXP(($E$23*(F245-$E$24))/($E$25*$E$24*F245))))</f>
        <v>0.26921004737855481</v>
      </c>
      <c r="G241" s="72">
        <f t="shared" si="38"/>
        <v>0.29505266129807517</v>
      </c>
      <c r="H241" s="72">
        <f t="shared" si="38"/>
        <v>0.38698063689870399</v>
      </c>
      <c r="I241" s="72">
        <f t="shared" si="38"/>
        <v>0.55084569341606926</v>
      </c>
      <c r="J241" s="72">
        <f t="shared" si="38"/>
        <v>0.71341857634681827</v>
      </c>
      <c r="K241" s="72">
        <f t="shared" si="38"/>
        <v>0.91923925774048054</v>
      </c>
      <c r="L241" s="72">
        <f t="shared" si="38"/>
        <v>1</v>
      </c>
      <c r="M241" s="72">
        <f t="shared" si="38"/>
        <v>1</v>
      </c>
      <c r="N241" s="72">
        <f t="shared" si="38"/>
        <v>0.91923925774048054</v>
      </c>
      <c r="O241" s="72">
        <f t="shared" si="38"/>
        <v>0.65487347206548807</v>
      </c>
      <c r="P241" s="72">
        <f t="shared" si="38"/>
        <v>0.50475941545474445</v>
      </c>
      <c r="Q241" s="72">
        <f t="shared" si="38"/>
        <v>0.32317176495848171</v>
      </c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  <c r="BI241" s="78"/>
      <c r="BJ241" s="78"/>
      <c r="BK241" s="78"/>
      <c r="BL241" s="78"/>
      <c r="BM241" s="78"/>
      <c r="BN241" s="78"/>
      <c r="BO241" s="78"/>
      <c r="BP241" s="78"/>
      <c r="BQ241" s="78"/>
      <c r="BR241" s="78"/>
      <c r="BS241" s="78"/>
      <c r="BT241" s="78"/>
      <c r="BU241" s="78"/>
      <c r="BV241" s="78"/>
      <c r="BW241" s="78"/>
      <c r="BX241" s="78"/>
      <c r="BY241" s="78"/>
      <c r="BZ241" s="78"/>
      <c r="CA241" s="78"/>
      <c r="CB241" s="78"/>
      <c r="CC241" s="78"/>
      <c r="CD241" s="78"/>
      <c r="CE241" s="78"/>
      <c r="CF241" s="78"/>
      <c r="CG241" s="78"/>
      <c r="CH241" s="78"/>
      <c r="CI241" s="78"/>
      <c r="CJ241" s="78"/>
      <c r="CK241" s="78"/>
      <c r="CL241" s="78"/>
      <c r="CM241" s="78"/>
      <c r="CN241" s="78"/>
      <c r="CO241" s="78"/>
      <c r="CP241" s="78"/>
      <c r="CQ241" s="78"/>
      <c r="CR241" s="78"/>
      <c r="CS241" s="78"/>
      <c r="CT241" s="78"/>
      <c r="CU241" s="78"/>
      <c r="CV241" s="78"/>
      <c r="CW241" s="78"/>
      <c r="CX241" s="78"/>
      <c r="CY241" s="78"/>
      <c r="CZ241" s="78"/>
      <c r="DA241" s="78"/>
      <c r="DB241" s="78"/>
      <c r="DC241" s="78"/>
      <c r="DD241" s="78"/>
      <c r="DE241" s="78"/>
      <c r="DF241" s="78"/>
      <c r="DG241" s="78"/>
      <c r="DH241" s="78"/>
      <c r="DI241" s="78"/>
      <c r="DJ241" s="78"/>
      <c r="DK241" s="78"/>
      <c r="DL241" s="78"/>
      <c r="DM241" s="78"/>
      <c r="DN241" s="78"/>
      <c r="DO241" s="78"/>
      <c r="DP241" s="78"/>
      <c r="DQ241" s="78"/>
      <c r="DR241" s="78"/>
      <c r="DS241" s="78"/>
      <c r="DT241" s="78"/>
      <c r="DU241" s="78"/>
      <c r="DV241" s="78"/>
      <c r="DW241" s="78"/>
      <c r="DX241" s="78"/>
      <c r="DY241" s="78"/>
      <c r="DZ241" s="78"/>
      <c r="EA241" s="78"/>
      <c r="EB241" s="78"/>
      <c r="EC241" s="78"/>
    </row>
    <row r="242" spans="1:133" s="9" customFormat="1" x14ac:dyDescent="0.25">
      <c r="A242" s="73" t="s">
        <v>66</v>
      </c>
      <c r="B242" s="60" t="s">
        <v>217</v>
      </c>
      <c r="C242" s="53" t="s">
        <v>68</v>
      </c>
      <c r="D242" s="53" t="s">
        <v>348</v>
      </c>
      <c r="E242" s="119">
        <v>15175</v>
      </c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1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  <c r="BI242" s="78"/>
      <c r="BJ242" s="78"/>
      <c r="BK242" s="78"/>
      <c r="BL242" s="78"/>
      <c r="BM242" s="78"/>
      <c r="BN242" s="78"/>
      <c r="BO242" s="78"/>
      <c r="BP242" s="78"/>
      <c r="BQ242" s="78"/>
      <c r="BR242" s="78"/>
      <c r="BS242" s="78"/>
      <c r="BT242" s="78"/>
      <c r="BU242" s="78"/>
      <c r="BV242" s="78"/>
      <c r="BW242" s="78"/>
      <c r="BX242" s="78"/>
      <c r="BY242" s="78"/>
      <c r="BZ242" s="78"/>
      <c r="CA242" s="78"/>
      <c r="CB242" s="78"/>
      <c r="CC242" s="78"/>
      <c r="CD242" s="78"/>
      <c r="CE242" s="78"/>
      <c r="CF242" s="78"/>
      <c r="CG242" s="78"/>
      <c r="CH242" s="78"/>
      <c r="CI242" s="78"/>
      <c r="CJ242" s="78"/>
      <c r="CK242" s="78"/>
      <c r="CL242" s="78"/>
      <c r="CM242" s="78"/>
      <c r="CN242" s="78"/>
      <c r="CO242" s="78"/>
      <c r="CP242" s="78"/>
      <c r="CQ242" s="78"/>
      <c r="CR242" s="78"/>
      <c r="CS242" s="78"/>
      <c r="CT242" s="78"/>
      <c r="CU242" s="78"/>
      <c r="CV242" s="78"/>
      <c r="CW242" s="78"/>
      <c r="CX242" s="78"/>
      <c r="CY242" s="78"/>
      <c r="CZ242" s="78"/>
      <c r="DA242" s="78"/>
      <c r="DB242" s="78"/>
      <c r="DC242" s="78"/>
      <c r="DD242" s="78"/>
      <c r="DE242" s="78"/>
      <c r="DF242" s="78"/>
      <c r="DG242" s="78"/>
      <c r="DH242" s="78"/>
      <c r="DI242" s="78"/>
      <c r="DJ242" s="78"/>
      <c r="DK242" s="78"/>
      <c r="DL242" s="78"/>
      <c r="DM242" s="78"/>
      <c r="DN242" s="78"/>
      <c r="DO242" s="78"/>
      <c r="DP242" s="78"/>
      <c r="DQ242" s="78"/>
      <c r="DR242" s="78"/>
      <c r="DS242" s="78"/>
      <c r="DT242" s="78"/>
      <c r="DU242" s="78"/>
      <c r="DV242" s="78"/>
      <c r="DW242" s="78"/>
      <c r="DX242" s="78"/>
      <c r="DY242" s="78"/>
      <c r="DZ242" s="78"/>
      <c r="EA242" s="78"/>
      <c r="EB242" s="78"/>
      <c r="EC242" s="78"/>
    </row>
    <row r="243" spans="1:133" s="9" customFormat="1" ht="18" x14ac:dyDescent="0.25">
      <c r="A243" s="73" t="s">
        <v>69</v>
      </c>
      <c r="B243" s="60" t="s">
        <v>218</v>
      </c>
      <c r="C243" s="53" t="s">
        <v>71</v>
      </c>
      <c r="D243" s="53" t="s">
        <v>348</v>
      </c>
      <c r="E243" s="119">
        <v>303.16000000000003</v>
      </c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1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  <c r="BI243" s="78"/>
      <c r="BJ243" s="78"/>
      <c r="BK243" s="78"/>
      <c r="BL243" s="78"/>
      <c r="BM243" s="78"/>
      <c r="BN243" s="78"/>
      <c r="BO243" s="78"/>
      <c r="BP243" s="78"/>
      <c r="BQ243" s="78"/>
      <c r="BR243" s="78"/>
      <c r="BS243" s="78"/>
      <c r="BT243" s="78"/>
      <c r="BU243" s="78"/>
      <c r="BV243" s="78"/>
      <c r="BW243" s="78"/>
      <c r="BX243" s="78"/>
      <c r="BY243" s="78"/>
      <c r="BZ243" s="78"/>
      <c r="CA243" s="78"/>
      <c r="CB243" s="78"/>
      <c r="CC243" s="78"/>
      <c r="CD243" s="78"/>
      <c r="CE243" s="78"/>
      <c r="CF243" s="78"/>
      <c r="CG243" s="78"/>
      <c r="CH243" s="78"/>
      <c r="CI243" s="78"/>
      <c r="CJ243" s="78"/>
      <c r="CK243" s="78"/>
      <c r="CL243" s="78"/>
      <c r="CM243" s="78"/>
      <c r="CN243" s="78"/>
      <c r="CO243" s="78"/>
      <c r="CP243" s="78"/>
      <c r="CQ243" s="78"/>
      <c r="CR243" s="78"/>
      <c r="CS243" s="78"/>
      <c r="CT243" s="78"/>
      <c r="CU243" s="78"/>
      <c r="CV243" s="78"/>
      <c r="CW243" s="78"/>
      <c r="CX243" s="78"/>
      <c r="CY243" s="78"/>
      <c r="CZ243" s="78"/>
      <c r="DA243" s="78"/>
      <c r="DB243" s="78"/>
      <c r="DC243" s="78"/>
      <c r="DD243" s="78"/>
      <c r="DE243" s="78"/>
      <c r="DF243" s="78"/>
      <c r="DG243" s="78"/>
      <c r="DH243" s="78"/>
      <c r="DI243" s="78"/>
      <c r="DJ243" s="78"/>
      <c r="DK243" s="78"/>
      <c r="DL243" s="78"/>
      <c r="DM243" s="78"/>
      <c r="DN243" s="78"/>
      <c r="DO243" s="78"/>
      <c r="DP243" s="78"/>
      <c r="DQ243" s="78"/>
      <c r="DR243" s="78"/>
      <c r="DS243" s="78"/>
      <c r="DT243" s="78"/>
      <c r="DU243" s="78"/>
      <c r="DV243" s="78"/>
      <c r="DW243" s="78"/>
      <c r="DX243" s="78"/>
      <c r="DY243" s="78"/>
      <c r="DZ243" s="78"/>
      <c r="EA243" s="78"/>
      <c r="EB243" s="78"/>
      <c r="EC243" s="78"/>
    </row>
    <row r="244" spans="1:133" s="9" customFormat="1" x14ac:dyDescent="0.25">
      <c r="A244" s="73" t="s">
        <v>72</v>
      </c>
      <c r="B244" s="60" t="s">
        <v>219</v>
      </c>
      <c r="C244" s="53" t="s">
        <v>74</v>
      </c>
      <c r="D244" s="53" t="s">
        <v>348</v>
      </c>
      <c r="E244" s="119">
        <v>1.9870000000000001</v>
      </c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1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78"/>
      <c r="BJ244" s="78"/>
      <c r="BK244" s="78"/>
      <c r="BL244" s="78"/>
      <c r="BM244" s="78"/>
      <c r="BN244" s="78"/>
      <c r="BO244" s="78"/>
      <c r="BP244" s="78"/>
      <c r="BQ244" s="78"/>
      <c r="BR244" s="78"/>
      <c r="BS244" s="78"/>
      <c r="BT244" s="78"/>
      <c r="BU244" s="78"/>
      <c r="BV244" s="78"/>
      <c r="BW244" s="78"/>
      <c r="BX244" s="78"/>
      <c r="BY244" s="78"/>
      <c r="BZ244" s="78"/>
      <c r="CA244" s="78"/>
      <c r="CB244" s="78"/>
      <c r="CC244" s="78"/>
      <c r="CD244" s="78"/>
      <c r="CE244" s="78"/>
      <c r="CF244" s="78"/>
      <c r="CG244" s="78"/>
      <c r="CH244" s="78"/>
      <c r="CI244" s="78"/>
      <c r="CJ244" s="78"/>
      <c r="CK244" s="78"/>
      <c r="CL244" s="78"/>
      <c r="CM244" s="78"/>
      <c r="CN244" s="78"/>
      <c r="CO244" s="78"/>
      <c r="CP244" s="78"/>
      <c r="CQ244" s="78"/>
      <c r="CR244" s="78"/>
      <c r="CS244" s="78"/>
      <c r="CT244" s="78"/>
      <c r="CU244" s="78"/>
      <c r="CV244" s="78"/>
      <c r="CW244" s="78"/>
      <c r="CX244" s="78"/>
      <c r="CY244" s="78"/>
      <c r="CZ244" s="78"/>
      <c r="DA244" s="78"/>
      <c r="DB244" s="78"/>
      <c r="DC244" s="78"/>
      <c r="DD244" s="78"/>
      <c r="DE244" s="78"/>
      <c r="DF244" s="78"/>
      <c r="DG244" s="78"/>
      <c r="DH244" s="78"/>
      <c r="DI244" s="78"/>
      <c r="DJ244" s="78"/>
      <c r="DK244" s="78"/>
      <c r="DL244" s="78"/>
      <c r="DM244" s="78"/>
      <c r="DN244" s="78"/>
      <c r="DO244" s="78"/>
      <c r="DP244" s="78"/>
      <c r="DQ244" s="78"/>
      <c r="DR244" s="78"/>
      <c r="DS244" s="78"/>
      <c r="DT244" s="78"/>
      <c r="DU244" s="78"/>
      <c r="DV244" s="78"/>
      <c r="DW244" s="78"/>
      <c r="DX244" s="78"/>
      <c r="DY244" s="78"/>
      <c r="DZ244" s="78"/>
      <c r="EA244" s="78"/>
      <c r="EB244" s="78"/>
      <c r="EC244" s="78"/>
    </row>
    <row r="245" spans="1:133" s="9" customFormat="1" ht="31.2" x14ac:dyDescent="0.25">
      <c r="A245" s="73" t="s">
        <v>75</v>
      </c>
      <c r="B245" s="60" t="s">
        <v>218</v>
      </c>
      <c r="C245" s="53" t="s">
        <v>76</v>
      </c>
      <c r="D245" s="53" t="s">
        <v>267</v>
      </c>
      <c r="E245" s="111">
        <f>AVERAGE(F245:Q245)</f>
        <v>296.56666666666672</v>
      </c>
      <c r="F245" s="60">
        <v>288.14999999999998</v>
      </c>
      <c r="G245" s="60">
        <v>289.14999999999998</v>
      </c>
      <c r="H245" s="60">
        <v>292.14999999999998</v>
      </c>
      <c r="I245" s="60">
        <v>296.14999999999998</v>
      </c>
      <c r="J245" s="60">
        <v>299.14999999999998</v>
      </c>
      <c r="K245" s="60">
        <v>302.14999999999998</v>
      </c>
      <c r="L245" s="60">
        <v>303.14999999999998</v>
      </c>
      <c r="M245" s="60">
        <v>303.14999999999998</v>
      </c>
      <c r="N245" s="60">
        <v>302.14999999999998</v>
      </c>
      <c r="O245" s="60">
        <v>298.14999999999998</v>
      </c>
      <c r="P245" s="60">
        <v>295.14999999999998</v>
      </c>
      <c r="Q245" s="60">
        <v>290.14999999999998</v>
      </c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  <c r="BK245" s="78"/>
      <c r="BL245" s="78"/>
      <c r="BM245" s="78"/>
      <c r="BN245" s="78"/>
      <c r="BO245" s="78"/>
      <c r="BP245" s="78"/>
      <c r="BQ245" s="78"/>
      <c r="BR245" s="78"/>
      <c r="BS245" s="78"/>
      <c r="BT245" s="78"/>
      <c r="BU245" s="78"/>
      <c r="BV245" s="78"/>
      <c r="BW245" s="78"/>
      <c r="BX245" s="78"/>
      <c r="BY245" s="78"/>
      <c r="BZ245" s="78"/>
      <c r="CA245" s="78"/>
      <c r="CB245" s="78"/>
      <c r="CC245" s="78"/>
      <c r="CD245" s="78"/>
      <c r="CE245" s="78"/>
      <c r="CF245" s="78"/>
      <c r="CG245" s="78"/>
      <c r="CH245" s="78"/>
      <c r="CI245" s="78"/>
      <c r="CJ245" s="78"/>
      <c r="CK245" s="78"/>
      <c r="CL245" s="78"/>
      <c r="CM245" s="78"/>
      <c r="CN245" s="78"/>
      <c r="CO245" s="78"/>
      <c r="CP245" s="78"/>
      <c r="CQ245" s="78"/>
      <c r="CR245" s="78"/>
      <c r="CS245" s="78"/>
      <c r="CT245" s="78"/>
      <c r="CU245" s="78"/>
      <c r="CV245" s="78"/>
      <c r="CW245" s="78"/>
      <c r="CX245" s="78"/>
      <c r="CY245" s="78"/>
      <c r="CZ245" s="78"/>
      <c r="DA245" s="78"/>
      <c r="DB245" s="78"/>
      <c r="DC245" s="78"/>
      <c r="DD245" s="78"/>
      <c r="DE245" s="78"/>
      <c r="DF245" s="78"/>
      <c r="DG245" s="78"/>
      <c r="DH245" s="78"/>
      <c r="DI245" s="78"/>
      <c r="DJ245" s="78"/>
      <c r="DK245" s="78"/>
      <c r="DL245" s="78"/>
      <c r="DM245" s="78"/>
      <c r="DN245" s="78"/>
      <c r="DO245" s="78"/>
      <c r="DP245" s="78"/>
      <c r="DQ245" s="78"/>
      <c r="DR245" s="78"/>
      <c r="DS245" s="78"/>
      <c r="DT245" s="78"/>
      <c r="DU245" s="78"/>
      <c r="DV245" s="78"/>
      <c r="DW245" s="78"/>
      <c r="DX245" s="78"/>
      <c r="DY245" s="78"/>
      <c r="DZ245" s="78"/>
      <c r="EA245" s="78"/>
      <c r="EB245" s="78"/>
      <c r="EC245" s="78"/>
    </row>
    <row r="246" spans="1:133" s="9" customFormat="1" ht="31.2" x14ac:dyDescent="0.4">
      <c r="A246" s="71" t="s">
        <v>77</v>
      </c>
      <c r="B246" s="60" t="s">
        <v>211</v>
      </c>
      <c r="C246" s="53" t="s">
        <v>78</v>
      </c>
      <c r="D246" s="53" t="s">
        <v>349</v>
      </c>
      <c r="E246" s="74">
        <f>SUM(F246:Q246)</f>
        <v>2538.375371026958</v>
      </c>
      <c r="F246" s="74">
        <f>F235*F230*F233+(1-F241)*0</f>
        <v>147.21835713245511</v>
      </c>
      <c r="G246" s="74">
        <f t="shared" ref="G246:Q246" si="39">G235*G230*G233+(1-G241)*F246</f>
        <v>236.7526084140371</v>
      </c>
      <c r="H246" s="74">
        <f t="shared" si="39"/>
        <v>292.35229035499867</v>
      </c>
      <c r="I246" s="74">
        <f t="shared" si="39"/>
        <v>273.7806681227413</v>
      </c>
      <c r="J246" s="74">
        <f t="shared" si="39"/>
        <v>225.67881077178959</v>
      </c>
      <c r="K246" s="74">
        <f t="shared" si="39"/>
        <v>160.69536614029323</v>
      </c>
      <c r="L246" s="74">
        <f t="shared" si="39"/>
        <v>147.21835713245511</v>
      </c>
      <c r="M246" s="74">
        <f t="shared" si="39"/>
        <v>147.21835713245511</v>
      </c>
      <c r="N246" s="74">
        <f t="shared" si="39"/>
        <v>154.35884166636197</v>
      </c>
      <c r="O246" s="74">
        <f t="shared" si="39"/>
        <v>200.4916882127597</v>
      </c>
      <c r="P246" s="74">
        <f t="shared" si="39"/>
        <v>241.76099873707011</v>
      </c>
      <c r="Q246" s="74">
        <f t="shared" si="39"/>
        <v>310.84902720954096</v>
      </c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  <c r="BI246" s="78"/>
      <c r="BJ246" s="78"/>
      <c r="BK246" s="78"/>
      <c r="BL246" s="78"/>
      <c r="BM246" s="78"/>
      <c r="BN246" s="78"/>
      <c r="BO246" s="78"/>
      <c r="BP246" s="78"/>
      <c r="BQ246" s="78"/>
      <c r="BR246" s="78"/>
      <c r="BS246" s="78"/>
      <c r="BT246" s="78"/>
      <c r="BU246" s="78"/>
      <c r="BV246" s="78"/>
      <c r="BW246" s="78"/>
      <c r="BX246" s="78"/>
      <c r="BY246" s="78"/>
      <c r="BZ246" s="78"/>
      <c r="CA246" s="78"/>
      <c r="CB246" s="78"/>
      <c r="CC246" s="78"/>
      <c r="CD246" s="78"/>
      <c r="CE246" s="78"/>
      <c r="CF246" s="78"/>
      <c r="CG246" s="78"/>
      <c r="CH246" s="78"/>
      <c r="CI246" s="78"/>
      <c r="CJ246" s="78"/>
      <c r="CK246" s="78"/>
      <c r="CL246" s="78"/>
      <c r="CM246" s="78"/>
      <c r="CN246" s="78"/>
      <c r="CO246" s="78"/>
      <c r="CP246" s="78"/>
      <c r="CQ246" s="78"/>
      <c r="CR246" s="78"/>
      <c r="CS246" s="78"/>
      <c r="CT246" s="78"/>
      <c r="CU246" s="78"/>
      <c r="CV246" s="78"/>
      <c r="CW246" s="78"/>
      <c r="CX246" s="78"/>
      <c r="CY246" s="78"/>
      <c r="CZ246" s="78"/>
      <c r="DA246" s="78"/>
      <c r="DB246" s="78"/>
      <c r="DC246" s="78"/>
      <c r="DD246" s="78"/>
      <c r="DE246" s="78"/>
      <c r="DF246" s="78"/>
      <c r="DG246" s="78"/>
      <c r="DH246" s="78"/>
      <c r="DI246" s="78"/>
      <c r="DJ246" s="78"/>
      <c r="DK246" s="78"/>
      <c r="DL246" s="78"/>
      <c r="DM246" s="78"/>
      <c r="DN246" s="78"/>
      <c r="DO246" s="78"/>
      <c r="DP246" s="78"/>
      <c r="DQ246" s="78"/>
      <c r="DR246" s="78"/>
      <c r="DS246" s="78"/>
      <c r="DT246" s="78"/>
      <c r="DU246" s="78"/>
      <c r="DV246" s="78"/>
      <c r="DW246" s="78"/>
      <c r="DX246" s="78"/>
      <c r="DY246" s="78"/>
      <c r="DZ246" s="78"/>
      <c r="EA246" s="78"/>
      <c r="EB246" s="78"/>
      <c r="EC246" s="78"/>
    </row>
    <row r="248" spans="1:133" x14ac:dyDescent="0.25">
      <c r="A248" s="133" t="s">
        <v>79</v>
      </c>
      <c r="B248" s="133"/>
      <c r="C248" s="133"/>
      <c r="D248" s="133"/>
      <c r="E248" s="133"/>
    </row>
    <row r="249" spans="1:133" x14ac:dyDescent="0.25">
      <c r="A249" s="57" t="s">
        <v>9</v>
      </c>
      <c r="B249" s="58" t="s">
        <v>10</v>
      </c>
      <c r="C249" s="34" t="s">
        <v>11</v>
      </c>
      <c r="D249" s="34" t="s">
        <v>12</v>
      </c>
      <c r="E249" s="16" t="s">
        <v>80</v>
      </c>
    </row>
    <row r="250" spans="1:133" ht="46.8" x14ac:dyDescent="0.25">
      <c r="A250" s="59" t="s">
        <v>81</v>
      </c>
      <c r="B250" s="60" t="s">
        <v>28</v>
      </c>
      <c r="C250" s="53" t="s">
        <v>82</v>
      </c>
      <c r="D250" s="53" t="s">
        <v>83</v>
      </c>
      <c r="E250" s="75">
        <v>0</v>
      </c>
    </row>
    <row r="251" spans="1:133" ht="46.8" x14ac:dyDescent="0.25">
      <c r="A251" s="63" t="s">
        <v>84</v>
      </c>
      <c r="B251" s="25" t="s">
        <v>85</v>
      </c>
      <c r="C251" s="35" t="s">
        <v>86</v>
      </c>
      <c r="D251" s="35" t="str">
        <f>D257</f>
        <v>Historical data on site in the FSR (It was calculated with conservative value)</v>
      </c>
      <c r="E251" s="66">
        <f>E257</f>
        <v>561.98225806451615</v>
      </c>
    </row>
    <row r="253" spans="1:133" x14ac:dyDescent="0.25">
      <c r="A253" s="134" t="s">
        <v>87</v>
      </c>
      <c r="B253" s="134"/>
      <c r="C253" s="135"/>
      <c r="D253" s="135"/>
      <c r="E253" s="134"/>
    </row>
    <row r="254" spans="1:133" x14ac:dyDescent="0.25">
      <c r="A254" s="59" t="s">
        <v>9</v>
      </c>
      <c r="B254" s="16" t="s">
        <v>10</v>
      </c>
      <c r="C254" s="38" t="s">
        <v>11</v>
      </c>
      <c r="D254" s="38" t="s">
        <v>12</v>
      </c>
      <c r="E254" s="16" t="s">
        <v>80</v>
      </c>
    </row>
    <row r="255" spans="1:133" ht="33.6" x14ac:dyDescent="0.4">
      <c r="A255" s="76" t="s">
        <v>88</v>
      </c>
      <c r="B255" s="25" t="s">
        <v>89</v>
      </c>
      <c r="C255" s="35" t="s">
        <v>90</v>
      </c>
      <c r="D255" s="35" t="s">
        <v>350</v>
      </c>
      <c r="E255" s="50">
        <f>E256*E259*E260*E261*E262*E263</f>
        <v>3.8652377949488375</v>
      </c>
    </row>
    <row r="256" spans="1:133" ht="46.8" x14ac:dyDescent="0.4">
      <c r="A256" s="77" t="s">
        <v>223</v>
      </c>
      <c r="B256" s="25" t="s">
        <v>91</v>
      </c>
      <c r="C256" s="35" t="s">
        <v>92</v>
      </c>
      <c r="D256" s="35" t="s">
        <v>351</v>
      </c>
      <c r="E256" s="52">
        <f>E257/E258</f>
        <v>112.39645161290323</v>
      </c>
    </row>
    <row r="257" spans="1:5" ht="46.8" x14ac:dyDescent="0.25">
      <c r="A257" s="63" t="s">
        <v>224</v>
      </c>
      <c r="B257" s="25" t="s">
        <v>93</v>
      </c>
      <c r="C257" s="35" t="s">
        <v>94</v>
      </c>
      <c r="D257" s="53" t="s">
        <v>322</v>
      </c>
      <c r="E257" s="52">
        <v>561.98225806451615</v>
      </c>
    </row>
    <row r="258" spans="1:5" ht="31.2" x14ac:dyDescent="0.25">
      <c r="A258" s="63" t="s">
        <v>225</v>
      </c>
      <c r="B258" s="25" t="s">
        <v>95</v>
      </c>
      <c r="C258" s="35" t="s">
        <v>96</v>
      </c>
      <c r="D258" s="35" t="s">
        <v>327</v>
      </c>
      <c r="E258" s="25">
        <f>5</f>
        <v>5</v>
      </c>
    </row>
    <row r="259" spans="1:5" ht="62.4" x14ac:dyDescent="0.25">
      <c r="A259" s="63" t="s">
        <v>226</v>
      </c>
      <c r="B259" s="25" t="s">
        <v>97</v>
      </c>
      <c r="C259" s="35" t="s">
        <v>98</v>
      </c>
      <c r="D259" s="53" t="s">
        <v>327</v>
      </c>
      <c r="E259" s="25">
        <f>25.4*2</f>
        <v>50.8</v>
      </c>
    </row>
    <row r="260" spans="1:5" ht="172.2" x14ac:dyDescent="0.25">
      <c r="A260" s="63" t="s">
        <v>227</v>
      </c>
      <c r="B260" s="25" t="s">
        <v>99</v>
      </c>
      <c r="C260" s="35" t="s">
        <v>100</v>
      </c>
      <c r="D260" s="35" t="s">
        <v>338</v>
      </c>
      <c r="E260" s="25">
        <f>25.1/100</f>
        <v>0.251</v>
      </c>
    </row>
    <row r="261" spans="1:5" ht="140.4" x14ac:dyDescent="0.25">
      <c r="A261" s="63" t="s">
        <v>228</v>
      </c>
      <c r="B261" s="25" t="s">
        <v>102</v>
      </c>
      <c r="C261" s="35" t="s">
        <v>101</v>
      </c>
      <c r="D261" s="35" t="s">
        <v>337</v>
      </c>
      <c r="E261" s="25">
        <f>0.84/1000</f>
        <v>8.3999999999999993E-4</v>
      </c>
    </row>
    <row r="262" spans="1:5" ht="140.4" x14ac:dyDescent="0.25">
      <c r="A262" s="63" t="s">
        <v>229</v>
      </c>
      <c r="B262" s="25" t="s">
        <v>103</v>
      </c>
      <c r="C262" s="35" t="s">
        <v>104</v>
      </c>
      <c r="D262" s="35" t="s">
        <v>335</v>
      </c>
      <c r="E262" s="25">
        <f>43.33/1000</f>
        <v>4.333E-2</v>
      </c>
    </row>
    <row r="263" spans="1:5" ht="62.4" x14ac:dyDescent="0.25">
      <c r="A263" s="63" t="s">
        <v>230</v>
      </c>
      <c r="B263" s="25" t="s">
        <v>105</v>
      </c>
      <c r="C263" s="35" t="s">
        <v>106</v>
      </c>
      <c r="D263" s="35" t="s">
        <v>333</v>
      </c>
      <c r="E263" s="25">
        <v>74.099999999999994</v>
      </c>
    </row>
    <row r="265" spans="1:5" x14ac:dyDescent="0.25">
      <c r="A265" s="133" t="s">
        <v>108</v>
      </c>
      <c r="B265" s="133"/>
      <c r="C265" s="133"/>
      <c r="D265" s="133"/>
      <c r="E265" s="133"/>
    </row>
    <row r="266" spans="1:5" x14ac:dyDescent="0.25">
      <c r="A266" s="57" t="s">
        <v>9</v>
      </c>
      <c r="B266" s="58" t="s">
        <v>10</v>
      </c>
      <c r="C266" s="34" t="s">
        <v>11</v>
      </c>
      <c r="D266" s="34" t="s">
        <v>12</v>
      </c>
      <c r="E266" s="16" t="s">
        <v>80</v>
      </c>
    </row>
    <row r="267" spans="1:5" ht="64.8" x14ac:dyDescent="0.25">
      <c r="A267" s="15" t="s">
        <v>109</v>
      </c>
      <c r="B267" s="25" t="s">
        <v>110</v>
      </c>
      <c r="C267" s="35" t="s">
        <v>111</v>
      </c>
      <c r="D267" s="35" t="s">
        <v>112</v>
      </c>
      <c r="E267" s="16">
        <v>0</v>
      </c>
    </row>
    <row r="269" spans="1:5" x14ac:dyDescent="0.25">
      <c r="A269" s="133" t="s">
        <v>113</v>
      </c>
      <c r="B269" s="133"/>
      <c r="C269" s="133"/>
      <c r="D269" s="133"/>
      <c r="E269" s="133"/>
    </row>
    <row r="270" spans="1:5" x14ac:dyDescent="0.25">
      <c r="A270" s="57" t="s">
        <v>9</v>
      </c>
      <c r="B270" s="58" t="s">
        <v>10</v>
      </c>
      <c r="C270" s="34" t="s">
        <v>11</v>
      </c>
      <c r="D270" s="34" t="s">
        <v>12</v>
      </c>
      <c r="E270" s="16" t="s">
        <v>80</v>
      </c>
    </row>
    <row r="271" spans="1:5" ht="49.2" x14ac:dyDescent="0.25">
      <c r="A271" s="15" t="s">
        <v>114</v>
      </c>
      <c r="B271" s="25" t="s">
        <v>110</v>
      </c>
      <c r="C271" s="35" t="s">
        <v>115</v>
      </c>
      <c r="D271" s="35" t="s">
        <v>116</v>
      </c>
      <c r="E271" s="16">
        <v>0</v>
      </c>
    </row>
    <row r="273" spans="1:133" x14ac:dyDescent="0.25">
      <c r="A273" s="57" t="s">
        <v>9</v>
      </c>
      <c r="B273" s="58" t="s">
        <v>10</v>
      </c>
      <c r="C273" s="34" t="s">
        <v>11</v>
      </c>
      <c r="D273" s="34" t="s">
        <v>12</v>
      </c>
      <c r="E273" s="16" t="s">
        <v>80</v>
      </c>
    </row>
    <row r="274" spans="1:133" ht="18" x14ac:dyDescent="0.25">
      <c r="A274" s="59" t="s">
        <v>117</v>
      </c>
      <c r="B274" s="25" t="s">
        <v>118</v>
      </c>
      <c r="C274" s="35" t="s">
        <v>119</v>
      </c>
      <c r="D274" s="53" t="s">
        <v>352</v>
      </c>
      <c r="E274" s="18">
        <f>ROUNDDOWN(E224+E255+E250+E267+E271,0)</f>
        <v>5506</v>
      </c>
    </row>
    <row r="275" spans="1:133" s="138" customFormat="1" ht="43.2" customHeight="1" x14ac:dyDescent="0.25">
      <c r="A275" s="138" t="s">
        <v>287</v>
      </c>
    </row>
    <row r="276" spans="1:133" s="56" customFormat="1" x14ac:dyDescent="0.25">
      <c r="A276" s="93" t="s">
        <v>9</v>
      </c>
      <c r="B276" s="94" t="s">
        <v>10</v>
      </c>
      <c r="C276" s="95" t="s">
        <v>11</v>
      </c>
      <c r="D276" s="95" t="s">
        <v>12</v>
      </c>
      <c r="E276" s="94" t="s">
        <v>13</v>
      </c>
      <c r="F276" s="96" t="s">
        <v>14</v>
      </c>
      <c r="G276" s="96" t="s">
        <v>15</v>
      </c>
      <c r="H276" s="96" t="s">
        <v>16</v>
      </c>
      <c r="I276" s="96" t="s">
        <v>17</v>
      </c>
      <c r="J276" s="96" t="s">
        <v>18</v>
      </c>
      <c r="K276" s="96" t="s">
        <v>19</v>
      </c>
      <c r="L276" s="96" t="s">
        <v>20</v>
      </c>
      <c r="M276" s="96" t="s">
        <v>21</v>
      </c>
      <c r="N276" s="96" t="s">
        <v>22</v>
      </c>
      <c r="O276" s="96" t="s">
        <v>23</v>
      </c>
      <c r="P276" s="96" t="s">
        <v>24</v>
      </c>
      <c r="Q276" s="96" t="s">
        <v>25</v>
      </c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4"/>
      <c r="BM276" s="54"/>
      <c r="BN276" s="54"/>
      <c r="BO276" s="54"/>
      <c r="BP276" s="54"/>
      <c r="BQ276" s="54"/>
      <c r="BR276" s="54"/>
      <c r="BS276" s="54"/>
      <c r="BT276" s="54"/>
      <c r="BU276" s="54"/>
      <c r="BV276" s="54"/>
      <c r="BW276" s="54"/>
      <c r="BX276" s="54"/>
      <c r="BY276" s="54"/>
      <c r="BZ276" s="54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  <c r="CK276" s="54"/>
      <c r="CL276" s="54"/>
      <c r="CM276" s="54"/>
      <c r="CN276" s="54"/>
      <c r="CO276" s="54"/>
      <c r="CP276" s="54"/>
      <c r="CQ276" s="54"/>
      <c r="CR276" s="54"/>
      <c r="CS276" s="54"/>
      <c r="CT276" s="54"/>
      <c r="CU276" s="54"/>
      <c r="CV276" s="54"/>
      <c r="CW276" s="54"/>
      <c r="CX276" s="54"/>
      <c r="CY276" s="54"/>
      <c r="CZ276" s="54"/>
      <c r="DA276" s="54"/>
      <c r="DB276" s="54"/>
      <c r="DC276" s="54"/>
      <c r="DD276" s="54"/>
      <c r="DE276" s="54"/>
      <c r="DF276" s="54"/>
      <c r="DG276" s="54"/>
      <c r="DH276" s="54"/>
      <c r="DI276" s="54"/>
      <c r="DJ276" s="54"/>
      <c r="DK276" s="54"/>
      <c r="DL276" s="54"/>
      <c r="DM276" s="54"/>
      <c r="DN276" s="54"/>
      <c r="DO276" s="54"/>
      <c r="DP276" s="54"/>
      <c r="DQ276" s="54"/>
      <c r="DR276" s="54"/>
      <c r="DS276" s="54"/>
      <c r="DT276" s="54"/>
      <c r="DU276" s="54"/>
      <c r="DV276" s="54"/>
      <c r="DW276" s="54"/>
      <c r="DX276" s="54"/>
      <c r="DY276" s="54"/>
      <c r="DZ276" s="54"/>
      <c r="EA276" s="54"/>
      <c r="EB276" s="54"/>
      <c r="EC276" s="54"/>
    </row>
    <row r="277" spans="1:133" s="56" customFormat="1" x14ac:dyDescent="0.25">
      <c r="A277" s="128" t="s">
        <v>26</v>
      </c>
      <c r="B277" s="128"/>
      <c r="C277" s="129"/>
      <c r="D277" s="129"/>
      <c r="E277" s="128"/>
      <c r="F277" s="16">
        <v>31</v>
      </c>
      <c r="G277" s="16">
        <v>28</v>
      </c>
      <c r="H277" s="16">
        <v>31</v>
      </c>
      <c r="I277" s="16">
        <v>30</v>
      </c>
      <c r="J277" s="16">
        <v>31</v>
      </c>
      <c r="K277" s="16">
        <v>30</v>
      </c>
      <c r="L277" s="16">
        <v>31</v>
      </c>
      <c r="M277" s="16">
        <v>31</v>
      </c>
      <c r="N277" s="16">
        <v>30</v>
      </c>
      <c r="O277" s="16">
        <v>31</v>
      </c>
      <c r="P277" s="16">
        <v>30</v>
      </c>
      <c r="Q277" s="16">
        <v>31</v>
      </c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  <c r="BH277" s="54"/>
      <c r="BI277" s="54"/>
      <c r="BJ277" s="54"/>
      <c r="BK277" s="54"/>
      <c r="BL277" s="54"/>
      <c r="BM277" s="54"/>
      <c r="BN277" s="54"/>
      <c r="BO277" s="54"/>
      <c r="BP277" s="54"/>
      <c r="BQ277" s="54"/>
      <c r="BR277" s="54"/>
      <c r="BS277" s="54"/>
      <c r="BT277" s="54"/>
      <c r="BU277" s="54"/>
      <c r="BV277" s="54"/>
      <c r="BW277" s="54"/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  <c r="CH277" s="54"/>
      <c r="CI277" s="54"/>
      <c r="CJ277" s="54"/>
      <c r="CK277" s="54"/>
      <c r="CL277" s="54"/>
      <c r="CM277" s="54"/>
      <c r="CN277" s="54"/>
      <c r="CO277" s="54"/>
      <c r="CP277" s="54"/>
      <c r="CQ277" s="54"/>
      <c r="CR277" s="54"/>
      <c r="CS277" s="54"/>
      <c r="CT277" s="54"/>
      <c r="CU277" s="54"/>
      <c r="CV277" s="54"/>
      <c r="CW277" s="54"/>
      <c r="CX277" s="54"/>
      <c r="CY277" s="54"/>
      <c r="CZ277" s="54"/>
      <c r="DA277" s="54"/>
      <c r="DB277" s="54"/>
      <c r="DC277" s="54"/>
      <c r="DD277" s="54"/>
      <c r="DE277" s="54"/>
      <c r="DF277" s="54"/>
      <c r="DG277" s="54"/>
      <c r="DH277" s="54"/>
      <c r="DI277" s="54"/>
      <c r="DJ277" s="54"/>
      <c r="DK277" s="54"/>
      <c r="DL277" s="54"/>
      <c r="DM277" s="54"/>
      <c r="DN277" s="54"/>
      <c r="DO277" s="54"/>
      <c r="DP277" s="54"/>
      <c r="DQ277" s="54"/>
      <c r="DR277" s="54"/>
      <c r="DS277" s="54"/>
      <c r="DT277" s="54"/>
      <c r="DU277" s="54"/>
      <c r="DV277" s="54"/>
      <c r="DW277" s="54"/>
      <c r="DX277" s="54"/>
      <c r="DY277" s="54"/>
      <c r="DZ277" s="54"/>
      <c r="EA277" s="54"/>
      <c r="EB277" s="54"/>
      <c r="EC277" s="54"/>
    </row>
    <row r="278" spans="1:133" ht="46.8" x14ac:dyDescent="0.25">
      <c r="A278" s="59" t="s">
        <v>27</v>
      </c>
      <c r="B278" s="60" t="s">
        <v>28</v>
      </c>
      <c r="C278" s="53" t="s">
        <v>29</v>
      </c>
      <c r="D278" s="53" t="s">
        <v>340</v>
      </c>
      <c r="E278" s="61">
        <f>SUM(F278:Q278)</f>
        <v>4900.5613349147379</v>
      </c>
      <c r="F278" s="62">
        <f>$E$6*$E$7*F281*$E$19</f>
        <v>416.21205858179968</v>
      </c>
      <c r="G278" s="62">
        <f t="shared" ref="G278:Q278" si="40">$E$6*$E$7*G281*$E$19</f>
        <v>375.93347226743202</v>
      </c>
      <c r="H278" s="62">
        <f t="shared" si="40"/>
        <v>416.21205858179968</v>
      </c>
      <c r="I278" s="62">
        <f t="shared" si="40"/>
        <v>402.7858631436772</v>
      </c>
      <c r="J278" s="62">
        <f t="shared" si="40"/>
        <v>416.21205858179968</v>
      </c>
      <c r="K278" s="62">
        <f t="shared" si="40"/>
        <v>402.7858631436772</v>
      </c>
      <c r="L278" s="62">
        <f t="shared" si="40"/>
        <v>416.21205858179968</v>
      </c>
      <c r="M278" s="62">
        <f t="shared" si="40"/>
        <v>416.21205858179968</v>
      </c>
      <c r="N278" s="62">
        <f t="shared" si="40"/>
        <v>402.7858631436772</v>
      </c>
      <c r="O278" s="62">
        <f t="shared" si="40"/>
        <v>416.21205858179968</v>
      </c>
      <c r="P278" s="62">
        <f t="shared" si="40"/>
        <v>402.7858631436772</v>
      </c>
      <c r="Q278" s="62">
        <f t="shared" si="40"/>
        <v>416.21205858179968</v>
      </c>
    </row>
    <row r="279" spans="1:133" ht="31.2" x14ac:dyDescent="0.25">
      <c r="A279" s="63" t="s">
        <v>30</v>
      </c>
      <c r="B279" s="60" t="s">
        <v>208</v>
      </c>
      <c r="C279" s="35" t="s">
        <v>31</v>
      </c>
      <c r="D279" s="35" t="s">
        <v>220</v>
      </c>
      <c r="E279" s="130">
        <v>28</v>
      </c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</row>
    <row r="280" spans="1:133" ht="64.8" x14ac:dyDescent="0.25">
      <c r="A280" s="63" t="s">
        <v>32</v>
      </c>
      <c r="B280" s="25" t="s">
        <v>209</v>
      </c>
      <c r="C280" s="35" t="s">
        <v>34</v>
      </c>
      <c r="D280" s="35" t="s">
        <v>373</v>
      </c>
      <c r="E280" s="130">
        <v>0.21</v>
      </c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</row>
    <row r="281" spans="1:133" ht="46.8" x14ac:dyDescent="0.25">
      <c r="A281" s="35" t="s">
        <v>35</v>
      </c>
      <c r="B281" s="25" t="s">
        <v>210</v>
      </c>
      <c r="C281" s="53" t="s">
        <v>36</v>
      </c>
      <c r="D281" s="53" t="s">
        <v>341</v>
      </c>
      <c r="E281" s="64">
        <f t="shared" ref="E281:Q281" si="41">E289*E282</f>
        <v>1543.73434987268</v>
      </c>
      <c r="F281" s="64">
        <f t="shared" si="41"/>
        <v>131.11168450973446</v>
      </c>
      <c r="G281" s="64">
        <f t="shared" si="41"/>
        <v>118.42345697653434</v>
      </c>
      <c r="H281" s="64">
        <f t="shared" si="41"/>
        <v>131.11168450973446</v>
      </c>
      <c r="I281" s="64">
        <f t="shared" si="41"/>
        <v>126.8822753320011</v>
      </c>
      <c r="J281" s="64">
        <f t="shared" si="41"/>
        <v>131.11168450973446</v>
      </c>
      <c r="K281" s="64">
        <f t="shared" si="41"/>
        <v>126.8822753320011</v>
      </c>
      <c r="L281" s="64">
        <f t="shared" si="41"/>
        <v>131.11168450973446</v>
      </c>
      <c r="M281" s="64">
        <f t="shared" si="41"/>
        <v>131.11168450973446</v>
      </c>
      <c r="N281" s="64">
        <f t="shared" si="41"/>
        <v>126.8822753320011</v>
      </c>
      <c r="O281" s="64">
        <f t="shared" si="41"/>
        <v>131.11168450973446</v>
      </c>
      <c r="P281" s="64">
        <f t="shared" si="41"/>
        <v>126.8822753320011</v>
      </c>
      <c r="Q281" s="64">
        <f t="shared" si="41"/>
        <v>131.11168450973446</v>
      </c>
    </row>
    <row r="282" spans="1:133" ht="46.8" x14ac:dyDescent="0.25">
      <c r="A282" s="35" t="s">
        <v>37</v>
      </c>
      <c r="B282" s="25" t="s">
        <v>212</v>
      </c>
      <c r="C282" s="35" t="s">
        <v>206</v>
      </c>
      <c r="D282" s="35" t="s">
        <v>342</v>
      </c>
      <c r="E282" s="20">
        <f>SUM(F282:Q282)</f>
        <v>1626.075</v>
      </c>
      <c r="F282" s="20">
        <f>F284*F287</f>
        <v>138.10499999999999</v>
      </c>
      <c r="G282" s="20">
        <f t="shared" ref="G282:Q282" si="42">G284*G287</f>
        <v>124.74</v>
      </c>
      <c r="H282" s="20">
        <f t="shared" si="42"/>
        <v>138.10499999999999</v>
      </c>
      <c r="I282" s="20">
        <f t="shared" si="42"/>
        <v>133.65</v>
      </c>
      <c r="J282" s="20">
        <f t="shared" si="42"/>
        <v>138.10499999999999</v>
      </c>
      <c r="K282" s="20">
        <f t="shared" si="42"/>
        <v>133.65</v>
      </c>
      <c r="L282" s="20">
        <f t="shared" si="42"/>
        <v>138.10499999999999</v>
      </c>
      <c r="M282" s="20">
        <f t="shared" si="42"/>
        <v>138.10499999999999</v>
      </c>
      <c r="N282" s="20">
        <f t="shared" si="42"/>
        <v>133.65</v>
      </c>
      <c r="O282" s="20">
        <f t="shared" si="42"/>
        <v>138.10499999999999</v>
      </c>
      <c r="P282" s="20">
        <f t="shared" si="42"/>
        <v>133.65</v>
      </c>
      <c r="Q282" s="20">
        <f t="shared" si="42"/>
        <v>138.10499999999999</v>
      </c>
    </row>
    <row r="283" spans="1:133" ht="46.8" x14ac:dyDescent="0.3">
      <c r="A283" s="51" t="s">
        <v>221</v>
      </c>
      <c r="B283" s="60" t="s">
        <v>207</v>
      </c>
      <c r="C283" s="35" t="s">
        <v>39</v>
      </c>
      <c r="D283" s="35" t="s">
        <v>222</v>
      </c>
      <c r="E283" s="20">
        <v>9900</v>
      </c>
      <c r="F283" s="20">
        <v>9900</v>
      </c>
      <c r="G283" s="20">
        <v>9900</v>
      </c>
      <c r="H283" s="20">
        <v>9900</v>
      </c>
      <c r="I283" s="20">
        <v>9900</v>
      </c>
      <c r="J283" s="20">
        <v>9900</v>
      </c>
      <c r="K283" s="20">
        <v>9900</v>
      </c>
      <c r="L283" s="20">
        <v>9900</v>
      </c>
      <c r="M283" s="20">
        <v>9900</v>
      </c>
      <c r="N283" s="20">
        <v>9900</v>
      </c>
      <c r="O283" s="20">
        <v>9900</v>
      </c>
      <c r="P283" s="20">
        <v>9900</v>
      </c>
      <c r="Q283" s="20">
        <v>9900</v>
      </c>
    </row>
    <row r="284" spans="1:133" ht="46.8" x14ac:dyDescent="0.25">
      <c r="A284" s="35" t="s">
        <v>41</v>
      </c>
      <c r="B284" s="60" t="s">
        <v>213</v>
      </c>
      <c r="C284" s="35" t="s">
        <v>42</v>
      </c>
      <c r="D284" s="35" t="s">
        <v>326</v>
      </c>
      <c r="E284" s="65">
        <f>SUM(F284:Q284)</f>
        <v>3613500</v>
      </c>
      <c r="F284" s="65">
        <f>F283*F277</f>
        <v>306900</v>
      </c>
      <c r="G284" s="65">
        <f t="shared" ref="G284:Q284" si="43">G283*G277</f>
        <v>277200</v>
      </c>
      <c r="H284" s="65">
        <f t="shared" si="43"/>
        <v>306900</v>
      </c>
      <c r="I284" s="65">
        <f t="shared" si="43"/>
        <v>297000</v>
      </c>
      <c r="J284" s="65">
        <f t="shared" si="43"/>
        <v>306900</v>
      </c>
      <c r="K284" s="65">
        <f t="shared" si="43"/>
        <v>297000</v>
      </c>
      <c r="L284" s="65">
        <f t="shared" si="43"/>
        <v>306900</v>
      </c>
      <c r="M284" s="65">
        <f t="shared" si="43"/>
        <v>306900</v>
      </c>
      <c r="N284" s="65">
        <f t="shared" si="43"/>
        <v>297000</v>
      </c>
      <c r="O284" s="65">
        <f t="shared" si="43"/>
        <v>306900</v>
      </c>
      <c r="P284" s="65">
        <f t="shared" si="43"/>
        <v>297000</v>
      </c>
      <c r="Q284" s="65">
        <f t="shared" si="43"/>
        <v>306900</v>
      </c>
    </row>
    <row r="285" spans="1:133" ht="62.4" x14ac:dyDescent="0.25">
      <c r="A285" s="35" t="s">
        <v>43</v>
      </c>
      <c r="B285" s="60" t="s">
        <v>214</v>
      </c>
      <c r="C285" s="35" t="s">
        <v>44</v>
      </c>
      <c r="D285" s="35" t="s">
        <v>40</v>
      </c>
      <c r="E285" s="66">
        <v>450</v>
      </c>
      <c r="F285" s="66">
        <v>450</v>
      </c>
      <c r="G285" s="66">
        <v>450</v>
      </c>
      <c r="H285" s="66">
        <v>450</v>
      </c>
      <c r="I285" s="66">
        <v>450</v>
      </c>
      <c r="J285" s="66">
        <v>450</v>
      </c>
      <c r="K285" s="66">
        <v>450</v>
      </c>
      <c r="L285" s="66">
        <v>450</v>
      </c>
      <c r="M285" s="66">
        <v>450</v>
      </c>
      <c r="N285" s="66">
        <v>450</v>
      </c>
      <c r="O285" s="66">
        <v>450</v>
      </c>
      <c r="P285" s="66">
        <v>450</v>
      </c>
      <c r="Q285" s="66">
        <v>450</v>
      </c>
    </row>
    <row r="286" spans="1:133" ht="62.4" x14ac:dyDescent="0.25">
      <c r="A286" s="35" t="s">
        <v>45</v>
      </c>
      <c r="B286" s="60" t="s">
        <v>214</v>
      </c>
      <c r="C286" s="35" t="s">
        <v>46</v>
      </c>
      <c r="D286" s="35" t="s">
        <v>40</v>
      </c>
      <c r="E286" s="65">
        <v>40</v>
      </c>
      <c r="F286" s="65">
        <v>40</v>
      </c>
      <c r="G286" s="65">
        <v>40</v>
      </c>
      <c r="H286" s="65">
        <v>40</v>
      </c>
      <c r="I286" s="65">
        <v>40</v>
      </c>
      <c r="J286" s="65">
        <v>40</v>
      </c>
      <c r="K286" s="65">
        <v>40</v>
      </c>
      <c r="L286" s="65">
        <v>40</v>
      </c>
      <c r="M286" s="65">
        <v>40</v>
      </c>
      <c r="N286" s="65">
        <v>40</v>
      </c>
      <c r="O286" s="65">
        <v>40</v>
      </c>
      <c r="P286" s="65">
        <v>40</v>
      </c>
      <c r="Q286" s="65">
        <v>40</v>
      </c>
    </row>
    <row r="287" spans="1:133" ht="62.4" x14ac:dyDescent="0.25">
      <c r="A287" s="35" t="s">
        <v>47</v>
      </c>
      <c r="B287" s="60" t="s">
        <v>215</v>
      </c>
      <c r="C287" s="35" t="s">
        <v>49</v>
      </c>
      <c r="D287" s="35" t="s">
        <v>324</v>
      </c>
      <c r="E287" s="67">
        <f>E285/1000000</f>
        <v>4.4999999999999999E-4</v>
      </c>
      <c r="F287" s="22">
        <f>F285/1000000</f>
        <v>4.4999999999999999E-4</v>
      </c>
      <c r="G287" s="22">
        <f t="shared" ref="G287:Q287" si="44">G285/1000000</f>
        <v>4.4999999999999999E-4</v>
      </c>
      <c r="H287" s="22">
        <f t="shared" si="44"/>
        <v>4.4999999999999999E-4</v>
      </c>
      <c r="I287" s="22">
        <f t="shared" si="44"/>
        <v>4.4999999999999999E-4</v>
      </c>
      <c r="J287" s="22">
        <f t="shared" si="44"/>
        <v>4.4999999999999999E-4</v>
      </c>
      <c r="K287" s="22">
        <f t="shared" si="44"/>
        <v>4.4999999999999999E-4</v>
      </c>
      <c r="L287" s="22">
        <f t="shared" si="44"/>
        <v>4.4999999999999999E-4</v>
      </c>
      <c r="M287" s="22">
        <f t="shared" si="44"/>
        <v>4.4999999999999999E-4</v>
      </c>
      <c r="N287" s="22">
        <f t="shared" si="44"/>
        <v>4.4999999999999999E-4</v>
      </c>
      <c r="O287" s="22">
        <f t="shared" si="44"/>
        <v>4.4999999999999999E-4</v>
      </c>
      <c r="P287" s="22">
        <f t="shared" si="44"/>
        <v>4.4999999999999999E-4</v>
      </c>
      <c r="Q287" s="22">
        <f t="shared" si="44"/>
        <v>4.4999999999999999E-4</v>
      </c>
    </row>
    <row r="288" spans="1:133" ht="62.4" x14ac:dyDescent="0.25">
      <c r="A288" s="35" t="s">
        <v>45</v>
      </c>
      <c r="B288" s="60" t="s">
        <v>48</v>
      </c>
      <c r="C288" s="35" t="s">
        <v>50</v>
      </c>
      <c r="D288" s="35" t="s">
        <v>325</v>
      </c>
      <c r="E288" s="67">
        <f>E286/1000000</f>
        <v>4.0000000000000003E-5</v>
      </c>
      <c r="F288" s="22">
        <f>F286/1000000</f>
        <v>4.0000000000000003E-5</v>
      </c>
      <c r="G288" s="22">
        <f t="shared" ref="G288:Q288" si="45">G286/1000000</f>
        <v>4.0000000000000003E-5</v>
      </c>
      <c r="H288" s="22">
        <f t="shared" si="45"/>
        <v>4.0000000000000003E-5</v>
      </c>
      <c r="I288" s="22">
        <f t="shared" si="45"/>
        <v>4.0000000000000003E-5</v>
      </c>
      <c r="J288" s="22">
        <f t="shared" si="45"/>
        <v>4.0000000000000003E-5</v>
      </c>
      <c r="K288" s="22">
        <f t="shared" si="45"/>
        <v>4.0000000000000003E-5</v>
      </c>
      <c r="L288" s="22">
        <f t="shared" si="45"/>
        <v>4.0000000000000003E-5</v>
      </c>
      <c r="M288" s="22">
        <f t="shared" si="45"/>
        <v>4.0000000000000003E-5</v>
      </c>
      <c r="N288" s="22">
        <f t="shared" si="45"/>
        <v>4.0000000000000003E-5</v>
      </c>
      <c r="O288" s="22">
        <f t="shared" si="45"/>
        <v>4.0000000000000003E-5</v>
      </c>
      <c r="P288" s="22">
        <f t="shared" si="45"/>
        <v>4.0000000000000003E-5</v>
      </c>
      <c r="Q288" s="22">
        <f t="shared" si="45"/>
        <v>4.0000000000000003E-5</v>
      </c>
    </row>
    <row r="289" spans="1:133" ht="46.8" x14ac:dyDescent="0.25">
      <c r="A289" s="63" t="s">
        <v>51</v>
      </c>
      <c r="B289" s="25" t="s">
        <v>216</v>
      </c>
      <c r="C289" s="35" t="s">
        <v>53</v>
      </c>
      <c r="D289" s="35" t="s">
        <v>343</v>
      </c>
      <c r="E289" s="68">
        <f>(1-(E290/E291))</f>
        <v>0.94936232945754651</v>
      </c>
      <c r="F289" s="68">
        <f>E289</f>
        <v>0.94936232945754651</v>
      </c>
      <c r="G289" s="68">
        <f>E289</f>
        <v>0.94936232945754651</v>
      </c>
      <c r="H289" s="68">
        <f>E289</f>
        <v>0.94936232945754651</v>
      </c>
      <c r="I289" s="68">
        <f>E289</f>
        <v>0.94936232945754651</v>
      </c>
      <c r="J289" s="68">
        <f>E289</f>
        <v>0.94936232945754651</v>
      </c>
      <c r="K289" s="68">
        <f>E289</f>
        <v>0.94936232945754651</v>
      </c>
      <c r="L289" s="68">
        <f>E289</f>
        <v>0.94936232945754651</v>
      </c>
      <c r="M289" s="68">
        <f>E289</f>
        <v>0.94936232945754651</v>
      </c>
      <c r="N289" s="68">
        <f>E289</f>
        <v>0.94936232945754651</v>
      </c>
      <c r="O289" s="68">
        <f>E289</f>
        <v>0.94936232945754651</v>
      </c>
      <c r="P289" s="68">
        <f>E289</f>
        <v>0.94936232945754651</v>
      </c>
      <c r="Q289" s="68">
        <f>E289</f>
        <v>0.94936232945754651</v>
      </c>
    </row>
    <row r="290" spans="1:133" ht="31.2" x14ac:dyDescent="0.25">
      <c r="A290" s="35" t="s">
        <v>54</v>
      </c>
      <c r="B290" s="25" t="s">
        <v>211</v>
      </c>
      <c r="C290" s="35" t="s">
        <v>55</v>
      </c>
      <c r="D290" s="35" t="s">
        <v>323</v>
      </c>
      <c r="E290" s="52">
        <f>SUM(F290:Q290)</f>
        <v>65.103540359999982</v>
      </c>
      <c r="F290" s="52">
        <v>5.5293417839999996</v>
      </c>
      <c r="G290" s="52">
        <v>4.994244192</v>
      </c>
      <c r="H290" s="52">
        <v>5.5293417839999996</v>
      </c>
      <c r="I290" s="52">
        <v>5.3509759199999998</v>
      </c>
      <c r="J290" s="52">
        <v>5.5293417839999996</v>
      </c>
      <c r="K290" s="52">
        <v>5.3509759199999998</v>
      </c>
      <c r="L290" s="52">
        <v>5.5293417839999996</v>
      </c>
      <c r="M290" s="52">
        <v>5.5293417839999996</v>
      </c>
      <c r="N290" s="52">
        <v>5.3509759199999998</v>
      </c>
      <c r="O290" s="52">
        <v>5.5293417839999996</v>
      </c>
      <c r="P290" s="52">
        <v>5.3509759199999998</v>
      </c>
      <c r="Q290" s="52">
        <v>5.5293417839999996</v>
      </c>
    </row>
    <row r="291" spans="1:133" ht="31.2" x14ac:dyDescent="0.25">
      <c r="A291" s="63" t="s">
        <v>56</v>
      </c>
      <c r="B291" s="25" t="s">
        <v>38</v>
      </c>
      <c r="C291" s="35" t="s">
        <v>57</v>
      </c>
      <c r="D291" s="35" t="s">
        <v>323</v>
      </c>
      <c r="E291" s="52">
        <f>SUM(F291:Q291)</f>
        <v>1285.6740774719997</v>
      </c>
      <c r="F291" s="52">
        <v>109.19423671679999</v>
      </c>
      <c r="G291" s="52">
        <v>98.627052518399992</v>
      </c>
      <c r="H291" s="52">
        <v>109.19423671679999</v>
      </c>
      <c r="I291" s="52">
        <v>105.671841984</v>
      </c>
      <c r="J291" s="52">
        <v>109.19423671679999</v>
      </c>
      <c r="K291" s="52">
        <v>105.671841984</v>
      </c>
      <c r="L291" s="52">
        <v>109.19423671679999</v>
      </c>
      <c r="M291" s="52">
        <v>109.19423671679999</v>
      </c>
      <c r="N291" s="52">
        <v>105.671841984</v>
      </c>
      <c r="O291" s="52">
        <v>109.19423671679999</v>
      </c>
      <c r="P291" s="52">
        <v>105.671841984</v>
      </c>
      <c r="Q291" s="52">
        <v>109.19423671679999</v>
      </c>
    </row>
    <row r="292" spans="1:133" ht="31.2" x14ac:dyDescent="0.25">
      <c r="A292" s="53" t="s">
        <v>58</v>
      </c>
      <c r="B292" s="25" t="s">
        <v>216</v>
      </c>
      <c r="C292" s="53" t="s">
        <v>59</v>
      </c>
      <c r="D292" s="35" t="s">
        <v>344</v>
      </c>
      <c r="E292" s="132">
        <f>E293*E294*0.89</f>
        <v>0.52915382983457859</v>
      </c>
      <c r="F292" s="132"/>
      <c r="G292" s="132"/>
      <c r="H292" s="132"/>
      <c r="I292" s="132"/>
      <c r="J292" s="132"/>
      <c r="K292" s="132"/>
      <c r="L292" s="132"/>
      <c r="M292" s="132"/>
      <c r="N292" s="132"/>
      <c r="O292" s="132"/>
      <c r="P292" s="132"/>
      <c r="Q292" s="132"/>
    </row>
    <row r="293" spans="1:133" ht="31.2" x14ac:dyDescent="0.25">
      <c r="A293" s="70" t="s">
        <v>60</v>
      </c>
      <c r="B293" s="25" t="s">
        <v>216</v>
      </c>
      <c r="C293" s="53" t="s">
        <v>61</v>
      </c>
      <c r="D293" s="35" t="s">
        <v>345</v>
      </c>
      <c r="E293" s="119">
        <v>0.7</v>
      </c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1"/>
    </row>
    <row r="294" spans="1:133" ht="36" customHeight="1" x14ac:dyDescent="0.25">
      <c r="A294" s="70" t="s">
        <v>62</v>
      </c>
      <c r="B294" s="25" t="s">
        <v>52</v>
      </c>
      <c r="C294" s="53" t="s">
        <v>63</v>
      </c>
      <c r="D294" s="35" t="s">
        <v>346</v>
      </c>
      <c r="E294" s="122">
        <f>(F295*F300+G295*G300+H295*H300+I295*I300+J295*J300+K295*K300+L295*L300+M295*M300+N295*N300+O295*O300+P295*P300+Q295*Q300)/(F289*F284*F287+G289*G287*G284+H289*H284*H287+I289*I287*I284+J289*J287*J284+K289*K287*K284+L289*L287*L284+M289*M287*M284+N289*N287*N284+O289*O284*O287+P289*P287*P284+Q289*Q287*Q284)</f>
        <v>0.84936409283238945</v>
      </c>
      <c r="F294" s="123"/>
      <c r="G294" s="123"/>
      <c r="H294" s="123"/>
      <c r="I294" s="123"/>
      <c r="J294" s="123"/>
      <c r="K294" s="123"/>
      <c r="L294" s="123"/>
      <c r="M294" s="123"/>
      <c r="N294" s="123"/>
      <c r="O294" s="123"/>
      <c r="P294" s="123"/>
      <c r="Q294" s="124"/>
    </row>
    <row r="295" spans="1:133" s="9" customFormat="1" ht="46.8" x14ac:dyDescent="0.4">
      <c r="A295" s="71" t="s">
        <v>64</v>
      </c>
      <c r="B295" s="25" t="s">
        <v>52</v>
      </c>
      <c r="C295" s="53" t="s">
        <v>65</v>
      </c>
      <c r="D295" s="53" t="s">
        <v>347</v>
      </c>
      <c r="E295" s="72">
        <f>AVERAGE(F295:Q295)</f>
        <v>0.62806589860815809</v>
      </c>
      <c r="F295" s="72">
        <f t="shared" ref="F295:Q295" si="46">IF(F299&lt;283,0,IF(F299&gt;303,1,EXP(($E$23*(F299-$E$24))/($E$25*$E$24*F299))))</f>
        <v>0.26921004737855481</v>
      </c>
      <c r="G295" s="72">
        <f t="shared" si="46"/>
        <v>0.29505266129807517</v>
      </c>
      <c r="H295" s="72">
        <f t="shared" si="46"/>
        <v>0.38698063689870399</v>
      </c>
      <c r="I295" s="72">
        <f t="shared" si="46"/>
        <v>0.55084569341606926</v>
      </c>
      <c r="J295" s="72">
        <f t="shared" si="46"/>
        <v>0.71341857634681827</v>
      </c>
      <c r="K295" s="72">
        <f t="shared" si="46"/>
        <v>0.91923925774048054</v>
      </c>
      <c r="L295" s="72">
        <f t="shared" si="46"/>
        <v>1</v>
      </c>
      <c r="M295" s="72">
        <f t="shared" si="46"/>
        <v>1</v>
      </c>
      <c r="N295" s="72">
        <f t="shared" si="46"/>
        <v>0.91923925774048054</v>
      </c>
      <c r="O295" s="72">
        <f t="shared" si="46"/>
        <v>0.65487347206548807</v>
      </c>
      <c r="P295" s="72">
        <f t="shared" si="46"/>
        <v>0.50475941545474445</v>
      </c>
      <c r="Q295" s="72">
        <f t="shared" si="46"/>
        <v>0.32317176495848171</v>
      </c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  <c r="BI295" s="78"/>
      <c r="BJ295" s="78"/>
      <c r="BK295" s="78"/>
      <c r="BL295" s="78"/>
      <c r="BM295" s="78"/>
      <c r="BN295" s="78"/>
      <c r="BO295" s="78"/>
      <c r="BP295" s="78"/>
      <c r="BQ295" s="78"/>
      <c r="BR295" s="78"/>
      <c r="BS295" s="78"/>
      <c r="BT295" s="78"/>
      <c r="BU295" s="78"/>
      <c r="BV295" s="78"/>
      <c r="BW295" s="78"/>
      <c r="BX295" s="78"/>
      <c r="BY295" s="78"/>
      <c r="BZ295" s="78"/>
      <c r="CA295" s="78"/>
      <c r="CB295" s="78"/>
      <c r="CC295" s="78"/>
      <c r="CD295" s="78"/>
      <c r="CE295" s="78"/>
      <c r="CF295" s="78"/>
      <c r="CG295" s="78"/>
      <c r="CH295" s="78"/>
      <c r="CI295" s="78"/>
      <c r="CJ295" s="78"/>
      <c r="CK295" s="78"/>
      <c r="CL295" s="78"/>
      <c r="CM295" s="78"/>
      <c r="CN295" s="78"/>
      <c r="CO295" s="78"/>
      <c r="CP295" s="78"/>
      <c r="CQ295" s="78"/>
      <c r="CR295" s="78"/>
      <c r="CS295" s="78"/>
      <c r="CT295" s="78"/>
      <c r="CU295" s="78"/>
      <c r="CV295" s="78"/>
      <c r="CW295" s="78"/>
      <c r="CX295" s="78"/>
      <c r="CY295" s="78"/>
      <c r="CZ295" s="78"/>
      <c r="DA295" s="78"/>
      <c r="DB295" s="78"/>
      <c r="DC295" s="78"/>
      <c r="DD295" s="78"/>
      <c r="DE295" s="78"/>
      <c r="DF295" s="78"/>
      <c r="DG295" s="78"/>
      <c r="DH295" s="78"/>
      <c r="DI295" s="78"/>
      <c r="DJ295" s="78"/>
      <c r="DK295" s="78"/>
      <c r="DL295" s="78"/>
      <c r="DM295" s="78"/>
      <c r="DN295" s="78"/>
      <c r="DO295" s="78"/>
      <c r="DP295" s="78"/>
      <c r="DQ295" s="78"/>
      <c r="DR295" s="78"/>
      <c r="DS295" s="78"/>
      <c r="DT295" s="78"/>
      <c r="DU295" s="78"/>
      <c r="DV295" s="78"/>
      <c r="DW295" s="78"/>
      <c r="DX295" s="78"/>
      <c r="DY295" s="78"/>
      <c r="DZ295" s="78"/>
      <c r="EA295" s="78"/>
      <c r="EB295" s="78"/>
      <c r="EC295" s="78"/>
    </row>
    <row r="296" spans="1:133" s="9" customFormat="1" x14ac:dyDescent="0.25">
      <c r="A296" s="73" t="s">
        <v>66</v>
      </c>
      <c r="B296" s="60" t="s">
        <v>217</v>
      </c>
      <c r="C296" s="53" t="s">
        <v>68</v>
      </c>
      <c r="D296" s="53" t="s">
        <v>348</v>
      </c>
      <c r="E296" s="119">
        <v>15175</v>
      </c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1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  <c r="BI296" s="78"/>
      <c r="BJ296" s="78"/>
      <c r="BK296" s="78"/>
      <c r="BL296" s="78"/>
      <c r="BM296" s="78"/>
      <c r="BN296" s="78"/>
      <c r="BO296" s="78"/>
      <c r="BP296" s="78"/>
      <c r="BQ296" s="78"/>
      <c r="BR296" s="78"/>
      <c r="BS296" s="78"/>
      <c r="BT296" s="78"/>
      <c r="BU296" s="78"/>
      <c r="BV296" s="78"/>
      <c r="BW296" s="78"/>
      <c r="BX296" s="78"/>
      <c r="BY296" s="78"/>
      <c r="BZ296" s="78"/>
      <c r="CA296" s="78"/>
      <c r="CB296" s="78"/>
      <c r="CC296" s="78"/>
      <c r="CD296" s="78"/>
      <c r="CE296" s="78"/>
      <c r="CF296" s="78"/>
      <c r="CG296" s="78"/>
      <c r="CH296" s="78"/>
      <c r="CI296" s="78"/>
      <c r="CJ296" s="78"/>
      <c r="CK296" s="78"/>
      <c r="CL296" s="78"/>
      <c r="CM296" s="78"/>
      <c r="CN296" s="78"/>
      <c r="CO296" s="78"/>
      <c r="CP296" s="78"/>
      <c r="CQ296" s="78"/>
      <c r="CR296" s="78"/>
      <c r="CS296" s="78"/>
      <c r="CT296" s="78"/>
      <c r="CU296" s="78"/>
      <c r="CV296" s="78"/>
      <c r="CW296" s="78"/>
      <c r="CX296" s="78"/>
      <c r="CY296" s="78"/>
      <c r="CZ296" s="78"/>
      <c r="DA296" s="78"/>
      <c r="DB296" s="78"/>
      <c r="DC296" s="78"/>
      <c r="DD296" s="78"/>
      <c r="DE296" s="78"/>
      <c r="DF296" s="78"/>
      <c r="DG296" s="78"/>
      <c r="DH296" s="78"/>
      <c r="DI296" s="78"/>
      <c r="DJ296" s="78"/>
      <c r="DK296" s="78"/>
      <c r="DL296" s="78"/>
      <c r="DM296" s="78"/>
      <c r="DN296" s="78"/>
      <c r="DO296" s="78"/>
      <c r="DP296" s="78"/>
      <c r="DQ296" s="78"/>
      <c r="DR296" s="78"/>
      <c r="DS296" s="78"/>
      <c r="DT296" s="78"/>
      <c r="DU296" s="78"/>
      <c r="DV296" s="78"/>
      <c r="DW296" s="78"/>
      <c r="DX296" s="78"/>
      <c r="DY296" s="78"/>
      <c r="DZ296" s="78"/>
      <c r="EA296" s="78"/>
      <c r="EB296" s="78"/>
      <c r="EC296" s="78"/>
    </row>
    <row r="297" spans="1:133" s="9" customFormat="1" ht="18" x14ac:dyDescent="0.25">
      <c r="A297" s="73" t="s">
        <v>69</v>
      </c>
      <c r="B297" s="60" t="s">
        <v>218</v>
      </c>
      <c r="C297" s="53" t="s">
        <v>71</v>
      </c>
      <c r="D297" s="53" t="s">
        <v>348</v>
      </c>
      <c r="E297" s="119">
        <v>303.16000000000003</v>
      </c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1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  <c r="BI297" s="78"/>
      <c r="BJ297" s="78"/>
      <c r="BK297" s="78"/>
      <c r="BL297" s="78"/>
      <c r="BM297" s="78"/>
      <c r="BN297" s="78"/>
      <c r="BO297" s="78"/>
      <c r="BP297" s="78"/>
      <c r="BQ297" s="78"/>
      <c r="BR297" s="78"/>
      <c r="BS297" s="78"/>
      <c r="BT297" s="78"/>
      <c r="BU297" s="78"/>
      <c r="BV297" s="78"/>
      <c r="BW297" s="78"/>
      <c r="BX297" s="78"/>
      <c r="BY297" s="78"/>
      <c r="BZ297" s="78"/>
      <c r="CA297" s="78"/>
      <c r="CB297" s="78"/>
      <c r="CC297" s="78"/>
      <c r="CD297" s="78"/>
      <c r="CE297" s="78"/>
      <c r="CF297" s="78"/>
      <c r="CG297" s="78"/>
      <c r="CH297" s="78"/>
      <c r="CI297" s="78"/>
      <c r="CJ297" s="78"/>
      <c r="CK297" s="78"/>
      <c r="CL297" s="78"/>
      <c r="CM297" s="78"/>
      <c r="CN297" s="78"/>
      <c r="CO297" s="78"/>
      <c r="CP297" s="78"/>
      <c r="CQ297" s="78"/>
      <c r="CR297" s="78"/>
      <c r="CS297" s="78"/>
      <c r="CT297" s="78"/>
      <c r="CU297" s="78"/>
      <c r="CV297" s="78"/>
      <c r="CW297" s="78"/>
      <c r="CX297" s="78"/>
      <c r="CY297" s="78"/>
      <c r="CZ297" s="78"/>
      <c r="DA297" s="78"/>
      <c r="DB297" s="78"/>
      <c r="DC297" s="78"/>
      <c r="DD297" s="78"/>
      <c r="DE297" s="78"/>
      <c r="DF297" s="78"/>
      <c r="DG297" s="78"/>
      <c r="DH297" s="78"/>
      <c r="DI297" s="78"/>
      <c r="DJ297" s="78"/>
      <c r="DK297" s="78"/>
      <c r="DL297" s="78"/>
      <c r="DM297" s="78"/>
      <c r="DN297" s="78"/>
      <c r="DO297" s="78"/>
      <c r="DP297" s="78"/>
      <c r="DQ297" s="78"/>
      <c r="DR297" s="78"/>
      <c r="DS297" s="78"/>
      <c r="DT297" s="78"/>
      <c r="DU297" s="78"/>
      <c r="DV297" s="78"/>
      <c r="DW297" s="78"/>
      <c r="DX297" s="78"/>
      <c r="DY297" s="78"/>
      <c r="DZ297" s="78"/>
      <c r="EA297" s="78"/>
      <c r="EB297" s="78"/>
      <c r="EC297" s="78"/>
    </row>
    <row r="298" spans="1:133" s="9" customFormat="1" x14ac:dyDescent="0.25">
      <c r="A298" s="73" t="s">
        <v>72</v>
      </c>
      <c r="B298" s="60" t="s">
        <v>219</v>
      </c>
      <c r="C298" s="53" t="s">
        <v>74</v>
      </c>
      <c r="D298" s="53" t="s">
        <v>348</v>
      </c>
      <c r="E298" s="119">
        <v>1.9870000000000001</v>
      </c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1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  <c r="BI298" s="78"/>
      <c r="BJ298" s="78"/>
      <c r="BK298" s="78"/>
      <c r="BL298" s="78"/>
      <c r="BM298" s="78"/>
      <c r="BN298" s="78"/>
      <c r="BO298" s="78"/>
      <c r="BP298" s="78"/>
      <c r="BQ298" s="78"/>
      <c r="BR298" s="78"/>
      <c r="BS298" s="78"/>
      <c r="BT298" s="78"/>
      <c r="BU298" s="78"/>
      <c r="BV298" s="78"/>
      <c r="BW298" s="78"/>
      <c r="BX298" s="78"/>
      <c r="BY298" s="78"/>
      <c r="BZ298" s="78"/>
      <c r="CA298" s="78"/>
      <c r="CB298" s="78"/>
      <c r="CC298" s="78"/>
      <c r="CD298" s="78"/>
      <c r="CE298" s="78"/>
      <c r="CF298" s="78"/>
      <c r="CG298" s="78"/>
      <c r="CH298" s="78"/>
      <c r="CI298" s="78"/>
      <c r="CJ298" s="78"/>
      <c r="CK298" s="78"/>
      <c r="CL298" s="78"/>
      <c r="CM298" s="78"/>
      <c r="CN298" s="78"/>
      <c r="CO298" s="78"/>
      <c r="CP298" s="78"/>
      <c r="CQ298" s="78"/>
      <c r="CR298" s="78"/>
      <c r="CS298" s="78"/>
      <c r="CT298" s="78"/>
      <c r="CU298" s="78"/>
      <c r="CV298" s="78"/>
      <c r="CW298" s="78"/>
      <c r="CX298" s="78"/>
      <c r="CY298" s="78"/>
      <c r="CZ298" s="78"/>
      <c r="DA298" s="78"/>
      <c r="DB298" s="78"/>
      <c r="DC298" s="78"/>
      <c r="DD298" s="78"/>
      <c r="DE298" s="78"/>
      <c r="DF298" s="78"/>
      <c r="DG298" s="78"/>
      <c r="DH298" s="78"/>
      <c r="DI298" s="78"/>
      <c r="DJ298" s="78"/>
      <c r="DK298" s="78"/>
      <c r="DL298" s="78"/>
      <c r="DM298" s="78"/>
      <c r="DN298" s="78"/>
      <c r="DO298" s="78"/>
      <c r="DP298" s="78"/>
      <c r="DQ298" s="78"/>
      <c r="DR298" s="78"/>
      <c r="DS298" s="78"/>
      <c r="DT298" s="78"/>
      <c r="DU298" s="78"/>
      <c r="DV298" s="78"/>
      <c r="DW298" s="78"/>
      <c r="DX298" s="78"/>
      <c r="DY298" s="78"/>
      <c r="DZ298" s="78"/>
      <c r="EA298" s="78"/>
      <c r="EB298" s="78"/>
      <c r="EC298" s="78"/>
    </row>
    <row r="299" spans="1:133" s="9" customFormat="1" ht="31.2" x14ac:dyDescent="0.25">
      <c r="A299" s="73" t="s">
        <v>75</v>
      </c>
      <c r="B299" s="60" t="s">
        <v>218</v>
      </c>
      <c r="C299" s="53" t="s">
        <v>76</v>
      </c>
      <c r="D299" s="53" t="s">
        <v>268</v>
      </c>
      <c r="E299" s="111">
        <f>AVERAGE(F299:Q299)</f>
        <v>296.56666666666672</v>
      </c>
      <c r="F299" s="60">
        <v>288.14999999999998</v>
      </c>
      <c r="G299" s="60">
        <v>289.14999999999998</v>
      </c>
      <c r="H299" s="60">
        <v>292.14999999999998</v>
      </c>
      <c r="I299" s="60">
        <v>296.14999999999998</v>
      </c>
      <c r="J299" s="60">
        <v>299.14999999999998</v>
      </c>
      <c r="K299" s="60">
        <v>302.14999999999998</v>
      </c>
      <c r="L299" s="60">
        <v>303.14999999999998</v>
      </c>
      <c r="M299" s="60">
        <v>303.14999999999998</v>
      </c>
      <c r="N299" s="60">
        <v>302.14999999999998</v>
      </c>
      <c r="O299" s="60">
        <v>298.14999999999998</v>
      </c>
      <c r="P299" s="60">
        <v>295.14999999999998</v>
      </c>
      <c r="Q299" s="60">
        <v>290.14999999999998</v>
      </c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  <c r="BI299" s="78"/>
      <c r="BJ299" s="78"/>
      <c r="BK299" s="78"/>
      <c r="BL299" s="78"/>
      <c r="BM299" s="78"/>
      <c r="BN299" s="78"/>
      <c r="BO299" s="78"/>
      <c r="BP299" s="78"/>
      <c r="BQ299" s="78"/>
      <c r="BR299" s="78"/>
      <c r="BS299" s="78"/>
      <c r="BT299" s="78"/>
      <c r="BU299" s="78"/>
      <c r="BV299" s="78"/>
      <c r="BW299" s="78"/>
      <c r="BX299" s="78"/>
      <c r="BY299" s="78"/>
      <c r="BZ299" s="78"/>
      <c r="CA299" s="78"/>
      <c r="CB299" s="78"/>
      <c r="CC299" s="78"/>
      <c r="CD299" s="78"/>
      <c r="CE299" s="78"/>
      <c r="CF299" s="78"/>
      <c r="CG299" s="78"/>
      <c r="CH299" s="78"/>
      <c r="CI299" s="78"/>
      <c r="CJ299" s="78"/>
      <c r="CK299" s="78"/>
      <c r="CL299" s="78"/>
      <c r="CM299" s="78"/>
      <c r="CN299" s="78"/>
      <c r="CO299" s="78"/>
      <c r="CP299" s="78"/>
      <c r="CQ299" s="78"/>
      <c r="CR299" s="78"/>
      <c r="CS299" s="78"/>
      <c r="CT299" s="78"/>
      <c r="CU299" s="78"/>
      <c r="CV299" s="78"/>
      <c r="CW299" s="78"/>
      <c r="CX299" s="78"/>
      <c r="CY299" s="78"/>
      <c r="CZ299" s="78"/>
      <c r="DA299" s="78"/>
      <c r="DB299" s="78"/>
      <c r="DC299" s="78"/>
      <c r="DD299" s="78"/>
      <c r="DE299" s="78"/>
      <c r="DF299" s="78"/>
      <c r="DG299" s="78"/>
      <c r="DH299" s="78"/>
      <c r="DI299" s="78"/>
      <c r="DJ299" s="78"/>
      <c r="DK299" s="78"/>
      <c r="DL299" s="78"/>
      <c r="DM299" s="78"/>
      <c r="DN299" s="78"/>
      <c r="DO299" s="78"/>
      <c r="DP299" s="78"/>
      <c r="DQ299" s="78"/>
      <c r="DR299" s="78"/>
      <c r="DS299" s="78"/>
      <c r="DT299" s="78"/>
      <c r="DU299" s="78"/>
      <c r="DV299" s="78"/>
      <c r="DW299" s="78"/>
      <c r="DX299" s="78"/>
      <c r="DY299" s="78"/>
      <c r="DZ299" s="78"/>
      <c r="EA299" s="78"/>
      <c r="EB299" s="78"/>
      <c r="EC299" s="78"/>
    </row>
    <row r="300" spans="1:133" s="9" customFormat="1" ht="31.2" x14ac:dyDescent="0.4">
      <c r="A300" s="71" t="s">
        <v>77</v>
      </c>
      <c r="B300" s="60" t="s">
        <v>211</v>
      </c>
      <c r="C300" s="53" t="s">
        <v>78</v>
      </c>
      <c r="D300" s="53" t="s">
        <v>349</v>
      </c>
      <c r="E300" s="74">
        <f>SUM(F300:Q300)</f>
        <v>2260.6601329882428</v>
      </c>
      <c r="F300" s="74">
        <f>F289*F284*F287+(1-F295)*0</f>
        <v>131.11168450973446</v>
      </c>
      <c r="G300" s="74">
        <f t="shared" ref="G300:Q300" si="47">G289*G284*G287+(1-G295)*F300</f>
        <v>210.85029004439804</v>
      </c>
      <c r="H300" s="74">
        <f t="shared" si="47"/>
        <v>260.36699502247484</v>
      </c>
      <c r="I300" s="74">
        <f t="shared" si="47"/>
        <v>243.82723243866252</v>
      </c>
      <c r="J300" s="74">
        <f t="shared" si="47"/>
        <v>200.98803990742164</v>
      </c>
      <c r="K300" s="74">
        <f t="shared" si="47"/>
        <v>143.11421862021038</v>
      </c>
      <c r="L300" s="74">
        <f t="shared" si="47"/>
        <v>131.11168450973446</v>
      </c>
      <c r="M300" s="74">
        <f t="shared" si="47"/>
        <v>131.11168450973446</v>
      </c>
      <c r="N300" s="74">
        <f t="shared" si="47"/>
        <v>137.47095229190319</v>
      </c>
      <c r="O300" s="74">
        <f t="shared" si="47"/>
        <v>178.55655696608994</v>
      </c>
      <c r="P300" s="74">
        <f t="shared" si="47"/>
        <v>215.31072897827568</v>
      </c>
      <c r="Q300" s="74">
        <f t="shared" si="47"/>
        <v>276.84006518960348</v>
      </c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  <c r="BI300" s="78"/>
      <c r="BJ300" s="78"/>
      <c r="BK300" s="78"/>
      <c r="BL300" s="78"/>
      <c r="BM300" s="78"/>
      <c r="BN300" s="78"/>
      <c r="BO300" s="78"/>
      <c r="BP300" s="78"/>
      <c r="BQ300" s="78"/>
      <c r="BR300" s="78"/>
      <c r="BS300" s="78"/>
      <c r="BT300" s="78"/>
      <c r="BU300" s="78"/>
      <c r="BV300" s="78"/>
      <c r="BW300" s="78"/>
      <c r="BX300" s="78"/>
      <c r="BY300" s="78"/>
      <c r="BZ300" s="78"/>
      <c r="CA300" s="78"/>
      <c r="CB300" s="78"/>
      <c r="CC300" s="78"/>
      <c r="CD300" s="78"/>
      <c r="CE300" s="78"/>
      <c r="CF300" s="78"/>
      <c r="CG300" s="78"/>
      <c r="CH300" s="78"/>
      <c r="CI300" s="78"/>
      <c r="CJ300" s="78"/>
      <c r="CK300" s="78"/>
      <c r="CL300" s="78"/>
      <c r="CM300" s="78"/>
      <c r="CN300" s="78"/>
      <c r="CO300" s="78"/>
      <c r="CP300" s="78"/>
      <c r="CQ300" s="78"/>
      <c r="CR300" s="78"/>
      <c r="CS300" s="78"/>
      <c r="CT300" s="78"/>
      <c r="CU300" s="78"/>
      <c r="CV300" s="78"/>
      <c r="CW300" s="78"/>
      <c r="CX300" s="78"/>
      <c r="CY300" s="78"/>
      <c r="CZ300" s="78"/>
      <c r="DA300" s="78"/>
      <c r="DB300" s="78"/>
      <c r="DC300" s="78"/>
      <c r="DD300" s="78"/>
      <c r="DE300" s="78"/>
      <c r="DF300" s="78"/>
      <c r="DG300" s="78"/>
      <c r="DH300" s="78"/>
      <c r="DI300" s="78"/>
      <c r="DJ300" s="78"/>
      <c r="DK300" s="78"/>
      <c r="DL300" s="78"/>
      <c r="DM300" s="78"/>
      <c r="DN300" s="78"/>
      <c r="DO300" s="78"/>
      <c r="DP300" s="78"/>
      <c r="DQ300" s="78"/>
      <c r="DR300" s="78"/>
      <c r="DS300" s="78"/>
      <c r="DT300" s="78"/>
      <c r="DU300" s="78"/>
      <c r="DV300" s="78"/>
      <c r="DW300" s="78"/>
      <c r="DX300" s="78"/>
      <c r="DY300" s="78"/>
      <c r="DZ300" s="78"/>
      <c r="EA300" s="78"/>
      <c r="EB300" s="78"/>
      <c r="EC300" s="78"/>
    </row>
    <row r="302" spans="1:133" x14ac:dyDescent="0.25">
      <c r="A302" s="133" t="s">
        <v>79</v>
      </c>
      <c r="B302" s="133"/>
      <c r="C302" s="133"/>
      <c r="D302" s="133"/>
      <c r="E302" s="133"/>
    </row>
    <row r="303" spans="1:133" x14ac:dyDescent="0.25">
      <c r="A303" s="57" t="s">
        <v>9</v>
      </c>
      <c r="B303" s="58" t="s">
        <v>10</v>
      </c>
      <c r="C303" s="34" t="s">
        <v>11</v>
      </c>
      <c r="D303" s="34" t="s">
        <v>12</v>
      </c>
      <c r="E303" s="16" t="s">
        <v>80</v>
      </c>
    </row>
    <row r="304" spans="1:133" ht="46.8" x14ac:dyDescent="0.25">
      <c r="A304" s="59" t="s">
        <v>81</v>
      </c>
      <c r="B304" s="60" t="s">
        <v>28</v>
      </c>
      <c r="C304" s="53" t="s">
        <v>82</v>
      </c>
      <c r="D304" s="53" t="s">
        <v>83</v>
      </c>
      <c r="E304" s="75">
        <v>0</v>
      </c>
    </row>
    <row r="305" spans="1:5" ht="46.8" x14ac:dyDescent="0.25">
      <c r="A305" s="63" t="s">
        <v>84</v>
      </c>
      <c r="B305" s="25" t="s">
        <v>85</v>
      </c>
      <c r="C305" s="35" t="s">
        <v>86</v>
      </c>
      <c r="D305" s="35" t="str">
        <f>D311</f>
        <v>Historical data on site in the FSR (It was calculated with conservative value)</v>
      </c>
      <c r="E305" s="74">
        <f>E311</f>
        <v>560.8048387096776</v>
      </c>
    </row>
    <row r="307" spans="1:5" x14ac:dyDescent="0.25">
      <c r="A307" s="134" t="s">
        <v>87</v>
      </c>
      <c r="B307" s="134"/>
      <c r="C307" s="135"/>
      <c r="D307" s="135"/>
      <c r="E307" s="134"/>
    </row>
    <row r="308" spans="1:5" x14ac:dyDescent="0.25">
      <c r="A308" s="59" t="s">
        <v>9</v>
      </c>
      <c r="B308" s="16" t="s">
        <v>10</v>
      </c>
      <c r="C308" s="38" t="s">
        <v>11</v>
      </c>
      <c r="D308" s="38" t="s">
        <v>12</v>
      </c>
      <c r="E308" s="16" t="s">
        <v>80</v>
      </c>
    </row>
    <row r="309" spans="1:5" ht="33.6" x14ac:dyDescent="0.4">
      <c r="A309" s="76" t="s">
        <v>88</v>
      </c>
      <c r="B309" s="25" t="s">
        <v>89</v>
      </c>
      <c r="C309" s="35" t="s">
        <v>90</v>
      </c>
      <c r="D309" s="35" t="s">
        <v>350</v>
      </c>
      <c r="E309" s="50">
        <f>E310*E313*E314*E315*E316*E317</f>
        <v>1.8981986536535607</v>
      </c>
    </row>
    <row r="310" spans="1:5" ht="46.8" x14ac:dyDescent="0.4">
      <c r="A310" s="77" t="s">
        <v>223</v>
      </c>
      <c r="B310" s="25" t="s">
        <v>91</v>
      </c>
      <c r="C310" s="35" t="s">
        <v>92</v>
      </c>
      <c r="D310" s="35" t="s">
        <v>351</v>
      </c>
      <c r="E310" s="52">
        <f>E311/E312</f>
        <v>112.16096774193552</v>
      </c>
    </row>
    <row r="311" spans="1:5" ht="46.8" x14ac:dyDescent="0.25">
      <c r="A311" s="63" t="s">
        <v>224</v>
      </c>
      <c r="B311" s="25" t="s">
        <v>93</v>
      </c>
      <c r="C311" s="35" t="s">
        <v>94</v>
      </c>
      <c r="D311" s="53" t="s">
        <v>322</v>
      </c>
      <c r="E311" s="52">
        <v>560.8048387096776</v>
      </c>
    </row>
    <row r="312" spans="1:5" ht="31.2" x14ac:dyDescent="0.25">
      <c r="A312" s="63" t="s">
        <v>225</v>
      </c>
      <c r="B312" s="25" t="s">
        <v>95</v>
      </c>
      <c r="C312" s="35" t="s">
        <v>96</v>
      </c>
      <c r="D312" s="35" t="s">
        <v>327</v>
      </c>
      <c r="E312" s="25">
        <f>5</f>
        <v>5</v>
      </c>
    </row>
    <row r="313" spans="1:5" ht="62.4" x14ac:dyDescent="0.25">
      <c r="A313" s="63" t="s">
        <v>226</v>
      </c>
      <c r="B313" s="25" t="s">
        <v>97</v>
      </c>
      <c r="C313" s="35" t="s">
        <v>98</v>
      </c>
      <c r="D313" s="53" t="s">
        <v>327</v>
      </c>
      <c r="E313" s="25">
        <f>12.5*2</f>
        <v>25</v>
      </c>
    </row>
    <row r="314" spans="1:5" ht="172.2" x14ac:dyDescent="0.25">
      <c r="A314" s="63" t="s">
        <v>227</v>
      </c>
      <c r="B314" s="25" t="s">
        <v>99</v>
      </c>
      <c r="C314" s="35" t="s">
        <v>100</v>
      </c>
      <c r="D314" s="35" t="s">
        <v>338</v>
      </c>
      <c r="E314" s="25">
        <f>25.1/100</f>
        <v>0.251</v>
      </c>
    </row>
    <row r="315" spans="1:5" ht="140.4" x14ac:dyDescent="0.25">
      <c r="A315" s="63" t="s">
        <v>228</v>
      </c>
      <c r="B315" s="25" t="s">
        <v>102</v>
      </c>
      <c r="C315" s="35" t="s">
        <v>101</v>
      </c>
      <c r="D315" s="35" t="s">
        <v>337</v>
      </c>
      <c r="E315" s="25">
        <f>0.84/1000</f>
        <v>8.3999999999999993E-4</v>
      </c>
    </row>
    <row r="316" spans="1:5" ht="140.4" x14ac:dyDescent="0.25">
      <c r="A316" s="63" t="s">
        <v>229</v>
      </c>
      <c r="B316" s="25" t="s">
        <v>103</v>
      </c>
      <c r="C316" s="35" t="s">
        <v>104</v>
      </c>
      <c r="D316" s="35" t="s">
        <v>335</v>
      </c>
      <c r="E316" s="25">
        <f>43.33/1000</f>
        <v>4.333E-2</v>
      </c>
    </row>
    <row r="317" spans="1:5" ht="62.4" x14ac:dyDescent="0.25">
      <c r="A317" s="63" t="s">
        <v>230</v>
      </c>
      <c r="B317" s="25" t="s">
        <v>105</v>
      </c>
      <c r="C317" s="35" t="s">
        <v>106</v>
      </c>
      <c r="D317" s="35" t="s">
        <v>333</v>
      </c>
      <c r="E317" s="25">
        <v>74.099999999999994</v>
      </c>
    </row>
    <row r="319" spans="1:5" x14ac:dyDescent="0.25">
      <c r="A319" s="133" t="s">
        <v>108</v>
      </c>
      <c r="B319" s="133"/>
      <c r="C319" s="133"/>
      <c r="D319" s="133"/>
      <c r="E319" s="133"/>
    </row>
    <row r="320" spans="1:5" x14ac:dyDescent="0.25">
      <c r="A320" s="57" t="s">
        <v>9</v>
      </c>
      <c r="B320" s="58" t="s">
        <v>10</v>
      </c>
      <c r="C320" s="34" t="s">
        <v>11</v>
      </c>
      <c r="D320" s="34" t="s">
        <v>12</v>
      </c>
      <c r="E320" s="16" t="s">
        <v>80</v>
      </c>
    </row>
    <row r="321" spans="1:133" ht="64.8" x14ac:dyDescent="0.25">
      <c r="A321" s="15" t="s">
        <v>109</v>
      </c>
      <c r="B321" s="25" t="s">
        <v>110</v>
      </c>
      <c r="C321" s="35" t="s">
        <v>111</v>
      </c>
      <c r="D321" s="35" t="s">
        <v>112</v>
      </c>
      <c r="E321" s="16">
        <v>0</v>
      </c>
    </row>
    <row r="323" spans="1:133" x14ac:dyDescent="0.25">
      <c r="A323" s="133" t="s">
        <v>113</v>
      </c>
      <c r="B323" s="133"/>
      <c r="C323" s="133"/>
      <c r="D323" s="133"/>
      <c r="E323" s="133"/>
    </row>
    <row r="324" spans="1:133" x14ac:dyDescent="0.25">
      <c r="A324" s="57" t="s">
        <v>9</v>
      </c>
      <c r="B324" s="58" t="s">
        <v>10</v>
      </c>
      <c r="C324" s="34" t="s">
        <v>11</v>
      </c>
      <c r="D324" s="34" t="s">
        <v>12</v>
      </c>
      <c r="E324" s="16" t="s">
        <v>80</v>
      </c>
    </row>
    <row r="325" spans="1:133" ht="49.2" x14ac:dyDescent="0.25">
      <c r="A325" s="15" t="s">
        <v>114</v>
      </c>
      <c r="B325" s="25" t="s">
        <v>110</v>
      </c>
      <c r="C325" s="35" t="s">
        <v>115</v>
      </c>
      <c r="D325" s="35" t="s">
        <v>116</v>
      </c>
      <c r="E325" s="16">
        <v>0</v>
      </c>
    </row>
    <row r="327" spans="1:133" x14ac:dyDescent="0.25">
      <c r="A327" s="57" t="s">
        <v>9</v>
      </c>
      <c r="B327" s="58" t="s">
        <v>10</v>
      </c>
      <c r="C327" s="34" t="s">
        <v>11</v>
      </c>
      <c r="D327" s="34" t="s">
        <v>12</v>
      </c>
      <c r="E327" s="16" t="s">
        <v>80</v>
      </c>
    </row>
    <row r="328" spans="1:133" ht="18" x14ac:dyDescent="0.25">
      <c r="A328" s="59" t="s">
        <v>117</v>
      </c>
      <c r="B328" s="25" t="s">
        <v>118</v>
      </c>
      <c r="C328" s="35" t="s">
        <v>119</v>
      </c>
      <c r="D328" s="53" t="s">
        <v>352</v>
      </c>
      <c r="E328" s="18">
        <f>ROUNDDOWN(E278+E309+E304+E321+E325,0)</f>
        <v>4902</v>
      </c>
    </row>
    <row r="329" spans="1:133" s="138" customFormat="1" ht="43.2" customHeight="1" x14ac:dyDescent="0.25">
      <c r="A329" s="138" t="s">
        <v>249</v>
      </c>
    </row>
    <row r="330" spans="1:133" s="56" customFormat="1" x14ac:dyDescent="0.25">
      <c r="A330" s="93" t="s">
        <v>9</v>
      </c>
      <c r="B330" s="94" t="s">
        <v>10</v>
      </c>
      <c r="C330" s="95" t="s">
        <v>11</v>
      </c>
      <c r="D330" s="95" t="s">
        <v>12</v>
      </c>
      <c r="E330" s="94" t="s">
        <v>13</v>
      </c>
      <c r="F330" s="96" t="s">
        <v>14</v>
      </c>
      <c r="G330" s="96" t="s">
        <v>15</v>
      </c>
      <c r="H330" s="96" t="s">
        <v>16</v>
      </c>
      <c r="I330" s="96" t="s">
        <v>17</v>
      </c>
      <c r="J330" s="96" t="s">
        <v>18</v>
      </c>
      <c r="K330" s="96" t="s">
        <v>19</v>
      </c>
      <c r="L330" s="96" t="s">
        <v>20</v>
      </c>
      <c r="M330" s="96" t="s">
        <v>21</v>
      </c>
      <c r="N330" s="96" t="s">
        <v>22</v>
      </c>
      <c r="O330" s="96" t="s">
        <v>23</v>
      </c>
      <c r="P330" s="96" t="s">
        <v>24</v>
      </c>
      <c r="Q330" s="96" t="s">
        <v>25</v>
      </c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4"/>
      <c r="AM330" s="54"/>
      <c r="AN330" s="54"/>
      <c r="AO330" s="54"/>
      <c r="AP330" s="54"/>
      <c r="AQ330" s="54"/>
      <c r="AR330" s="54"/>
      <c r="AS330" s="54"/>
      <c r="AT330" s="54"/>
      <c r="AU330" s="54"/>
      <c r="AV330" s="54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  <c r="BH330" s="54"/>
      <c r="BI330" s="54"/>
      <c r="BJ330" s="54"/>
      <c r="BK330" s="54"/>
      <c r="BL330" s="54"/>
      <c r="BM330" s="54"/>
      <c r="BN330" s="54"/>
      <c r="BO330" s="54"/>
      <c r="BP330" s="54"/>
      <c r="BQ330" s="54"/>
      <c r="BR330" s="54"/>
      <c r="BS330" s="54"/>
      <c r="BT330" s="54"/>
      <c r="BU330" s="54"/>
      <c r="BV330" s="54"/>
      <c r="BW330" s="54"/>
      <c r="BX330" s="54"/>
      <c r="BY330" s="54"/>
      <c r="BZ330" s="54"/>
      <c r="CA330" s="54"/>
      <c r="CB330" s="54"/>
      <c r="CC330" s="54"/>
      <c r="CD330" s="54"/>
      <c r="CE330" s="54"/>
      <c r="CF330" s="54"/>
      <c r="CG330" s="54"/>
      <c r="CH330" s="54"/>
      <c r="CI330" s="54"/>
      <c r="CJ330" s="54"/>
      <c r="CK330" s="54"/>
      <c r="CL330" s="54"/>
      <c r="CM330" s="54"/>
      <c r="CN330" s="54"/>
      <c r="CO330" s="54"/>
      <c r="CP330" s="54"/>
      <c r="CQ330" s="54"/>
      <c r="CR330" s="54"/>
      <c r="CS330" s="54"/>
      <c r="CT330" s="54"/>
      <c r="CU330" s="54"/>
      <c r="CV330" s="54"/>
      <c r="CW330" s="54"/>
      <c r="CX330" s="54"/>
      <c r="CY330" s="54"/>
      <c r="CZ330" s="54"/>
      <c r="DA330" s="54"/>
      <c r="DB330" s="54"/>
      <c r="DC330" s="54"/>
      <c r="DD330" s="54"/>
      <c r="DE330" s="54"/>
      <c r="DF330" s="54"/>
      <c r="DG330" s="54"/>
      <c r="DH330" s="54"/>
      <c r="DI330" s="54"/>
      <c r="DJ330" s="54"/>
      <c r="DK330" s="54"/>
      <c r="DL330" s="54"/>
      <c r="DM330" s="54"/>
      <c r="DN330" s="54"/>
      <c r="DO330" s="54"/>
      <c r="DP330" s="54"/>
      <c r="DQ330" s="54"/>
      <c r="DR330" s="54"/>
      <c r="DS330" s="54"/>
      <c r="DT330" s="54"/>
      <c r="DU330" s="54"/>
      <c r="DV330" s="54"/>
      <c r="DW330" s="54"/>
      <c r="DX330" s="54"/>
      <c r="DY330" s="54"/>
      <c r="DZ330" s="54"/>
      <c r="EA330" s="54"/>
      <c r="EB330" s="54"/>
      <c r="EC330" s="54"/>
    </row>
    <row r="331" spans="1:133" s="56" customFormat="1" x14ac:dyDescent="0.25">
      <c r="A331" s="128" t="s">
        <v>26</v>
      </c>
      <c r="B331" s="128"/>
      <c r="C331" s="129"/>
      <c r="D331" s="129"/>
      <c r="E331" s="128"/>
      <c r="F331" s="16">
        <v>31</v>
      </c>
      <c r="G331" s="16">
        <v>28</v>
      </c>
      <c r="H331" s="16">
        <v>31</v>
      </c>
      <c r="I331" s="16">
        <v>30</v>
      </c>
      <c r="J331" s="16">
        <v>31</v>
      </c>
      <c r="K331" s="16">
        <v>30</v>
      </c>
      <c r="L331" s="16">
        <v>31</v>
      </c>
      <c r="M331" s="16">
        <v>31</v>
      </c>
      <c r="N331" s="16">
        <v>30</v>
      </c>
      <c r="O331" s="16">
        <v>31</v>
      </c>
      <c r="P331" s="16">
        <v>30</v>
      </c>
      <c r="Q331" s="16">
        <v>31</v>
      </c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4"/>
      <c r="AM331" s="54"/>
      <c r="AN331" s="54"/>
      <c r="AO331" s="54"/>
      <c r="AP331" s="54"/>
      <c r="AQ331" s="54"/>
      <c r="AR331" s="54"/>
      <c r="AS331" s="54"/>
      <c r="AT331" s="54"/>
      <c r="AU331" s="54"/>
      <c r="AV331" s="54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  <c r="BH331" s="54"/>
      <c r="BI331" s="54"/>
      <c r="BJ331" s="54"/>
      <c r="BK331" s="54"/>
      <c r="BL331" s="54"/>
      <c r="BM331" s="54"/>
      <c r="BN331" s="54"/>
      <c r="BO331" s="54"/>
      <c r="BP331" s="54"/>
      <c r="BQ331" s="54"/>
      <c r="BR331" s="54"/>
      <c r="BS331" s="54"/>
      <c r="BT331" s="54"/>
      <c r="BU331" s="54"/>
      <c r="BV331" s="54"/>
      <c r="BW331" s="54"/>
      <c r="BX331" s="54"/>
      <c r="BY331" s="54"/>
      <c r="BZ331" s="54"/>
      <c r="CA331" s="54"/>
      <c r="CB331" s="54"/>
      <c r="CC331" s="54"/>
      <c r="CD331" s="54"/>
      <c r="CE331" s="54"/>
      <c r="CF331" s="54"/>
      <c r="CG331" s="54"/>
      <c r="CH331" s="54"/>
      <c r="CI331" s="54"/>
      <c r="CJ331" s="54"/>
      <c r="CK331" s="54"/>
      <c r="CL331" s="54"/>
      <c r="CM331" s="54"/>
      <c r="CN331" s="54"/>
      <c r="CO331" s="54"/>
      <c r="CP331" s="54"/>
      <c r="CQ331" s="54"/>
      <c r="CR331" s="54"/>
      <c r="CS331" s="54"/>
      <c r="CT331" s="54"/>
      <c r="CU331" s="54"/>
      <c r="CV331" s="54"/>
      <c r="CW331" s="54"/>
      <c r="CX331" s="54"/>
      <c r="CY331" s="54"/>
      <c r="CZ331" s="54"/>
      <c r="DA331" s="54"/>
      <c r="DB331" s="54"/>
      <c r="DC331" s="54"/>
      <c r="DD331" s="54"/>
      <c r="DE331" s="54"/>
      <c r="DF331" s="54"/>
      <c r="DG331" s="54"/>
      <c r="DH331" s="54"/>
      <c r="DI331" s="54"/>
      <c r="DJ331" s="54"/>
      <c r="DK331" s="54"/>
      <c r="DL331" s="54"/>
      <c r="DM331" s="54"/>
      <c r="DN331" s="54"/>
      <c r="DO331" s="54"/>
      <c r="DP331" s="54"/>
      <c r="DQ331" s="54"/>
      <c r="DR331" s="54"/>
      <c r="DS331" s="54"/>
      <c r="DT331" s="54"/>
      <c r="DU331" s="54"/>
      <c r="DV331" s="54"/>
      <c r="DW331" s="54"/>
      <c r="DX331" s="54"/>
      <c r="DY331" s="54"/>
      <c r="DZ331" s="54"/>
      <c r="EA331" s="54"/>
      <c r="EB331" s="54"/>
      <c r="EC331" s="54"/>
    </row>
    <row r="332" spans="1:133" ht="46.8" x14ac:dyDescent="0.25">
      <c r="A332" s="59" t="s">
        <v>27</v>
      </c>
      <c r="B332" s="60" t="s">
        <v>28</v>
      </c>
      <c r="C332" s="53" t="s">
        <v>29</v>
      </c>
      <c r="D332" s="53" t="s">
        <v>340</v>
      </c>
      <c r="E332" s="61">
        <f>SUM(F332:Q332)</f>
        <v>5450.2039567667689</v>
      </c>
      <c r="F332" s="62">
        <f>$E$6*$E$7*F335*$E$19</f>
        <v>462.89403468430095</v>
      </c>
      <c r="G332" s="62">
        <f t="shared" ref="G332:Q332" si="48">$E$6*$E$7*G335*$E$19</f>
        <v>418.09783777936849</v>
      </c>
      <c r="H332" s="62">
        <f t="shared" si="48"/>
        <v>462.89403468430095</v>
      </c>
      <c r="I332" s="62">
        <f t="shared" si="48"/>
        <v>447.96196904932339</v>
      </c>
      <c r="J332" s="62">
        <f t="shared" si="48"/>
        <v>462.89403468430095</v>
      </c>
      <c r="K332" s="62">
        <f t="shared" si="48"/>
        <v>447.96196904932339</v>
      </c>
      <c r="L332" s="62">
        <f t="shared" si="48"/>
        <v>462.89403468430095</v>
      </c>
      <c r="M332" s="62">
        <f t="shared" si="48"/>
        <v>462.89403468430095</v>
      </c>
      <c r="N332" s="62">
        <f t="shared" si="48"/>
        <v>447.96196904932339</v>
      </c>
      <c r="O332" s="62">
        <f t="shared" si="48"/>
        <v>462.89403468430095</v>
      </c>
      <c r="P332" s="62">
        <f t="shared" si="48"/>
        <v>447.96196904932339</v>
      </c>
      <c r="Q332" s="62">
        <f t="shared" si="48"/>
        <v>462.89403468430095</v>
      </c>
    </row>
    <row r="333" spans="1:133" ht="31.2" x14ac:dyDescent="0.25">
      <c r="A333" s="63" t="s">
        <v>30</v>
      </c>
      <c r="B333" s="60" t="s">
        <v>208</v>
      </c>
      <c r="C333" s="35" t="s">
        <v>31</v>
      </c>
      <c r="D333" s="35" t="s">
        <v>220</v>
      </c>
      <c r="E333" s="130">
        <v>28</v>
      </c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</row>
    <row r="334" spans="1:133" ht="64.8" x14ac:dyDescent="0.25">
      <c r="A334" s="63" t="s">
        <v>32</v>
      </c>
      <c r="B334" s="25" t="s">
        <v>209</v>
      </c>
      <c r="C334" s="35" t="s">
        <v>34</v>
      </c>
      <c r="D334" s="35" t="s">
        <v>373</v>
      </c>
      <c r="E334" s="130">
        <v>0.21</v>
      </c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</row>
    <row r="335" spans="1:133" ht="46.8" x14ac:dyDescent="0.25">
      <c r="A335" s="35" t="s">
        <v>35</v>
      </c>
      <c r="B335" s="25" t="s">
        <v>210</v>
      </c>
      <c r="C335" s="53" t="s">
        <v>36</v>
      </c>
      <c r="D335" s="53" t="s">
        <v>341</v>
      </c>
      <c r="E335" s="64">
        <f t="shared" ref="E335:Q335" si="49">E343*E336</f>
        <v>1716.8782281997981</v>
      </c>
      <c r="F335" s="64">
        <f t="shared" si="49"/>
        <v>145.8170549977911</v>
      </c>
      <c r="G335" s="64">
        <f t="shared" si="49"/>
        <v>131.70572709477904</v>
      </c>
      <c r="H335" s="64">
        <f t="shared" si="49"/>
        <v>145.8170549977911</v>
      </c>
      <c r="I335" s="64">
        <f t="shared" si="49"/>
        <v>141.1132790301204</v>
      </c>
      <c r="J335" s="64">
        <f t="shared" si="49"/>
        <v>145.8170549977911</v>
      </c>
      <c r="K335" s="64">
        <f t="shared" si="49"/>
        <v>141.1132790301204</v>
      </c>
      <c r="L335" s="64">
        <f t="shared" si="49"/>
        <v>145.8170549977911</v>
      </c>
      <c r="M335" s="64">
        <f t="shared" si="49"/>
        <v>145.8170549977911</v>
      </c>
      <c r="N335" s="64">
        <f t="shared" si="49"/>
        <v>141.1132790301204</v>
      </c>
      <c r="O335" s="64">
        <f t="shared" si="49"/>
        <v>145.8170549977911</v>
      </c>
      <c r="P335" s="64">
        <f t="shared" si="49"/>
        <v>141.1132790301204</v>
      </c>
      <c r="Q335" s="64">
        <f t="shared" si="49"/>
        <v>145.8170549977911</v>
      </c>
    </row>
    <row r="336" spans="1:133" ht="46.8" x14ac:dyDescent="0.25">
      <c r="A336" s="35" t="s">
        <v>37</v>
      </c>
      <c r="B336" s="25" t="s">
        <v>212</v>
      </c>
      <c r="C336" s="35" t="s">
        <v>206</v>
      </c>
      <c r="D336" s="35" t="s">
        <v>342</v>
      </c>
      <c r="E336" s="20">
        <f>SUM(F336:Q336)</f>
        <v>1810.3999999999999</v>
      </c>
      <c r="F336" s="20">
        <f>F338*F341</f>
        <v>153.76000000000002</v>
      </c>
      <c r="G336" s="20">
        <f t="shared" ref="G336:Q336" si="50">G338*G341</f>
        <v>138.88</v>
      </c>
      <c r="H336" s="20">
        <f t="shared" si="50"/>
        <v>153.76000000000002</v>
      </c>
      <c r="I336" s="20">
        <f t="shared" si="50"/>
        <v>148.80000000000001</v>
      </c>
      <c r="J336" s="20">
        <f t="shared" si="50"/>
        <v>153.76000000000002</v>
      </c>
      <c r="K336" s="20">
        <f t="shared" si="50"/>
        <v>148.80000000000001</v>
      </c>
      <c r="L336" s="20">
        <f t="shared" si="50"/>
        <v>153.76000000000002</v>
      </c>
      <c r="M336" s="20">
        <f t="shared" si="50"/>
        <v>153.76000000000002</v>
      </c>
      <c r="N336" s="20">
        <f t="shared" si="50"/>
        <v>148.80000000000001</v>
      </c>
      <c r="O336" s="20">
        <f t="shared" si="50"/>
        <v>153.76000000000002</v>
      </c>
      <c r="P336" s="20">
        <f t="shared" si="50"/>
        <v>148.80000000000001</v>
      </c>
      <c r="Q336" s="20">
        <f t="shared" si="50"/>
        <v>153.76000000000002</v>
      </c>
    </row>
    <row r="337" spans="1:133" ht="46.8" x14ac:dyDescent="0.3">
      <c r="A337" s="51" t="s">
        <v>221</v>
      </c>
      <c r="B337" s="60" t="s">
        <v>207</v>
      </c>
      <c r="C337" s="35" t="s">
        <v>39</v>
      </c>
      <c r="D337" s="35" t="s">
        <v>222</v>
      </c>
      <c r="E337" s="20">
        <v>12400</v>
      </c>
      <c r="F337" s="20">
        <v>12400</v>
      </c>
      <c r="G337" s="20">
        <v>12400</v>
      </c>
      <c r="H337" s="20">
        <v>12400</v>
      </c>
      <c r="I337" s="20">
        <v>12400</v>
      </c>
      <c r="J337" s="20">
        <v>12400</v>
      </c>
      <c r="K337" s="20">
        <v>12400</v>
      </c>
      <c r="L337" s="20">
        <v>12400</v>
      </c>
      <c r="M337" s="20">
        <v>12400</v>
      </c>
      <c r="N337" s="20">
        <v>12400</v>
      </c>
      <c r="O337" s="20">
        <v>12400</v>
      </c>
      <c r="P337" s="20">
        <v>12400</v>
      </c>
      <c r="Q337" s="20">
        <v>12400</v>
      </c>
    </row>
    <row r="338" spans="1:133" ht="46.8" x14ac:dyDescent="0.25">
      <c r="A338" s="35" t="s">
        <v>41</v>
      </c>
      <c r="B338" s="60" t="s">
        <v>213</v>
      </c>
      <c r="C338" s="35" t="s">
        <v>42</v>
      </c>
      <c r="D338" s="35" t="s">
        <v>326</v>
      </c>
      <c r="E338" s="65">
        <f>SUM(F338:Q338)</f>
        <v>4526000</v>
      </c>
      <c r="F338" s="65">
        <f>F337*F331</f>
        <v>384400</v>
      </c>
      <c r="G338" s="65">
        <f t="shared" ref="G338:Q338" si="51">G337*G331</f>
        <v>347200</v>
      </c>
      <c r="H338" s="65">
        <f t="shared" si="51"/>
        <v>384400</v>
      </c>
      <c r="I338" s="65">
        <f t="shared" si="51"/>
        <v>372000</v>
      </c>
      <c r="J338" s="65">
        <f t="shared" si="51"/>
        <v>384400</v>
      </c>
      <c r="K338" s="65">
        <f t="shared" si="51"/>
        <v>372000</v>
      </c>
      <c r="L338" s="65">
        <f t="shared" si="51"/>
        <v>384400</v>
      </c>
      <c r="M338" s="65">
        <f t="shared" si="51"/>
        <v>384400</v>
      </c>
      <c r="N338" s="65">
        <f t="shared" si="51"/>
        <v>372000</v>
      </c>
      <c r="O338" s="65">
        <f t="shared" si="51"/>
        <v>384400</v>
      </c>
      <c r="P338" s="65">
        <f t="shared" si="51"/>
        <v>372000</v>
      </c>
      <c r="Q338" s="65">
        <f t="shared" si="51"/>
        <v>384400</v>
      </c>
    </row>
    <row r="339" spans="1:133" ht="62.4" x14ac:dyDescent="0.25">
      <c r="A339" s="35" t="s">
        <v>43</v>
      </c>
      <c r="B339" s="60" t="s">
        <v>214</v>
      </c>
      <c r="C339" s="35" t="s">
        <v>44</v>
      </c>
      <c r="D339" s="35" t="s">
        <v>40</v>
      </c>
      <c r="E339" s="66">
        <v>400</v>
      </c>
      <c r="F339" s="66">
        <v>400</v>
      </c>
      <c r="G339" s="66">
        <v>400</v>
      </c>
      <c r="H339" s="66">
        <v>400</v>
      </c>
      <c r="I339" s="66">
        <v>400</v>
      </c>
      <c r="J339" s="66">
        <v>400</v>
      </c>
      <c r="K339" s="66">
        <v>400</v>
      </c>
      <c r="L339" s="66">
        <v>400</v>
      </c>
      <c r="M339" s="66">
        <v>400</v>
      </c>
      <c r="N339" s="66">
        <v>400</v>
      </c>
      <c r="O339" s="66">
        <v>400</v>
      </c>
      <c r="P339" s="66">
        <v>400</v>
      </c>
      <c r="Q339" s="66">
        <v>400</v>
      </c>
    </row>
    <row r="340" spans="1:133" ht="62.4" x14ac:dyDescent="0.25">
      <c r="A340" s="35" t="s">
        <v>45</v>
      </c>
      <c r="B340" s="60" t="s">
        <v>214</v>
      </c>
      <c r="C340" s="35" t="s">
        <v>46</v>
      </c>
      <c r="D340" s="35" t="s">
        <v>40</v>
      </c>
      <c r="E340" s="65">
        <v>40</v>
      </c>
      <c r="F340" s="65">
        <v>40</v>
      </c>
      <c r="G340" s="65">
        <v>40</v>
      </c>
      <c r="H340" s="65">
        <v>40</v>
      </c>
      <c r="I340" s="65">
        <v>40</v>
      </c>
      <c r="J340" s="65">
        <v>40</v>
      </c>
      <c r="K340" s="65">
        <v>40</v>
      </c>
      <c r="L340" s="65">
        <v>40</v>
      </c>
      <c r="M340" s="65">
        <v>40</v>
      </c>
      <c r="N340" s="65">
        <v>40</v>
      </c>
      <c r="O340" s="65">
        <v>40</v>
      </c>
      <c r="P340" s="65">
        <v>40</v>
      </c>
      <c r="Q340" s="65">
        <v>40</v>
      </c>
    </row>
    <row r="341" spans="1:133" ht="62.4" x14ac:dyDescent="0.25">
      <c r="A341" s="35" t="s">
        <v>47</v>
      </c>
      <c r="B341" s="60" t="s">
        <v>215</v>
      </c>
      <c r="C341" s="35" t="s">
        <v>49</v>
      </c>
      <c r="D341" s="35" t="s">
        <v>324</v>
      </c>
      <c r="E341" s="67">
        <f>E339/1000000</f>
        <v>4.0000000000000002E-4</v>
      </c>
      <c r="F341" s="22">
        <f>F339/1000000</f>
        <v>4.0000000000000002E-4</v>
      </c>
      <c r="G341" s="22">
        <f t="shared" ref="G341:Q341" si="52">G339/1000000</f>
        <v>4.0000000000000002E-4</v>
      </c>
      <c r="H341" s="22">
        <f t="shared" si="52"/>
        <v>4.0000000000000002E-4</v>
      </c>
      <c r="I341" s="22">
        <f t="shared" si="52"/>
        <v>4.0000000000000002E-4</v>
      </c>
      <c r="J341" s="22">
        <f t="shared" si="52"/>
        <v>4.0000000000000002E-4</v>
      </c>
      <c r="K341" s="22">
        <f t="shared" si="52"/>
        <v>4.0000000000000002E-4</v>
      </c>
      <c r="L341" s="22">
        <f t="shared" si="52"/>
        <v>4.0000000000000002E-4</v>
      </c>
      <c r="M341" s="22">
        <f t="shared" si="52"/>
        <v>4.0000000000000002E-4</v>
      </c>
      <c r="N341" s="22">
        <f t="shared" si="52"/>
        <v>4.0000000000000002E-4</v>
      </c>
      <c r="O341" s="22">
        <f t="shared" si="52"/>
        <v>4.0000000000000002E-4</v>
      </c>
      <c r="P341" s="22">
        <f t="shared" si="52"/>
        <v>4.0000000000000002E-4</v>
      </c>
      <c r="Q341" s="22">
        <f t="shared" si="52"/>
        <v>4.0000000000000002E-4</v>
      </c>
    </row>
    <row r="342" spans="1:133" ht="62.4" x14ac:dyDescent="0.25">
      <c r="A342" s="35" t="s">
        <v>45</v>
      </c>
      <c r="B342" s="60" t="s">
        <v>48</v>
      </c>
      <c r="C342" s="35" t="s">
        <v>50</v>
      </c>
      <c r="D342" s="35" t="s">
        <v>325</v>
      </c>
      <c r="E342" s="67">
        <f>E340/1000000</f>
        <v>4.0000000000000003E-5</v>
      </c>
      <c r="F342" s="22">
        <f>F340/1000000</f>
        <v>4.0000000000000003E-5</v>
      </c>
      <c r="G342" s="22">
        <f t="shared" ref="G342:Q342" si="53">G340/1000000</f>
        <v>4.0000000000000003E-5</v>
      </c>
      <c r="H342" s="22">
        <f t="shared" si="53"/>
        <v>4.0000000000000003E-5</v>
      </c>
      <c r="I342" s="22">
        <f t="shared" si="53"/>
        <v>4.0000000000000003E-5</v>
      </c>
      <c r="J342" s="22">
        <f t="shared" si="53"/>
        <v>4.0000000000000003E-5</v>
      </c>
      <c r="K342" s="22">
        <f t="shared" si="53"/>
        <v>4.0000000000000003E-5</v>
      </c>
      <c r="L342" s="22">
        <f t="shared" si="53"/>
        <v>4.0000000000000003E-5</v>
      </c>
      <c r="M342" s="22">
        <f t="shared" si="53"/>
        <v>4.0000000000000003E-5</v>
      </c>
      <c r="N342" s="22">
        <f t="shared" si="53"/>
        <v>4.0000000000000003E-5</v>
      </c>
      <c r="O342" s="22">
        <f t="shared" si="53"/>
        <v>4.0000000000000003E-5</v>
      </c>
      <c r="P342" s="22">
        <f t="shared" si="53"/>
        <v>4.0000000000000003E-5</v>
      </c>
      <c r="Q342" s="22">
        <f t="shared" si="53"/>
        <v>4.0000000000000003E-5</v>
      </c>
    </row>
    <row r="343" spans="1:133" ht="46.8" x14ac:dyDescent="0.25">
      <c r="A343" s="63" t="s">
        <v>51</v>
      </c>
      <c r="B343" s="25" t="s">
        <v>216</v>
      </c>
      <c r="C343" s="35" t="s">
        <v>53</v>
      </c>
      <c r="D343" s="35" t="s">
        <v>343</v>
      </c>
      <c r="E343" s="68">
        <f>(1-(E344/E345))</f>
        <v>0.94834192896586289</v>
      </c>
      <c r="F343" s="68">
        <f>E343</f>
        <v>0.94834192896586289</v>
      </c>
      <c r="G343" s="68">
        <f>E343</f>
        <v>0.94834192896586289</v>
      </c>
      <c r="H343" s="68">
        <f>E343</f>
        <v>0.94834192896586289</v>
      </c>
      <c r="I343" s="68">
        <f>E343</f>
        <v>0.94834192896586289</v>
      </c>
      <c r="J343" s="68">
        <f>E343</f>
        <v>0.94834192896586289</v>
      </c>
      <c r="K343" s="68">
        <f>E343</f>
        <v>0.94834192896586289</v>
      </c>
      <c r="L343" s="68">
        <f>E343</f>
        <v>0.94834192896586289</v>
      </c>
      <c r="M343" s="68">
        <f>E343</f>
        <v>0.94834192896586289</v>
      </c>
      <c r="N343" s="68">
        <f>E343</f>
        <v>0.94834192896586289</v>
      </c>
      <c r="O343" s="68">
        <f>E343</f>
        <v>0.94834192896586289</v>
      </c>
      <c r="P343" s="68">
        <f>E343</f>
        <v>0.94834192896586289</v>
      </c>
      <c r="Q343" s="68">
        <f>E343</f>
        <v>0.94834192896586289</v>
      </c>
    </row>
    <row r="344" spans="1:133" ht="31.2" x14ac:dyDescent="0.25">
      <c r="A344" s="35" t="s">
        <v>54</v>
      </c>
      <c r="B344" s="25" t="s">
        <v>211</v>
      </c>
      <c r="C344" s="35" t="s">
        <v>55</v>
      </c>
      <c r="D344" s="35" t="s">
        <v>323</v>
      </c>
      <c r="E344" s="52">
        <f>SUM(F344:Q344)</f>
        <v>75.21865833999999</v>
      </c>
      <c r="F344" s="52">
        <v>6.3884339959999989</v>
      </c>
      <c r="G344" s="52">
        <v>5.7701984480000004</v>
      </c>
      <c r="H344" s="52">
        <v>6.3884339959999989</v>
      </c>
      <c r="I344" s="52">
        <v>6.18235548</v>
      </c>
      <c r="J344" s="52">
        <v>6.3884339959999989</v>
      </c>
      <c r="K344" s="52">
        <v>6.18235548</v>
      </c>
      <c r="L344" s="52">
        <v>6.3884339959999989</v>
      </c>
      <c r="M344" s="52">
        <v>6.3884339959999989</v>
      </c>
      <c r="N344" s="52">
        <v>6.18235548</v>
      </c>
      <c r="O344" s="52">
        <v>6.3884339959999989</v>
      </c>
      <c r="P344" s="52">
        <v>6.18235548</v>
      </c>
      <c r="Q344" s="52">
        <v>6.3884339959999989</v>
      </c>
    </row>
    <row r="345" spans="1:133" ht="31.2" x14ac:dyDescent="0.25">
      <c r="A345" s="63" t="s">
        <v>56</v>
      </c>
      <c r="B345" s="25" t="s">
        <v>38</v>
      </c>
      <c r="C345" s="35" t="s">
        <v>57</v>
      </c>
      <c r="D345" s="35" t="s">
        <v>323</v>
      </c>
      <c r="E345" s="52">
        <f>SUM(F345:Q345)</f>
        <v>1456.0872451140001</v>
      </c>
      <c r="F345" s="52">
        <v>123.66768383160002</v>
      </c>
      <c r="G345" s="52">
        <v>111.69984346080001</v>
      </c>
      <c r="H345" s="52">
        <v>123.66768383160002</v>
      </c>
      <c r="I345" s="52">
        <v>119.67840370799999</v>
      </c>
      <c r="J345" s="52">
        <v>123.66768383160002</v>
      </c>
      <c r="K345" s="52">
        <v>119.67840370799999</v>
      </c>
      <c r="L345" s="52">
        <v>123.66768383160002</v>
      </c>
      <c r="M345" s="52">
        <v>123.66768383160002</v>
      </c>
      <c r="N345" s="52">
        <v>119.67840370799999</v>
      </c>
      <c r="O345" s="52">
        <v>123.66768383160002</v>
      </c>
      <c r="P345" s="52">
        <v>119.67840370799999</v>
      </c>
      <c r="Q345" s="52">
        <v>123.66768383160002</v>
      </c>
    </row>
    <row r="346" spans="1:133" ht="31.2" x14ac:dyDescent="0.25">
      <c r="A346" s="53" t="s">
        <v>58</v>
      </c>
      <c r="B346" s="25" t="s">
        <v>216</v>
      </c>
      <c r="C346" s="53" t="s">
        <v>59</v>
      </c>
      <c r="D346" s="35" t="s">
        <v>344</v>
      </c>
      <c r="E346" s="132">
        <f>E347*E348*0.89</f>
        <v>0.52915382983457837</v>
      </c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</row>
    <row r="347" spans="1:133" ht="31.2" x14ac:dyDescent="0.25">
      <c r="A347" s="70" t="s">
        <v>60</v>
      </c>
      <c r="B347" s="25" t="s">
        <v>216</v>
      </c>
      <c r="C347" s="53" t="s">
        <v>61</v>
      </c>
      <c r="D347" s="35" t="s">
        <v>345</v>
      </c>
      <c r="E347" s="119">
        <v>0.7</v>
      </c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1"/>
    </row>
    <row r="348" spans="1:133" ht="36" customHeight="1" x14ac:dyDescent="0.25">
      <c r="A348" s="70" t="s">
        <v>62</v>
      </c>
      <c r="B348" s="25" t="s">
        <v>52</v>
      </c>
      <c r="C348" s="53" t="s">
        <v>63</v>
      </c>
      <c r="D348" s="35" t="s">
        <v>346</v>
      </c>
      <c r="E348" s="122">
        <f>(F349*F354+G349*G354+H349*H354+I349*I354+J349*J354+K349*K354+L349*L354+M349*M354+N349*N354+O349*O354+P349*P354+Q349*Q354)/(F343*F338*F341+G343*G341*G338+H343*H338*H341+I343*I341*I338+J343*J341*J338+K343*K341*K338+L343*L341*L338+M343*M341*M338+N343*N341*N338+O343*O338*O341+P343*P341*P338+Q343*Q341*Q338)</f>
        <v>0.84936409283238912</v>
      </c>
      <c r="F348" s="123"/>
      <c r="G348" s="123"/>
      <c r="H348" s="123"/>
      <c r="I348" s="123"/>
      <c r="J348" s="123"/>
      <c r="K348" s="123"/>
      <c r="L348" s="123"/>
      <c r="M348" s="123"/>
      <c r="N348" s="123"/>
      <c r="O348" s="123"/>
      <c r="P348" s="123"/>
      <c r="Q348" s="124"/>
    </row>
    <row r="349" spans="1:133" s="9" customFormat="1" ht="46.8" x14ac:dyDescent="0.4">
      <c r="A349" s="71" t="s">
        <v>64</v>
      </c>
      <c r="B349" s="25" t="s">
        <v>52</v>
      </c>
      <c r="C349" s="53" t="s">
        <v>65</v>
      </c>
      <c r="D349" s="53" t="s">
        <v>347</v>
      </c>
      <c r="E349" s="72">
        <f>AVERAGE(F349:Q349)</f>
        <v>0.62806589860815809</v>
      </c>
      <c r="F349" s="72">
        <f t="shared" ref="F349:Q349" si="54">IF(F353&lt;283,0,IF(F353&gt;303,1,EXP(($E$23*(F353-$E$24))/($E$25*$E$24*F353))))</f>
        <v>0.26921004737855481</v>
      </c>
      <c r="G349" s="72">
        <f t="shared" si="54"/>
        <v>0.29505266129807517</v>
      </c>
      <c r="H349" s="72">
        <f t="shared" si="54"/>
        <v>0.38698063689870399</v>
      </c>
      <c r="I349" s="72">
        <f t="shared" si="54"/>
        <v>0.55084569341606926</v>
      </c>
      <c r="J349" s="72">
        <f t="shared" si="54"/>
        <v>0.71341857634681827</v>
      </c>
      <c r="K349" s="72">
        <f t="shared" si="54"/>
        <v>0.91923925774048054</v>
      </c>
      <c r="L349" s="72">
        <f t="shared" si="54"/>
        <v>1</v>
      </c>
      <c r="M349" s="72">
        <f t="shared" si="54"/>
        <v>1</v>
      </c>
      <c r="N349" s="72">
        <f t="shared" si="54"/>
        <v>0.91923925774048054</v>
      </c>
      <c r="O349" s="72">
        <f t="shared" si="54"/>
        <v>0.65487347206548807</v>
      </c>
      <c r="P349" s="72">
        <f t="shared" si="54"/>
        <v>0.50475941545474445</v>
      </c>
      <c r="Q349" s="72">
        <f t="shared" si="54"/>
        <v>0.32317176495848171</v>
      </c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  <c r="AJ349" s="78"/>
      <c r="AK349" s="78"/>
      <c r="AL349" s="78"/>
      <c r="AM349" s="78"/>
      <c r="AN349" s="78"/>
      <c r="AO349" s="78"/>
      <c r="AP349" s="78"/>
      <c r="AQ349" s="78"/>
      <c r="AR349" s="78"/>
      <c r="AS349" s="78"/>
      <c r="AT349" s="78"/>
      <c r="AU349" s="78"/>
      <c r="AV349" s="78"/>
      <c r="AW349" s="78"/>
      <c r="AX349" s="78"/>
      <c r="AY349" s="78"/>
      <c r="AZ349" s="78"/>
      <c r="BA349" s="78"/>
      <c r="BB349" s="78"/>
      <c r="BC349" s="78"/>
      <c r="BD349" s="78"/>
      <c r="BE349" s="78"/>
      <c r="BF349" s="78"/>
      <c r="BG349" s="78"/>
      <c r="BH349" s="78"/>
      <c r="BI349" s="78"/>
      <c r="BJ349" s="78"/>
      <c r="BK349" s="78"/>
      <c r="BL349" s="78"/>
      <c r="BM349" s="78"/>
      <c r="BN349" s="78"/>
      <c r="BO349" s="78"/>
      <c r="BP349" s="78"/>
      <c r="BQ349" s="78"/>
      <c r="BR349" s="78"/>
      <c r="BS349" s="78"/>
      <c r="BT349" s="78"/>
      <c r="BU349" s="78"/>
      <c r="BV349" s="78"/>
      <c r="BW349" s="78"/>
      <c r="BX349" s="78"/>
      <c r="BY349" s="78"/>
      <c r="BZ349" s="78"/>
      <c r="CA349" s="78"/>
      <c r="CB349" s="78"/>
      <c r="CC349" s="78"/>
      <c r="CD349" s="78"/>
      <c r="CE349" s="78"/>
      <c r="CF349" s="78"/>
      <c r="CG349" s="78"/>
      <c r="CH349" s="78"/>
      <c r="CI349" s="78"/>
      <c r="CJ349" s="78"/>
      <c r="CK349" s="78"/>
      <c r="CL349" s="78"/>
      <c r="CM349" s="78"/>
      <c r="CN349" s="78"/>
      <c r="CO349" s="78"/>
      <c r="CP349" s="78"/>
      <c r="CQ349" s="78"/>
      <c r="CR349" s="78"/>
      <c r="CS349" s="78"/>
      <c r="CT349" s="78"/>
      <c r="CU349" s="78"/>
      <c r="CV349" s="78"/>
      <c r="CW349" s="78"/>
      <c r="CX349" s="78"/>
      <c r="CY349" s="78"/>
      <c r="CZ349" s="78"/>
      <c r="DA349" s="78"/>
      <c r="DB349" s="78"/>
      <c r="DC349" s="78"/>
      <c r="DD349" s="78"/>
      <c r="DE349" s="78"/>
      <c r="DF349" s="78"/>
      <c r="DG349" s="78"/>
      <c r="DH349" s="78"/>
      <c r="DI349" s="78"/>
      <c r="DJ349" s="78"/>
      <c r="DK349" s="78"/>
      <c r="DL349" s="78"/>
      <c r="DM349" s="78"/>
      <c r="DN349" s="78"/>
      <c r="DO349" s="78"/>
      <c r="DP349" s="78"/>
      <c r="DQ349" s="78"/>
      <c r="DR349" s="78"/>
      <c r="DS349" s="78"/>
      <c r="DT349" s="78"/>
      <c r="DU349" s="78"/>
      <c r="DV349" s="78"/>
      <c r="DW349" s="78"/>
      <c r="DX349" s="78"/>
      <c r="DY349" s="78"/>
      <c r="DZ349" s="78"/>
      <c r="EA349" s="78"/>
      <c r="EB349" s="78"/>
      <c r="EC349" s="78"/>
    </row>
    <row r="350" spans="1:133" s="9" customFormat="1" x14ac:dyDescent="0.25">
      <c r="A350" s="73" t="s">
        <v>66</v>
      </c>
      <c r="B350" s="60" t="s">
        <v>217</v>
      </c>
      <c r="C350" s="53" t="s">
        <v>68</v>
      </c>
      <c r="D350" s="53" t="s">
        <v>348</v>
      </c>
      <c r="E350" s="119">
        <v>15175</v>
      </c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1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  <c r="AJ350" s="78"/>
      <c r="AK350" s="78"/>
      <c r="AL350" s="78"/>
      <c r="AM350" s="78"/>
      <c r="AN350" s="78"/>
      <c r="AO350" s="78"/>
      <c r="AP350" s="78"/>
      <c r="AQ350" s="78"/>
      <c r="AR350" s="78"/>
      <c r="AS350" s="78"/>
      <c r="AT350" s="78"/>
      <c r="AU350" s="78"/>
      <c r="AV350" s="78"/>
      <c r="AW350" s="78"/>
      <c r="AX350" s="78"/>
      <c r="AY350" s="78"/>
      <c r="AZ350" s="78"/>
      <c r="BA350" s="78"/>
      <c r="BB350" s="78"/>
      <c r="BC350" s="78"/>
      <c r="BD350" s="78"/>
      <c r="BE350" s="78"/>
      <c r="BF350" s="78"/>
      <c r="BG350" s="78"/>
      <c r="BH350" s="78"/>
      <c r="BI350" s="78"/>
      <c r="BJ350" s="78"/>
      <c r="BK350" s="78"/>
      <c r="BL350" s="78"/>
      <c r="BM350" s="78"/>
      <c r="BN350" s="78"/>
      <c r="BO350" s="78"/>
      <c r="BP350" s="78"/>
      <c r="BQ350" s="78"/>
      <c r="BR350" s="78"/>
      <c r="BS350" s="78"/>
      <c r="BT350" s="78"/>
      <c r="BU350" s="78"/>
      <c r="BV350" s="78"/>
      <c r="BW350" s="78"/>
      <c r="BX350" s="78"/>
      <c r="BY350" s="78"/>
      <c r="BZ350" s="78"/>
      <c r="CA350" s="78"/>
      <c r="CB350" s="78"/>
      <c r="CC350" s="78"/>
      <c r="CD350" s="78"/>
      <c r="CE350" s="78"/>
      <c r="CF350" s="78"/>
      <c r="CG350" s="78"/>
      <c r="CH350" s="78"/>
      <c r="CI350" s="78"/>
      <c r="CJ350" s="78"/>
      <c r="CK350" s="78"/>
      <c r="CL350" s="78"/>
      <c r="CM350" s="78"/>
      <c r="CN350" s="78"/>
      <c r="CO350" s="78"/>
      <c r="CP350" s="78"/>
      <c r="CQ350" s="78"/>
      <c r="CR350" s="78"/>
      <c r="CS350" s="78"/>
      <c r="CT350" s="78"/>
      <c r="CU350" s="78"/>
      <c r="CV350" s="78"/>
      <c r="CW350" s="78"/>
      <c r="CX350" s="78"/>
      <c r="CY350" s="78"/>
      <c r="CZ350" s="78"/>
      <c r="DA350" s="78"/>
      <c r="DB350" s="78"/>
      <c r="DC350" s="78"/>
      <c r="DD350" s="78"/>
      <c r="DE350" s="78"/>
      <c r="DF350" s="78"/>
      <c r="DG350" s="78"/>
      <c r="DH350" s="78"/>
      <c r="DI350" s="78"/>
      <c r="DJ350" s="78"/>
      <c r="DK350" s="78"/>
      <c r="DL350" s="78"/>
      <c r="DM350" s="78"/>
      <c r="DN350" s="78"/>
      <c r="DO350" s="78"/>
      <c r="DP350" s="78"/>
      <c r="DQ350" s="78"/>
      <c r="DR350" s="78"/>
      <c r="DS350" s="78"/>
      <c r="DT350" s="78"/>
      <c r="DU350" s="78"/>
      <c r="DV350" s="78"/>
      <c r="DW350" s="78"/>
      <c r="DX350" s="78"/>
      <c r="DY350" s="78"/>
      <c r="DZ350" s="78"/>
      <c r="EA350" s="78"/>
      <c r="EB350" s="78"/>
      <c r="EC350" s="78"/>
    </row>
    <row r="351" spans="1:133" s="9" customFormat="1" ht="18" x14ac:dyDescent="0.25">
      <c r="A351" s="73" t="s">
        <v>69</v>
      </c>
      <c r="B351" s="60" t="s">
        <v>218</v>
      </c>
      <c r="C351" s="53" t="s">
        <v>71</v>
      </c>
      <c r="D351" s="53" t="s">
        <v>348</v>
      </c>
      <c r="E351" s="119">
        <v>303.16000000000003</v>
      </c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1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  <c r="AJ351" s="78"/>
      <c r="AK351" s="78"/>
      <c r="AL351" s="78"/>
      <c r="AM351" s="78"/>
      <c r="AN351" s="78"/>
      <c r="AO351" s="78"/>
      <c r="AP351" s="78"/>
      <c r="AQ351" s="78"/>
      <c r="AR351" s="78"/>
      <c r="AS351" s="78"/>
      <c r="AT351" s="78"/>
      <c r="AU351" s="78"/>
      <c r="AV351" s="78"/>
      <c r="AW351" s="78"/>
      <c r="AX351" s="78"/>
      <c r="AY351" s="78"/>
      <c r="AZ351" s="78"/>
      <c r="BA351" s="78"/>
      <c r="BB351" s="78"/>
      <c r="BC351" s="78"/>
      <c r="BD351" s="78"/>
      <c r="BE351" s="78"/>
      <c r="BF351" s="78"/>
      <c r="BG351" s="78"/>
      <c r="BH351" s="78"/>
      <c r="BI351" s="78"/>
      <c r="BJ351" s="78"/>
      <c r="BK351" s="78"/>
      <c r="BL351" s="78"/>
      <c r="BM351" s="78"/>
      <c r="BN351" s="78"/>
      <c r="BO351" s="78"/>
      <c r="BP351" s="78"/>
      <c r="BQ351" s="78"/>
      <c r="BR351" s="78"/>
      <c r="BS351" s="78"/>
      <c r="BT351" s="78"/>
      <c r="BU351" s="78"/>
      <c r="BV351" s="78"/>
      <c r="BW351" s="78"/>
      <c r="BX351" s="78"/>
      <c r="BY351" s="78"/>
      <c r="BZ351" s="78"/>
      <c r="CA351" s="78"/>
      <c r="CB351" s="78"/>
      <c r="CC351" s="78"/>
      <c r="CD351" s="78"/>
      <c r="CE351" s="78"/>
      <c r="CF351" s="78"/>
      <c r="CG351" s="78"/>
      <c r="CH351" s="78"/>
      <c r="CI351" s="78"/>
      <c r="CJ351" s="78"/>
      <c r="CK351" s="78"/>
      <c r="CL351" s="78"/>
      <c r="CM351" s="78"/>
      <c r="CN351" s="78"/>
      <c r="CO351" s="78"/>
      <c r="CP351" s="78"/>
      <c r="CQ351" s="78"/>
      <c r="CR351" s="78"/>
      <c r="CS351" s="78"/>
      <c r="CT351" s="78"/>
      <c r="CU351" s="78"/>
      <c r="CV351" s="78"/>
      <c r="CW351" s="78"/>
      <c r="CX351" s="78"/>
      <c r="CY351" s="78"/>
      <c r="CZ351" s="78"/>
      <c r="DA351" s="78"/>
      <c r="DB351" s="78"/>
      <c r="DC351" s="78"/>
      <c r="DD351" s="78"/>
      <c r="DE351" s="78"/>
      <c r="DF351" s="78"/>
      <c r="DG351" s="78"/>
      <c r="DH351" s="78"/>
      <c r="DI351" s="78"/>
      <c r="DJ351" s="78"/>
      <c r="DK351" s="78"/>
      <c r="DL351" s="78"/>
      <c r="DM351" s="78"/>
      <c r="DN351" s="78"/>
      <c r="DO351" s="78"/>
      <c r="DP351" s="78"/>
      <c r="DQ351" s="78"/>
      <c r="DR351" s="78"/>
      <c r="DS351" s="78"/>
      <c r="DT351" s="78"/>
      <c r="DU351" s="78"/>
      <c r="DV351" s="78"/>
      <c r="DW351" s="78"/>
      <c r="DX351" s="78"/>
      <c r="DY351" s="78"/>
      <c r="DZ351" s="78"/>
      <c r="EA351" s="78"/>
      <c r="EB351" s="78"/>
      <c r="EC351" s="78"/>
    </row>
    <row r="352" spans="1:133" s="9" customFormat="1" x14ac:dyDescent="0.25">
      <c r="A352" s="73" t="s">
        <v>72</v>
      </c>
      <c r="B352" s="60" t="s">
        <v>219</v>
      </c>
      <c r="C352" s="53" t="s">
        <v>74</v>
      </c>
      <c r="D352" s="53" t="s">
        <v>348</v>
      </c>
      <c r="E352" s="119">
        <v>1.9870000000000001</v>
      </c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1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  <c r="AJ352" s="78"/>
      <c r="AK352" s="78"/>
      <c r="AL352" s="78"/>
      <c r="AM352" s="78"/>
      <c r="AN352" s="78"/>
      <c r="AO352" s="78"/>
      <c r="AP352" s="78"/>
      <c r="AQ352" s="78"/>
      <c r="AR352" s="78"/>
      <c r="AS352" s="78"/>
      <c r="AT352" s="78"/>
      <c r="AU352" s="78"/>
      <c r="AV352" s="78"/>
      <c r="AW352" s="78"/>
      <c r="AX352" s="78"/>
      <c r="AY352" s="78"/>
      <c r="AZ352" s="78"/>
      <c r="BA352" s="78"/>
      <c r="BB352" s="78"/>
      <c r="BC352" s="78"/>
      <c r="BD352" s="78"/>
      <c r="BE352" s="78"/>
      <c r="BF352" s="78"/>
      <c r="BG352" s="78"/>
      <c r="BH352" s="78"/>
      <c r="BI352" s="78"/>
      <c r="BJ352" s="78"/>
      <c r="BK352" s="78"/>
      <c r="BL352" s="78"/>
      <c r="BM352" s="78"/>
      <c r="BN352" s="78"/>
      <c r="BO352" s="78"/>
      <c r="BP352" s="78"/>
      <c r="BQ352" s="78"/>
      <c r="BR352" s="78"/>
      <c r="BS352" s="78"/>
      <c r="BT352" s="78"/>
      <c r="BU352" s="78"/>
      <c r="BV352" s="78"/>
      <c r="BW352" s="78"/>
      <c r="BX352" s="78"/>
      <c r="BY352" s="78"/>
      <c r="BZ352" s="78"/>
      <c r="CA352" s="78"/>
      <c r="CB352" s="78"/>
      <c r="CC352" s="78"/>
      <c r="CD352" s="78"/>
      <c r="CE352" s="78"/>
      <c r="CF352" s="78"/>
      <c r="CG352" s="78"/>
      <c r="CH352" s="78"/>
      <c r="CI352" s="78"/>
      <c r="CJ352" s="78"/>
      <c r="CK352" s="78"/>
      <c r="CL352" s="78"/>
      <c r="CM352" s="78"/>
      <c r="CN352" s="78"/>
      <c r="CO352" s="78"/>
      <c r="CP352" s="78"/>
      <c r="CQ352" s="78"/>
      <c r="CR352" s="78"/>
      <c r="CS352" s="78"/>
      <c r="CT352" s="78"/>
      <c r="CU352" s="78"/>
      <c r="CV352" s="78"/>
      <c r="CW352" s="78"/>
      <c r="CX352" s="78"/>
      <c r="CY352" s="78"/>
      <c r="CZ352" s="78"/>
      <c r="DA352" s="78"/>
      <c r="DB352" s="78"/>
      <c r="DC352" s="78"/>
      <c r="DD352" s="78"/>
      <c r="DE352" s="78"/>
      <c r="DF352" s="78"/>
      <c r="DG352" s="78"/>
      <c r="DH352" s="78"/>
      <c r="DI352" s="78"/>
      <c r="DJ352" s="78"/>
      <c r="DK352" s="78"/>
      <c r="DL352" s="78"/>
      <c r="DM352" s="78"/>
      <c r="DN352" s="78"/>
      <c r="DO352" s="78"/>
      <c r="DP352" s="78"/>
      <c r="DQ352" s="78"/>
      <c r="DR352" s="78"/>
      <c r="DS352" s="78"/>
      <c r="DT352" s="78"/>
      <c r="DU352" s="78"/>
      <c r="DV352" s="78"/>
      <c r="DW352" s="78"/>
      <c r="DX352" s="78"/>
      <c r="DY352" s="78"/>
      <c r="DZ352" s="78"/>
      <c r="EA352" s="78"/>
      <c r="EB352" s="78"/>
      <c r="EC352" s="78"/>
    </row>
    <row r="353" spans="1:133" s="9" customFormat="1" ht="31.2" x14ac:dyDescent="0.25">
      <c r="A353" s="73" t="s">
        <v>75</v>
      </c>
      <c r="B353" s="60" t="s">
        <v>218</v>
      </c>
      <c r="C353" s="53" t="s">
        <v>76</v>
      </c>
      <c r="D353" s="53" t="s">
        <v>268</v>
      </c>
      <c r="E353" s="111">
        <f>AVERAGE(F353:Q353)</f>
        <v>296.56666666666672</v>
      </c>
      <c r="F353" s="60">
        <v>288.14999999999998</v>
      </c>
      <c r="G353" s="60">
        <v>289.14999999999998</v>
      </c>
      <c r="H353" s="60">
        <v>292.14999999999998</v>
      </c>
      <c r="I353" s="60">
        <v>296.14999999999998</v>
      </c>
      <c r="J353" s="60">
        <v>299.14999999999998</v>
      </c>
      <c r="K353" s="60">
        <v>302.14999999999998</v>
      </c>
      <c r="L353" s="60">
        <v>303.14999999999998</v>
      </c>
      <c r="M353" s="60">
        <v>303.14999999999998</v>
      </c>
      <c r="N353" s="60">
        <v>302.14999999999998</v>
      </c>
      <c r="O353" s="60">
        <v>298.14999999999998</v>
      </c>
      <c r="P353" s="60">
        <v>295.14999999999998</v>
      </c>
      <c r="Q353" s="60">
        <v>290.14999999999998</v>
      </c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  <c r="AJ353" s="78"/>
      <c r="AK353" s="78"/>
      <c r="AL353" s="78"/>
      <c r="AM353" s="78"/>
      <c r="AN353" s="78"/>
      <c r="AO353" s="78"/>
      <c r="AP353" s="78"/>
      <c r="AQ353" s="78"/>
      <c r="AR353" s="78"/>
      <c r="AS353" s="78"/>
      <c r="AT353" s="78"/>
      <c r="AU353" s="78"/>
      <c r="AV353" s="78"/>
      <c r="AW353" s="78"/>
      <c r="AX353" s="78"/>
      <c r="AY353" s="78"/>
      <c r="AZ353" s="78"/>
      <c r="BA353" s="78"/>
      <c r="BB353" s="78"/>
      <c r="BC353" s="78"/>
      <c r="BD353" s="78"/>
      <c r="BE353" s="78"/>
      <c r="BF353" s="78"/>
      <c r="BG353" s="78"/>
      <c r="BH353" s="78"/>
      <c r="BI353" s="78"/>
      <c r="BJ353" s="78"/>
      <c r="BK353" s="78"/>
      <c r="BL353" s="78"/>
      <c r="BM353" s="78"/>
      <c r="BN353" s="78"/>
      <c r="BO353" s="78"/>
      <c r="BP353" s="78"/>
      <c r="BQ353" s="78"/>
      <c r="BR353" s="78"/>
      <c r="BS353" s="78"/>
      <c r="BT353" s="78"/>
      <c r="BU353" s="78"/>
      <c r="BV353" s="78"/>
      <c r="BW353" s="78"/>
      <c r="BX353" s="78"/>
      <c r="BY353" s="78"/>
      <c r="BZ353" s="78"/>
      <c r="CA353" s="78"/>
      <c r="CB353" s="78"/>
      <c r="CC353" s="78"/>
      <c r="CD353" s="78"/>
      <c r="CE353" s="78"/>
      <c r="CF353" s="78"/>
      <c r="CG353" s="78"/>
      <c r="CH353" s="78"/>
      <c r="CI353" s="78"/>
      <c r="CJ353" s="78"/>
      <c r="CK353" s="78"/>
      <c r="CL353" s="78"/>
      <c r="CM353" s="78"/>
      <c r="CN353" s="78"/>
      <c r="CO353" s="78"/>
      <c r="CP353" s="78"/>
      <c r="CQ353" s="78"/>
      <c r="CR353" s="78"/>
      <c r="CS353" s="78"/>
      <c r="CT353" s="78"/>
      <c r="CU353" s="78"/>
      <c r="CV353" s="78"/>
      <c r="CW353" s="78"/>
      <c r="CX353" s="78"/>
      <c r="CY353" s="78"/>
      <c r="CZ353" s="78"/>
      <c r="DA353" s="78"/>
      <c r="DB353" s="78"/>
      <c r="DC353" s="78"/>
      <c r="DD353" s="78"/>
      <c r="DE353" s="78"/>
      <c r="DF353" s="78"/>
      <c r="DG353" s="78"/>
      <c r="DH353" s="78"/>
      <c r="DI353" s="78"/>
      <c r="DJ353" s="78"/>
      <c r="DK353" s="78"/>
      <c r="DL353" s="78"/>
      <c r="DM353" s="78"/>
      <c r="DN353" s="78"/>
      <c r="DO353" s="78"/>
      <c r="DP353" s="78"/>
      <c r="DQ353" s="78"/>
      <c r="DR353" s="78"/>
      <c r="DS353" s="78"/>
      <c r="DT353" s="78"/>
      <c r="DU353" s="78"/>
      <c r="DV353" s="78"/>
      <c r="DW353" s="78"/>
      <c r="DX353" s="78"/>
      <c r="DY353" s="78"/>
      <c r="DZ353" s="78"/>
      <c r="EA353" s="78"/>
      <c r="EB353" s="78"/>
      <c r="EC353" s="78"/>
    </row>
    <row r="354" spans="1:133" s="9" customFormat="1" ht="31.2" x14ac:dyDescent="0.4">
      <c r="A354" s="71" t="s">
        <v>77</v>
      </c>
      <c r="B354" s="60" t="s">
        <v>211</v>
      </c>
      <c r="C354" s="53" t="s">
        <v>78</v>
      </c>
      <c r="D354" s="53" t="s">
        <v>349</v>
      </c>
      <c r="E354" s="74">
        <f>SUM(F354:Q354)</f>
        <v>2514.2137726007618</v>
      </c>
      <c r="F354" s="74">
        <f>F343*F338*F341+(1-F349)*0</f>
        <v>145.81705499779108</v>
      </c>
      <c r="G354" s="74">
        <f t="shared" ref="G354:Q354" si="55">G343*G338*G341+(1-G349)*F354</f>
        <v>234.4990719528241</v>
      </c>
      <c r="H354" s="74">
        <f t="shared" si="55"/>
        <v>289.56952673415628</v>
      </c>
      <c r="I354" s="74">
        <f t="shared" si="55"/>
        <v>271.17467901823738</v>
      </c>
      <c r="J354" s="74">
        <f t="shared" si="55"/>
        <v>223.53068056953214</v>
      </c>
      <c r="K354" s="74">
        <f t="shared" si="55"/>
        <v>159.16578271069136</v>
      </c>
      <c r="L354" s="74">
        <f t="shared" si="55"/>
        <v>145.81705499779108</v>
      </c>
      <c r="M354" s="74">
        <f t="shared" si="55"/>
        <v>145.81705499779108</v>
      </c>
      <c r="N354" s="74">
        <f t="shared" si="55"/>
        <v>152.88957262583918</v>
      </c>
      <c r="O354" s="74">
        <f t="shared" si="55"/>
        <v>198.58330235553836</v>
      </c>
      <c r="P354" s="74">
        <f t="shared" si="55"/>
        <v>239.45978976960444</v>
      </c>
      <c r="Q354" s="74">
        <f t="shared" si="55"/>
        <v>307.89020187096548</v>
      </c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  <c r="AN354" s="78"/>
      <c r="AO354" s="78"/>
      <c r="AP354" s="78"/>
      <c r="AQ354" s="78"/>
      <c r="AR354" s="78"/>
      <c r="AS354" s="78"/>
      <c r="AT354" s="78"/>
      <c r="AU354" s="78"/>
      <c r="AV354" s="78"/>
      <c r="AW354" s="78"/>
      <c r="AX354" s="78"/>
      <c r="AY354" s="78"/>
      <c r="AZ354" s="78"/>
      <c r="BA354" s="78"/>
      <c r="BB354" s="78"/>
      <c r="BC354" s="78"/>
      <c r="BD354" s="78"/>
      <c r="BE354" s="78"/>
      <c r="BF354" s="78"/>
      <c r="BG354" s="78"/>
      <c r="BH354" s="78"/>
      <c r="BI354" s="78"/>
      <c r="BJ354" s="78"/>
      <c r="BK354" s="78"/>
      <c r="BL354" s="78"/>
      <c r="BM354" s="78"/>
      <c r="BN354" s="78"/>
      <c r="BO354" s="78"/>
      <c r="BP354" s="78"/>
      <c r="BQ354" s="78"/>
      <c r="BR354" s="78"/>
      <c r="BS354" s="78"/>
      <c r="BT354" s="78"/>
      <c r="BU354" s="78"/>
      <c r="BV354" s="78"/>
      <c r="BW354" s="78"/>
      <c r="BX354" s="78"/>
      <c r="BY354" s="78"/>
      <c r="BZ354" s="78"/>
      <c r="CA354" s="78"/>
      <c r="CB354" s="78"/>
      <c r="CC354" s="78"/>
      <c r="CD354" s="78"/>
      <c r="CE354" s="78"/>
      <c r="CF354" s="78"/>
      <c r="CG354" s="78"/>
      <c r="CH354" s="78"/>
      <c r="CI354" s="78"/>
      <c r="CJ354" s="78"/>
      <c r="CK354" s="78"/>
      <c r="CL354" s="78"/>
      <c r="CM354" s="78"/>
      <c r="CN354" s="78"/>
      <c r="CO354" s="78"/>
      <c r="CP354" s="78"/>
      <c r="CQ354" s="78"/>
      <c r="CR354" s="78"/>
      <c r="CS354" s="78"/>
      <c r="CT354" s="78"/>
      <c r="CU354" s="78"/>
      <c r="CV354" s="78"/>
      <c r="CW354" s="78"/>
      <c r="CX354" s="78"/>
      <c r="CY354" s="78"/>
      <c r="CZ354" s="78"/>
      <c r="DA354" s="78"/>
      <c r="DB354" s="78"/>
      <c r="DC354" s="78"/>
      <c r="DD354" s="78"/>
      <c r="DE354" s="78"/>
      <c r="DF354" s="78"/>
      <c r="DG354" s="78"/>
      <c r="DH354" s="78"/>
      <c r="DI354" s="78"/>
      <c r="DJ354" s="78"/>
      <c r="DK354" s="78"/>
      <c r="DL354" s="78"/>
      <c r="DM354" s="78"/>
      <c r="DN354" s="78"/>
      <c r="DO354" s="78"/>
      <c r="DP354" s="78"/>
      <c r="DQ354" s="78"/>
      <c r="DR354" s="78"/>
      <c r="DS354" s="78"/>
      <c r="DT354" s="78"/>
      <c r="DU354" s="78"/>
      <c r="DV354" s="78"/>
      <c r="DW354" s="78"/>
      <c r="DX354" s="78"/>
      <c r="DY354" s="78"/>
      <c r="DZ354" s="78"/>
      <c r="EA354" s="78"/>
      <c r="EB354" s="78"/>
      <c r="EC354" s="78"/>
    </row>
    <row r="356" spans="1:133" x14ac:dyDescent="0.25">
      <c r="A356" s="133" t="s">
        <v>79</v>
      </c>
      <c r="B356" s="133"/>
      <c r="C356" s="133"/>
      <c r="D356" s="133"/>
      <c r="E356" s="133"/>
    </row>
    <row r="357" spans="1:133" x14ac:dyDescent="0.25">
      <c r="A357" s="57" t="s">
        <v>9</v>
      </c>
      <c r="B357" s="58" t="s">
        <v>10</v>
      </c>
      <c r="C357" s="34" t="s">
        <v>11</v>
      </c>
      <c r="D357" s="34" t="s">
        <v>12</v>
      </c>
      <c r="E357" s="16" t="s">
        <v>80</v>
      </c>
    </row>
    <row r="358" spans="1:133" ht="46.8" x14ac:dyDescent="0.25">
      <c r="A358" s="59" t="s">
        <v>81</v>
      </c>
      <c r="B358" s="60" t="s">
        <v>28</v>
      </c>
      <c r="C358" s="53" t="s">
        <v>82</v>
      </c>
      <c r="D358" s="53" t="s">
        <v>83</v>
      </c>
      <c r="E358" s="75">
        <v>0</v>
      </c>
    </row>
    <row r="359" spans="1:133" ht="46.8" x14ac:dyDescent="0.25">
      <c r="A359" s="63" t="s">
        <v>84</v>
      </c>
      <c r="B359" s="25" t="s">
        <v>85</v>
      </c>
      <c r="C359" s="35" t="s">
        <v>86</v>
      </c>
      <c r="D359" s="35" t="str">
        <f>D365</f>
        <v>Historical data on site in the FSR (It was calculated with conservative value)</v>
      </c>
      <c r="E359" s="74">
        <f>E365</f>
        <v>724.70161290322574</v>
      </c>
    </row>
    <row r="361" spans="1:133" x14ac:dyDescent="0.25">
      <c r="A361" s="134" t="s">
        <v>87</v>
      </c>
      <c r="B361" s="134"/>
      <c r="C361" s="135"/>
      <c r="D361" s="135"/>
      <c r="E361" s="134"/>
    </row>
    <row r="362" spans="1:133" x14ac:dyDescent="0.25">
      <c r="A362" s="59" t="s">
        <v>9</v>
      </c>
      <c r="B362" s="16" t="s">
        <v>10</v>
      </c>
      <c r="C362" s="38" t="s">
        <v>11</v>
      </c>
      <c r="D362" s="38" t="s">
        <v>12</v>
      </c>
      <c r="E362" s="16" t="s">
        <v>80</v>
      </c>
    </row>
    <row r="363" spans="1:133" ht="33.6" x14ac:dyDescent="0.4">
      <c r="A363" s="76" t="s">
        <v>88</v>
      </c>
      <c r="B363" s="25" t="s">
        <v>89</v>
      </c>
      <c r="C363" s="35" t="s">
        <v>90</v>
      </c>
      <c r="D363" s="35" t="s">
        <v>350</v>
      </c>
      <c r="E363" s="50">
        <f>E364*E367*E368*E369*E370*E371</f>
        <v>4.866657741562781</v>
      </c>
    </row>
    <row r="364" spans="1:133" ht="46.8" x14ac:dyDescent="0.4">
      <c r="A364" s="77" t="s">
        <v>223</v>
      </c>
      <c r="B364" s="25" t="s">
        <v>91</v>
      </c>
      <c r="C364" s="35" t="s">
        <v>92</v>
      </c>
      <c r="D364" s="35" t="s">
        <v>351</v>
      </c>
      <c r="E364" s="52">
        <f>E365/E366</f>
        <v>144.94032258064516</v>
      </c>
    </row>
    <row r="365" spans="1:133" ht="46.8" x14ac:dyDescent="0.25">
      <c r="A365" s="63" t="s">
        <v>224</v>
      </c>
      <c r="B365" s="25" t="s">
        <v>93</v>
      </c>
      <c r="C365" s="35" t="s">
        <v>94</v>
      </c>
      <c r="D365" s="53" t="s">
        <v>322</v>
      </c>
      <c r="E365" s="52">
        <v>724.70161290322574</v>
      </c>
    </row>
    <row r="366" spans="1:133" ht="31.2" x14ac:dyDescent="0.25">
      <c r="A366" s="63" t="s">
        <v>225</v>
      </c>
      <c r="B366" s="25" t="s">
        <v>95</v>
      </c>
      <c r="C366" s="35" t="s">
        <v>96</v>
      </c>
      <c r="D366" s="35" t="s">
        <v>327</v>
      </c>
      <c r="E366" s="25">
        <f>5</f>
        <v>5</v>
      </c>
    </row>
    <row r="367" spans="1:133" ht="62.4" x14ac:dyDescent="0.25">
      <c r="A367" s="63" t="s">
        <v>226</v>
      </c>
      <c r="B367" s="25" t="s">
        <v>97</v>
      </c>
      <c r="C367" s="35" t="s">
        <v>98</v>
      </c>
      <c r="D367" s="53" t="s">
        <v>327</v>
      </c>
      <c r="E367" s="25">
        <f>24.8*2</f>
        <v>49.6</v>
      </c>
    </row>
    <row r="368" spans="1:133" ht="172.2" x14ac:dyDescent="0.25">
      <c r="A368" s="63" t="s">
        <v>227</v>
      </c>
      <c r="B368" s="25" t="s">
        <v>99</v>
      </c>
      <c r="C368" s="35" t="s">
        <v>100</v>
      </c>
      <c r="D368" s="35" t="s">
        <v>338</v>
      </c>
      <c r="E368" s="25">
        <f>25.1/100</f>
        <v>0.251</v>
      </c>
    </row>
    <row r="369" spans="1:133" ht="140.4" x14ac:dyDescent="0.25">
      <c r="A369" s="63" t="s">
        <v>228</v>
      </c>
      <c r="B369" s="25" t="s">
        <v>102</v>
      </c>
      <c r="C369" s="35" t="s">
        <v>101</v>
      </c>
      <c r="D369" s="35" t="s">
        <v>337</v>
      </c>
      <c r="E369" s="25">
        <f>0.84/1000</f>
        <v>8.3999999999999993E-4</v>
      </c>
    </row>
    <row r="370" spans="1:133" ht="140.4" x14ac:dyDescent="0.25">
      <c r="A370" s="63" t="s">
        <v>229</v>
      </c>
      <c r="B370" s="25" t="s">
        <v>103</v>
      </c>
      <c r="C370" s="35" t="s">
        <v>104</v>
      </c>
      <c r="D370" s="35" t="s">
        <v>335</v>
      </c>
      <c r="E370" s="25">
        <f>43.33/1000</f>
        <v>4.333E-2</v>
      </c>
    </row>
    <row r="371" spans="1:133" ht="62.4" x14ac:dyDescent="0.25">
      <c r="A371" s="63" t="s">
        <v>230</v>
      </c>
      <c r="B371" s="25" t="s">
        <v>105</v>
      </c>
      <c r="C371" s="35" t="s">
        <v>106</v>
      </c>
      <c r="D371" s="35" t="s">
        <v>333</v>
      </c>
      <c r="E371" s="25">
        <v>74.099999999999994</v>
      </c>
    </row>
    <row r="373" spans="1:133" x14ac:dyDescent="0.25">
      <c r="A373" s="133" t="s">
        <v>108</v>
      </c>
      <c r="B373" s="133"/>
      <c r="C373" s="133"/>
      <c r="D373" s="133"/>
      <c r="E373" s="133"/>
    </row>
    <row r="374" spans="1:133" x14ac:dyDescent="0.25">
      <c r="A374" s="57" t="s">
        <v>9</v>
      </c>
      <c r="B374" s="58" t="s">
        <v>10</v>
      </c>
      <c r="C374" s="34" t="s">
        <v>11</v>
      </c>
      <c r="D374" s="34" t="s">
        <v>12</v>
      </c>
      <c r="E374" s="16" t="s">
        <v>80</v>
      </c>
    </row>
    <row r="375" spans="1:133" ht="64.8" x14ac:dyDescent="0.25">
      <c r="A375" s="15" t="s">
        <v>109</v>
      </c>
      <c r="B375" s="25" t="s">
        <v>110</v>
      </c>
      <c r="C375" s="35" t="s">
        <v>111</v>
      </c>
      <c r="D375" s="35" t="s">
        <v>112</v>
      </c>
      <c r="E375" s="16">
        <v>0</v>
      </c>
    </row>
    <row r="377" spans="1:133" x14ac:dyDescent="0.25">
      <c r="A377" s="133" t="s">
        <v>113</v>
      </c>
      <c r="B377" s="133"/>
      <c r="C377" s="133"/>
      <c r="D377" s="133"/>
      <c r="E377" s="133"/>
    </row>
    <row r="378" spans="1:133" x14ac:dyDescent="0.25">
      <c r="A378" s="57" t="s">
        <v>9</v>
      </c>
      <c r="B378" s="58" t="s">
        <v>10</v>
      </c>
      <c r="C378" s="34" t="s">
        <v>11</v>
      </c>
      <c r="D378" s="34" t="s">
        <v>12</v>
      </c>
      <c r="E378" s="16" t="s">
        <v>80</v>
      </c>
    </row>
    <row r="379" spans="1:133" ht="49.2" x14ac:dyDescent="0.25">
      <c r="A379" s="15" t="s">
        <v>114</v>
      </c>
      <c r="B379" s="25" t="s">
        <v>110</v>
      </c>
      <c r="C379" s="35" t="s">
        <v>115</v>
      </c>
      <c r="D379" s="35" t="s">
        <v>116</v>
      </c>
      <c r="E379" s="16">
        <v>0</v>
      </c>
    </row>
    <row r="381" spans="1:133" x14ac:dyDescent="0.25">
      <c r="A381" s="57" t="s">
        <v>9</v>
      </c>
      <c r="B381" s="58" t="s">
        <v>10</v>
      </c>
      <c r="C381" s="34" t="s">
        <v>11</v>
      </c>
      <c r="D381" s="34" t="s">
        <v>12</v>
      </c>
      <c r="E381" s="16" t="s">
        <v>80</v>
      </c>
    </row>
    <row r="382" spans="1:133" ht="18" x14ac:dyDescent="0.25">
      <c r="A382" s="59" t="s">
        <v>117</v>
      </c>
      <c r="B382" s="25" t="s">
        <v>118</v>
      </c>
      <c r="C382" s="35" t="s">
        <v>119</v>
      </c>
      <c r="D382" s="53" t="s">
        <v>352</v>
      </c>
      <c r="E382" s="18">
        <f>ROUNDDOWN(E332+E363+E358+E375+E379,0)</f>
        <v>5455</v>
      </c>
    </row>
    <row r="383" spans="1:133" s="138" customFormat="1" ht="43.2" customHeight="1" x14ac:dyDescent="0.25">
      <c r="A383" s="138" t="s">
        <v>259</v>
      </c>
    </row>
    <row r="384" spans="1:133" s="56" customFormat="1" x14ac:dyDescent="0.25">
      <c r="A384" s="93" t="s">
        <v>9</v>
      </c>
      <c r="B384" s="94" t="s">
        <v>10</v>
      </c>
      <c r="C384" s="95" t="s">
        <v>11</v>
      </c>
      <c r="D384" s="95" t="s">
        <v>12</v>
      </c>
      <c r="E384" s="94" t="s">
        <v>13</v>
      </c>
      <c r="F384" s="96" t="s">
        <v>14</v>
      </c>
      <c r="G384" s="96" t="s">
        <v>15</v>
      </c>
      <c r="H384" s="96" t="s">
        <v>16</v>
      </c>
      <c r="I384" s="96" t="s">
        <v>17</v>
      </c>
      <c r="J384" s="96" t="s">
        <v>18</v>
      </c>
      <c r="K384" s="96" t="s">
        <v>19</v>
      </c>
      <c r="L384" s="96" t="s">
        <v>20</v>
      </c>
      <c r="M384" s="96" t="s">
        <v>21</v>
      </c>
      <c r="N384" s="96" t="s">
        <v>22</v>
      </c>
      <c r="O384" s="96" t="s">
        <v>23</v>
      </c>
      <c r="P384" s="96" t="s">
        <v>24</v>
      </c>
      <c r="Q384" s="96" t="s">
        <v>25</v>
      </c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  <c r="AK384" s="54"/>
      <c r="AL384" s="54"/>
      <c r="AM384" s="54"/>
      <c r="AN384" s="54"/>
      <c r="AO384" s="54"/>
      <c r="AP384" s="54"/>
      <c r="AQ384" s="54"/>
      <c r="AR384" s="54"/>
      <c r="AS384" s="54"/>
      <c r="AT384" s="54"/>
      <c r="AU384" s="54"/>
      <c r="AV384" s="54"/>
      <c r="AW384" s="54"/>
      <c r="AX384" s="54"/>
      <c r="AY384" s="54"/>
      <c r="AZ384" s="54"/>
      <c r="BA384" s="54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  <c r="BN384" s="54"/>
      <c r="BO384" s="54"/>
      <c r="BP384" s="54"/>
      <c r="BQ384" s="54"/>
      <c r="BR384" s="54"/>
      <c r="BS384" s="54"/>
      <c r="BT384" s="54"/>
      <c r="BU384" s="54"/>
      <c r="BV384" s="54"/>
      <c r="BW384" s="54"/>
      <c r="BX384" s="54"/>
      <c r="BY384" s="54"/>
      <c r="BZ384" s="54"/>
      <c r="CA384" s="54"/>
      <c r="CB384" s="54"/>
      <c r="CC384" s="54"/>
      <c r="CD384" s="54"/>
      <c r="CE384" s="54"/>
      <c r="CF384" s="54"/>
      <c r="CG384" s="54"/>
      <c r="CH384" s="54"/>
      <c r="CI384" s="54"/>
      <c r="CJ384" s="54"/>
      <c r="CK384" s="54"/>
      <c r="CL384" s="54"/>
      <c r="CM384" s="54"/>
      <c r="CN384" s="54"/>
      <c r="CO384" s="54"/>
      <c r="CP384" s="54"/>
      <c r="CQ384" s="54"/>
      <c r="CR384" s="54"/>
      <c r="CS384" s="54"/>
      <c r="CT384" s="54"/>
      <c r="CU384" s="54"/>
      <c r="CV384" s="54"/>
      <c r="CW384" s="54"/>
      <c r="CX384" s="54"/>
      <c r="CY384" s="54"/>
      <c r="CZ384" s="54"/>
      <c r="DA384" s="54"/>
      <c r="DB384" s="54"/>
      <c r="DC384" s="54"/>
      <c r="DD384" s="54"/>
      <c r="DE384" s="54"/>
      <c r="DF384" s="54"/>
      <c r="DG384" s="54"/>
      <c r="DH384" s="54"/>
      <c r="DI384" s="54"/>
      <c r="DJ384" s="54"/>
      <c r="DK384" s="54"/>
      <c r="DL384" s="54"/>
      <c r="DM384" s="54"/>
      <c r="DN384" s="54"/>
      <c r="DO384" s="54"/>
      <c r="DP384" s="54"/>
      <c r="DQ384" s="54"/>
      <c r="DR384" s="54"/>
      <c r="DS384" s="54"/>
      <c r="DT384" s="54"/>
      <c r="DU384" s="54"/>
      <c r="DV384" s="54"/>
      <c r="DW384" s="54"/>
      <c r="DX384" s="54"/>
      <c r="DY384" s="54"/>
      <c r="DZ384" s="54"/>
      <c r="EA384" s="54"/>
      <c r="EB384" s="54"/>
      <c r="EC384" s="54"/>
    </row>
    <row r="385" spans="1:133" s="56" customFormat="1" x14ac:dyDescent="0.25">
      <c r="A385" s="128" t="s">
        <v>26</v>
      </c>
      <c r="B385" s="128"/>
      <c r="C385" s="129"/>
      <c r="D385" s="129"/>
      <c r="E385" s="128"/>
      <c r="F385" s="16">
        <v>31</v>
      </c>
      <c r="G385" s="16">
        <v>28</v>
      </c>
      <c r="H385" s="16">
        <v>31</v>
      </c>
      <c r="I385" s="16">
        <v>30</v>
      </c>
      <c r="J385" s="16">
        <v>31</v>
      </c>
      <c r="K385" s="16">
        <v>30</v>
      </c>
      <c r="L385" s="16">
        <v>31</v>
      </c>
      <c r="M385" s="16">
        <v>31</v>
      </c>
      <c r="N385" s="16">
        <v>30</v>
      </c>
      <c r="O385" s="16">
        <v>31</v>
      </c>
      <c r="P385" s="16">
        <v>30</v>
      </c>
      <c r="Q385" s="16">
        <v>31</v>
      </c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  <c r="AK385" s="54"/>
      <c r="AL385" s="54"/>
      <c r="AM385" s="54"/>
      <c r="AN385" s="54"/>
      <c r="AO385" s="54"/>
      <c r="AP385" s="54"/>
      <c r="AQ385" s="54"/>
      <c r="AR385" s="54"/>
      <c r="AS385" s="54"/>
      <c r="AT385" s="54"/>
      <c r="AU385" s="54"/>
      <c r="AV385" s="54"/>
      <c r="AW385" s="54"/>
      <c r="AX385" s="54"/>
      <c r="AY385" s="54"/>
      <c r="AZ385" s="54"/>
      <c r="BA385" s="54"/>
      <c r="BB385" s="54"/>
      <c r="BC385" s="54"/>
      <c r="BD385" s="54"/>
      <c r="BE385" s="54"/>
      <c r="BF385" s="54"/>
      <c r="BG385" s="54"/>
      <c r="BH385" s="54"/>
      <c r="BI385" s="54"/>
      <c r="BJ385" s="54"/>
      <c r="BK385" s="54"/>
      <c r="BL385" s="54"/>
      <c r="BM385" s="54"/>
      <c r="BN385" s="54"/>
      <c r="BO385" s="54"/>
      <c r="BP385" s="54"/>
      <c r="BQ385" s="54"/>
      <c r="BR385" s="54"/>
      <c r="BS385" s="54"/>
      <c r="BT385" s="54"/>
      <c r="BU385" s="54"/>
      <c r="BV385" s="54"/>
      <c r="BW385" s="54"/>
      <c r="BX385" s="54"/>
      <c r="BY385" s="54"/>
      <c r="BZ385" s="54"/>
      <c r="CA385" s="54"/>
      <c r="CB385" s="54"/>
      <c r="CC385" s="54"/>
      <c r="CD385" s="54"/>
      <c r="CE385" s="54"/>
      <c r="CF385" s="54"/>
      <c r="CG385" s="54"/>
      <c r="CH385" s="54"/>
      <c r="CI385" s="54"/>
      <c r="CJ385" s="54"/>
      <c r="CK385" s="54"/>
      <c r="CL385" s="54"/>
      <c r="CM385" s="54"/>
      <c r="CN385" s="54"/>
      <c r="CO385" s="54"/>
      <c r="CP385" s="54"/>
      <c r="CQ385" s="54"/>
      <c r="CR385" s="54"/>
      <c r="CS385" s="54"/>
      <c r="CT385" s="54"/>
      <c r="CU385" s="54"/>
      <c r="CV385" s="54"/>
      <c r="CW385" s="54"/>
      <c r="CX385" s="54"/>
      <c r="CY385" s="54"/>
      <c r="CZ385" s="54"/>
      <c r="DA385" s="54"/>
      <c r="DB385" s="54"/>
      <c r="DC385" s="54"/>
      <c r="DD385" s="54"/>
      <c r="DE385" s="54"/>
      <c r="DF385" s="54"/>
      <c r="DG385" s="54"/>
      <c r="DH385" s="54"/>
      <c r="DI385" s="54"/>
      <c r="DJ385" s="54"/>
      <c r="DK385" s="54"/>
      <c r="DL385" s="54"/>
      <c r="DM385" s="54"/>
      <c r="DN385" s="54"/>
      <c r="DO385" s="54"/>
      <c r="DP385" s="54"/>
      <c r="DQ385" s="54"/>
      <c r="DR385" s="54"/>
      <c r="DS385" s="54"/>
      <c r="DT385" s="54"/>
      <c r="DU385" s="54"/>
      <c r="DV385" s="54"/>
      <c r="DW385" s="54"/>
      <c r="DX385" s="54"/>
      <c r="DY385" s="54"/>
      <c r="DZ385" s="54"/>
      <c r="EA385" s="54"/>
      <c r="EB385" s="54"/>
      <c r="EC385" s="54"/>
    </row>
    <row r="386" spans="1:133" ht="46.8" x14ac:dyDescent="0.25">
      <c r="A386" s="59" t="s">
        <v>27</v>
      </c>
      <c r="B386" s="60" t="s">
        <v>28</v>
      </c>
      <c r="C386" s="53" t="s">
        <v>29</v>
      </c>
      <c r="D386" s="53" t="s">
        <v>340</v>
      </c>
      <c r="E386" s="61">
        <f>SUM(F386:Q386)</f>
        <v>3712.5385358959857</v>
      </c>
      <c r="F386" s="62">
        <f>$E$6*$E$7*F389*$E$19</f>
        <v>315.31149208979605</v>
      </c>
      <c r="G386" s="62">
        <f t="shared" ref="G386:Q386" si="56">$E$6*$E$7*G389*$E$19</f>
        <v>284.79747672626746</v>
      </c>
      <c r="H386" s="62">
        <f t="shared" si="56"/>
        <v>315.31149208979605</v>
      </c>
      <c r="I386" s="62">
        <f t="shared" si="56"/>
        <v>305.14015363528648</v>
      </c>
      <c r="J386" s="62">
        <f t="shared" si="56"/>
        <v>315.31149208979605</v>
      </c>
      <c r="K386" s="62">
        <f t="shared" si="56"/>
        <v>305.14015363528648</v>
      </c>
      <c r="L386" s="62">
        <f t="shared" si="56"/>
        <v>315.31149208979605</v>
      </c>
      <c r="M386" s="62">
        <f t="shared" si="56"/>
        <v>315.31149208979605</v>
      </c>
      <c r="N386" s="62">
        <f t="shared" si="56"/>
        <v>305.14015363528648</v>
      </c>
      <c r="O386" s="62">
        <f t="shared" si="56"/>
        <v>315.31149208979605</v>
      </c>
      <c r="P386" s="62">
        <f t="shared" si="56"/>
        <v>305.14015363528648</v>
      </c>
      <c r="Q386" s="62">
        <f t="shared" si="56"/>
        <v>315.31149208979605</v>
      </c>
    </row>
    <row r="387" spans="1:133" ht="31.2" x14ac:dyDescent="0.25">
      <c r="A387" s="63" t="s">
        <v>30</v>
      </c>
      <c r="B387" s="60" t="s">
        <v>208</v>
      </c>
      <c r="C387" s="35" t="s">
        <v>31</v>
      </c>
      <c r="D387" s="35" t="s">
        <v>220</v>
      </c>
      <c r="E387" s="130">
        <v>28</v>
      </c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</row>
    <row r="388" spans="1:133" ht="64.8" x14ac:dyDescent="0.25">
      <c r="A388" s="63" t="s">
        <v>32</v>
      </c>
      <c r="B388" s="25" t="s">
        <v>209</v>
      </c>
      <c r="C388" s="35" t="s">
        <v>34</v>
      </c>
      <c r="D388" s="35" t="s">
        <v>373</v>
      </c>
      <c r="E388" s="130">
        <v>0.21</v>
      </c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</row>
    <row r="389" spans="1:133" ht="46.8" x14ac:dyDescent="0.25">
      <c r="A389" s="35" t="s">
        <v>35</v>
      </c>
      <c r="B389" s="25" t="s">
        <v>210</v>
      </c>
      <c r="C389" s="53" t="s">
        <v>36</v>
      </c>
      <c r="D389" s="53" t="s">
        <v>341</v>
      </c>
      <c r="E389" s="64">
        <f t="shared" ref="E389:Q389" si="57">E397*E390</f>
        <v>1169.493221573641</v>
      </c>
      <c r="F389" s="64">
        <f t="shared" si="57"/>
        <v>99.326821558309234</v>
      </c>
      <c r="G389" s="64">
        <f t="shared" si="57"/>
        <v>89.714548504279321</v>
      </c>
      <c r="H389" s="64">
        <f t="shared" si="57"/>
        <v>99.326821558309234</v>
      </c>
      <c r="I389" s="64">
        <f t="shared" si="57"/>
        <v>96.122730540299258</v>
      </c>
      <c r="J389" s="64">
        <f t="shared" si="57"/>
        <v>99.326821558309234</v>
      </c>
      <c r="K389" s="64">
        <f t="shared" si="57"/>
        <v>96.122730540299258</v>
      </c>
      <c r="L389" s="64">
        <f t="shared" si="57"/>
        <v>99.326821558309234</v>
      </c>
      <c r="M389" s="64">
        <f t="shared" si="57"/>
        <v>99.326821558309234</v>
      </c>
      <c r="N389" s="64">
        <f t="shared" si="57"/>
        <v>96.122730540299258</v>
      </c>
      <c r="O389" s="64">
        <f t="shared" si="57"/>
        <v>99.326821558309234</v>
      </c>
      <c r="P389" s="64">
        <f t="shared" si="57"/>
        <v>96.122730540299258</v>
      </c>
      <c r="Q389" s="64">
        <f t="shared" si="57"/>
        <v>99.326821558309234</v>
      </c>
    </row>
    <row r="390" spans="1:133" ht="46.8" x14ac:dyDescent="0.25">
      <c r="A390" s="35" t="s">
        <v>37</v>
      </c>
      <c r="B390" s="25" t="s">
        <v>212</v>
      </c>
      <c r="C390" s="35" t="s">
        <v>206</v>
      </c>
      <c r="D390" s="35" t="s">
        <v>342</v>
      </c>
      <c r="E390" s="20">
        <f>SUM(F390:Q390)</f>
        <v>1231.875</v>
      </c>
      <c r="F390" s="20">
        <f>F392*F395</f>
        <v>104.625</v>
      </c>
      <c r="G390" s="20">
        <f t="shared" ref="G390:Q390" si="58">G392*G395</f>
        <v>94.5</v>
      </c>
      <c r="H390" s="20">
        <f t="shared" si="58"/>
        <v>104.625</v>
      </c>
      <c r="I390" s="20">
        <f t="shared" si="58"/>
        <v>101.25</v>
      </c>
      <c r="J390" s="20">
        <f t="shared" si="58"/>
        <v>104.625</v>
      </c>
      <c r="K390" s="20">
        <f t="shared" si="58"/>
        <v>101.25</v>
      </c>
      <c r="L390" s="20">
        <f t="shared" si="58"/>
        <v>104.625</v>
      </c>
      <c r="M390" s="20">
        <f t="shared" si="58"/>
        <v>104.625</v>
      </c>
      <c r="N390" s="20">
        <f t="shared" si="58"/>
        <v>101.25</v>
      </c>
      <c r="O390" s="20">
        <f t="shared" si="58"/>
        <v>104.625</v>
      </c>
      <c r="P390" s="20">
        <f t="shared" si="58"/>
        <v>101.25</v>
      </c>
      <c r="Q390" s="20">
        <f t="shared" si="58"/>
        <v>104.625</v>
      </c>
    </row>
    <row r="391" spans="1:133" ht="46.8" x14ac:dyDescent="0.3">
      <c r="A391" s="51" t="s">
        <v>221</v>
      </c>
      <c r="B391" s="60" t="s">
        <v>207</v>
      </c>
      <c r="C391" s="35" t="s">
        <v>39</v>
      </c>
      <c r="D391" s="35" t="s">
        <v>222</v>
      </c>
      <c r="E391" s="20">
        <v>7500</v>
      </c>
      <c r="F391" s="20">
        <v>7500</v>
      </c>
      <c r="G391" s="20">
        <v>7500</v>
      </c>
      <c r="H391" s="20">
        <v>7500</v>
      </c>
      <c r="I391" s="20">
        <v>7500</v>
      </c>
      <c r="J391" s="20">
        <v>7500</v>
      </c>
      <c r="K391" s="20">
        <v>7500</v>
      </c>
      <c r="L391" s="20">
        <v>7500</v>
      </c>
      <c r="M391" s="20">
        <v>7500</v>
      </c>
      <c r="N391" s="20">
        <v>7500</v>
      </c>
      <c r="O391" s="20">
        <v>7500</v>
      </c>
      <c r="P391" s="20">
        <v>7500</v>
      </c>
      <c r="Q391" s="20">
        <v>7500</v>
      </c>
    </row>
    <row r="392" spans="1:133" ht="46.8" x14ac:dyDescent="0.25">
      <c r="A392" s="35" t="s">
        <v>41</v>
      </c>
      <c r="B392" s="60" t="s">
        <v>213</v>
      </c>
      <c r="C392" s="35" t="s">
        <v>42</v>
      </c>
      <c r="D392" s="35" t="s">
        <v>326</v>
      </c>
      <c r="E392" s="65">
        <f>SUM(F392:Q392)</f>
        <v>2737500</v>
      </c>
      <c r="F392" s="65">
        <f>F391*F385</f>
        <v>232500</v>
      </c>
      <c r="G392" s="65">
        <f t="shared" ref="G392:Q392" si="59">G391*G385</f>
        <v>210000</v>
      </c>
      <c r="H392" s="65">
        <f t="shared" si="59"/>
        <v>232500</v>
      </c>
      <c r="I392" s="65">
        <f t="shared" si="59"/>
        <v>225000</v>
      </c>
      <c r="J392" s="65">
        <f t="shared" si="59"/>
        <v>232500</v>
      </c>
      <c r="K392" s="65">
        <f t="shared" si="59"/>
        <v>225000</v>
      </c>
      <c r="L392" s="65">
        <f t="shared" si="59"/>
        <v>232500</v>
      </c>
      <c r="M392" s="65">
        <f t="shared" si="59"/>
        <v>232500</v>
      </c>
      <c r="N392" s="65">
        <f t="shared" si="59"/>
        <v>225000</v>
      </c>
      <c r="O392" s="65">
        <f t="shared" si="59"/>
        <v>232500</v>
      </c>
      <c r="P392" s="65">
        <f t="shared" si="59"/>
        <v>225000</v>
      </c>
      <c r="Q392" s="65">
        <f t="shared" si="59"/>
        <v>232500</v>
      </c>
    </row>
    <row r="393" spans="1:133" ht="62.4" x14ac:dyDescent="0.25">
      <c r="A393" s="35" t="s">
        <v>43</v>
      </c>
      <c r="B393" s="60" t="s">
        <v>214</v>
      </c>
      <c r="C393" s="35" t="s">
        <v>44</v>
      </c>
      <c r="D393" s="35" t="s">
        <v>40</v>
      </c>
      <c r="E393" s="66">
        <v>450</v>
      </c>
      <c r="F393" s="66">
        <v>450</v>
      </c>
      <c r="G393" s="66">
        <v>450</v>
      </c>
      <c r="H393" s="66">
        <v>450</v>
      </c>
      <c r="I393" s="66">
        <v>450</v>
      </c>
      <c r="J393" s="66">
        <v>450</v>
      </c>
      <c r="K393" s="66">
        <v>450</v>
      </c>
      <c r="L393" s="66">
        <v>450</v>
      </c>
      <c r="M393" s="66">
        <v>450</v>
      </c>
      <c r="N393" s="66">
        <v>450</v>
      </c>
      <c r="O393" s="66">
        <v>450</v>
      </c>
      <c r="P393" s="66">
        <v>450</v>
      </c>
      <c r="Q393" s="66">
        <v>450</v>
      </c>
    </row>
    <row r="394" spans="1:133" ht="62.4" x14ac:dyDescent="0.25">
      <c r="A394" s="35" t="s">
        <v>45</v>
      </c>
      <c r="B394" s="60" t="s">
        <v>214</v>
      </c>
      <c r="C394" s="35" t="s">
        <v>46</v>
      </c>
      <c r="D394" s="35" t="s">
        <v>40</v>
      </c>
      <c r="E394" s="65">
        <v>40</v>
      </c>
      <c r="F394" s="65">
        <v>40</v>
      </c>
      <c r="G394" s="65">
        <v>40</v>
      </c>
      <c r="H394" s="65">
        <v>40</v>
      </c>
      <c r="I394" s="65">
        <v>40</v>
      </c>
      <c r="J394" s="65">
        <v>40</v>
      </c>
      <c r="K394" s="65">
        <v>40</v>
      </c>
      <c r="L394" s="65">
        <v>40</v>
      </c>
      <c r="M394" s="65">
        <v>40</v>
      </c>
      <c r="N394" s="65">
        <v>40</v>
      </c>
      <c r="O394" s="65">
        <v>40</v>
      </c>
      <c r="P394" s="65">
        <v>40</v>
      </c>
      <c r="Q394" s="65">
        <v>40</v>
      </c>
    </row>
    <row r="395" spans="1:133" ht="62.4" x14ac:dyDescent="0.25">
      <c r="A395" s="35" t="s">
        <v>47</v>
      </c>
      <c r="B395" s="60" t="s">
        <v>215</v>
      </c>
      <c r="C395" s="35" t="s">
        <v>49</v>
      </c>
      <c r="D395" s="35" t="s">
        <v>324</v>
      </c>
      <c r="E395" s="67">
        <f>E393/1000000</f>
        <v>4.4999999999999999E-4</v>
      </c>
      <c r="F395" s="22">
        <f>F393/1000000</f>
        <v>4.4999999999999999E-4</v>
      </c>
      <c r="G395" s="22">
        <f t="shared" ref="G395:Q395" si="60">G393/1000000</f>
        <v>4.4999999999999999E-4</v>
      </c>
      <c r="H395" s="22">
        <f t="shared" si="60"/>
        <v>4.4999999999999999E-4</v>
      </c>
      <c r="I395" s="22">
        <f t="shared" si="60"/>
        <v>4.4999999999999999E-4</v>
      </c>
      <c r="J395" s="22">
        <f t="shared" si="60"/>
        <v>4.4999999999999999E-4</v>
      </c>
      <c r="K395" s="22">
        <f t="shared" si="60"/>
        <v>4.4999999999999999E-4</v>
      </c>
      <c r="L395" s="22">
        <f t="shared" si="60"/>
        <v>4.4999999999999999E-4</v>
      </c>
      <c r="M395" s="22">
        <f t="shared" si="60"/>
        <v>4.4999999999999999E-4</v>
      </c>
      <c r="N395" s="22">
        <f t="shared" si="60"/>
        <v>4.4999999999999999E-4</v>
      </c>
      <c r="O395" s="22">
        <f t="shared" si="60"/>
        <v>4.4999999999999999E-4</v>
      </c>
      <c r="P395" s="22">
        <f t="shared" si="60"/>
        <v>4.4999999999999999E-4</v>
      </c>
      <c r="Q395" s="22">
        <f t="shared" si="60"/>
        <v>4.4999999999999999E-4</v>
      </c>
    </row>
    <row r="396" spans="1:133" ht="62.4" x14ac:dyDescent="0.25">
      <c r="A396" s="35" t="s">
        <v>45</v>
      </c>
      <c r="B396" s="60" t="s">
        <v>48</v>
      </c>
      <c r="C396" s="35" t="s">
        <v>50</v>
      </c>
      <c r="D396" s="35" t="s">
        <v>325</v>
      </c>
      <c r="E396" s="67">
        <f>E394/1000000</f>
        <v>4.0000000000000003E-5</v>
      </c>
      <c r="F396" s="22">
        <f>F394/1000000</f>
        <v>4.0000000000000003E-5</v>
      </c>
      <c r="G396" s="22">
        <f t="shared" ref="G396:Q396" si="61">G394/1000000</f>
        <v>4.0000000000000003E-5</v>
      </c>
      <c r="H396" s="22">
        <f t="shared" si="61"/>
        <v>4.0000000000000003E-5</v>
      </c>
      <c r="I396" s="22">
        <f t="shared" si="61"/>
        <v>4.0000000000000003E-5</v>
      </c>
      <c r="J396" s="22">
        <f t="shared" si="61"/>
        <v>4.0000000000000003E-5</v>
      </c>
      <c r="K396" s="22">
        <f t="shared" si="61"/>
        <v>4.0000000000000003E-5</v>
      </c>
      <c r="L396" s="22">
        <f t="shared" si="61"/>
        <v>4.0000000000000003E-5</v>
      </c>
      <c r="M396" s="22">
        <f t="shared" si="61"/>
        <v>4.0000000000000003E-5</v>
      </c>
      <c r="N396" s="22">
        <f t="shared" si="61"/>
        <v>4.0000000000000003E-5</v>
      </c>
      <c r="O396" s="22">
        <f t="shared" si="61"/>
        <v>4.0000000000000003E-5</v>
      </c>
      <c r="P396" s="22">
        <f t="shared" si="61"/>
        <v>4.0000000000000003E-5</v>
      </c>
      <c r="Q396" s="22">
        <f t="shared" si="61"/>
        <v>4.0000000000000003E-5</v>
      </c>
    </row>
    <row r="397" spans="1:133" ht="46.8" x14ac:dyDescent="0.25">
      <c r="A397" s="63" t="s">
        <v>51</v>
      </c>
      <c r="B397" s="25" t="s">
        <v>216</v>
      </c>
      <c r="C397" s="35" t="s">
        <v>53</v>
      </c>
      <c r="D397" s="35" t="s">
        <v>343</v>
      </c>
      <c r="E397" s="68">
        <f>(1-(E398/E399))</f>
        <v>0.94936030163258533</v>
      </c>
      <c r="F397" s="68">
        <f>E397</f>
        <v>0.94936030163258533</v>
      </c>
      <c r="G397" s="68">
        <f>E397</f>
        <v>0.94936030163258533</v>
      </c>
      <c r="H397" s="68">
        <f>E397</f>
        <v>0.94936030163258533</v>
      </c>
      <c r="I397" s="68">
        <f>E397</f>
        <v>0.94936030163258533</v>
      </c>
      <c r="J397" s="68">
        <f>E397</f>
        <v>0.94936030163258533</v>
      </c>
      <c r="K397" s="68">
        <f>E397</f>
        <v>0.94936030163258533</v>
      </c>
      <c r="L397" s="68">
        <f>E397</f>
        <v>0.94936030163258533</v>
      </c>
      <c r="M397" s="68">
        <f>E397</f>
        <v>0.94936030163258533</v>
      </c>
      <c r="N397" s="68">
        <f>E397</f>
        <v>0.94936030163258533</v>
      </c>
      <c r="O397" s="68">
        <f>E397</f>
        <v>0.94936030163258533</v>
      </c>
      <c r="P397" s="68">
        <f>E397</f>
        <v>0.94936030163258533</v>
      </c>
      <c r="Q397" s="68">
        <f>E397</f>
        <v>0.94936030163258533</v>
      </c>
    </row>
    <row r="398" spans="1:133" ht="31.2" x14ac:dyDescent="0.25">
      <c r="A398" s="35" t="s">
        <v>54</v>
      </c>
      <c r="B398" s="25" t="s">
        <v>211</v>
      </c>
      <c r="C398" s="35" t="s">
        <v>55</v>
      </c>
      <c r="D398" s="35" t="s">
        <v>323</v>
      </c>
      <c r="E398" s="52">
        <f>SUM(F398:Q398)</f>
        <v>43.395043449999996</v>
      </c>
      <c r="F398" s="52">
        <v>3.68560643</v>
      </c>
      <c r="G398" s="52">
        <v>3.3289348400000001</v>
      </c>
      <c r="H398" s="52">
        <v>3.68560643</v>
      </c>
      <c r="I398" s="52">
        <v>3.5667158999999993</v>
      </c>
      <c r="J398" s="52">
        <v>3.68560643</v>
      </c>
      <c r="K398" s="52">
        <v>3.5667158999999993</v>
      </c>
      <c r="L398" s="52">
        <v>3.68560643</v>
      </c>
      <c r="M398" s="52">
        <v>3.68560643</v>
      </c>
      <c r="N398" s="52">
        <v>3.5667158999999993</v>
      </c>
      <c r="O398" s="52">
        <v>3.68560643</v>
      </c>
      <c r="P398" s="52">
        <v>3.5667158999999993</v>
      </c>
      <c r="Q398" s="52">
        <v>3.68560643</v>
      </c>
    </row>
    <row r="399" spans="1:133" ht="31.2" x14ac:dyDescent="0.25">
      <c r="A399" s="63" t="s">
        <v>56</v>
      </c>
      <c r="B399" s="25" t="s">
        <v>38</v>
      </c>
      <c r="C399" s="35" t="s">
        <v>57</v>
      </c>
      <c r="D399" s="35" t="s">
        <v>323</v>
      </c>
      <c r="E399" s="52">
        <f>SUM(F399:Q399)</f>
        <v>856.93724190749981</v>
      </c>
      <c r="F399" s="52">
        <v>72.780971230500001</v>
      </c>
      <c r="G399" s="52">
        <v>65.737651434</v>
      </c>
      <c r="H399" s="52">
        <v>72.780971230499986</v>
      </c>
      <c r="I399" s="52">
        <v>70.433197965000005</v>
      </c>
      <c r="J399" s="52">
        <v>72.780971230499986</v>
      </c>
      <c r="K399" s="52">
        <v>70.433197965000005</v>
      </c>
      <c r="L399" s="52">
        <v>72.780971230499986</v>
      </c>
      <c r="M399" s="52">
        <v>72.780971230499986</v>
      </c>
      <c r="N399" s="52">
        <v>70.433197965000005</v>
      </c>
      <c r="O399" s="52">
        <v>72.780971230499986</v>
      </c>
      <c r="P399" s="52">
        <v>70.433197965000005</v>
      </c>
      <c r="Q399" s="52">
        <v>72.780971230499986</v>
      </c>
    </row>
    <row r="400" spans="1:133" ht="31.2" x14ac:dyDescent="0.25">
      <c r="A400" s="53" t="s">
        <v>58</v>
      </c>
      <c r="B400" s="25" t="s">
        <v>216</v>
      </c>
      <c r="C400" s="53" t="s">
        <v>59</v>
      </c>
      <c r="D400" s="35" t="s">
        <v>344</v>
      </c>
      <c r="E400" s="132">
        <f>E401*E402*0.89</f>
        <v>0.52915382983457837</v>
      </c>
      <c r="F400" s="132"/>
      <c r="G400" s="132"/>
      <c r="H400" s="132"/>
      <c r="I400" s="132"/>
      <c r="J400" s="132"/>
      <c r="K400" s="132"/>
      <c r="L400" s="132"/>
      <c r="M400" s="132"/>
      <c r="N400" s="132"/>
      <c r="O400" s="132"/>
      <c r="P400" s="132"/>
      <c r="Q400" s="132"/>
    </row>
    <row r="401" spans="1:133" ht="31.2" x14ac:dyDescent="0.25">
      <c r="A401" s="70" t="s">
        <v>60</v>
      </c>
      <c r="B401" s="25" t="s">
        <v>216</v>
      </c>
      <c r="C401" s="53" t="s">
        <v>61</v>
      </c>
      <c r="D401" s="35" t="s">
        <v>345</v>
      </c>
      <c r="E401" s="119">
        <v>0.7</v>
      </c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1"/>
    </row>
    <row r="402" spans="1:133" ht="36" customHeight="1" x14ac:dyDescent="0.25">
      <c r="A402" s="70" t="s">
        <v>62</v>
      </c>
      <c r="B402" s="25" t="s">
        <v>52</v>
      </c>
      <c r="C402" s="53" t="s">
        <v>63</v>
      </c>
      <c r="D402" s="35" t="s">
        <v>346</v>
      </c>
      <c r="E402" s="122">
        <f>(F403*F408+G403*G408+H403*H408+I403*I408+J403*J408+K403*K408+L403*L408+M403*M408+N403*N408+O403*O408+P403*P408+Q403*Q408)/(F397*F392*F395+G397*G395*G392+H397*H392*H395+I397*I395*I392+J397*J395*J392+K397*K395*K392+L397*L395*L392+M397*M395*M392+N397*N395*N392+O397*O392*O395+P397*P395*P392+Q397*Q395*Q392)</f>
        <v>0.84936409283238901</v>
      </c>
      <c r="F402" s="123"/>
      <c r="G402" s="123"/>
      <c r="H402" s="123"/>
      <c r="I402" s="123"/>
      <c r="J402" s="123"/>
      <c r="K402" s="123"/>
      <c r="L402" s="123"/>
      <c r="M402" s="123"/>
      <c r="N402" s="123"/>
      <c r="O402" s="123"/>
      <c r="P402" s="123"/>
      <c r="Q402" s="124"/>
    </row>
    <row r="403" spans="1:133" s="9" customFormat="1" ht="46.8" x14ac:dyDescent="0.4">
      <c r="A403" s="71" t="s">
        <v>64</v>
      </c>
      <c r="B403" s="25" t="s">
        <v>52</v>
      </c>
      <c r="C403" s="53" t="s">
        <v>65</v>
      </c>
      <c r="D403" s="53" t="s">
        <v>347</v>
      </c>
      <c r="E403" s="72">
        <f>AVERAGE(F403:Q403)</f>
        <v>0.62806589860815809</v>
      </c>
      <c r="F403" s="72">
        <f t="shared" ref="F403:Q403" si="62">IF(F407&lt;283,0,IF(F407&gt;303,1,EXP(($E$23*(F407-$E$24))/($E$25*$E$24*F407))))</f>
        <v>0.26921004737855481</v>
      </c>
      <c r="G403" s="72">
        <f t="shared" si="62"/>
        <v>0.29505266129807517</v>
      </c>
      <c r="H403" s="72">
        <f t="shared" si="62"/>
        <v>0.38698063689870399</v>
      </c>
      <c r="I403" s="72">
        <f t="shared" si="62"/>
        <v>0.55084569341606926</v>
      </c>
      <c r="J403" s="72">
        <f t="shared" si="62"/>
        <v>0.71341857634681827</v>
      </c>
      <c r="K403" s="72">
        <f t="shared" si="62"/>
        <v>0.91923925774048054</v>
      </c>
      <c r="L403" s="72">
        <f t="shared" si="62"/>
        <v>1</v>
      </c>
      <c r="M403" s="72">
        <f t="shared" si="62"/>
        <v>1</v>
      </c>
      <c r="N403" s="72">
        <f t="shared" si="62"/>
        <v>0.91923925774048054</v>
      </c>
      <c r="O403" s="72">
        <f t="shared" si="62"/>
        <v>0.65487347206548807</v>
      </c>
      <c r="P403" s="72">
        <f t="shared" si="62"/>
        <v>0.50475941545474445</v>
      </c>
      <c r="Q403" s="72">
        <f t="shared" si="62"/>
        <v>0.32317176495848171</v>
      </c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8"/>
      <c r="AO403" s="78"/>
      <c r="AP403" s="78"/>
      <c r="AQ403" s="78"/>
      <c r="AR403" s="78"/>
      <c r="AS403" s="78"/>
      <c r="AT403" s="78"/>
      <c r="AU403" s="78"/>
      <c r="AV403" s="78"/>
      <c r="AW403" s="78"/>
      <c r="AX403" s="78"/>
      <c r="AY403" s="78"/>
      <c r="AZ403" s="78"/>
      <c r="BA403" s="78"/>
      <c r="BB403" s="78"/>
      <c r="BC403" s="78"/>
      <c r="BD403" s="78"/>
      <c r="BE403" s="78"/>
      <c r="BF403" s="78"/>
      <c r="BG403" s="78"/>
      <c r="BH403" s="78"/>
      <c r="BI403" s="78"/>
      <c r="BJ403" s="78"/>
      <c r="BK403" s="78"/>
      <c r="BL403" s="78"/>
      <c r="BM403" s="78"/>
      <c r="BN403" s="78"/>
      <c r="BO403" s="78"/>
      <c r="BP403" s="78"/>
      <c r="BQ403" s="78"/>
      <c r="BR403" s="78"/>
      <c r="BS403" s="78"/>
      <c r="BT403" s="78"/>
      <c r="BU403" s="78"/>
      <c r="BV403" s="78"/>
      <c r="BW403" s="78"/>
      <c r="BX403" s="78"/>
      <c r="BY403" s="78"/>
      <c r="BZ403" s="78"/>
      <c r="CA403" s="78"/>
      <c r="CB403" s="78"/>
      <c r="CC403" s="78"/>
      <c r="CD403" s="78"/>
      <c r="CE403" s="78"/>
      <c r="CF403" s="78"/>
      <c r="CG403" s="78"/>
      <c r="CH403" s="78"/>
      <c r="CI403" s="78"/>
      <c r="CJ403" s="78"/>
      <c r="CK403" s="78"/>
      <c r="CL403" s="78"/>
      <c r="CM403" s="78"/>
      <c r="CN403" s="78"/>
      <c r="CO403" s="78"/>
      <c r="CP403" s="78"/>
      <c r="CQ403" s="78"/>
      <c r="CR403" s="78"/>
      <c r="CS403" s="78"/>
      <c r="CT403" s="78"/>
      <c r="CU403" s="78"/>
      <c r="CV403" s="78"/>
      <c r="CW403" s="78"/>
      <c r="CX403" s="78"/>
      <c r="CY403" s="78"/>
      <c r="CZ403" s="78"/>
      <c r="DA403" s="78"/>
      <c r="DB403" s="78"/>
      <c r="DC403" s="78"/>
      <c r="DD403" s="78"/>
      <c r="DE403" s="78"/>
      <c r="DF403" s="78"/>
      <c r="DG403" s="78"/>
      <c r="DH403" s="78"/>
      <c r="DI403" s="78"/>
      <c r="DJ403" s="78"/>
      <c r="DK403" s="78"/>
      <c r="DL403" s="78"/>
      <c r="DM403" s="78"/>
      <c r="DN403" s="78"/>
      <c r="DO403" s="78"/>
      <c r="DP403" s="78"/>
      <c r="DQ403" s="78"/>
      <c r="DR403" s="78"/>
      <c r="DS403" s="78"/>
      <c r="DT403" s="78"/>
      <c r="DU403" s="78"/>
      <c r="DV403" s="78"/>
      <c r="DW403" s="78"/>
      <c r="DX403" s="78"/>
      <c r="DY403" s="78"/>
      <c r="DZ403" s="78"/>
      <c r="EA403" s="78"/>
      <c r="EB403" s="78"/>
      <c r="EC403" s="78"/>
    </row>
    <row r="404" spans="1:133" s="9" customFormat="1" x14ac:dyDescent="0.25">
      <c r="A404" s="73" t="s">
        <v>66</v>
      </c>
      <c r="B404" s="60" t="s">
        <v>217</v>
      </c>
      <c r="C404" s="53" t="s">
        <v>68</v>
      </c>
      <c r="D404" s="53" t="s">
        <v>348</v>
      </c>
      <c r="E404" s="119">
        <v>15175</v>
      </c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1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T404" s="78"/>
      <c r="AU404" s="78"/>
      <c r="AV404" s="78"/>
      <c r="AW404" s="78"/>
      <c r="AX404" s="78"/>
      <c r="AY404" s="78"/>
      <c r="AZ404" s="78"/>
      <c r="BA404" s="78"/>
      <c r="BB404" s="78"/>
      <c r="BC404" s="78"/>
      <c r="BD404" s="78"/>
      <c r="BE404" s="78"/>
      <c r="BF404" s="78"/>
      <c r="BG404" s="78"/>
      <c r="BH404" s="78"/>
      <c r="BI404" s="78"/>
      <c r="BJ404" s="78"/>
      <c r="BK404" s="78"/>
      <c r="BL404" s="78"/>
      <c r="BM404" s="78"/>
      <c r="BN404" s="78"/>
      <c r="BO404" s="78"/>
      <c r="BP404" s="78"/>
      <c r="BQ404" s="78"/>
      <c r="BR404" s="78"/>
      <c r="BS404" s="78"/>
      <c r="BT404" s="78"/>
      <c r="BU404" s="78"/>
      <c r="BV404" s="78"/>
      <c r="BW404" s="78"/>
      <c r="BX404" s="78"/>
      <c r="BY404" s="78"/>
      <c r="BZ404" s="78"/>
      <c r="CA404" s="78"/>
      <c r="CB404" s="78"/>
      <c r="CC404" s="78"/>
      <c r="CD404" s="78"/>
      <c r="CE404" s="78"/>
      <c r="CF404" s="78"/>
      <c r="CG404" s="78"/>
      <c r="CH404" s="78"/>
      <c r="CI404" s="78"/>
      <c r="CJ404" s="78"/>
      <c r="CK404" s="78"/>
      <c r="CL404" s="78"/>
      <c r="CM404" s="78"/>
      <c r="CN404" s="78"/>
      <c r="CO404" s="78"/>
      <c r="CP404" s="78"/>
      <c r="CQ404" s="78"/>
      <c r="CR404" s="78"/>
      <c r="CS404" s="78"/>
      <c r="CT404" s="78"/>
      <c r="CU404" s="78"/>
      <c r="CV404" s="78"/>
      <c r="CW404" s="78"/>
      <c r="CX404" s="78"/>
      <c r="CY404" s="78"/>
      <c r="CZ404" s="78"/>
      <c r="DA404" s="78"/>
      <c r="DB404" s="78"/>
      <c r="DC404" s="78"/>
      <c r="DD404" s="78"/>
      <c r="DE404" s="78"/>
      <c r="DF404" s="78"/>
      <c r="DG404" s="78"/>
      <c r="DH404" s="78"/>
      <c r="DI404" s="78"/>
      <c r="DJ404" s="78"/>
      <c r="DK404" s="78"/>
      <c r="DL404" s="78"/>
      <c r="DM404" s="78"/>
      <c r="DN404" s="78"/>
      <c r="DO404" s="78"/>
      <c r="DP404" s="78"/>
      <c r="DQ404" s="78"/>
      <c r="DR404" s="78"/>
      <c r="DS404" s="78"/>
      <c r="DT404" s="78"/>
      <c r="DU404" s="78"/>
      <c r="DV404" s="78"/>
      <c r="DW404" s="78"/>
      <c r="DX404" s="78"/>
      <c r="DY404" s="78"/>
      <c r="DZ404" s="78"/>
      <c r="EA404" s="78"/>
      <c r="EB404" s="78"/>
      <c r="EC404" s="78"/>
    </row>
    <row r="405" spans="1:133" s="9" customFormat="1" ht="18" x14ac:dyDescent="0.25">
      <c r="A405" s="73" t="s">
        <v>69</v>
      </c>
      <c r="B405" s="60" t="s">
        <v>218</v>
      </c>
      <c r="C405" s="53" t="s">
        <v>71</v>
      </c>
      <c r="D405" s="53" t="s">
        <v>348</v>
      </c>
      <c r="E405" s="119">
        <v>303.16000000000003</v>
      </c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1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  <c r="AN405" s="78"/>
      <c r="AO405" s="78"/>
      <c r="AP405" s="78"/>
      <c r="AQ405" s="78"/>
      <c r="AR405" s="78"/>
      <c r="AS405" s="78"/>
      <c r="AT405" s="78"/>
      <c r="AU405" s="78"/>
      <c r="AV405" s="78"/>
      <c r="AW405" s="78"/>
      <c r="AX405" s="78"/>
      <c r="AY405" s="78"/>
      <c r="AZ405" s="78"/>
      <c r="BA405" s="78"/>
      <c r="BB405" s="78"/>
      <c r="BC405" s="78"/>
      <c r="BD405" s="78"/>
      <c r="BE405" s="78"/>
      <c r="BF405" s="78"/>
      <c r="BG405" s="78"/>
      <c r="BH405" s="78"/>
      <c r="BI405" s="78"/>
      <c r="BJ405" s="78"/>
      <c r="BK405" s="78"/>
      <c r="BL405" s="78"/>
      <c r="BM405" s="78"/>
      <c r="BN405" s="78"/>
      <c r="BO405" s="78"/>
      <c r="BP405" s="78"/>
      <c r="BQ405" s="78"/>
      <c r="BR405" s="78"/>
      <c r="BS405" s="78"/>
      <c r="BT405" s="78"/>
      <c r="BU405" s="78"/>
      <c r="BV405" s="78"/>
      <c r="BW405" s="78"/>
      <c r="BX405" s="78"/>
      <c r="BY405" s="78"/>
      <c r="BZ405" s="78"/>
      <c r="CA405" s="78"/>
      <c r="CB405" s="78"/>
      <c r="CC405" s="78"/>
      <c r="CD405" s="78"/>
      <c r="CE405" s="78"/>
      <c r="CF405" s="78"/>
      <c r="CG405" s="78"/>
      <c r="CH405" s="78"/>
      <c r="CI405" s="78"/>
      <c r="CJ405" s="78"/>
      <c r="CK405" s="78"/>
      <c r="CL405" s="78"/>
      <c r="CM405" s="78"/>
      <c r="CN405" s="78"/>
      <c r="CO405" s="78"/>
      <c r="CP405" s="78"/>
      <c r="CQ405" s="78"/>
      <c r="CR405" s="78"/>
      <c r="CS405" s="78"/>
      <c r="CT405" s="78"/>
      <c r="CU405" s="78"/>
      <c r="CV405" s="78"/>
      <c r="CW405" s="78"/>
      <c r="CX405" s="78"/>
      <c r="CY405" s="78"/>
      <c r="CZ405" s="78"/>
      <c r="DA405" s="78"/>
      <c r="DB405" s="78"/>
      <c r="DC405" s="78"/>
      <c r="DD405" s="78"/>
      <c r="DE405" s="78"/>
      <c r="DF405" s="78"/>
      <c r="DG405" s="78"/>
      <c r="DH405" s="78"/>
      <c r="DI405" s="78"/>
      <c r="DJ405" s="78"/>
      <c r="DK405" s="78"/>
      <c r="DL405" s="78"/>
      <c r="DM405" s="78"/>
      <c r="DN405" s="78"/>
      <c r="DO405" s="78"/>
      <c r="DP405" s="78"/>
      <c r="DQ405" s="78"/>
      <c r="DR405" s="78"/>
      <c r="DS405" s="78"/>
      <c r="DT405" s="78"/>
      <c r="DU405" s="78"/>
      <c r="DV405" s="78"/>
      <c r="DW405" s="78"/>
      <c r="DX405" s="78"/>
      <c r="DY405" s="78"/>
      <c r="DZ405" s="78"/>
      <c r="EA405" s="78"/>
      <c r="EB405" s="78"/>
      <c r="EC405" s="78"/>
    </row>
    <row r="406" spans="1:133" s="9" customFormat="1" x14ac:dyDescent="0.25">
      <c r="A406" s="73" t="s">
        <v>72</v>
      </c>
      <c r="B406" s="60" t="s">
        <v>219</v>
      </c>
      <c r="C406" s="53" t="s">
        <v>74</v>
      </c>
      <c r="D406" s="53" t="s">
        <v>348</v>
      </c>
      <c r="E406" s="119">
        <v>1.9870000000000001</v>
      </c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1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8"/>
      <c r="AO406" s="78"/>
      <c r="AP406" s="78"/>
      <c r="AQ406" s="78"/>
      <c r="AR406" s="78"/>
      <c r="AS406" s="78"/>
      <c r="AT406" s="78"/>
      <c r="AU406" s="78"/>
      <c r="AV406" s="78"/>
      <c r="AW406" s="78"/>
      <c r="AX406" s="78"/>
      <c r="AY406" s="78"/>
      <c r="AZ406" s="78"/>
      <c r="BA406" s="78"/>
      <c r="BB406" s="78"/>
      <c r="BC406" s="78"/>
      <c r="BD406" s="78"/>
      <c r="BE406" s="78"/>
      <c r="BF406" s="78"/>
      <c r="BG406" s="78"/>
      <c r="BH406" s="78"/>
      <c r="BI406" s="78"/>
      <c r="BJ406" s="78"/>
      <c r="BK406" s="78"/>
      <c r="BL406" s="78"/>
      <c r="BM406" s="78"/>
      <c r="BN406" s="78"/>
      <c r="BO406" s="78"/>
      <c r="BP406" s="78"/>
      <c r="BQ406" s="78"/>
      <c r="BR406" s="78"/>
      <c r="BS406" s="78"/>
      <c r="BT406" s="78"/>
      <c r="BU406" s="78"/>
      <c r="BV406" s="78"/>
      <c r="BW406" s="78"/>
      <c r="BX406" s="78"/>
      <c r="BY406" s="78"/>
      <c r="BZ406" s="78"/>
      <c r="CA406" s="78"/>
      <c r="CB406" s="78"/>
      <c r="CC406" s="78"/>
      <c r="CD406" s="78"/>
      <c r="CE406" s="78"/>
      <c r="CF406" s="78"/>
      <c r="CG406" s="78"/>
      <c r="CH406" s="78"/>
      <c r="CI406" s="78"/>
      <c r="CJ406" s="78"/>
      <c r="CK406" s="78"/>
      <c r="CL406" s="78"/>
      <c r="CM406" s="78"/>
      <c r="CN406" s="78"/>
      <c r="CO406" s="78"/>
      <c r="CP406" s="78"/>
      <c r="CQ406" s="78"/>
      <c r="CR406" s="78"/>
      <c r="CS406" s="78"/>
      <c r="CT406" s="78"/>
      <c r="CU406" s="78"/>
      <c r="CV406" s="78"/>
      <c r="CW406" s="78"/>
      <c r="CX406" s="78"/>
      <c r="CY406" s="78"/>
      <c r="CZ406" s="78"/>
      <c r="DA406" s="78"/>
      <c r="DB406" s="78"/>
      <c r="DC406" s="78"/>
      <c r="DD406" s="78"/>
      <c r="DE406" s="78"/>
      <c r="DF406" s="78"/>
      <c r="DG406" s="78"/>
      <c r="DH406" s="78"/>
      <c r="DI406" s="78"/>
      <c r="DJ406" s="78"/>
      <c r="DK406" s="78"/>
      <c r="DL406" s="78"/>
      <c r="DM406" s="78"/>
      <c r="DN406" s="78"/>
      <c r="DO406" s="78"/>
      <c r="DP406" s="78"/>
      <c r="DQ406" s="78"/>
      <c r="DR406" s="78"/>
      <c r="DS406" s="78"/>
      <c r="DT406" s="78"/>
      <c r="DU406" s="78"/>
      <c r="DV406" s="78"/>
      <c r="DW406" s="78"/>
      <c r="DX406" s="78"/>
      <c r="DY406" s="78"/>
      <c r="DZ406" s="78"/>
      <c r="EA406" s="78"/>
      <c r="EB406" s="78"/>
      <c r="EC406" s="78"/>
    </row>
    <row r="407" spans="1:133" s="9" customFormat="1" ht="31.2" x14ac:dyDescent="0.25">
      <c r="A407" s="73" t="s">
        <v>75</v>
      </c>
      <c r="B407" s="60" t="s">
        <v>218</v>
      </c>
      <c r="C407" s="53" t="s">
        <v>76</v>
      </c>
      <c r="D407" s="53" t="s">
        <v>268</v>
      </c>
      <c r="E407" s="111">
        <f>AVERAGE(F407:Q407)</f>
        <v>296.56666666666672</v>
      </c>
      <c r="F407" s="60">
        <v>288.14999999999998</v>
      </c>
      <c r="G407" s="60">
        <v>289.14999999999998</v>
      </c>
      <c r="H407" s="60">
        <v>292.14999999999998</v>
      </c>
      <c r="I407" s="60">
        <v>296.14999999999998</v>
      </c>
      <c r="J407" s="60">
        <v>299.14999999999998</v>
      </c>
      <c r="K407" s="60">
        <v>302.14999999999998</v>
      </c>
      <c r="L407" s="60">
        <v>303.14999999999998</v>
      </c>
      <c r="M407" s="60">
        <v>303.14999999999998</v>
      </c>
      <c r="N407" s="60">
        <v>302.14999999999998</v>
      </c>
      <c r="O407" s="60">
        <v>298.14999999999998</v>
      </c>
      <c r="P407" s="60">
        <v>295.14999999999998</v>
      </c>
      <c r="Q407" s="60">
        <v>290.14999999999998</v>
      </c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8"/>
      <c r="AW407" s="78"/>
      <c r="AX407" s="78"/>
      <c r="AY407" s="78"/>
      <c r="AZ407" s="78"/>
      <c r="BA407" s="78"/>
      <c r="BB407" s="78"/>
      <c r="BC407" s="78"/>
      <c r="BD407" s="78"/>
      <c r="BE407" s="78"/>
      <c r="BF407" s="78"/>
      <c r="BG407" s="78"/>
      <c r="BH407" s="78"/>
      <c r="BI407" s="78"/>
      <c r="BJ407" s="78"/>
      <c r="BK407" s="78"/>
      <c r="BL407" s="78"/>
      <c r="BM407" s="78"/>
      <c r="BN407" s="78"/>
      <c r="BO407" s="78"/>
      <c r="BP407" s="78"/>
      <c r="BQ407" s="78"/>
      <c r="BR407" s="78"/>
      <c r="BS407" s="78"/>
      <c r="BT407" s="78"/>
      <c r="BU407" s="78"/>
      <c r="BV407" s="78"/>
      <c r="BW407" s="78"/>
      <c r="BX407" s="78"/>
      <c r="BY407" s="78"/>
      <c r="BZ407" s="78"/>
      <c r="CA407" s="78"/>
      <c r="CB407" s="78"/>
      <c r="CC407" s="78"/>
      <c r="CD407" s="78"/>
      <c r="CE407" s="78"/>
      <c r="CF407" s="78"/>
      <c r="CG407" s="78"/>
      <c r="CH407" s="78"/>
      <c r="CI407" s="78"/>
      <c r="CJ407" s="78"/>
      <c r="CK407" s="78"/>
      <c r="CL407" s="78"/>
      <c r="CM407" s="78"/>
      <c r="CN407" s="78"/>
      <c r="CO407" s="78"/>
      <c r="CP407" s="78"/>
      <c r="CQ407" s="78"/>
      <c r="CR407" s="78"/>
      <c r="CS407" s="78"/>
      <c r="CT407" s="78"/>
      <c r="CU407" s="78"/>
      <c r="CV407" s="78"/>
      <c r="CW407" s="78"/>
      <c r="CX407" s="78"/>
      <c r="CY407" s="78"/>
      <c r="CZ407" s="78"/>
      <c r="DA407" s="78"/>
      <c r="DB407" s="78"/>
      <c r="DC407" s="78"/>
      <c r="DD407" s="78"/>
      <c r="DE407" s="78"/>
      <c r="DF407" s="78"/>
      <c r="DG407" s="78"/>
      <c r="DH407" s="78"/>
      <c r="DI407" s="78"/>
      <c r="DJ407" s="78"/>
      <c r="DK407" s="78"/>
      <c r="DL407" s="78"/>
      <c r="DM407" s="78"/>
      <c r="DN407" s="78"/>
      <c r="DO407" s="78"/>
      <c r="DP407" s="78"/>
      <c r="DQ407" s="78"/>
      <c r="DR407" s="78"/>
      <c r="DS407" s="78"/>
      <c r="DT407" s="78"/>
      <c r="DU407" s="78"/>
      <c r="DV407" s="78"/>
      <c r="DW407" s="78"/>
      <c r="DX407" s="78"/>
      <c r="DY407" s="78"/>
      <c r="DZ407" s="78"/>
      <c r="EA407" s="78"/>
      <c r="EB407" s="78"/>
      <c r="EC407" s="78"/>
    </row>
    <row r="408" spans="1:133" s="9" customFormat="1" ht="31.2" x14ac:dyDescent="0.4">
      <c r="A408" s="71" t="s">
        <v>77</v>
      </c>
      <c r="B408" s="60" t="s">
        <v>211</v>
      </c>
      <c r="C408" s="53" t="s">
        <v>78</v>
      </c>
      <c r="D408" s="53" t="s">
        <v>349</v>
      </c>
      <c r="E408" s="74">
        <f>SUM(F408:Q408)</f>
        <v>1712.6176547341622</v>
      </c>
      <c r="F408" s="74">
        <f>F397*F392*F395+(1-F403)*0</f>
        <v>99.326821558309234</v>
      </c>
      <c r="G408" s="74">
        <f t="shared" ref="G408:Q408" si="63">G397*G392*G395+(1-G403)*F408</f>
        <v>159.73472702353038</v>
      </c>
      <c r="H408" s="74">
        <f t="shared" si="63"/>
        <v>197.24730218343319</v>
      </c>
      <c r="I408" s="74">
        <f t="shared" si="63"/>
        <v>184.71720577805024</v>
      </c>
      <c r="J408" s="74">
        <f t="shared" si="63"/>
        <v>152.26334136342061</v>
      </c>
      <c r="K408" s="74">
        <f t="shared" si="63"/>
        <v>108.41963100772369</v>
      </c>
      <c r="L408" s="74">
        <f t="shared" si="63"/>
        <v>99.326821558309234</v>
      </c>
      <c r="M408" s="74">
        <f t="shared" si="63"/>
        <v>99.326821558309234</v>
      </c>
      <c r="N408" s="74">
        <f t="shared" si="63"/>
        <v>104.14443837562715</v>
      </c>
      <c r="O408" s="74">
        <f t="shared" si="63"/>
        <v>135.26982997857917</v>
      </c>
      <c r="P408" s="74">
        <f t="shared" si="63"/>
        <v>163.11384021022815</v>
      </c>
      <c r="Q408" s="74">
        <f t="shared" si="63"/>
        <v>209.72687413864219</v>
      </c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78"/>
      <c r="BJ408" s="78"/>
      <c r="BK408" s="78"/>
      <c r="BL408" s="78"/>
      <c r="BM408" s="78"/>
      <c r="BN408" s="78"/>
      <c r="BO408" s="78"/>
      <c r="BP408" s="78"/>
      <c r="BQ408" s="78"/>
      <c r="BR408" s="78"/>
      <c r="BS408" s="78"/>
      <c r="BT408" s="78"/>
      <c r="BU408" s="78"/>
      <c r="BV408" s="78"/>
      <c r="BW408" s="78"/>
      <c r="BX408" s="78"/>
      <c r="BY408" s="78"/>
      <c r="BZ408" s="78"/>
      <c r="CA408" s="78"/>
      <c r="CB408" s="78"/>
      <c r="CC408" s="78"/>
      <c r="CD408" s="78"/>
      <c r="CE408" s="78"/>
      <c r="CF408" s="78"/>
      <c r="CG408" s="78"/>
      <c r="CH408" s="78"/>
      <c r="CI408" s="78"/>
      <c r="CJ408" s="78"/>
      <c r="CK408" s="78"/>
      <c r="CL408" s="78"/>
      <c r="CM408" s="78"/>
      <c r="CN408" s="78"/>
      <c r="CO408" s="78"/>
      <c r="CP408" s="78"/>
      <c r="CQ408" s="78"/>
      <c r="CR408" s="78"/>
      <c r="CS408" s="78"/>
      <c r="CT408" s="78"/>
      <c r="CU408" s="78"/>
      <c r="CV408" s="78"/>
      <c r="CW408" s="78"/>
      <c r="CX408" s="78"/>
      <c r="CY408" s="78"/>
      <c r="CZ408" s="78"/>
      <c r="DA408" s="78"/>
      <c r="DB408" s="78"/>
      <c r="DC408" s="78"/>
      <c r="DD408" s="78"/>
      <c r="DE408" s="78"/>
      <c r="DF408" s="78"/>
      <c r="DG408" s="78"/>
      <c r="DH408" s="78"/>
      <c r="DI408" s="78"/>
      <c r="DJ408" s="78"/>
      <c r="DK408" s="78"/>
      <c r="DL408" s="78"/>
      <c r="DM408" s="78"/>
      <c r="DN408" s="78"/>
      <c r="DO408" s="78"/>
      <c r="DP408" s="78"/>
      <c r="DQ408" s="78"/>
      <c r="DR408" s="78"/>
      <c r="DS408" s="78"/>
      <c r="DT408" s="78"/>
      <c r="DU408" s="78"/>
      <c r="DV408" s="78"/>
      <c r="DW408" s="78"/>
      <c r="DX408" s="78"/>
      <c r="DY408" s="78"/>
      <c r="DZ408" s="78"/>
      <c r="EA408" s="78"/>
      <c r="EB408" s="78"/>
      <c r="EC408" s="78"/>
    </row>
    <row r="410" spans="1:133" x14ac:dyDescent="0.25">
      <c r="A410" s="133" t="s">
        <v>79</v>
      </c>
      <c r="B410" s="133"/>
      <c r="C410" s="133"/>
      <c r="D410" s="133"/>
      <c r="E410" s="133"/>
    </row>
    <row r="411" spans="1:133" x14ac:dyDescent="0.25">
      <c r="A411" s="57" t="s">
        <v>9</v>
      </c>
      <c r="B411" s="58" t="s">
        <v>10</v>
      </c>
      <c r="C411" s="34" t="s">
        <v>11</v>
      </c>
      <c r="D411" s="34" t="s">
        <v>12</v>
      </c>
      <c r="E411" s="16" t="s">
        <v>80</v>
      </c>
    </row>
    <row r="412" spans="1:133" ht="46.8" x14ac:dyDescent="0.25">
      <c r="A412" s="59" t="s">
        <v>81</v>
      </c>
      <c r="B412" s="60" t="s">
        <v>28</v>
      </c>
      <c r="C412" s="53" t="s">
        <v>82</v>
      </c>
      <c r="D412" s="53" t="s">
        <v>83</v>
      </c>
      <c r="E412" s="75">
        <v>0</v>
      </c>
    </row>
    <row r="413" spans="1:133" ht="46.8" x14ac:dyDescent="0.25">
      <c r="A413" s="63" t="s">
        <v>84</v>
      </c>
      <c r="B413" s="25" t="s">
        <v>85</v>
      </c>
      <c r="C413" s="35" t="s">
        <v>86</v>
      </c>
      <c r="D413" s="35" t="str">
        <f>D419</f>
        <v>Historical data on site in the FSR (It was calculated with conservative value)</v>
      </c>
      <c r="E413" s="74">
        <f>E419</f>
        <v>374.8903225806452</v>
      </c>
    </row>
    <row r="415" spans="1:133" x14ac:dyDescent="0.25">
      <c r="A415" s="134" t="s">
        <v>87</v>
      </c>
      <c r="B415" s="134"/>
      <c r="C415" s="135"/>
      <c r="D415" s="135"/>
      <c r="E415" s="134"/>
    </row>
    <row r="416" spans="1:133" x14ac:dyDescent="0.25">
      <c r="A416" s="59" t="s">
        <v>9</v>
      </c>
      <c r="B416" s="16" t="s">
        <v>10</v>
      </c>
      <c r="C416" s="38" t="s">
        <v>11</v>
      </c>
      <c r="D416" s="38" t="s">
        <v>12</v>
      </c>
      <c r="E416" s="16" t="s">
        <v>80</v>
      </c>
    </row>
    <row r="417" spans="1:5" ht="33.6" x14ac:dyDescent="0.4">
      <c r="A417" s="76" t="s">
        <v>88</v>
      </c>
      <c r="B417" s="25" t="s">
        <v>89</v>
      </c>
      <c r="C417" s="35" t="s">
        <v>90</v>
      </c>
      <c r="D417" s="35" t="s">
        <v>350</v>
      </c>
      <c r="E417" s="50">
        <f>E418*E421*E422*E423*E424*E425</f>
        <v>1.6546712839084083</v>
      </c>
    </row>
    <row r="418" spans="1:5" ht="46.8" x14ac:dyDescent="0.4">
      <c r="A418" s="77" t="s">
        <v>223</v>
      </c>
      <c r="B418" s="25" t="s">
        <v>91</v>
      </c>
      <c r="C418" s="35" t="s">
        <v>92</v>
      </c>
      <c r="D418" s="35" t="s">
        <v>351</v>
      </c>
      <c r="E418" s="52">
        <f>E419/E420</f>
        <v>74.978064516129038</v>
      </c>
    </row>
    <row r="419" spans="1:5" ht="46.8" x14ac:dyDescent="0.25">
      <c r="A419" s="63" t="s">
        <v>224</v>
      </c>
      <c r="B419" s="25" t="s">
        <v>93</v>
      </c>
      <c r="C419" s="35" t="s">
        <v>94</v>
      </c>
      <c r="D419" s="53" t="s">
        <v>322</v>
      </c>
      <c r="E419" s="52">
        <v>374.8903225806452</v>
      </c>
    </row>
    <row r="420" spans="1:5" ht="31.2" x14ac:dyDescent="0.25">
      <c r="A420" s="63" t="s">
        <v>225</v>
      </c>
      <c r="B420" s="25" t="s">
        <v>95</v>
      </c>
      <c r="C420" s="35" t="s">
        <v>96</v>
      </c>
      <c r="D420" s="35" t="s">
        <v>327</v>
      </c>
      <c r="E420" s="25">
        <f>5</f>
        <v>5</v>
      </c>
    </row>
    <row r="421" spans="1:5" ht="62.4" x14ac:dyDescent="0.25">
      <c r="A421" s="63" t="s">
        <v>226</v>
      </c>
      <c r="B421" s="25" t="s">
        <v>97</v>
      </c>
      <c r="C421" s="35" t="s">
        <v>98</v>
      </c>
      <c r="D421" s="53" t="s">
        <v>327</v>
      </c>
      <c r="E421" s="25">
        <f>16.3*2</f>
        <v>32.6</v>
      </c>
    </row>
    <row r="422" spans="1:5" ht="172.2" x14ac:dyDescent="0.25">
      <c r="A422" s="63" t="s">
        <v>227</v>
      </c>
      <c r="B422" s="25" t="s">
        <v>99</v>
      </c>
      <c r="C422" s="35" t="s">
        <v>100</v>
      </c>
      <c r="D422" s="35" t="s">
        <v>338</v>
      </c>
      <c r="E422" s="25">
        <f>25.1/100</f>
        <v>0.251</v>
      </c>
    </row>
    <row r="423" spans="1:5" ht="140.4" x14ac:dyDescent="0.25">
      <c r="A423" s="63" t="s">
        <v>228</v>
      </c>
      <c r="B423" s="25" t="s">
        <v>102</v>
      </c>
      <c r="C423" s="35" t="s">
        <v>101</v>
      </c>
      <c r="D423" s="35" t="s">
        <v>337</v>
      </c>
      <c r="E423" s="25">
        <f>0.84/1000</f>
        <v>8.3999999999999993E-4</v>
      </c>
    </row>
    <row r="424" spans="1:5" ht="140.4" x14ac:dyDescent="0.25">
      <c r="A424" s="63" t="s">
        <v>229</v>
      </c>
      <c r="B424" s="25" t="s">
        <v>103</v>
      </c>
      <c r="C424" s="35" t="s">
        <v>104</v>
      </c>
      <c r="D424" s="35" t="s">
        <v>335</v>
      </c>
      <c r="E424" s="25">
        <f>43.33/1000</f>
        <v>4.333E-2</v>
      </c>
    </row>
    <row r="425" spans="1:5" ht="62.4" x14ac:dyDescent="0.25">
      <c r="A425" s="63" t="s">
        <v>230</v>
      </c>
      <c r="B425" s="25" t="s">
        <v>105</v>
      </c>
      <c r="C425" s="35" t="s">
        <v>106</v>
      </c>
      <c r="D425" s="35" t="s">
        <v>333</v>
      </c>
      <c r="E425" s="25">
        <v>74.099999999999994</v>
      </c>
    </row>
    <row r="427" spans="1:5" x14ac:dyDescent="0.25">
      <c r="A427" s="133" t="s">
        <v>108</v>
      </c>
      <c r="B427" s="133"/>
      <c r="C427" s="133"/>
      <c r="D427" s="133"/>
      <c r="E427" s="133"/>
    </row>
    <row r="428" spans="1:5" x14ac:dyDescent="0.25">
      <c r="A428" s="57" t="s">
        <v>9</v>
      </c>
      <c r="B428" s="58" t="s">
        <v>10</v>
      </c>
      <c r="C428" s="34" t="s">
        <v>11</v>
      </c>
      <c r="D428" s="34" t="s">
        <v>12</v>
      </c>
      <c r="E428" s="16" t="s">
        <v>80</v>
      </c>
    </row>
    <row r="429" spans="1:5" ht="64.8" x14ac:dyDescent="0.25">
      <c r="A429" s="15" t="s">
        <v>109</v>
      </c>
      <c r="B429" s="25" t="s">
        <v>110</v>
      </c>
      <c r="C429" s="35" t="s">
        <v>111</v>
      </c>
      <c r="D429" s="35" t="s">
        <v>112</v>
      </c>
      <c r="E429" s="16">
        <v>0</v>
      </c>
    </row>
    <row r="431" spans="1:5" x14ac:dyDescent="0.25">
      <c r="A431" s="133" t="s">
        <v>113</v>
      </c>
      <c r="B431" s="133"/>
      <c r="C431" s="133"/>
      <c r="D431" s="133"/>
      <c r="E431" s="133"/>
    </row>
    <row r="432" spans="1:5" x14ac:dyDescent="0.25">
      <c r="A432" s="57" t="s">
        <v>9</v>
      </c>
      <c r="B432" s="58" t="s">
        <v>10</v>
      </c>
      <c r="C432" s="34" t="s">
        <v>11</v>
      </c>
      <c r="D432" s="34" t="s">
        <v>12</v>
      </c>
      <c r="E432" s="16" t="s">
        <v>80</v>
      </c>
    </row>
    <row r="433" spans="1:133" ht="49.2" x14ac:dyDescent="0.25">
      <c r="A433" s="15" t="s">
        <v>114</v>
      </c>
      <c r="B433" s="25" t="s">
        <v>110</v>
      </c>
      <c r="C433" s="35" t="s">
        <v>115</v>
      </c>
      <c r="D433" s="35" t="s">
        <v>116</v>
      </c>
      <c r="E433" s="16">
        <v>0</v>
      </c>
    </row>
    <row r="435" spans="1:133" x14ac:dyDescent="0.25">
      <c r="A435" s="57" t="s">
        <v>9</v>
      </c>
      <c r="B435" s="58" t="s">
        <v>10</v>
      </c>
      <c r="C435" s="34" t="s">
        <v>11</v>
      </c>
      <c r="D435" s="34" t="s">
        <v>12</v>
      </c>
      <c r="E435" s="16" t="s">
        <v>80</v>
      </c>
    </row>
    <row r="436" spans="1:133" ht="18" x14ac:dyDescent="0.25">
      <c r="A436" s="59" t="s">
        <v>117</v>
      </c>
      <c r="B436" s="25" t="s">
        <v>118</v>
      </c>
      <c r="C436" s="35" t="s">
        <v>119</v>
      </c>
      <c r="D436" s="53" t="s">
        <v>352</v>
      </c>
      <c r="E436" s="18">
        <f>ROUNDDOWN(E386+E417+E412+E429+E433,0)</f>
        <v>3714</v>
      </c>
    </row>
    <row r="437" spans="1:133" ht="15" customHeight="1" x14ac:dyDescent="0.25"/>
    <row r="438" spans="1:133" s="137" customFormat="1" ht="38.4" customHeight="1" x14ac:dyDescent="0.25">
      <c r="A438" s="136" t="s">
        <v>250</v>
      </c>
    </row>
    <row r="439" spans="1:133" s="56" customFormat="1" x14ac:dyDescent="0.25">
      <c r="A439" s="93" t="s">
        <v>9</v>
      </c>
      <c r="B439" s="94" t="s">
        <v>10</v>
      </c>
      <c r="C439" s="95" t="s">
        <v>11</v>
      </c>
      <c r="D439" s="95" t="s">
        <v>12</v>
      </c>
      <c r="E439" s="94" t="s">
        <v>13</v>
      </c>
      <c r="F439" s="96" t="s">
        <v>14</v>
      </c>
      <c r="G439" s="96" t="s">
        <v>15</v>
      </c>
      <c r="H439" s="96" t="s">
        <v>16</v>
      </c>
      <c r="I439" s="96" t="s">
        <v>17</v>
      </c>
      <c r="J439" s="96" t="s">
        <v>18</v>
      </c>
      <c r="K439" s="96" t="s">
        <v>19</v>
      </c>
      <c r="L439" s="96" t="s">
        <v>20</v>
      </c>
      <c r="M439" s="96" t="s">
        <v>21</v>
      </c>
      <c r="N439" s="96" t="s">
        <v>22</v>
      </c>
      <c r="O439" s="96" t="s">
        <v>23</v>
      </c>
      <c r="P439" s="96" t="s">
        <v>24</v>
      </c>
      <c r="Q439" s="96" t="s">
        <v>25</v>
      </c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54"/>
      <c r="AL439" s="54"/>
      <c r="AM439" s="54"/>
      <c r="AN439" s="54"/>
      <c r="AO439" s="54"/>
      <c r="AP439" s="54"/>
      <c r="AQ439" s="54"/>
      <c r="AR439" s="54"/>
      <c r="AS439" s="54"/>
      <c r="AT439" s="54"/>
      <c r="AU439" s="54"/>
      <c r="AV439" s="54"/>
      <c r="AW439" s="54"/>
      <c r="AX439" s="54"/>
      <c r="AY439" s="54"/>
      <c r="AZ439" s="54"/>
      <c r="BA439" s="54"/>
      <c r="BB439" s="54"/>
      <c r="BC439" s="54"/>
      <c r="BD439" s="54"/>
      <c r="BE439" s="54"/>
      <c r="BF439" s="54"/>
      <c r="BG439" s="54"/>
      <c r="BH439" s="54"/>
      <c r="BI439" s="54"/>
      <c r="BJ439" s="54"/>
      <c r="BK439" s="54"/>
      <c r="BL439" s="54"/>
      <c r="BM439" s="54"/>
      <c r="BN439" s="54"/>
      <c r="BO439" s="54"/>
      <c r="BP439" s="54"/>
      <c r="BQ439" s="54"/>
      <c r="BR439" s="54"/>
      <c r="BS439" s="54"/>
      <c r="BT439" s="54"/>
      <c r="BU439" s="54"/>
      <c r="BV439" s="54"/>
      <c r="BW439" s="54"/>
      <c r="BX439" s="54"/>
      <c r="BY439" s="54"/>
      <c r="BZ439" s="54"/>
      <c r="CA439" s="54"/>
      <c r="CB439" s="54"/>
      <c r="CC439" s="54"/>
      <c r="CD439" s="54"/>
      <c r="CE439" s="54"/>
      <c r="CF439" s="54"/>
      <c r="CG439" s="54"/>
      <c r="CH439" s="54"/>
      <c r="CI439" s="54"/>
      <c r="CJ439" s="54"/>
      <c r="CK439" s="54"/>
      <c r="CL439" s="54"/>
      <c r="CM439" s="54"/>
      <c r="CN439" s="54"/>
      <c r="CO439" s="54"/>
      <c r="CP439" s="54"/>
      <c r="CQ439" s="54"/>
      <c r="CR439" s="54"/>
      <c r="CS439" s="54"/>
      <c r="CT439" s="54"/>
      <c r="CU439" s="54"/>
      <c r="CV439" s="54"/>
      <c r="CW439" s="54"/>
      <c r="CX439" s="54"/>
      <c r="CY439" s="54"/>
      <c r="CZ439" s="54"/>
      <c r="DA439" s="54"/>
      <c r="DB439" s="54"/>
      <c r="DC439" s="54"/>
      <c r="DD439" s="54"/>
      <c r="DE439" s="54"/>
      <c r="DF439" s="54"/>
      <c r="DG439" s="54"/>
      <c r="DH439" s="54"/>
      <c r="DI439" s="54"/>
      <c r="DJ439" s="54"/>
      <c r="DK439" s="54"/>
      <c r="DL439" s="54"/>
      <c r="DM439" s="54"/>
      <c r="DN439" s="54"/>
      <c r="DO439" s="54"/>
      <c r="DP439" s="54"/>
      <c r="DQ439" s="54"/>
      <c r="DR439" s="54"/>
      <c r="DS439" s="54"/>
      <c r="DT439" s="54"/>
      <c r="DU439" s="54"/>
      <c r="DV439" s="54"/>
      <c r="DW439" s="54"/>
      <c r="DX439" s="54"/>
      <c r="DY439" s="54"/>
      <c r="DZ439" s="54"/>
      <c r="EA439" s="54"/>
      <c r="EB439" s="54"/>
      <c r="EC439" s="54"/>
    </row>
    <row r="440" spans="1:133" s="56" customFormat="1" x14ac:dyDescent="0.25">
      <c r="A440" s="128" t="s">
        <v>26</v>
      </c>
      <c r="B440" s="128"/>
      <c r="C440" s="129"/>
      <c r="D440" s="129"/>
      <c r="E440" s="128"/>
      <c r="F440" s="16">
        <v>31</v>
      </c>
      <c r="G440" s="16">
        <v>28</v>
      </c>
      <c r="H440" s="16">
        <v>31</v>
      </c>
      <c r="I440" s="16">
        <v>30</v>
      </c>
      <c r="J440" s="16">
        <v>31</v>
      </c>
      <c r="K440" s="16">
        <v>30</v>
      </c>
      <c r="L440" s="16">
        <v>31</v>
      </c>
      <c r="M440" s="16">
        <v>31</v>
      </c>
      <c r="N440" s="16">
        <v>30</v>
      </c>
      <c r="O440" s="16">
        <v>31</v>
      </c>
      <c r="P440" s="16">
        <v>30</v>
      </c>
      <c r="Q440" s="16">
        <v>31</v>
      </c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54"/>
      <c r="AL440" s="54"/>
      <c r="AM440" s="54"/>
      <c r="AN440" s="54"/>
      <c r="AO440" s="54"/>
      <c r="AP440" s="54"/>
      <c r="AQ440" s="54"/>
      <c r="AR440" s="54"/>
      <c r="AS440" s="54"/>
      <c r="AT440" s="54"/>
      <c r="AU440" s="54"/>
      <c r="AV440" s="54"/>
      <c r="AW440" s="54"/>
      <c r="AX440" s="54"/>
      <c r="AY440" s="54"/>
      <c r="AZ440" s="54"/>
      <c r="BA440" s="54"/>
      <c r="BB440" s="54"/>
      <c r="BC440" s="54"/>
      <c r="BD440" s="54"/>
      <c r="BE440" s="54"/>
      <c r="BF440" s="54"/>
      <c r="BG440" s="54"/>
      <c r="BH440" s="54"/>
      <c r="BI440" s="54"/>
      <c r="BJ440" s="54"/>
      <c r="BK440" s="54"/>
      <c r="BL440" s="54"/>
      <c r="BM440" s="54"/>
      <c r="BN440" s="54"/>
      <c r="BO440" s="54"/>
      <c r="BP440" s="54"/>
      <c r="BQ440" s="54"/>
      <c r="BR440" s="54"/>
      <c r="BS440" s="54"/>
      <c r="BT440" s="54"/>
      <c r="BU440" s="54"/>
      <c r="BV440" s="54"/>
      <c r="BW440" s="54"/>
      <c r="BX440" s="54"/>
      <c r="BY440" s="54"/>
      <c r="BZ440" s="54"/>
      <c r="CA440" s="54"/>
      <c r="CB440" s="54"/>
      <c r="CC440" s="54"/>
      <c r="CD440" s="54"/>
      <c r="CE440" s="54"/>
      <c r="CF440" s="54"/>
      <c r="CG440" s="54"/>
      <c r="CH440" s="54"/>
      <c r="CI440" s="54"/>
      <c r="CJ440" s="54"/>
      <c r="CK440" s="54"/>
      <c r="CL440" s="54"/>
      <c r="CM440" s="54"/>
      <c r="CN440" s="54"/>
      <c r="CO440" s="54"/>
      <c r="CP440" s="54"/>
      <c r="CQ440" s="54"/>
      <c r="CR440" s="54"/>
      <c r="CS440" s="54"/>
      <c r="CT440" s="54"/>
      <c r="CU440" s="54"/>
      <c r="CV440" s="54"/>
      <c r="CW440" s="54"/>
      <c r="CX440" s="54"/>
      <c r="CY440" s="54"/>
      <c r="CZ440" s="54"/>
      <c r="DA440" s="54"/>
      <c r="DB440" s="54"/>
      <c r="DC440" s="54"/>
      <c r="DD440" s="54"/>
      <c r="DE440" s="54"/>
      <c r="DF440" s="54"/>
      <c r="DG440" s="54"/>
      <c r="DH440" s="54"/>
      <c r="DI440" s="54"/>
      <c r="DJ440" s="54"/>
      <c r="DK440" s="54"/>
      <c r="DL440" s="54"/>
      <c r="DM440" s="54"/>
      <c r="DN440" s="54"/>
      <c r="DO440" s="54"/>
      <c r="DP440" s="54"/>
      <c r="DQ440" s="54"/>
      <c r="DR440" s="54"/>
      <c r="DS440" s="54"/>
      <c r="DT440" s="54"/>
      <c r="DU440" s="54"/>
      <c r="DV440" s="54"/>
      <c r="DW440" s="54"/>
      <c r="DX440" s="54"/>
      <c r="DY440" s="54"/>
      <c r="DZ440" s="54"/>
      <c r="EA440" s="54"/>
      <c r="EB440" s="54"/>
      <c r="EC440" s="54"/>
    </row>
    <row r="441" spans="1:133" ht="46.8" x14ac:dyDescent="0.25">
      <c r="A441" s="59" t="s">
        <v>27</v>
      </c>
      <c r="B441" s="60" t="s">
        <v>28</v>
      </c>
      <c r="C441" s="53" t="s">
        <v>29</v>
      </c>
      <c r="D441" s="53" t="s">
        <v>340</v>
      </c>
      <c r="E441" s="61">
        <f>SUM(F441:Q441)</f>
        <v>11558.483563063681</v>
      </c>
      <c r="F441" s="62">
        <f>$E$6*$E$7*F444*$E$19</f>
        <v>981.67942590403857</v>
      </c>
      <c r="G441" s="62">
        <f t="shared" ref="G441:Q441" si="64">$E$6*$E$7*G444*$E$19</f>
        <v>886.67819113913151</v>
      </c>
      <c r="H441" s="62">
        <f t="shared" si="64"/>
        <v>981.67942590403857</v>
      </c>
      <c r="I441" s="62">
        <f t="shared" si="64"/>
        <v>950.01234764906962</v>
      </c>
      <c r="J441" s="62">
        <f t="shared" si="64"/>
        <v>981.67942590403857</v>
      </c>
      <c r="K441" s="62">
        <f t="shared" si="64"/>
        <v>950.01234764906962</v>
      </c>
      <c r="L441" s="62">
        <f t="shared" si="64"/>
        <v>981.67942590403857</v>
      </c>
      <c r="M441" s="62">
        <f t="shared" si="64"/>
        <v>981.67942590403857</v>
      </c>
      <c r="N441" s="62">
        <f t="shared" si="64"/>
        <v>950.01234764906962</v>
      </c>
      <c r="O441" s="62">
        <f t="shared" si="64"/>
        <v>981.67942590403857</v>
      </c>
      <c r="P441" s="62">
        <f t="shared" si="64"/>
        <v>950.01234764906962</v>
      </c>
      <c r="Q441" s="62">
        <f t="shared" si="64"/>
        <v>981.67942590403857</v>
      </c>
    </row>
    <row r="442" spans="1:133" ht="31.2" x14ac:dyDescent="0.25">
      <c r="A442" s="63" t="s">
        <v>30</v>
      </c>
      <c r="B442" s="60" t="s">
        <v>208</v>
      </c>
      <c r="C442" s="35" t="s">
        <v>31</v>
      </c>
      <c r="D442" s="35" t="s">
        <v>220</v>
      </c>
      <c r="E442" s="130">
        <v>28</v>
      </c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</row>
    <row r="443" spans="1:133" ht="64.8" x14ac:dyDescent="0.25">
      <c r="A443" s="63" t="s">
        <v>32</v>
      </c>
      <c r="B443" s="25" t="s">
        <v>209</v>
      </c>
      <c r="C443" s="35" t="s">
        <v>34</v>
      </c>
      <c r="D443" s="35" t="s">
        <v>373</v>
      </c>
      <c r="E443" s="130">
        <v>0.21</v>
      </c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</row>
    <row r="444" spans="1:133" ht="46.8" x14ac:dyDescent="0.25">
      <c r="A444" s="35" t="s">
        <v>35</v>
      </c>
      <c r="B444" s="25" t="s">
        <v>210</v>
      </c>
      <c r="C444" s="53" t="s">
        <v>36</v>
      </c>
      <c r="D444" s="53" t="s">
        <v>341</v>
      </c>
      <c r="E444" s="64">
        <f t="shared" ref="E444:Q444" si="65">E452*E445</f>
        <v>3641.0580113779165</v>
      </c>
      <c r="F444" s="64">
        <f t="shared" si="65"/>
        <v>309.24054343209701</v>
      </c>
      <c r="G444" s="64">
        <f t="shared" si="65"/>
        <v>279.31403922899085</v>
      </c>
      <c r="H444" s="64">
        <f t="shared" si="65"/>
        <v>309.24054343209701</v>
      </c>
      <c r="I444" s="64">
        <f t="shared" si="65"/>
        <v>299.26504203106163</v>
      </c>
      <c r="J444" s="64">
        <f t="shared" si="65"/>
        <v>309.24054343209701</v>
      </c>
      <c r="K444" s="64">
        <f t="shared" si="65"/>
        <v>299.26504203106163</v>
      </c>
      <c r="L444" s="64">
        <f t="shared" si="65"/>
        <v>309.24054343209701</v>
      </c>
      <c r="M444" s="64">
        <f t="shared" si="65"/>
        <v>309.24054343209701</v>
      </c>
      <c r="N444" s="64">
        <f t="shared" si="65"/>
        <v>299.26504203106163</v>
      </c>
      <c r="O444" s="64">
        <f t="shared" si="65"/>
        <v>309.24054343209701</v>
      </c>
      <c r="P444" s="64">
        <f t="shared" si="65"/>
        <v>299.26504203106163</v>
      </c>
      <c r="Q444" s="64">
        <f t="shared" si="65"/>
        <v>309.24054343209701</v>
      </c>
    </row>
    <row r="445" spans="1:133" ht="46.8" x14ac:dyDescent="0.25">
      <c r="A445" s="35" t="s">
        <v>37</v>
      </c>
      <c r="B445" s="25" t="s">
        <v>212</v>
      </c>
      <c r="C445" s="35" t="s">
        <v>206</v>
      </c>
      <c r="D445" s="35" t="s">
        <v>342</v>
      </c>
      <c r="E445" s="20">
        <f>SUM(F445:Q445)</f>
        <v>3832.5</v>
      </c>
      <c r="F445" s="20">
        <f>F447*F450</f>
        <v>325.5</v>
      </c>
      <c r="G445" s="20">
        <f t="shared" ref="G445:Q445" si="66">G447*G450</f>
        <v>294</v>
      </c>
      <c r="H445" s="20">
        <f t="shared" si="66"/>
        <v>325.5</v>
      </c>
      <c r="I445" s="20">
        <f t="shared" si="66"/>
        <v>315</v>
      </c>
      <c r="J445" s="20">
        <f t="shared" si="66"/>
        <v>325.5</v>
      </c>
      <c r="K445" s="20">
        <f t="shared" si="66"/>
        <v>315</v>
      </c>
      <c r="L445" s="20">
        <f t="shared" si="66"/>
        <v>325.5</v>
      </c>
      <c r="M445" s="20">
        <f t="shared" si="66"/>
        <v>325.5</v>
      </c>
      <c r="N445" s="20">
        <f t="shared" si="66"/>
        <v>315</v>
      </c>
      <c r="O445" s="20">
        <f t="shared" si="66"/>
        <v>325.5</v>
      </c>
      <c r="P445" s="20">
        <f t="shared" si="66"/>
        <v>315</v>
      </c>
      <c r="Q445" s="20">
        <f t="shared" si="66"/>
        <v>325.5</v>
      </c>
    </row>
    <row r="446" spans="1:133" ht="46.8" x14ac:dyDescent="0.3">
      <c r="A446" s="51" t="s">
        <v>221</v>
      </c>
      <c r="B446" s="60" t="s">
        <v>207</v>
      </c>
      <c r="C446" s="35" t="s">
        <v>39</v>
      </c>
      <c r="D446" s="35" t="s">
        <v>222</v>
      </c>
      <c r="E446" s="20">
        <v>21000</v>
      </c>
      <c r="F446" s="20">
        <v>21000</v>
      </c>
      <c r="G446" s="20">
        <v>21000</v>
      </c>
      <c r="H446" s="20">
        <v>21000</v>
      </c>
      <c r="I446" s="20">
        <v>21000</v>
      </c>
      <c r="J446" s="20">
        <v>21000</v>
      </c>
      <c r="K446" s="20">
        <v>21000</v>
      </c>
      <c r="L446" s="20">
        <v>21000</v>
      </c>
      <c r="M446" s="20">
        <v>21000</v>
      </c>
      <c r="N446" s="20">
        <v>21000</v>
      </c>
      <c r="O446" s="20">
        <v>21000</v>
      </c>
      <c r="P446" s="20">
        <v>21000</v>
      </c>
      <c r="Q446" s="20">
        <v>21000</v>
      </c>
    </row>
    <row r="447" spans="1:133" ht="46.8" x14ac:dyDescent="0.25">
      <c r="A447" s="35" t="s">
        <v>41</v>
      </c>
      <c r="B447" s="60" t="s">
        <v>213</v>
      </c>
      <c r="C447" s="35" t="s">
        <v>42</v>
      </c>
      <c r="D447" s="35" t="s">
        <v>326</v>
      </c>
      <c r="E447" s="65">
        <f>SUM(F447:Q447)</f>
        <v>7665000</v>
      </c>
      <c r="F447" s="65">
        <f>F446*F440</f>
        <v>651000</v>
      </c>
      <c r="G447" s="65">
        <f t="shared" ref="G447:Q447" si="67">G446*G440</f>
        <v>588000</v>
      </c>
      <c r="H447" s="65">
        <f t="shared" si="67"/>
        <v>651000</v>
      </c>
      <c r="I447" s="65">
        <f t="shared" si="67"/>
        <v>630000</v>
      </c>
      <c r="J447" s="65">
        <f t="shared" si="67"/>
        <v>651000</v>
      </c>
      <c r="K447" s="65">
        <f t="shared" si="67"/>
        <v>630000</v>
      </c>
      <c r="L447" s="65">
        <f t="shared" si="67"/>
        <v>651000</v>
      </c>
      <c r="M447" s="65">
        <f t="shared" si="67"/>
        <v>651000</v>
      </c>
      <c r="N447" s="65">
        <f t="shared" si="67"/>
        <v>630000</v>
      </c>
      <c r="O447" s="65">
        <f t="shared" si="67"/>
        <v>651000</v>
      </c>
      <c r="P447" s="65">
        <f t="shared" si="67"/>
        <v>630000</v>
      </c>
      <c r="Q447" s="65">
        <f t="shared" si="67"/>
        <v>651000</v>
      </c>
    </row>
    <row r="448" spans="1:133" ht="62.4" x14ac:dyDescent="0.25">
      <c r="A448" s="35" t="s">
        <v>43</v>
      </c>
      <c r="B448" s="60" t="s">
        <v>214</v>
      </c>
      <c r="C448" s="35" t="s">
        <v>44</v>
      </c>
      <c r="D448" s="35" t="s">
        <v>40</v>
      </c>
      <c r="E448" s="66">
        <v>500</v>
      </c>
      <c r="F448" s="66">
        <v>500</v>
      </c>
      <c r="G448" s="66">
        <v>500</v>
      </c>
      <c r="H448" s="66">
        <v>500</v>
      </c>
      <c r="I448" s="66">
        <v>500</v>
      </c>
      <c r="J448" s="66">
        <v>500</v>
      </c>
      <c r="K448" s="66">
        <v>500</v>
      </c>
      <c r="L448" s="66">
        <v>500</v>
      </c>
      <c r="M448" s="66">
        <v>500</v>
      </c>
      <c r="N448" s="66">
        <v>500</v>
      </c>
      <c r="O448" s="66">
        <v>500</v>
      </c>
      <c r="P448" s="66">
        <v>500</v>
      </c>
      <c r="Q448" s="66">
        <v>500</v>
      </c>
    </row>
    <row r="449" spans="1:133" ht="62.4" x14ac:dyDescent="0.25">
      <c r="A449" s="35" t="s">
        <v>45</v>
      </c>
      <c r="B449" s="60" t="s">
        <v>214</v>
      </c>
      <c r="C449" s="35" t="s">
        <v>46</v>
      </c>
      <c r="D449" s="35" t="s">
        <v>40</v>
      </c>
      <c r="E449" s="65">
        <v>40</v>
      </c>
      <c r="F449" s="65">
        <v>40</v>
      </c>
      <c r="G449" s="65">
        <v>40</v>
      </c>
      <c r="H449" s="65">
        <v>40</v>
      </c>
      <c r="I449" s="65">
        <v>40</v>
      </c>
      <c r="J449" s="65">
        <v>40</v>
      </c>
      <c r="K449" s="65">
        <v>40</v>
      </c>
      <c r="L449" s="65">
        <v>40</v>
      </c>
      <c r="M449" s="65">
        <v>40</v>
      </c>
      <c r="N449" s="65">
        <v>40</v>
      </c>
      <c r="O449" s="65">
        <v>40</v>
      </c>
      <c r="P449" s="65">
        <v>40</v>
      </c>
      <c r="Q449" s="65">
        <v>40</v>
      </c>
    </row>
    <row r="450" spans="1:133" ht="62.4" x14ac:dyDescent="0.25">
      <c r="A450" s="35" t="s">
        <v>47</v>
      </c>
      <c r="B450" s="60" t="s">
        <v>215</v>
      </c>
      <c r="C450" s="35" t="s">
        <v>49</v>
      </c>
      <c r="D450" s="35" t="s">
        <v>324</v>
      </c>
      <c r="E450" s="67">
        <f>E448/1000000</f>
        <v>5.0000000000000001E-4</v>
      </c>
      <c r="F450" s="22">
        <f>F448/1000000</f>
        <v>5.0000000000000001E-4</v>
      </c>
      <c r="G450" s="22">
        <f t="shared" ref="G450:Q450" si="68">G448/1000000</f>
        <v>5.0000000000000001E-4</v>
      </c>
      <c r="H450" s="22">
        <f t="shared" si="68"/>
        <v>5.0000000000000001E-4</v>
      </c>
      <c r="I450" s="22">
        <f t="shared" si="68"/>
        <v>5.0000000000000001E-4</v>
      </c>
      <c r="J450" s="22">
        <f t="shared" si="68"/>
        <v>5.0000000000000001E-4</v>
      </c>
      <c r="K450" s="22">
        <f t="shared" si="68"/>
        <v>5.0000000000000001E-4</v>
      </c>
      <c r="L450" s="22">
        <f t="shared" si="68"/>
        <v>5.0000000000000001E-4</v>
      </c>
      <c r="M450" s="22">
        <f t="shared" si="68"/>
        <v>5.0000000000000001E-4</v>
      </c>
      <c r="N450" s="22">
        <f t="shared" si="68"/>
        <v>5.0000000000000001E-4</v>
      </c>
      <c r="O450" s="22">
        <f t="shared" si="68"/>
        <v>5.0000000000000001E-4</v>
      </c>
      <c r="P450" s="22">
        <f t="shared" si="68"/>
        <v>5.0000000000000001E-4</v>
      </c>
      <c r="Q450" s="22">
        <f t="shared" si="68"/>
        <v>5.0000000000000001E-4</v>
      </c>
    </row>
    <row r="451" spans="1:133" ht="62.4" x14ac:dyDescent="0.25">
      <c r="A451" s="35" t="s">
        <v>45</v>
      </c>
      <c r="B451" s="60" t="s">
        <v>48</v>
      </c>
      <c r="C451" s="35" t="s">
        <v>50</v>
      </c>
      <c r="D451" s="35" t="s">
        <v>325</v>
      </c>
      <c r="E451" s="67">
        <f>E449/1000000</f>
        <v>4.0000000000000003E-5</v>
      </c>
      <c r="F451" s="22">
        <f>F449/1000000</f>
        <v>4.0000000000000003E-5</v>
      </c>
      <c r="G451" s="22">
        <f t="shared" ref="G451:Q451" si="69">G449/1000000</f>
        <v>4.0000000000000003E-5</v>
      </c>
      <c r="H451" s="22">
        <f t="shared" si="69"/>
        <v>4.0000000000000003E-5</v>
      </c>
      <c r="I451" s="22">
        <f t="shared" si="69"/>
        <v>4.0000000000000003E-5</v>
      </c>
      <c r="J451" s="22">
        <f t="shared" si="69"/>
        <v>4.0000000000000003E-5</v>
      </c>
      <c r="K451" s="22">
        <f t="shared" si="69"/>
        <v>4.0000000000000003E-5</v>
      </c>
      <c r="L451" s="22">
        <f t="shared" si="69"/>
        <v>4.0000000000000003E-5</v>
      </c>
      <c r="M451" s="22">
        <f t="shared" si="69"/>
        <v>4.0000000000000003E-5</v>
      </c>
      <c r="N451" s="22">
        <f t="shared" si="69"/>
        <v>4.0000000000000003E-5</v>
      </c>
      <c r="O451" s="22">
        <f t="shared" si="69"/>
        <v>4.0000000000000003E-5</v>
      </c>
      <c r="P451" s="22">
        <f t="shared" si="69"/>
        <v>4.0000000000000003E-5</v>
      </c>
      <c r="Q451" s="22">
        <f t="shared" si="69"/>
        <v>4.0000000000000003E-5</v>
      </c>
    </row>
    <row r="452" spans="1:133" ht="46.8" x14ac:dyDescent="0.25">
      <c r="A452" s="63" t="s">
        <v>51</v>
      </c>
      <c r="B452" s="25" t="s">
        <v>216</v>
      </c>
      <c r="C452" s="35" t="s">
        <v>53</v>
      </c>
      <c r="D452" s="35" t="s">
        <v>343</v>
      </c>
      <c r="E452" s="68">
        <f>(1-(E453/E454))</f>
        <v>0.95004775247956075</v>
      </c>
      <c r="F452" s="68">
        <f>E452</f>
        <v>0.95004775247956075</v>
      </c>
      <c r="G452" s="68">
        <f>E452</f>
        <v>0.95004775247956075</v>
      </c>
      <c r="H452" s="68">
        <f>E452</f>
        <v>0.95004775247956075</v>
      </c>
      <c r="I452" s="68">
        <f>E452</f>
        <v>0.95004775247956075</v>
      </c>
      <c r="J452" s="68">
        <f>E452</f>
        <v>0.95004775247956075</v>
      </c>
      <c r="K452" s="68">
        <f>E452</f>
        <v>0.95004775247956075</v>
      </c>
      <c r="L452" s="68">
        <f>E452</f>
        <v>0.95004775247956075</v>
      </c>
      <c r="M452" s="68">
        <f>E452</f>
        <v>0.95004775247956075</v>
      </c>
      <c r="N452" s="68">
        <f>E452</f>
        <v>0.95004775247956075</v>
      </c>
      <c r="O452" s="68">
        <f>E452</f>
        <v>0.95004775247956075</v>
      </c>
      <c r="P452" s="68">
        <f>E452</f>
        <v>0.95004775247956075</v>
      </c>
      <c r="Q452" s="68">
        <f>E452</f>
        <v>0.95004775247956075</v>
      </c>
    </row>
    <row r="453" spans="1:133" ht="31.2" x14ac:dyDescent="0.25">
      <c r="A453" s="35" t="s">
        <v>54</v>
      </c>
      <c r="B453" s="25" t="s">
        <v>211</v>
      </c>
      <c r="C453" s="35" t="s">
        <v>55</v>
      </c>
      <c r="D453" s="35" t="s">
        <v>323</v>
      </c>
      <c r="E453" s="52">
        <f>SUM(F453:Q453)</f>
        <v>159.936049524</v>
      </c>
      <c r="F453" s="52">
        <v>13.583609685599999</v>
      </c>
      <c r="G453" s="52">
        <v>12.2690668128</v>
      </c>
      <c r="H453" s="52">
        <v>13.583609685599999</v>
      </c>
      <c r="I453" s="52">
        <v>13.145428728000001</v>
      </c>
      <c r="J453" s="52">
        <v>13.583609685599999</v>
      </c>
      <c r="K453" s="52">
        <v>13.145428728000001</v>
      </c>
      <c r="L453" s="52">
        <v>13.583609685599999</v>
      </c>
      <c r="M453" s="52">
        <v>13.583609685599999</v>
      </c>
      <c r="N453" s="52">
        <v>13.145428728000001</v>
      </c>
      <c r="O453" s="52">
        <v>13.583609685599999</v>
      </c>
      <c r="P453" s="52">
        <v>13.145428728000001</v>
      </c>
      <c r="Q453" s="52">
        <v>13.583609685599999</v>
      </c>
    </row>
    <row r="454" spans="1:133" ht="31.2" x14ac:dyDescent="0.25">
      <c r="A454" s="63" t="s">
        <v>56</v>
      </c>
      <c r="B454" s="25" t="s">
        <v>38</v>
      </c>
      <c r="C454" s="35" t="s">
        <v>57</v>
      </c>
      <c r="D454" s="35" t="s">
        <v>323</v>
      </c>
      <c r="E454" s="52">
        <f>SUM(F454:Q454)</f>
        <v>3201.7788480599997</v>
      </c>
      <c r="F454" s="52">
        <v>271.93190216399995</v>
      </c>
      <c r="G454" s="52">
        <v>245.61591163200001</v>
      </c>
      <c r="H454" s="52">
        <v>271.93190216399995</v>
      </c>
      <c r="I454" s="52">
        <v>263.15990532000001</v>
      </c>
      <c r="J454" s="52">
        <v>271.93190216399995</v>
      </c>
      <c r="K454" s="52">
        <v>263.15990532000001</v>
      </c>
      <c r="L454" s="52">
        <v>271.93190216399995</v>
      </c>
      <c r="M454" s="52">
        <v>271.93190216399995</v>
      </c>
      <c r="N454" s="52">
        <v>263.15990532000001</v>
      </c>
      <c r="O454" s="52">
        <v>271.93190216399995</v>
      </c>
      <c r="P454" s="52">
        <v>263.15990532000001</v>
      </c>
      <c r="Q454" s="52">
        <v>271.93190216399995</v>
      </c>
    </row>
    <row r="455" spans="1:133" ht="31.2" x14ac:dyDescent="0.25">
      <c r="A455" s="53" t="s">
        <v>58</v>
      </c>
      <c r="B455" s="25" t="s">
        <v>216</v>
      </c>
      <c r="C455" s="53" t="s">
        <v>59</v>
      </c>
      <c r="D455" s="35" t="s">
        <v>344</v>
      </c>
      <c r="E455" s="132">
        <f>E456*E457*0.89</f>
        <v>0.52386325905087516</v>
      </c>
      <c r="F455" s="132"/>
      <c r="G455" s="132"/>
      <c r="H455" s="132"/>
      <c r="I455" s="132"/>
      <c r="J455" s="132"/>
      <c r="K455" s="132"/>
      <c r="L455" s="132"/>
      <c r="M455" s="132"/>
      <c r="N455" s="132"/>
      <c r="O455" s="132"/>
      <c r="P455" s="132"/>
      <c r="Q455" s="132"/>
    </row>
    <row r="456" spans="1:133" ht="31.2" x14ac:dyDescent="0.25">
      <c r="A456" s="70" t="s">
        <v>60</v>
      </c>
      <c r="B456" s="25" t="s">
        <v>216</v>
      </c>
      <c r="C456" s="53" t="s">
        <v>61</v>
      </c>
      <c r="D456" s="35" t="s">
        <v>345</v>
      </c>
      <c r="E456" s="119">
        <v>0.7</v>
      </c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1"/>
    </row>
    <row r="457" spans="1:133" ht="36" customHeight="1" x14ac:dyDescent="0.25">
      <c r="A457" s="70" t="s">
        <v>62</v>
      </c>
      <c r="B457" s="25" t="s">
        <v>52</v>
      </c>
      <c r="C457" s="53" t="s">
        <v>63</v>
      </c>
      <c r="D457" s="35" t="s">
        <v>346</v>
      </c>
      <c r="E457" s="122">
        <f>(F458*F463+G458*G463+H458*H463+I458*I463+J458*J463+K458*K463+L458*L463+M458*M463+N458*N463+O458*O463+P458*P463+Q458*Q463)/(F452*F447*F450+G452*G450*G447+H452*H447*H450+I452*I450*I447+J452*J450*J447+K452*K450*K447+L452*L450*L447+M452*M450*M447+N452*N450*N447+O452*O447*O450+P452*P450*P447+Q452*Q450*Q447)</f>
        <v>0.84087200489707081</v>
      </c>
      <c r="F457" s="123"/>
      <c r="G457" s="123"/>
      <c r="H457" s="123"/>
      <c r="I457" s="123"/>
      <c r="J457" s="123"/>
      <c r="K457" s="123"/>
      <c r="L457" s="123"/>
      <c r="M457" s="123"/>
      <c r="N457" s="123"/>
      <c r="O457" s="123"/>
      <c r="P457" s="123"/>
      <c r="Q457" s="124"/>
    </row>
    <row r="458" spans="1:133" s="9" customFormat="1" ht="46.8" x14ac:dyDescent="0.4">
      <c r="A458" s="71" t="s">
        <v>64</v>
      </c>
      <c r="B458" s="25" t="s">
        <v>52</v>
      </c>
      <c r="C458" s="53" t="s">
        <v>65</v>
      </c>
      <c r="D458" s="53" t="s">
        <v>347</v>
      </c>
      <c r="E458" s="72">
        <f>AVERAGE(F458:Q458)</f>
        <v>0.64941855920635227</v>
      </c>
      <c r="F458" s="72">
        <f t="shared" ref="F458:Q458" si="70">IF(F462&lt;283,0,IF(F462&gt;303,1,EXP(($E$23*(F462-$E$24))/($E$25*$E$24*F462))))</f>
        <v>0.26921004737855481</v>
      </c>
      <c r="G458" s="72">
        <f t="shared" si="70"/>
        <v>0.29505266129807517</v>
      </c>
      <c r="H458" s="72">
        <f t="shared" si="70"/>
        <v>0.42307437878932203</v>
      </c>
      <c r="I458" s="72">
        <f t="shared" si="70"/>
        <v>0.65487347206548807</v>
      </c>
      <c r="J458" s="72">
        <f t="shared" si="70"/>
        <v>0.84523513966163832</v>
      </c>
      <c r="K458" s="72">
        <f t="shared" si="70"/>
        <v>1</v>
      </c>
      <c r="L458" s="72">
        <f t="shared" si="70"/>
        <v>1</v>
      </c>
      <c r="M458" s="72">
        <f t="shared" si="70"/>
        <v>1</v>
      </c>
      <c r="N458" s="72">
        <f t="shared" si="70"/>
        <v>0.91923925774048054</v>
      </c>
      <c r="O458" s="72">
        <f t="shared" si="70"/>
        <v>0.65487347206548807</v>
      </c>
      <c r="P458" s="72">
        <f t="shared" si="70"/>
        <v>0.46225423409862509</v>
      </c>
      <c r="Q458" s="72">
        <f t="shared" si="70"/>
        <v>0.26921004737855481</v>
      </c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  <c r="AC458" s="78"/>
      <c r="AD458" s="78"/>
      <c r="AE458" s="78"/>
      <c r="AF458" s="78"/>
      <c r="AG458" s="78"/>
      <c r="AH458" s="78"/>
      <c r="AI458" s="78"/>
      <c r="AJ458" s="78"/>
      <c r="AK458" s="78"/>
      <c r="AL458" s="78"/>
      <c r="AM458" s="78"/>
      <c r="AN458" s="78"/>
      <c r="AO458" s="78"/>
      <c r="AP458" s="78"/>
      <c r="AQ458" s="78"/>
      <c r="AR458" s="78"/>
      <c r="AS458" s="78"/>
      <c r="AT458" s="78"/>
      <c r="AU458" s="78"/>
      <c r="AV458" s="78"/>
      <c r="AW458" s="78"/>
      <c r="AX458" s="78"/>
      <c r="AY458" s="78"/>
      <c r="AZ458" s="78"/>
      <c r="BA458" s="78"/>
      <c r="BB458" s="78"/>
      <c r="BC458" s="78"/>
      <c r="BD458" s="78"/>
      <c r="BE458" s="78"/>
      <c r="BF458" s="78"/>
      <c r="BG458" s="78"/>
      <c r="BH458" s="78"/>
      <c r="BI458" s="78"/>
      <c r="BJ458" s="78"/>
      <c r="BK458" s="78"/>
      <c r="BL458" s="78"/>
      <c r="BM458" s="78"/>
      <c r="BN458" s="78"/>
      <c r="BO458" s="78"/>
      <c r="BP458" s="78"/>
      <c r="BQ458" s="78"/>
      <c r="BR458" s="78"/>
      <c r="BS458" s="78"/>
      <c r="BT458" s="78"/>
      <c r="BU458" s="78"/>
      <c r="BV458" s="78"/>
      <c r="BW458" s="78"/>
      <c r="BX458" s="78"/>
      <c r="BY458" s="78"/>
      <c r="BZ458" s="78"/>
      <c r="CA458" s="78"/>
      <c r="CB458" s="78"/>
      <c r="CC458" s="78"/>
      <c r="CD458" s="78"/>
      <c r="CE458" s="78"/>
      <c r="CF458" s="78"/>
      <c r="CG458" s="78"/>
      <c r="CH458" s="78"/>
      <c r="CI458" s="78"/>
      <c r="CJ458" s="78"/>
      <c r="CK458" s="78"/>
      <c r="CL458" s="78"/>
      <c r="CM458" s="78"/>
      <c r="CN458" s="78"/>
      <c r="CO458" s="78"/>
      <c r="CP458" s="78"/>
      <c r="CQ458" s="78"/>
      <c r="CR458" s="78"/>
      <c r="CS458" s="78"/>
      <c r="CT458" s="78"/>
      <c r="CU458" s="78"/>
      <c r="CV458" s="78"/>
      <c r="CW458" s="78"/>
      <c r="CX458" s="78"/>
      <c r="CY458" s="78"/>
      <c r="CZ458" s="78"/>
      <c r="DA458" s="78"/>
      <c r="DB458" s="78"/>
      <c r="DC458" s="78"/>
      <c r="DD458" s="78"/>
      <c r="DE458" s="78"/>
      <c r="DF458" s="78"/>
      <c r="DG458" s="78"/>
      <c r="DH458" s="78"/>
      <c r="DI458" s="78"/>
      <c r="DJ458" s="78"/>
      <c r="DK458" s="78"/>
      <c r="DL458" s="78"/>
      <c r="DM458" s="78"/>
      <c r="DN458" s="78"/>
      <c r="DO458" s="78"/>
      <c r="DP458" s="78"/>
      <c r="DQ458" s="78"/>
      <c r="DR458" s="78"/>
      <c r="DS458" s="78"/>
      <c r="DT458" s="78"/>
      <c r="DU458" s="78"/>
      <c r="DV458" s="78"/>
      <c r="DW458" s="78"/>
      <c r="DX458" s="78"/>
      <c r="DY458" s="78"/>
      <c r="DZ458" s="78"/>
      <c r="EA458" s="78"/>
      <c r="EB458" s="78"/>
      <c r="EC458" s="78"/>
    </row>
    <row r="459" spans="1:133" s="9" customFormat="1" x14ac:dyDescent="0.25">
      <c r="A459" s="73" t="s">
        <v>66</v>
      </c>
      <c r="B459" s="60" t="s">
        <v>217</v>
      </c>
      <c r="C459" s="53" t="s">
        <v>68</v>
      </c>
      <c r="D459" s="53" t="s">
        <v>348</v>
      </c>
      <c r="E459" s="119">
        <v>15175</v>
      </c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1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  <c r="AL459" s="78"/>
      <c r="AM459" s="78"/>
      <c r="AN459" s="78"/>
      <c r="AO459" s="78"/>
      <c r="AP459" s="78"/>
      <c r="AQ459" s="78"/>
      <c r="AR459" s="78"/>
      <c r="AS459" s="78"/>
      <c r="AT459" s="78"/>
      <c r="AU459" s="78"/>
      <c r="AV459" s="78"/>
      <c r="AW459" s="78"/>
      <c r="AX459" s="78"/>
      <c r="AY459" s="78"/>
      <c r="AZ459" s="78"/>
      <c r="BA459" s="78"/>
      <c r="BB459" s="78"/>
      <c r="BC459" s="78"/>
      <c r="BD459" s="78"/>
      <c r="BE459" s="78"/>
      <c r="BF459" s="78"/>
      <c r="BG459" s="78"/>
      <c r="BH459" s="78"/>
      <c r="BI459" s="78"/>
      <c r="BJ459" s="78"/>
      <c r="BK459" s="78"/>
      <c r="BL459" s="78"/>
      <c r="BM459" s="78"/>
      <c r="BN459" s="78"/>
      <c r="BO459" s="78"/>
      <c r="BP459" s="78"/>
      <c r="BQ459" s="78"/>
      <c r="BR459" s="78"/>
      <c r="BS459" s="78"/>
      <c r="BT459" s="78"/>
      <c r="BU459" s="78"/>
      <c r="BV459" s="78"/>
      <c r="BW459" s="78"/>
      <c r="BX459" s="78"/>
      <c r="BY459" s="78"/>
      <c r="BZ459" s="78"/>
      <c r="CA459" s="78"/>
      <c r="CB459" s="78"/>
      <c r="CC459" s="78"/>
      <c r="CD459" s="78"/>
      <c r="CE459" s="78"/>
      <c r="CF459" s="78"/>
      <c r="CG459" s="78"/>
      <c r="CH459" s="78"/>
      <c r="CI459" s="78"/>
      <c r="CJ459" s="78"/>
      <c r="CK459" s="78"/>
      <c r="CL459" s="78"/>
      <c r="CM459" s="78"/>
      <c r="CN459" s="78"/>
      <c r="CO459" s="78"/>
      <c r="CP459" s="78"/>
      <c r="CQ459" s="78"/>
      <c r="CR459" s="78"/>
      <c r="CS459" s="78"/>
      <c r="CT459" s="78"/>
      <c r="CU459" s="78"/>
      <c r="CV459" s="78"/>
      <c r="CW459" s="78"/>
      <c r="CX459" s="78"/>
      <c r="CY459" s="78"/>
      <c r="CZ459" s="78"/>
      <c r="DA459" s="78"/>
      <c r="DB459" s="78"/>
      <c r="DC459" s="78"/>
      <c r="DD459" s="78"/>
      <c r="DE459" s="78"/>
      <c r="DF459" s="78"/>
      <c r="DG459" s="78"/>
      <c r="DH459" s="78"/>
      <c r="DI459" s="78"/>
      <c r="DJ459" s="78"/>
      <c r="DK459" s="78"/>
      <c r="DL459" s="78"/>
      <c r="DM459" s="78"/>
      <c r="DN459" s="78"/>
      <c r="DO459" s="78"/>
      <c r="DP459" s="78"/>
      <c r="DQ459" s="78"/>
      <c r="DR459" s="78"/>
      <c r="DS459" s="78"/>
      <c r="DT459" s="78"/>
      <c r="DU459" s="78"/>
      <c r="DV459" s="78"/>
      <c r="DW459" s="78"/>
      <c r="DX459" s="78"/>
      <c r="DY459" s="78"/>
      <c r="DZ459" s="78"/>
      <c r="EA459" s="78"/>
      <c r="EB459" s="78"/>
      <c r="EC459" s="78"/>
    </row>
    <row r="460" spans="1:133" s="9" customFormat="1" ht="18" x14ac:dyDescent="0.25">
      <c r="A460" s="73" t="s">
        <v>69</v>
      </c>
      <c r="B460" s="60" t="s">
        <v>218</v>
      </c>
      <c r="C460" s="53" t="s">
        <v>71</v>
      </c>
      <c r="D460" s="53" t="s">
        <v>348</v>
      </c>
      <c r="E460" s="119">
        <v>303.16000000000003</v>
      </c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1"/>
      <c r="R460" s="78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  <c r="AC460" s="78"/>
      <c r="AD460" s="78"/>
      <c r="AE460" s="78"/>
      <c r="AF460" s="78"/>
      <c r="AG460" s="78"/>
      <c r="AH460" s="78"/>
      <c r="AI460" s="78"/>
      <c r="AJ460" s="78"/>
      <c r="AK460" s="78"/>
      <c r="AL460" s="78"/>
      <c r="AM460" s="78"/>
      <c r="AN460" s="78"/>
      <c r="AO460" s="78"/>
      <c r="AP460" s="78"/>
      <c r="AQ460" s="78"/>
      <c r="AR460" s="78"/>
      <c r="AS460" s="78"/>
      <c r="AT460" s="78"/>
      <c r="AU460" s="78"/>
      <c r="AV460" s="78"/>
      <c r="AW460" s="78"/>
      <c r="AX460" s="78"/>
      <c r="AY460" s="78"/>
      <c r="AZ460" s="78"/>
      <c r="BA460" s="78"/>
      <c r="BB460" s="78"/>
      <c r="BC460" s="78"/>
      <c r="BD460" s="78"/>
      <c r="BE460" s="78"/>
      <c r="BF460" s="78"/>
      <c r="BG460" s="78"/>
      <c r="BH460" s="78"/>
      <c r="BI460" s="78"/>
      <c r="BJ460" s="78"/>
      <c r="BK460" s="78"/>
      <c r="BL460" s="78"/>
      <c r="BM460" s="78"/>
      <c r="BN460" s="78"/>
      <c r="BO460" s="78"/>
      <c r="BP460" s="78"/>
      <c r="BQ460" s="78"/>
      <c r="BR460" s="78"/>
      <c r="BS460" s="78"/>
      <c r="BT460" s="78"/>
      <c r="BU460" s="78"/>
      <c r="BV460" s="78"/>
      <c r="BW460" s="78"/>
      <c r="BX460" s="78"/>
      <c r="BY460" s="78"/>
      <c r="BZ460" s="78"/>
      <c r="CA460" s="78"/>
      <c r="CB460" s="78"/>
      <c r="CC460" s="78"/>
      <c r="CD460" s="78"/>
      <c r="CE460" s="78"/>
      <c r="CF460" s="78"/>
      <c r="CG460" s="78"/>
      <c r="CH460" s="78"/>
      <c r="CI460" s="78"/>
      <c r="CJ460" s="78"/>
      <c r="CK460" s="78"/>
      <c r="CL460" s="78"/>
      <c r="CM460" s="78"/>
      <c r="CN460" s="78"/>
      <c r="CO460" s="78"/>
      <c r="CP460" s="78"/>
      <c r="CQ460" s="78"/>
      <c r="CR460" s="78"/>
      <c r="CS460" s="78"/>
      <c r="CT460" s="78"/>
      <c r="CU460" s="78"/>
      <c r="CV460" s="78"/>
      <c r="CW460" s="78"/>
      <c r="CX460" s="78"/>
      <c r="CY460" s="78"/>
      <c r="CZ460" s="78"/>
      <c r="DA460" s="78"/>
      <c r="DB460" s="78"/>
      <c r="DC460" s="78"/>
      <c r="DD460" s="78"/>
      <c r="DE460" s="78"/>
      <c r="DF460" s="78"/>
      <c r="DG460" s="78"/>
      <c r="DH460" s="78"/>
      <c r="DI460" s="78"/>
      <c r="DJ460" s="78"/>
      <c r="DK460" s="78"/>
      <c r="DL460" s="78"/>
      <c r="DM460" s="78"/>
      <c r="DN460" s="78"/>
      <c r="DO460" s="78"/>
      <c r="DP460" s="78"/>
      <c r="DQ460" s="78"/>
      <c r="DR460" s="78"/>
      <c r="DS460" s="78"/>
      <c r="DT460" s="78"/>
      <c r="DU460" s="78"/>
      <c r="DV460" s="78"/>
      <c r="DW460" s="78"/>
      <c r="DX460" s="78"/>
      <c r="DY460" s="78"/>
      <c r="DZ460" s="78"/>
      <c r="EA460" s="78"/>
      <c r="EB460" s="78"/>
      <c r="EC460" s="78"/>
    </row>
    <row r="461" spans="1:133" s="9" customFormat="1" x14ac:dyDescent="0.25">
      <c r="A461" s="73" t="s">
        <v>72</v>
      </c>
      <c r="B461" s="60" t="s">
        <v>219</v>
      </c>
      <c r="C461" s="53" t="s">
        <v>74</v>
      </c>
      <c r="D461" s="53" t="s">
        <v>348</v>
      </c>
      <c r="E461" s="119">
        <v>1.9870000000000001</v>
      </c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1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  <c r="AL461" s="78"/>
      <c r="AM461" s="78"/>
      <c r="AN461" s="78"/>
      <c r="AO461" s="78"/>
      <c r="AP461" s="78"/>
      <c r="AQ461" s="78"/>
      <c r="AR461" s="78"/>
      <c r="AS461" s="78"/>
      <c r="AT461" s="78"/>
      <c r="AU461" s="78"/>
      <c r="AV461" s="78"/>
      <c r="AW461" s="78"/>
      <c r="AX461" s="78"/>
      <c r="AY461" s="78"/>
      <c r="AZ461" s="78"/>
      <c r="BA461" s="78"/>
      <c r="BB461" s="78"/>
      <c r="BC461" s="78"/>
      <c r="BD461" s="78"/>
      <c r="BE461" s="78"/>
      <c r="BF461" s="78"/>
      <c r="BG461" s="78"/>
      <c r="BH461" s="78"/>
      <c r="BI461" s="78"/>
      <c r="BJ461" s="78"/>
      <c r="BK461" s="78"/>
      <c r="BL461" s="78"/>
      <c r="BM461" s="78"/>
      <c r="BN461" s="78"/>
      <c r="BO461" s="78"/>
      <c r="BP461" s="78"/>
      <c r="BQ461" s="78"/>
      <c r="BR461" s="78"/>
      <c r="BS461" s="78"/>
      <c r="BT461" s="78"/>
      <c r="BU461" s="78"/>
      <c r="BV461" s="78"/>
      <c r="BW461" s="78"/>
      <c r="BX461" s="78"/>
      <c r="BY461" s="78"/>
      <c r="BZ461" s="78"/>
      <c r="CA461" s="78"/>
      <c r="CB461" s="78"/>
      <c r="CC461" s="78"/>
      <c r="CD461" s="78"/>
      <c r="CE461" s="78"/>
      <c r="CF461" s="78"/>
      <c r="CG461" s="78"/>
      <c r="CH461" s="78"/>
      <c r="CI461" s="78"/>
      <c r="CJ461" s="78"/>
      <c r="CK461" s="78"/>
      <c r="CL461" s="78"/>
      <c r="CM461" s="78"/>
      <c r="CN461" s="78"/>
      <c r="CO461" s="78"/>
      <c r="CP461" s="78"/>
      <c r="CQ461" s="78"/>
      <c r="CR461" s="78"/>
      <c r="CS461" s="78"/>
      <c r="CT461" s="78"/>
      <c r="CU461" s="78"/>
      <c r="CV461" s="78"/>
      <c r="CW461" s="78"/>
      <c r="CX461" s="78"/>
      <c r="CY461" s="78"/>
      <c r="CZ461" s="78"/>
      <c r="DA461" s="78"/>
      <c r="DB461" s="78"/>
      <c r="DC461" s="78"/>
      <c r="DD461" s="78"/>
      <c r="DE461" s="78"/>
      <c r="DF461" s="78"/>
      <c r="DG461" s="78"/>
      <c r="DH461" s="78"/>
      <c r="DI461" s="78"/>
      <c r="DJ461" s="78"/>
      <c r="DK461" s="78"/>
      <c r="DL461" s="78"/>
      <c r="DM461" s="78"/>
      <c r="DN461" s="78"/>
      <c r="DO461" s="78"/>
      <c r="DP461" s="78"/>
      <c r="DQ461" s="78"/>
      <c r="DR461" s="78"/>
      <c r="DS461" s="78"/>
      <c r="DT461" s="78"/>
      <c r="DU461" s="78"/>
      <c r="DV461" s="78"/>
      <c r="DW461" s="78"/>
      <c r="DX461" s="78"/>
      <c r="DY461" s="78"/>
      <c r="DZ461" s="78"/>
      <c r="EA461" s="78"/>
      <c r="EB461" s="78"/>
      <c r="EC461" s="78"/>
    </row>
    <row r="462" spans="1:133" s="9" customFormat="1" ht="31.2" x14ac:dyDescent="0.25">
      <c r="A462" s="73" t="s">
        <v>75</v>
      </c>
      <c r="B462" s="60" t="s">
        <v>218</v>
      </c>
      <c r="C462" s="53" t="s">
        <v>76</v>
      </c>
      <c r="D462" s="53" t="s">
        <v>275</v>
      </c>
      <c r="E462" s="111">
        <f>AVERAGE(F462:Q462)</f>
        <v>296.81666666666672</v>
      </c>
      <c r="F462" s="60">
        <v>288.14999999999998</v>
      </c>
      <c r="G462" s="60">
        <v>289.14999999999998</v>
      </c>
      <c r="H462" s="60">
        <v>293.14999999999998</v>
      </c>
      <c r="I462" s="60">
        <v>298.14999999999998</v>
      </c>
      <c r="J462" s="60">
        <v>301.14999999999998</v>
      </c>
      <c r="K462" s="60">
        <v>303.14999999999998</v>
      </c>
      <c r="L462" s="60">
        <v>303.14999999999998</v>
      </c>
      <c r="M462" s="60">
        <v>303.14999999999998</v>
      </c>
      <c r="N462" s="60">
        <v>302.14999999999998</v>
      </c>
      <c r="O462" s="60">
        <v>298.14999999999998</v>
      </c>
      <c r="P462" s="60">
        <v>294.14999999999998</v>
      </c>
      <c r="Q462" s="60">
        <v>288.14999999999998</v>
      </c>
      <c r="R462" s="78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  <c r="AC462" s="78"/>
      <c r="AD462" s="78"/>
      <c r="AE462" s="78"/>
      <c r="AF462" s="78"/>
      <c r="AG462" s="78"/>
      <c r="AH462" s="78"/>
      <c r="AI462" s="78"/>
      <c r="AJ462" s="78"/>
      <c r="AK462" s="78"/>
      <c r="AL462" s="78"/>
      <c r="AM462" s="78"/>
      <c r="AN462" s="78"/>
      <c r="AO462" s="78"/>
      <c r="AP462" s="78"/>
      <c r="AQ462" s="78"/>
      <c r="AR462" s="78"/>
      <c r="AS462" s="78"/>
      <c r="AT462" s="78"/>
      <c r="AU462" s="78"/>
      <c r="AV462" s="78"/>
      <c r="AW462" s="78"/>
      <c r="AX462" s="78"/>
      <c r="AY462" s="78"/>
      <c r="AZ462" s="78"/>
      <c r="BA462" s="78"/>
      <c r="BB462" s="78"/>
      <c r="BC462" s="78"/>
      <c r="BD462" s="78"/>
      <c r="BE462" s="78"/>
      <c r="BF462" s="78"/>
      <c r="BG462" s="78"/>
      <c r="BH462" s="78"/>
      <c r="BI462" s="78"/>
      <c r="BJ462" s="78"/>
      <c r="BK462" s="78"/>
      <c r="BL462" s="78"/>
      <c r="BM462" s="78"/>
      <c r="BN462" s="78"/>
      <c r="BO462" s="78"/>
      <c r="BP462" s="78"/>
      <c r="BQ462" s="78"/>
      <c r="BR462" s="78"/>
      <c r="BS462" s="78"/>
      <c r="BT462" s="78"/>
      <c r="BU462" s="78"/>
      <c r="BV462" s="78"/>
      <c r="BW462" s="78"/>
      <c r="BX462" s="78"/>
      <c r="BY462" s="78"/>
      <c r="BZ462" s="78"/>
      <c r="CA462" s="78"/>
      <c r="CB462" s="78"/>
      <c r="CC462" s="78"/>
      <c r="CD462" s="78"/>
      <c r="CE462" s="78"/>
      <c r="CF462" s="78"/>
      <c r="CG462" s="78"/>
      <c r="CH462" s="78"/>
      <c r="CI462" s="78"/>
      <c r="CJ462" s="78"/>
      <c r="CK462" s="78"/>
      <c r="CL462" s="78"/>
      <c r="CM462" s="78"/>
      <c r="CN462" s="78"/>
      <c r="CO462" s="78"/>
      <c r="CP462" s="78"/>
      <c r="CQ462" s="78"/>
      <c r="CR462" s="78"/>
      <c r="CS462" s="78"/>
      <c r="CT462" s="78"/>
      <c r="CU462" s="78"/>
      <c r="CV462" s="78"/>
      <c r="CW462" s="78"/>
      <c r="CX462" s="78"/>
      <c r="CY462" s="78"/>
      <c r="CZ462" s="78"/>
      <c r="DA462" s="78"/>
      <c r="DB462" s="78"/>
      <c r="DC462" s="78"/>
      <c r="DD462" s="78"/>
      <c r="DE462" s="78"/>
      <c r="DF462" s="78"/>
      <c r="DG462" s="78"/>
      <c r="DH462" s="78"/>
      <c r="DI462" s="78"/>
      <c r="DJ462" s="78"/>
      <c r="DK462" s="78"/>
      <c r="DL462" s="78"/>
      <c r="DM462" s="78"/>
      <c r="DN462" s="78"/>
      <c r="DO462" s="78"/>
      <c r="DP462" s="78"/>
      <c r="DQ462" s="78"/>
      <c r="DR462" s="78"/>
      <c r="DS462" s="78"/>
      <c r="DT462" s="78"/>
      <c r="DU462" s="78"/>
      <c r="DV462" s="78"/>
      <c r="DW462" s="78"/>
      <c r="DX462" s="78"/>
      <c r="DY462" s="78"/>
      <c r="DZ462" s="78"/>
      <c r="EA462" s="78"/>
      <c r="EB462" s="78"/>
      <c r="EC462" s="78"/>
    </row>
    <row r="463" spans="1:133" s="9" customFormat="1" ht="31.2" x14ac:dyDescent="0.4">
      <c r="A463" s="71" t="s">
        <v>77</v>
      </c>
      <c r="B463" s="60" t="s">
        <v>211</v>
      </c>
      <c r="C463" s="53" t="s">
        <v>78</v>
      </c>
      <c r="D463" s="53" t="s">
        <v>349</v>
      </c>
      <c r="E463" s="74">
        <f>SUM(F463:Q463)</f>
        <v>5177.4224479059667</v>
      </c>
      <c r="F463" s="74">
        <f>F452*F447*F450+(1-F458)*0</f>
        <v>309.24054343209701</v>
      </c>
      <c r="G463" s="74">
        <f t="shared" ref="G463:Q463" si="71">G452*G447*G450+(1-G458)*F463</f>
        <v>497.31233734018463</v>
      </c>
      <c r="H463" s="74">
        <f t="shared" si="71"/>
        <v>596.15277258781725</v>
      </c>
      <c r="I463" s="74">
        <f t="shared" si="71"/>
        <v>505.01317855282775</v>
      </c>
      <c r="J463" s="74">
        <f t="shared" si="71"/>
        <v>387.39883747985749</v>
      </c>
      <c r="K463" s="74">
        <f t="shared" si="71"/>
        <v>299.26504203106168</v>
      </c>
      <c r="L463" s="74">
        <f t="shared" si="71"/>
        <v>309.24054343209701</v>
      </c>
      <c r="M463" s="74">
        <f t="shared" si="71"/>
        <v>309.24054343209701</v>
      </c>
      <c r="N463" s="74">
        <f t="shared" si="71"/>
        <v>324.23953785537498</v>
      </c>
      <c r="O463" s="74">
        <f t="shared" si="71"/>
        <v>421.14420935121331</v>
      </c>
      <c r="P463" s="74">
        <f t="shared" si="71"/>
        <v>525.73355744355888</v>
      </c>
      <c r="Q463" s="74">
        <f t="shared" si="71"/>
        <v>693.44134496777929</v>
      </c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78"/>
      <c r="AM463" s="78"/>
      <c r="AN463" s="78"/>
      <c r="AO463" s="78"/>
      <c r="AP463" s="78"/>
      <c r="AQ463" s="78"/>
      <c r="AR463" s="78"/>
      <c r="AS463" s="78"/>
      <c r="AT463" s="78"/>
      <c r="AU463" s="78"/>
      <c r="AV463" s="78"/>
      <c r="AW463" s="78"/>
      <c r="AX463" s="78"/>
      <c r="AY463" s="78"/>
      <c r="AZ463" s="78"/>
      <c r="BA463" s="78"/>
      <c r="BB463" s="78"/>
      <c r="BC463" s="78"/>
      <c r="BD463" s="78"/>
      <c r="BE463" s="78"/>
      <c r="BF463" s="78"/>
      <c r="BG463" s="78"/>
      <c r="BH463" s="78"/>
      <c r="BI463" s="78"/>
      <c r="BJ463" s="78"/>
      <c r="BK463" s="78"/>
      <c r="BL463" s="78"/>
      <c r="BM463" s="78"/>
      <c r="BN463" s="78"/>
      <c r="BO463" s="78"/>
      <c r="BP463" s="78"/>
      <c r="BQ463" s="78"/>
      <c r="BR463" s="78"/>
      <c r="BS463" s="78"/>
      <c r="BT463" s="78"/>
      <c r="BU463" s="78"/>
      <c r="BV463" s="78"/>
      <c r="BW463" s="78"/>
      <c r="BX463" s="78"/>
      <c r="BY463" s="78"/>
      <c r="BZ463" s="78"/>
      <c r="CA463" s="78"/>
      <c r="CB463" s="78"/>
      <c r="CC463" s="78"/>
      <c r="CD463" s="78"/>
      <c r="CE463" s="78"/>
      <c r="CF463" s="78"/>
      <c r="CG463" s="78"/>
      <c r="CH463" s="78"/>
      <c r="CI463" s="78"/>
      <c r="CJ463" s="78"/>
      <c r="CK463" s="78"/>
      <c r="CL463" s="78"/>
      <c r="CM463" s="78"/>
      <c r="CN463" s="78"/>
      <c r="CO463" s="78"/>
      <c r="CP463" s="78"/>
      <c r="CQ463" s="78"/>
      <c r="CR463" s="78"/>
      <c r="CS463" s="78"/>
      <c r="CT463" s="78"/>
      <c r="CU463" s="78"/>
      <c r="CV463" s="78"/>
      <c r="CW463" s="78"/>
      <c r="CX463" s="78"/>
      <c r="CY463" s="78"/>
      <c r="CZ463" s="78"/>
      <c r="DA463" s="78"/>
      <c r="DB463" s="78"/>
      <c r="DC463" s="78"/>
      <c r="DD463" s="78"/>
      <c r="DE463" s="78"/>
      <c r="DF463" s="78"/>
      <c r="DG463" s="78"/>
      <c r="DH463" s="78"/>
      <c r="DI463" s="78"/>
      <c r="DJ463" s="78"/>
      <c r="DK463" s="78"/>
      <c r="DL463" s="78"/>
      <c r="DM463" s="78"/>
      <c r="DN463" s="78"/>
      <c r="DO463" s="78"/>
      <c r="DP463" s="78"/>
      <c r="DQ463" s="78"/>
      <c r="DR463" s="78"/>
      <c r="DS463" s="78"/>
      <c r="DT463" s="78"/>
      <c r="DU463" s="78"/>
      <c r="DV463" s="78"/>
      <c r="DW463" s="78"/>
      <c r="DX463" s="78"/>
      <c r="DY463" s="78"/>
      <c r="DZ463" s="78"/>
      <c r="EA463" s="78"/>
      <c r="EB463" s="78"/>
      <c r="EC463" s="78"/>
    </row>
    <row r="465" spans="1:5" x14ac:dyDescent="0.25">
      <c r="A465" s="133" t="s">
        <v>79</v>
      </c>
      <c r="B465" s="133"/>
      <c r="C465" s="133"/>
      <c r="D465" s="133"/>
      <c r="E465" s="133"/>
    </row>
    <row r="466" spans="1:5" x14ac:dyDescent="0.25">
      <c r="A466" s="57" t="s">
        <v>9</v>
      </c>
      <c r="B466" s="58" t="s">
        <v>10</v>
      </c>
      <c r="C466" s="34" t="s">
        <v>11</v>
      </c>
      <c r="D466" s="34" t="s">
        <v>12</v>
      </c>
      <c r="E466" s="16" t="s">
        <v>80</v>
      </c>
    </row>
    <row r="467" spans="1:5" ht="46.8" x14ac:dyDescent="0.25">
      <c r="A467" s="59" t="s">
        <v>81</v>
      </c>
      <c r="B467" s="60" t="s">
        <v>28</v>
      </c>
      <c r="C467" s="53" t="s">
        <v>82</v>
      </c>
      <c r="D467" s="53" t="s">
        <v>83</v>
      </c>
      <c r="E467" s="75">
        <v>0</v>
      </c>
    </row>
    <row r="468" spans="1:5" ht="46.8" x14ac:dyDescent="0.25">
      <c r="A468" s="63" t="s">
        <v>84</v>
      </c>
      <c r="B468" s="25" t="s">
        <v>85</v>
      </c>
      <c r="C468" s="35" t="s">
        <v>86</v>
      </c>
      <c r="D468" s="35" t="str">
        <f>D474</f>
        <v>Historical data on site in the FSR (It was calculated with conservative value)</v>
      </c>
      <c r="E468" s="74">
        <f>E474</f>
        <v>1269.375806451613</v>
      </c>
    </row>
    <row r="470" spans="1:5" x14ac:dyDescent="0.25">
      <c r="A470" s="134" t="s">
        <v>87</v>
      </c>
      <c r="B470" s="134"/>
      <c r="C470" s="135"/>
      <c r="D470" s="135"/>
      <c r="E470" s="134"/>
    </row>
    <row r="471" spans="1:5" x14ac:dyDescent="0.25">
      <c r="A471" s="59" t="s">
        <v>9</v>
      </c>
      <c r="B471" s="16" t="s">
        <v>10</v>
      </c>
      <c r="C471" s="38" t="s">
        <v>11</v>
      </c>
      <c r="D471" s="38" t="s">
        <v>12</v>
      </c>
      <c r="E471" s="16" t="s">
        <v>80</v>
      </c>
    </row>
    <row r="472" spans="1:5" ht="33.6" x14ac:dyDescent="0.4">
      <c r="A472" s="76" t="s">
        <v>88</v>
      </c>
      <c r="B472" s="25" t="s">
        <v>89</v>
      </c>
      <c r="C472" s="35" t="s">
        <v>90</v>
      </c>
      <c r="D472" s="35" t="s">
        <v>350</v>
      </c>
      <c r="E472" s="50">
        <f>E473*E476*E477*E478*E479*E480</f>
        <v>1.5811313298539498</v>
      </c>
    </row>
    <row r="473" spans="1:5" ht="46.8" x14ac:dyDescent="0.4">
      <c r="A473" s="77" t="s">
        <v>223</v>
      </c>
      <c r="B473" s="25" t="s">
        <v>91</v>
      </c>
      <c r="C473" s="35" t="s">
        <v>92</v>
      </c>
      <c r="D473" s="35" t="s">
        <v>351</v>
      </c>
      <c r="E473" s="52">
        <f>E474/E475</f>
        <v>253.87516129032261</v>
      </c>
    </row>
    <row r="474" spans="1:5" ht="46.8" x14ac:dyDescent="0.25">
      <c r="A474" s="63" t="s">
        <v>224</v>
      </c>
      <c r="B474" s="25" t="s">
        <v>93</v>
      </c>
      <c r="C474" s="35" t="s">
        <v>94</v>
      </c>
      <c r="D474" s="53" t="s">
        <v>322</v>
      </c>
      <c r="E474" s="52">
        <v>1269.375806451613</v>
      </c>
    </row>
    <row r="475" spans="1:5" ht="31.2" x14ac:dyDescent="0.25">
      <c r="A475" s="63" t="s">
        <v>225</v>
      </c>
      <c r="B475" s="25" t="s">
        <v>95</v>
      </c>
      <c r="C475" s="35" t="s">
        <v>96</v>
      </c>
      <c r="D475" s="53" t="s">
        <v>327</v>
      </c>
      <c r="E475" s="25">
        <f>5</f>
        <v>5</v>
      </c>
    </row>
    <row r="476" spans="1:5" ht="62.4" x14ac:dyDescent="0.25">
      <c r="A476" s="63" t="s">
        <v>226</v>
      </c>
      <c r="B476" s="25" t="s">
        <v>97</v>
      </c>
      <c r="C476" s="35" t="s">
        <v>98</v>
      </c>
      <c r="D476" s="35" t="s">
        <v>327</v>
      </c>
      <c r="E476" s="25">
        <f>4.6*2</f>
        <v>9.1999999999999993</v>
      </c>
    </row>
    <row r="477" spans="1:5" ht="172.2" x14ac:dyDescent="0.25">
      <c r="A477" s="63" t="s">
        <v>227</v>
      </c>
      <c r="B477" s="25" t="s">
        <v>99</v>
      </c>
      <c r="C477" s="35" t="s">
        <v>100</v>
      </c>
      <c r="D477" s="35" t="s">
        <v>338</v>
      </c>
      <c r="E477" s="25">
        <f>25.1/100</f>
        <v>0.251</v>
      </c>
    </row>
    <row r="478" spans="1:5" ht="140.4" x14ac:dyDescent="0.25">
      <c r="A478" s="63" t="s">
        <v>228</v>
      </c>
      <c r="B478" s="25" t="s">
        <v>102</v>
      </c>
      <c r="C478" s="35" t="s">
        <v>101</v>
      </c>
      <c r="D478" s="35" t="s">
        <v>337</v>
      </c>
      <c r="E478" s="25">
        <f>0.84/1000</f>
        <v>8.3999999999999993E-4</v>
      </c>
    </row>
    <row r="479" spans="1:5" ht="140.4" x14ac:dyDescent="0.25">
      <c r="A479" s="63" t="s">
        <v>229</v>
      </c>
      <c r="B479" s="25" t="s">
        <v>103</v>
      </c>
      <c r="C479" s="35" t="s">
        <v>104</v>
      </c>
      <c r="D479" s="35" t="s">
        <v>335</v>
      </c>
      <c r="E479" s="25">
        <f>43.33/1000</f>
        <v>4.333E-2</v>
      </c>
    </row>
    <row r="480" spans="1:5" ht="62.4" x14ac:dyDescent="0.25">
      <c r="A480" s="63" t="s">
        <v>230</v>
      </c>
      <c r="B480" s="25" t="s">
        <v>105</v>
      </c>
      <c r="C480" s="35" t="s">
        <v>106</v>
      </c>
      <c r="D480" s="35" t="s">
        <v>333</v>
      </c>
      <c r="E480" s="25">
        <v>74.099999999999994</v>
      </c>
    </row>
    <row r="482" spans="1:133" x14ac:dyDescent="0.25">
      <c r="A482" s="133" t="s">
        <v>108</v>
      </c>
      <c r="B482" s="133"/>
      <c r="C482" s="133"/>
      <c r="D482" s="133"/>
      <c r="E482" s="133"/>
    </row>
    <row r="483" spans="1:133" x14ac:dyDescent="0.25">
      <c r="A483" s="57" t="s">
        <v>9</v>
      </c>
      <c r="B483" s="58" t="s">
        <v>10</v>
      </c>
      <c r="C483" s="34" t="s">
        <v>11</v>
      </c>
      <c r="D483" s="34" t="s">
        <v>12</v>
      </c>
      <c r="E483" s="16" t="s">
        <v>80</v>
      </c>
    </row>
    <row r="484" spans="1:133" ht="64.8" x14ac:dyDescent="0.25">
      <c r="A484" s="15" t="s">
        <v>109</v>
      </c>
      <c r="B484" s="25" t="s">
        <v>110</v>
      </c>
      <c r="C484" s="35" t="s">
        <v>111</v>
      </c>
      <c r="D484" s="35" t="s">
        <v>112</v>
      </c>
      <c r="E484" s="16">
        <v>0</v>
      </c>
    </row>
    <row r="486" spans="1:133" x14ac:dyDescent="0.25">
      <c r="A486" s="133" t="s">
        <v>113</v>
      </c>
      <c r="B486" s="133"/>
      <c r="C486" s="133"/>
      <c r="D486" s="133"/>
      <c r="E486" s="133"/>
    </row>
    <row r="487" spans="1:133" x14ac:dyDescent="0.25">
      <c r="A487" s="57" t="s">
        <v>9</v>
      </c>
      <c r="B487" s="58" t="s">
        <v>10</v>
      </c>
      <c r="C487" s="34" t="s">
        <v>11</v>
      </c>
      <c r="D487" s="34" t="s">
        <v>12</v>
      </c>
      <c r="E487" s="16" t="s">
        <v>80</v>
      </c>
    </row>
    <row r="488" spans="1:133" ht="49.2" x14ac:dyDescent="0.25">
      <c r="A488" s="15" t="s">
        <v>114</v>
      </c>
      <c r="B488" s="25" t="s">
        <v>110</v>
      </c>
      <c r="C488" s="35" t="s">
        <v>115</v>
      </c>
      <c r="D488" s="35" t="s">
        <v>116</v>
      </c>
      <c r="E488" s="16">
        <v>0</v>
      </c>
    </row>
    <row r="490" spans="1:133" x14ac:dyDescent="0.25">
      <c r="A490" s="57" t="s">
        <v>9</v>
      </c>
      <c r="B490" s="58" t="s">
        <v>10</v>
      </c>
      <c r="C490" s="34" t="s">
        <v>11</v>
      </c>
      <c r="D490" s="34" t="s">
        <v>12</v>
      </c>
      <c r="E490" s="16" t="s">
        <v>80</v>
      </c>
    </row>
    <row r="491" spans="1:133" ht="18" x14ac:dyDescent="0.25">
      <c r="A491" s="59" t="s">
        <v>117</v>
      </c>
      <c r="B491" s="25" t="s">
        <v>118</v>
      </c>
      <c r="C491" s="35" t="s">
        <v>119</v>
      </c>
      <c r="D491" s="53" t="s">
        <v>352</v>
      </c>
      <c r="E491" s="18">
        <f>ROUNDDOWN(E441+E472+E467+E484+E488,0)</f>
        <v>11560</v>
      </c>
    </row>
    <row r="492" spans="1:133" s="137" customFormat="1" ht="38.4" customHeight="1" x14ac:dyDescent="0.25">
      <c r="A492" s="136" t="s">
        <v>251</v>
      </c>
    </row>
    <row r="493" spans="1:133" s="138" customFormat="1" ht="43.2" customHeight="1" x14ac:dyDescent="0.25">
      <c r="A493" s="138" t="s">
        <v>252</v>
      </c>
    </row>
    <row r="494" spans="1:133" s="56" customFormat="1" x14ac:dyDescent="0.25">
      <c r="A494" s="93" t="s">
        <v>9</v>
      </c>
      <c r="B494" s="94" t="s">
        <v>10</v>
      </c>
      <c r="C494" s="95" t="s">
        <v>11</v>
      </c>
      <c r="D494" s="95" t="s">
        <v>12</v>
      </c>
      <c r="E494" s="94" t="s">
        <v>13</v>
      </c>
      <c r="F494" s="96" t="s">
        <v>14</v>
      </c>
      <c r="G494" s="96" t="s">
        <v>15</v>
      </c>
      <c r="H494" s="96" t="s">
        <v>16</v>
      </c>
      <c r="I494" s="96" t="s">
        <v>17</v>
      </c>
      <c r="J494" s="96" t="s">
        <v>18</v>
      </c>
      <c r="K494" s="96" t="s">
        <v>19</v>
      </c>
      <c r="L494" s="96" t="s">
        <v>20</v>
      </c>
      <c r="M494" s="96" t="s">
        <v>21</v>
      </c>
      <c r="N494" s="96" t="s">
        <v>22</v>
      </c>
      <c r="O494" s="96" t="s">
        <v>23</v>
      </c>
      <c r="P494" s="96" t="s">
        <v>24</v>
      </c>
      <c r="Q494" s="96" t="s">
        <v>25</v>
      </c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  <c r="AK494" s="54"/>
      <c r="AL494" s="54"/>
      <c r="AM494" s="54"/>
      <c r="AN494" s="54"/>
      <c r="AO494" s="54"/>
      <c r="AP494" s="54"/>
      <c r="AQ494" s="54"/>
      <c r="AR494" s="54"/>
      <c r="AS494" s="54"/>
      <c r="AT494" s="54"/>
      <c r="AU494" s="54"/>
      <c r="AV494" s="54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</row>
    <row r="495" spans="1:133" s="56" customFormat="1" x14ac:dyDescent="0.25">
      <c r="A495" s="58" t="s">
        <v>26</v>
      </c>
      <c r="B495" s="58"/>
      <c r="C495" s="34"/>
      <c r="D495" s="34"/>
      <c r="E495" s="58"/>
      <c r="F495" s="16">
        <v>31</v>
      </c>
      <c r="G495" s="16">
        <v>28</v>
      </c>
      <c r="H495" s="16">
        <v>31</v>
      </c>
      <c r="I495" s="16">
        <v>30</v>
      </c>
      <c r="J495" s="16">
        <v>31</v>
      </c>
      <c r="K495" s="16">
        <v>30</v>
      </c>
      <c r="L495" s="16">
        <v>31</v>
      </c>
      <c r="M495" s="16">
        <v>31</v>
      </c>
      <c r="N495" s="16">
        <v>30</v>
      </c>
      <c r="O495" s="16">
        <v>31</v>
      </c>
      <c r="P495" s="16">
        <v>30</v>
      </c>
      <c r="Q495" s="16">
        <v>31</v>
      </c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  <c r="AK495" s="54"/>
      <c r="AL495" s="54"/>
      <c r="AM495" s="54"/>
      <c r="AN495" s="54"/>
      <c r="AO495" s="54"/>
      <c r="AP495" s="54"/>
      <c r="AQ495" s="54"/>
      <c r="AR495" s="54"/>
      <c r="AS495" s="54"/>
      <c r="AT495" s="54"/>
      <c r="AU495" s="54"/>
      <c r="AV495" s="54"/>
      <c r="AW495" s="54"/>
      <c r="AX495" s="54"/>
      <c r="AY495" s="54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  <c r="CK495" s="54"/>
      <c r="CL495" s="54"/>
      <c r="CM495" s="54"/>
      <c r="CN495" s="54"/>
      <c r="CO495" s="54"/>
      <c r="CP495" s="54"/>
      <c r="CQ495" s="54"/>
      <c r="CR495" s="54"/>
      <c r="CS495" s="54"/>
      <c r="CT495" s="54"/>
      <c r="CU495" s="54"/>
      <c r="CV495" s="54"/>
      <c r="CW495" s="54"/>
      <c r="CX495" s="54"/>
      <c r="CY495" s="54"/>
      <c r="CZ495" s="54"/>
      <c r="DA495" s="54"/>
      <c r="DB495" s="54"/>
      <c r="DC495" s="54"/>
      <c r="DD495" s="54"/>
      <c r="DE495" s="54"/>
      <c r="DF495" s="54"/>
      <c r="DG495" s="54"/>
      <c r="DH495" s="54"/>
      <c r="DI495" s="54"/>
      <c r="DJ495" s="54"/>
      <c r="DK495" s="54"/>
      <c r="DL495" s="54"/>
      <c r="DM495" s="54"/>
      <c r="DN495" s="54"/>
      <c r="DO495" s="54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</row>
    <row r="496" spans="1:133" ht="46.8" x14ac:dyDescent="0.25">
      <c r="A496" s="59" t="s">
        <v>27</v>
      </c>
      <c r="B496" s="60" t="s">
        <v>28</v>
      </c>
      <c r="C496" s="53" t="s">
        <v>29</v>
      </c>
      <c r="D496" s="53" t="s">
        <v>340</v>
      </c>
      <c r="E496" s="61">
        <f>SUM(F496:Q496)</f>
        <v>3269.8618005568997</v>
      </c>
      <c r="F496" s="62">
        <f>$E$6*$E$7*F499*$E$19</f>
        <v>277.71428991031206</v>
      </c>
      <c r="G496" s="62">
        <f t="shared" ref="G496:Q496" si="72">$E$6*$E$7*G499*$E$19</f>
        <v>250.83871346737865</v>
      </c>
      <c r="H496" s="62">
        <f t="shared" si="72"/>
        <v>277.71428991031206</v>
      </c>
      <c r="I496" s="62">
        <f t="shared" si="72"/>
        <v>268.75576442933425</v>
      </c>
      <c r="J496" s="62">
        <f t="shared" si="72"/>
        <v>277.71428991031206</v>
      </c>
      <c r="K496" s="62">
        <f t="shared" si="72"/>
        <v>268.75576442933425</v>
      </c>
      <c r="L496" s="62">
        <f t="shared" si="72"/>
        <v>277.71428991031206</v>
      </c>
      <c r="M496" s="62">
        <f t="shared" si="72"/>
        <v>277.71428991031206</v>
      </c>
      <c r="N496" s="62">
        <f t="shared" si="72"/>
        <v>268.75576442933425</v>
      </c>
      <c r="O496" s="62">
        <f t="shared" si="72"/>
        <v>277.71428991031206</v>
      </c>
      <c r="P496" s="62">
        <f t="shared" si="72"/>
        <v>268.75576442933425</v>
      </c>
      <c r="Q496" s="62">
        <f t="shared" si="72"/>
        <v>277.71428991031206</v>
      </c>
    </row>
    <row r="497" spans="1:17" ht="31.2" x14ac:dyDescent="0.25">
      <c r="A497" s="63" t="s">
        <v>30</v>
      </c>
      <c r="B497" s="60" t="s">
        <v>208</v>
      </c>
      <c r="C497" s="35" t="s">
        <v>31</v>
      </c>
      <c r="D497" s="35" t="s">
        <v>220</v>
      </c>
      <c r="E497" s="25">
        <v>28</v>
      </c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</row>
    <row r="498" spans="1:17" ht="64.8" x14ac:dyDescent="0.25">
      <c r="A498" s="63" t="s">
        <v>32</v>
      </c>
      <c r="B498" s="25" t="s">
        <v>209</v>
      </c>
      <c r="C498" s="35" t="s">
        <v>34</v>
      </c>
      <c r="D498" s="35" t="s">
        <v>373</v>
      </c>
      <c r="E498" s="25">
        <v>0.21</v>
      </c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</row>
    <row r="499" spans="1:17" ht="46.8" x14ac:dyDescent="0.25">
      <c r="A499" s="35" t="s">
        <v>35</v>
      </c>
      <c r="B499" s="25" t="s">
        <v>210</v>
      </c>
      <c r="C499" s="53" t="s">
        <v>36</v>
      </c>
      <c r="D499" s="53" t="s">
        <v>341</v>
      </c>
      <c r="E499" s="64">
        <f t="shared" ref="E499:Q499" si="73">E507*E500</f>
        <v>1030.0448532074215</v>
      </c>
      <c r="F499" s="64">
        <f t="shared" si="73"/>
        <v>87.483261505287842</v>
      </c>
      <c r="G499" s="64">
        <f t="shared" si="73"/>
        <v>79.01713942413096</v>
      </c>
      <c r="H499" s="64">
        <f t="shared" si="73"/>
        <v>87.483261505287842</v>
      </c>
      <c r="I499" s="64">
        <f t="shared" si="73"/>
        <v>84.661220811568882</v>
      </c>
      <c r="J499" s="64">
        <f t="shared" si="73"/>
        <v>87.483261505287842</v>
      </c>
      <c r="K499" s="64">
        <f t="shared" si="73"/>
        <v>84.661220811568882</v>
      </c>
      <c r="L499" s="64">
        <f t="shared" si="73"/>
        <v>87.483261505287842</v>
      </c>
      <c r="M499" s="64">
        <f t="shared" si="73"/>
        <v>87.483261505287842</v>
      </c>
      <c r="N499" s="64">
        <f t="shared" si="73"/>
        <v>84.661220811568882</v>
      </c>
      <c r="O499" s="64">
        <f t="shared" si="73"/>
        <v>87.483261505287842</v>
      </c>
      <c r="P499" s="64">
        <f t="shared" si="73"/>
        <v>84.661220811568882</v>
      </c>
      <c r="Q499" s="64">
        <f t="shared" si="73"/>
        <v>87.483261505287842</v>
      </c>
    </row>
    <row r="500" spans="1:17" ht="46.8" x14ac:dyDescent="0.25">
      <c r="A500" s="35" t="s">
        <v>37</v>
      </c>
      <c r="B500" s="25" t="s">
        <v>212</v>
      </c>
      <c r="C500" s="35" t="s">
        <v>206</v>
      </c>
      <c r="D500" s="35" t="s">
        <v>342</v>
      </c>
      <c r="E500" s="20">
        <f>SUM(F500:Q500)</f>
        <v>1084.05</v>
      </c>
      <c r="F500" s="20">
        <f>F502*F505</f>
        <v>92.07</v>
      </c>
      <c r="G500" s="20">
        <f t="shared" ref="G500:Q500" si="74">G502*G505</f>
        <v>83.16</v>
      </c>
      <c r="H500" s="20">
        <f t="shared" si="74"/>
        <v>92.07</v>
      </c>
      <c r="I500" s="20">
        <f t="shared" si="74"/>
        <v>89.1</v>
      </c>
      <c r="J500" s="20">
        <f t="shared" si="74"/>
        <v>92.07</v>
      </c>
      <c r="K500" s="20">
        <f t="shared" si="74"/>
        <v>89.1</v>
      </c>
      <c r="L500" s="20">
        <f t="shared" si="74"/>
        <v>92.07</v>
      </c>
      <c r="M500" s="20">
        <f t="shared" si="74"/>
        <v>92.07</v>
      </c>
      <c r="N500" s="20">
        <f t="shared" si="74"/>
        <v>89.1</v>
      </c>
      <c r="O500" s="20">
        <f t="shared" si="74"/>
        <v>92.07</v>
      </c>
      <c r="P500" s="20">
        <f t="shared" si="74"/>
        <v>89.1</v>
      </c>
      <c r="Q500" s="20">
        <f t="shared" si="74"/>
        <v>92.07</v>
      </c>
    </row>
    <row r="501" spans="1:17" ht="46.8" x14ac:dyDescent="0.3">
      <c r="A501" s="51" t="s">
        <v>221</v>
      </c>
      <c r="B501" s="60" t="s">
        <v>207</v>
      </c>
      <c r="C501" s="35" t="s">
        <v>39</v>
      </c>
      <c r="D501" s="35" t="s">
        <v>222</v>
      </c>
      <c r="E501" s="20">
        <v>6600</v>
      </c>
      <c r="F501" s="20">
        <v>6600</v>
      </c>
      <c r="G501" s="20">
        <v>6600</v>
      </c>
      <c r="H501" s="20">
        <v>6600</v>
      </c>
      <c r="I501" s="20">
        <v>6600</v>
      </c>
      <c r="J501" s="20">
        <v>6600</v>
      </c>
      <c r="K501" s="20">
        <v>6600</v>
      </c>
      <c r="L501" s="20">
        <v>6600</v>
      </c>
      <c r="M501" s="20">
        <v>6600</v>
      </c>
      <c r="N501" s="20">
        <v>6600</v>
      </c>
      <c r="O501" s="20">
        <v>6600</v>
      </c>
      <c r="P501" s="20">
        <v>6600</v>
      </c>
      <c r="Q501" s="20">
        <v>6600</v>
      </c>
    </row>
    <row r="502" spans="1:17" ht="46.8" x14ac:dyDescent="0.25">
      <c r="A502" s="35" t="s">
        <v>41</v>
      </c>
      <c r="B502" s="60" t="s">
        <v>213</v>
      </c>
      <c r="C502" s="35" t="s">
        <v>42</v>
      </c>
      <c r="D502" s="35" t="s">
        <v>326</v>
      </c>
      <c r="E502" s="65">
        <f>SUM(F502:Q502)</f>
        <v>2409000</v>
      </c>
      <c r="F502" s="65">
        <f>F501*F495</f>
        <v>204600</v>
      </c>
      <c r="G502" s="65">
        <f t="shared" ref="G502:Q502" si="75">G501*G495</f>
        <v>184800</v>
      </c>
      <c r="H502" s="65">
        <f t="shared" si="75"/>
        <v>204600</v>
      </c>
      <c r="I502" s="65">
        <f t="shared" si="75"/>
        <v>198000</v>
      </c>
      <c r="J502" s="65">
        <f t="shared" si="75"/>
        <v>204600</v>
      </c>
      <c r="K502" s="65">
        <f t="shared" si="75"/>
        <v>198000</v>
      </c>
      <c r="L502" s="65">
        <f t="shared" si="75"/>
        <v>204600</v>
      </c>
      <c r="M502" s="65">
        <f t="shared" si="75"/>
        <v>204600</v>
      </c>
      <c r="N502" s="65">
        <f t="shared" si="75"/>
        <v>198000</v>
      </c>
      <c r="O502" s="65">
        <f t="shared" si="75"/>
        <v>204600</v>
      </c>
      <c r="P502" s="65">
        <f t="shared" si="75"/>
        <v>198000</v>
      </c>
      <c r="Q502" s="65">
        <f t="shared" si="75"/>
        <v>204600</v>
      </c>
    </row>
    <row r="503" spans="1:17" ht="62.4" x14ac:dyDescent="0.25">
      <c r="A503" s="35" t="s">
        <v>43</v>
      </c>
      <c r="B503" s="60" t="s">
        <v>214</v>
      </c>
      <c r="C503" s="35" t="s">
        <v>44</v>
      </c>
      <c r="D503" s="35" t="s">
        <v>40</v>
      </c>
      <c r="E503" s="66">
        <v>450</v>
      </c>
      <c r="F503" s="66">
        <v>450</v>
      </c>
      <c r="G503" s="66">
        <v>450</v>
      </c>
      <c r="H503" s="66">
        <v>450</v>
      </c>
      <c r="I503" s="66">
        <v>450</v>
      </c>
      <c r="J503" s="66">
        <v>450</v>
      </c>
      <c r="K503" s="66">
        <v>450</v>
      </c>
      <c r="L503" s="66">
        <v>450</v>
      </c>
      <c r="M503" s="66">
        <v>450</v>
      </c>
      <c r="N503" s="66">
        <v>450</v>
      </c>
      <c r="O503" s="66">
        <v>450</v>
      </c>
      <c r="P503" s="66">
        <v>450</v>
      </c>
      <c r="Q503" s="66">
        <v>450</v>
      </c>
    </row>
    <row r="504" spans="1:17" ht="62.4" x14ac:dyDescent="0.25">
      <c r="A504" s="35" t="s">
        <v>45</v>
      </c>
      <c r="B504" s="60" t="s">
        <v>214</v>
      </c>
      <c r="C504" s="35" t="s">
        <v>46</v>
      </c>
      <c r="D504" s="35" t="s">
        <v>40</v>
      </c>
      <c r="E504" s="65">
        <v>40</v>
      </c>
      <c r="F504" s="65">
        <v>40</v>
      </c>
      <c r="G504" s="65">
        <v>40</v>
      </c>
      <c r="H504" s="65">
        <v>40</v>
      </c>
      <c r="I504" s="65">
        <v>40</v>
      </c>
      <c r="J504" s="65">
        <v>40</v>
      </c>
      <c r="K504" s="65">
        <v>40</v>
      </c>
      <c r="L504" s="65">
        <v>40</v>
      </c>
      <c r="M504" s="65">
        <v>40</v>
      </c>
      <c r="N504" s="65">
        <v>40</v>
      </c>
      <c r="O504" s="65">
        <v>40</v>
      </c>
      <c r="P504" s="65">
        <v>40</v>
      </c>
      <c r="Q504" s="65">
        <v>40</v>
      </c>
    </row>
    <row r="505" spans="1:17" ht="62.4" x14ac:dyDescent="0.25">
      <c r="A505" s="35" t="s">
        <v>47</v>
      </c>
      <c r="B505" s="60" t="s">
        <v>215</v>
      </c>
      <c r="C505" s="35" t="s">
        <v>49</v>
      </c>
      <c r="D505" s="35" t="s">
        <v>324</v>
      </c>
      <c r="E505" s="67">
        <f>E503/1000000</f>
        <v>4.4999999999999999E-4</v>
      </c>
      <c r="F505" s="22">
        <f>F503/1000000</f>
        <v>4.4999999999999999E-4</v>
      </c>
      <c r="G505" s="22">
        <f t="shared" ref="G505:Q505" si="76">G503/1000000</f>
        <v>4.4999999999999999E-4</v>
      </c>
      <c r="H505" s="22">
        <f t="shared" si="76"/>
        <v>4.4999999999999999E-4</v>
      </c>
      <c r="I505" s="22">
        <f t="shared" si="76"/>
        <v>4.4999999999999999E-4</v>
      </c>
      <c r="J505" s="22">
        <f t="shared" si="76"/>
        <v>4.4999999999999999E-4</v>
      </c>
      <c r="K505" s="22">
        <f t="shared" si="76"/>
        <v>4.4999999999999999E-4</v>
      </c>
      <c r="L505" s="22">
        <f t="shared" si="76"/>
        <v>4.4999999999999999E-4</v>
      </c>
      <c r="M505" s="22">
        <f t="shared" si="76"/>
        <v>4.4999999999999999E-4</v>
      </c>
      <c r="N505" s="22">
        <f t="shared" si="76"/>
        <v>4.4999999999999999E-4</v>
      </c>
      <c r="O505" s="22">
        <f t="shared" si="76"/>
        <v>4.4999999999999999E-4</v>
      </c>
      <c r="P505" s="22">
        <f t="shared" si="76"/>
        <v>4.4999999999999999E-4</v>
      </c>
      <c r="Q505" s="22">
        <f t="shared" si="76"/>
        <v>4.4999999999999999E-4</v>
      </c>
    </row>
    <row r="506" spans="1:17" ht="62.4" x14ac:dyDescent="0.25">
      <c r="A506" s="35" t="s">
        <v>45</v>
      </c>
      <c r="B506" s="60" t="s">
        <v>48</v>
      </c>
      <c r="C506" s="35" t="s">
        <v>50</v>
      </c>
      <c r="D506" s="35" t="s">
        <v>325</v>
      </c>
      <c r="E506" s="67">
        <f>E504/1000000</f>
        <v>4.0000000000000003E-5</v>
      </c>
      <c r="F506" s="22">
        <f>F504/1000000</f>
        <v>4.0000000000000003E-5</v>
      </c>
      <c r="G506" s="22">
        <f t="shared" ref="G506:Q506" si="77">G504/1000000</f>
        <v>4.0000000000000003E-5</v>
      </c>
      <c r="H506" s="22">
        <f t="shared" si="77"/>
        <v>4.0000000000000003E-5</v>
      </c>
      <c r="I506" s="22">
        <f t="shared" si="77"/>
        <v>4.0000000000000003E-5</v>
      </c>
      <c r="J506" s="22">
        <f t="shared" si="77"/>
        <v>4.0000000000000003E-5</v>
      </c>
      <c r="K506" s="22">
        <f t="shared" si="77"/>
        <v>4.0000000000000003E-5</v>
      </c>
      <c r="L506" s="22">
        <f t="shared" si="77"/>
        <v>4.0000000000000003E-5</v>
      </c>
      <c r="M506" s="22">
        <f t="shared" si="77"/>
        <v>4.0000000000000003E-5</v>
      </c>
      <c r="N506" s="22">
        <f t="shared" si="77"/>
        <v>4.0000000000000003E-5</v>
      </c>
      <c r="O506" s="22">
        <f t="shared" si="77"/>
        <v>4.0000000000000003E-5</v>
      </c>
      <c r="P506" s="22">
        <f t="shared" si="77"/>
        <v>4.0000000000000003E-5</v>
      </c>
      <c r="Q506" s="22">
        <f t="shared" si="77"/>
        <v>4.0000000000000003E-5</v>
      </c>
    </row>
    <row r="507" spans="1:17" ht="46.8" x14ac:dyDescent="0.25">
      <c r="A507" s="63" t="s">
        <v>51</v>
      </c>
      <c r="B507" s="25" t="s">
        <v>216</v>
      </c>
      <c r="C507" s="35" t="s">
        <v>53</v>
      </c>
      <c r="D507" s="35" t="s">
        <v>343</v>
      </c>
      <c r="E507" s="68">
        <f>(1-(E508/E509))</f>
        <v>0.95018205175722659</v>
      </c>
      <c r="F507" s="68">
        <f>E507</f>
        <v>0.95018205175722659</v>
      </c>
      <c r="G507" s="68">
        <f>E507</f>
        <v>0.95018205175722659</v>
      </c>
      <c r="H507" s="68">
        <f>E507</f>
        <v>0.95018205175722659</v>
      </c>
      <c r="I507" s="68">
        <f>E507</f>
        <v>0.95018205175722659</v>
      </c>
      <c r="J507" s="68">
        <f>E507</f>
        <v>0.95018205175722659</v>
      </c>
      <c r="K507" s="68">
        <f>E507</f>
        <v>0.95018205175722659</v>
      </c>
      <c r="L507" s="68">
        <f>E507</f>
        <v>0.95018205175722659</v>
      </c>
      <c r="M507" s="68">
        <f>E507</f>
        <v>0.95018205175722659</v>
      </c>
      <c r="N507" s="68">
        <f>E507</f>
        <v>0.95018205175722659</v>
      </c>
      <c r="O507" s="68">
        <f>E507</f>
        <v>0.95018205175722659</v>
      </c>
      <c r="P507" s="68">
        <f>E507</f>
        <v>0.95018205175722659</v>
      </c>
      <c r="Q507" s="68">
        <f>E507</f>
        <v>0.95018205175722659</v>
      </c>
    </row>
    <row r="508" spans="1:17" ht="31.2" x14ac:dyDescent="0.25">
      <c r="A508" s="35" t="s">
        <v>54</v>
      </c>
      <c r="B508" s="25" t="s">
        <v>211</v>
      </c>
      <c r="C508" s="35" t="s">
        <v>55</v>
      </c>
      <c r="D508" s="35" t="s">
        <v>323</v>
      </c>
      <c r="E508" s="52">
        <f>SUM(F508:Q508)</f>
        <v>37.156625838499998</v>
      </c>
      <c r="F508" s="52">
        <v>3.1557682219000003</v>
      </c>
      <c r="G508" s="52">
        <v>2.8503712971999997</v>
      </c>
      <c r="H508" s="52">
        <v>3.1557682219000003</v>
      </c>
      <c r="I508" s="52">
        <v>3.0539692469999999</v>
      </c>
      <c r="J508" s="52">
        <v>3.1557682219000003</v>
      </c>
      <c r="K508" s="52">
        <v>3.0539692469999999</v>
      </c>
      <c r="L508" s="52">
        <v>3.1557682219000003</v>
      </c>
      <c r="M508" s="52">
        <v>3.1557682219000003</v>
      </c>
      <c r="N508" s="52">
        <v>3.0539692469999999</v>
      </c>
      <c r="O508" s="52">
        <v>3.1557682219000003</v>
      </c>
      <c r="P508" s="52">
        <v>3.0539692469999999</v>
      </c>
      <c r="Q508" s="52">
        <v>3.1557682219000003</v>
      </c>
    </row>
    <row r="509" spans="1:17" ht="31.2" x14ac:dyDescent="0.25">
      <c r="A509" s="63" t="s">
        <v>56</v>
      </c>
      <c r="B509" s="25" t="s">
        <v>38</v>
      </c>
      <c r="C509" s="35" t="s">
        <v>57</v>
      </c>
      <c r="D509" s="35" t="s">
        <v>323</v>
      </c>
      <c r="E509" s="52">
        <f>SUM(F509:Q509)</f>
        <v>745.84817619199998</v>
      </c>
      <c r="F509" s="52">
        <v>63.346009484799993</v>
      </c>
      <c r="G509" s="52">
        <v>57.215750502400013</v>
      </c>
      <c r="H509" s="52">
        <v>63.346009484799993</v>
      </c>
      <c r="I509" s="52">
        <v>61.302589824000009</v>
      </c>
      <c r="J509" s="52">
        <v>63.346009484799993</v>
      </c>
      <c r="K509" s="52">
        <v>61.302589824000009</v>
      </c>
      <c r="L509" s="52">
        <v>63.346009484799993</v>
      </c>
      <c r="M509" s="52">
        <v>63.346009484799993</v>
      </c>
      <c r="N509" s="52">
        <v>61.302589824000009</v>
      </c>
      <c r="O509" s="52">
        <v>63.346009484799993</v>
      </c>
      <c r="P509" s="52">
        <v>61.302589824000009</v>
      </c>
      <c r="Q509" s="52">
        <v>63.346009484799993</v>
      </c>
    </row>
    <row r="510" spans="1:17" ht="31.2" x14ac:dyDescent="0.25">
      <c r="A510" s="53" t="s">
        <v>58</v>
      </c>
      <c r="B510" s="25" t="s">
        <v>216</v>
      </c>
      <c r="C510" s="53" t="s">
        <v>59</v>
      </c>
      <c r="D510" s="35" t="s">
        <v>344</v>
      </c>
      <c r="E510" s="116">
        <f>E511*E512*0.89</f>
        <v>0.51685820198950627</v>
      </c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  <c r="P510" s="117"/>
      <c r="Q510" s="118"/>
    </row>
    <row r="511" spans="1:17" ht="31.2" x14ac:dyDescent="0.25">
      <c r="A511" s="70" t="s">
        <v>60</v>
      </c>
      <c r="B511" s="25" t="s">
        <v>216</v>
      </c>
      <c r="C511" s="53" t="s">
        <v>61</v>
      </c>
      <c r="D511" s="35" t="s">
        <v>345</v>
      </c>
      <c r="E511" s="119">
        <v>0.7</v>
      </c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1"/>
    </row>
    <row r="512" spans="1:17" ht="36" customHeight="1" x14ac:dyDescent="0.25">
      <c r="A512" s="70" t="s">
        <v>62</v>
      </c>
      <c r="B512" s="25" t="s">
        <v>52</v>
      </c>
      <c r="C512" s="53" t="s">
        <v>63</v>
      </c>
      <c r="D512" s="35" t="s">
        <v>346</v>
      </c>
      <c r="E512" s="122">
        <f>(F513*F518+G513*G518+H513*H518+I513*I518+J513*J518+K513*K518+L513*L518+M513*M518+N513*N518+O513*O518+P513*P518+Q513*Q518)/(F507*F502*F505+G507*G505*G502+H507*H502*H505+I507*I505*I502+J507*J505*J502+K507*K505*K502+L507*L505*L502+M507*M505*M502+N507*N505*N502+O507*O502*O505+P507*P505*P502+Q507*Q505*Q502)</f>
        <v>0.82962793256742573</v>
      </c>
      <c r="F512" s="123"/>
      <c r="G512" s="123"/>
      <c r="H512" s="123"/>
      <c r="I512" s="123"/>
      <c r="J512" s="123"/>
      <c r="K512" s="123"/>
      <c r="L512" s="123"/>
      <c r="M512" s="123"/>
      <c r="N512" s="123"/>
      <c r="O512" s="123"/>
      <c r="P512" s="123"/>
      <c r="Q512" s="124"/>
    </row>
    <row r="513" spans="1:133" s="9" customFormat="1" ht="46.8" x14ac:dyDescent="0.4">
      <c r="A513" s="71" t="s">
        <v>64</v>
      </c>
      <c r="B513" s="25" t="s">
        <v>52</v>
      </c>
      <c r="C513" s="53" t="s">
        <v>65</v>
      </c>
      <c r="D513" s="53" t="s">
        <v>347</v>
      </c>
      <c r="E513" s="72">
        <f>AVERAGE(F513:Q513)</f>
        <v>0.6246384929124339</v>
      </c>
      <c r="F513" s="72">
        <f t="shared" ref="F513:Q513" si="78">IF(F517&lt;283,0,IF(F517&gt;303,1,EXP(($E$23*(F517-$E$24))/($E$25*$E$24*F517))))</f>
        <v>0.24547412919519337</v>
      </c>
      <c r="G513" s="72">
        <f t="shared" si="78"/>
        <v>0.26921004737855481</v>
      </c>
      <c r="H513" s="72">
        <f t="shared" si="78"/>
        <v>0.38698063689870399</v>
      </c>
      <c r="I513" s="72">
        <f t="shared" si="78"/>
        <v>0.55084569341606926</v>
      </c>
      <c r="J513" s="72">
        <f t="shared" si="78"/>
        <v>0.77675425208684001</v>
      </c>
      <c r="K513" s="72">
        <f t="shared" si="78"/>
        <v>1</v>
      </c>
      <c r="L513" s="72">
        <f t="shared" si="78"/>
        <v>1</v>
      </c>
      <c r="M513" s="72">
        <f t="shared" si="78"/>
        <v>1</v>
      </c>
      <c r="N513" s="72">
        <f t="shared" si="78"/>
        <v>0.91923925774048054</v>
      </c>
      <c r="O513" s="72">
        <f t="shared" si="78"/>
        <v>0.65487347206548807</v>
      </c>
      <c r="P513" s="72">
        <f t="shared" si="78"/>
        <v>0.42307437878932203</v>
      </c>
      <c r="Q513" s="72">
        <f t="shared" si="78"/>
        <v>0.26921004737855481</v>
      </c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  <c r="AN513" s="78"/>
      <c r="AO513" s="78"/>
      <c r="AP513" s="78"/>
      <c r="AQ513" s="78"/>
      <c r="AR513" s="78"/>
      <c r="AS513" s="78"/>
      <c r="AT513" s="78"/>
      <c r="AU513" s="78"/>
      <c r="AV513" s="78"/>
      <c r="AW513" s="78"/>
      <c r="AX513" s="78"/>
      <c r="AY513" s="78"/>
      <c r="AZ513" s="78"/>
      <c r="BA513" s="78"/>
      <c r="BB513" s="78"/>
      <c r="BC513" s="78"/>
      <c r="BD513" s="78"/>
      <c r="BE513" s="78"/>
      <c r="BF513" s="78"/>
      <c r="BG513" s="78"/>
      <c r="BH513" s="78"/>
      <c r="BI513" s="78"/>
      <c r="BJ513" s="78"/>
      <c r="BK513" s="78"/>
      <c r="BL513" s="78"/>
      <c r="BM513" s="78"/>
      <c r="BN513" s="78"/>
      <c r="BO513" s="78"/>
      <c r="BP513" s="78"/>
      <c r="BQ513" s="78"/>
      <c r="BR513" s="78"/>
      <c r="BS513" s="78"/>
      <c r="BT513" s="78"/>
      <c r="BU513" s="78"/>
      <c r="BV513" s="78"/>
      <c r="BW513" s="78"/>
      <c r="BX513" s="78"/>
      <c r="BY513" s="78"/>
      <c r="BZ513" s="78"/>
      <c r="CA513" s="78"/>
      <c r="CB513" s="78"/>
      <c r="CC513" s="78"/>
      <c r="CD513" s="78"/>
      <c r="CE513" s="78"/>
      <c r="CF513" s="78"/>
      <c r="CG513" s="78"/>
      <c r="CH513" s="78"/>
      <c r="CI513" s="78"/>
      <c r="CJ513" s="78"/>
      <c r="CK513" s="78"/>
      <c r="CL513" s="78"/>
      <c r="CM513" s="78"/>
      <c r="CN513" s="78"/>
      <c r="CO513" s="78"/>
      <c r="CP513" s="78"/>
      <c r="CQ513" s="78"/>
      <c r="CR513" s="78"/>
      <c r="CS513" s="78"/>
      <c r="CT513" s="78"/>
      <c r="CU513" s="78"/>
      <c r="CV513" s="78"/>
      <c r="CW513" s="78"/>
      <c r="CX513" s="78"/>
      <c r="CY513" s="78"/>
      <c r="CZ513" s="78"/>
      <c r="DA513" s="78"/>
      <c r="DB513" s="78"/>
      <c r="DC513" s="78"/>
      <c r="DD513" s="78"/>
      <c r="DE513" s="78"/>
      <c r="DF513" s="78"/>
      <c r="DG513" s="78"/>
      <c r="DH513" s="78"/>
      <c r="DI513" s="78"/>
      <c r="DJ513" s="78"/>
      <c r="DK513" s="78"/>
      <c r="DL513" s="78"/>
      <c r="DM513" s="78"/>
      <c r="DN513" s="78"/>
      <c r="DO513" s="78"/>
      <c r="DP513" s="78"/>
      <c r="DQ513" s="78"/>
      <c r="DR513" s="78"/>
      <c r="DS513" s="78"/>
      <c r="DT513" s="78"/>
      <c r="DU513" s="78"/>
      <c r="DV513" s="78"/>
      <c r="DW513" s="78"/>
      <c r="DX513" s="78"/>
      <c r="DY513" s="78"/>
      <c r="DZ513" s="78"/>
      <c r="EA513" s="78"/>
      <c r="EB513" s="78"/>
      <c r="EC513" s="78"/>
    </row>
    <row r="514" spans="1:133" s="9" customFormat="1" x14ac:dyDescent="0.25">
      <c r="A514" s="73" t="s">
        <v>66</v>
      </c>
      <c r="B514" s="60" t="s">
        <v>217</v>
      </c>
      <c r="C514" s="53" t="s">
        <v>68</v>
      </c>
      <c r="D514" s="53" t="s">
        <v>348</v>
      </c>
      <c r="E514" s="119">
        <v>15175</v>
      </c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1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  <c r="BF514" s="78"/>
      <c r="BG514" s="78"/>
      <c r="BH514" s="78"/>
      <c r="BI514" s="78"/>
      <c r="BJ514" s="78"/>
      <c r="BK514" s="78"/>
      <c r="BL514" s="78"/>
      <c r="BM514" s="78"/>
      <c r="BN514" s="78"/>
      <c r="BO514" s="78"/>
      <c r="BP514" s="78"/>
      <c r="BQ514" s="78"/>
      <c r="BR514" s="78"/>
      <c r="BS514" s="78"/>
      <c r="BT514" s="78"/>
      <c r="BU514" s="78"/>
      <c r="BV514" s="78"/>
      <c r="BW514" s="78"/>
      <c r="BX514" s="78"/>
      <c r="BY514" s="78"/>
      <c r="BZ514" s="78"/>
      <c r="CA514" s="78"/>
      <c r="CB514" s="78"/>
      <c r="CC514" s="78"/>
      <c r="CD514" s="78"/>
      <c r="CE514" s="78"/>
      <c r="CF514" s="78"/>
      <c r="CG514" s="78"/>
      <c r="CH514" s="78"/>
      <c r="CI514" s="78"/>
      <c r="CJ514" s="78"/>
      <c r="CK514" s="78"/>
      <c r="CL514" s="78"/>
      <c r="CM514" s="78"/>
      <c r="CN514" s="78"/>
      <c r="CO514" s="78"/>
      <c r="CP514" s="78"/>
      <c r="CQ514" s="78"/>
      <c r="CR514" s="78"/>
      <c r="CS514" s="78"/>
      <c r="CT514" s="78"/>
      <c r="CU514" s="78"/>
      <c r="CV514" s="78"/>
      <c r="CW514" s="78"/>
      <c r="CX514" s="78"/>
      <c r="CY514" s="78"/>
      <c r="CZ514" s="78"/>
      <c r="DA514" s="78"/>
      <c r="DB514" s="78"/>
      <c r="DC514" s="78"/>
      <c r="DD514" s="78"/>
      <c r="DE514" s="78"/>
      <c r="DF514" s="78"/>
      <c r="DG514" s="78"/>
      <c r="DH514" s="78"/>
      <c r="DI514" s="78"/>
      <c r="DJ514" s="78"/>
      <c r="DK514" s="78"/>
      <c r="DL514" s="78"/>
      <c r="DM514" s="78"/>
      <c r="DN514" s="78"/>
      <c r="DO514" s="78"/>
      <c r="DP514" s="78"/>
      <c r="DQ514" s="78"/>
      <c r="DR514" s="78"/>
      <c r="DS514" s="78"/>
      <c r="DT514" s="78"/>
      <c r="DU514" s="78"/>
      <c r="DV514" s="78"/>
      <c r="DW514" s="78"/>
      <c r="DX514" s="78"/>
      <c r="DY514" s="78"/>
      <c r="DZ514" s="78"/>
      <c r="EA514" s="78"/>
      <c r="EB514" s="78"/>
      <c r="EC514" s="78"/>
    </row>
    <row r="515" spans="1:133" s="9" customFormat="1" ht="18" x14ac:dyDescent="0.25">
      <c r="A515" s="73" t="s">
        <v>69</v>
      </c>
      <c r="B515" s="60" t="s">
        <v>218</v>
      </c>
      <c r="C515" s="53" t="s">
        <v>71</v>
      </c>
      <c r="D515" s="53" t="s">
        <v>348</v>
      </c>
      <c r="E515" s="119">
        <v>303.16000000000003</v>
      </c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1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78"/>
      <c r="BJ515" s="78"/>
      <c r="BK515" s="78"/>
      <c r="BL515" s="78"/>
      <c r="BM515" s="78"/>
      <c r="BN515" s="78"/>
      <c r="BO515" s="78"/>
      <c r="BP515" s="78"/>
      <c r="BQ515" s="78"/>
      <c r="BR515" s="78"/>
      <c r="BS515" s="78"/>
      <c r="BT515" s="78"/>
      <c r="BU515" s="78"/>
      <c r="BV515" s="78"/>
      <c r="BW515" s="78"/>
      <c r="BX515" s="78"/>
      <c r="BY515" s="78"/>
      <c r="BZ515" s="78"/>
      <c r="CA515" s="78"/>
      <c r="CB515" s="78"/>
      <c r="CC515" s="78"/>
      <c r="CD515" s="78"/>
      <c r="CE515" s="78"/>
      <c r="CF515" s="78"/>
      <c r="CG515" s="78"/>
      <c r="CH515" s="78"/>
      <c r="CI515" s="78"/>
      <c r="CJ515" s="78"/>
      <c r="CK515" s="78"/>
      <c r="CL515" s="78"/>
      <c r="CM515" s="78"/>
      <c r="CN515" s="78"/>
      <c r="CO515" s="78"/>
      <c r="CP515" s="78"/>
      <c r="CQ515" s="78"/>
      <c r="CR515" s="78"/>
      <c r="CS515" s="78"/>
      <c r="CT515" s="78"/>
      <c r="CU515" s="78"/>
      <c r="CV515" s="78"/>
      <c r="CW515" s="78"/>
      <c r="CX515" s="78"/>
      <c r="CY515" s="78"/>
      <c r="CZ515" s="78"/>
      <c r="DA515" s="78"/>
      <c r="DB515" s="78"/>
      <c r="DC515" s="78"/>
      <c r="DD515" s="78"/>
      <c r="DE515" s="78"/>
      <c r="DF515" s="78"/>
      <c r="DG515" s="78"/>
      <c r="DH515" s="78"/>
      <c r="DI515" s="78"/>
      <c r="DJ515" s="78"/>
      <c r="DK515" s="78"/>
      <c r="DL515" s="78"/>
      <c r="DM515" s="78"/>
      <c r="DN515" s="78"/>
      <c r="DO515" s="78"/>
      <c r="DP515" s="78"/>
      <c r="DQ515" s="78"/>
      <c r="DR515" s="78"/>
      <c r="DS515" s="78"/>
      <c r="DT515" s="78"/>
      <c r="DU515" s="78"/>
      <c r="DV515" s="78"/>
      <c r="DW515" s="78"/>
      <c r="DX515" s="78"/>
      <c r="DY515" s="78"/>
      <c r="DZ515" s="78"/>
      <c r="EA515" s="78"/>
      <c r="EB515" s="78"/>
      <c r="EC515" s="78"/>
    </row>
    <row r="516" spans="1:133" s="9" customFormat="1" x14ac:dyDescent="0.25">
      <c r="A516" s="73" t="s">
        <v>72</v>
      </c>
      <c r="B516" s="60" t="s">
        <v>219</v>
      </c>
      <c r="C516" s="53" t="s">
        <v>74</v>
      </c>
      <c r="D516" s="53" t="s">
        <v>348</v>
      </c>
      <c r="E516" s="119">
        <v>1.9870000000000001</v>
      </c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1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  <c r="BF516" s="78"/>
      <c r="BG516" s="78"/>
      <c r="BH516" s="78"/>
      <c r="BI516" s="78"/>
      <c r="BJ516" s="78"/>
      <c r="BK516" s="78"/>
      <c r="BL516" s="78"/>
      <c r="BM516" s="78"/>
      <c r="BN516" s="78"/>
      <c r="BO516" s="78"/>
      <c r="BP516" s="78"/>
      <c r="BQ516" s="78"/>
      <c r="BR516" s="78"/>
      <c r="BS516" s="78"/>
      <c r="BT516" s="78"/>
      <c r="BU516" s="78"/>
      <c r="BV516" s="78"/>
      <c r="BW516" s="78"/>
      <c r="BX516" s="78"/>
      <c r="BY516" s="78"/>
      <c r="BZ516" s="78"/>
      <c r="CA516" s="78"/>
      <c r="CB516" s="78"/>
      <c r="CC516" s="78"/>
      <c r="CD516" s="78"/>
      <c r="CE516" s="78"/>
      <c r="CF516" s="78"/>
      <c r="CG516" s="78"/>
      <c r="CH516" s="78"/>
      <c r="CI516" s="78"/>
      <c r="CJ516" s="78"/>
      <c r="CK516" s="78"/>
      <c r="CL516" s="78"/>
      <c r="CM516" s="78"/>
      <c r="CN516" s="78"/>
      <c r="CO516" s="78"/>
      <c r="CP516" s="78"/>
      <c r="CQ516" s="78"/>
      <c r="CR516" s="78"/>
      <c r="CS516" s="78"/>
      <c r="CT516" s="78"/>
      <c r="CU516" s="78"/>
      <c r="CV516" s="78"/>
      <c r="CW516" s="78"/>
      <c r="CX516" s="78"/>
      <c r="CY516" s="78"/>
      <c r="CZ516" s="78"/>
      <c r="DA516" s="78"/>
      <c r="DB516" s="78"/>
      <c r="DC516" s="78"/>
      <c r="DD516" s="78"/>
      <c r="DE516" s="78"/>
      <c r="DF516" s="78"/>
      <c r="DG516" s="78"/>
      <c r="DH516" s="78"/>
      <c r="DI516" s="78"/>
      <c r="DJ516" s="78"/>
      <c r="DK516" s="78"/>
      <c r="DL516" s="78"/>
      <c r="DM516" s="78"/>
      <c r="DN516" s="78"/>
      <c r="DO516" s="78"/>
      <c r="DP516" s="78"/>
      <c r="DQ516" s="78"/>
      <c r="DR516" s="78"/>
      <c r="DS516" s="78"/>
      <c r="DT516" s="78"/>
      <c r="DU516" s="78"/>
      <c r="DV516" s="78"/>
      <c r="DW516" s="78"/>
      <c r="DX516" s="78"/>
      <c r="DY516" s="78"/>
      <c r="DZ516" s="78"/>
      <c r="EA516" s="78"/>
      <c r="EB516" s="78"/>
      <c r="EC516" s="78"/>
    </row>
    <row r="517" spans="1:133" s="9" customFormat="1" ht="31.2" x14ac:dyDescent="0.25">
      <c r="A517" s="73" t="s">
        <v>75</v>
      </c>
      <c r="B517" s="60" t="s">
        <v>218</v>
      </c>
      <c r="C517" s="53" t="s">
        <v>76</v>
      </c>
      <c r="D517" s="53" t="s">
        <v>269</v>
      </c>
      <c r="E517" s="111">
        <f>AVERAGE(F517:Q517)</f>
        <v>296.23333333333341</v>
      </c>
      <c r="F517" s="60">
        <v>287.14999999999998</v>
      </c>
      <c r="G517" s="60">
        <v>288.14999999999998</v>
      </c>
      <c r="H517" s="60">
        <v>292.14999999999998</v>
      </c>
      <c r="I517" s="60">
        <v>296.14999999999998</v>
      </c>
      <c r="J517" s="60">
        <v>300.14999999999998</v>
      </c>
      <c r="K517" s="60">
        <v>303.14999999999998</v>
      </c>
      <c r="L517" s="60">
        <v>303.14999999999998</v>
      </c>
      <c r="M517" s="60">
        <v>303.14999999999998</v>
      </c>
      <c r="N517" s="60">
        <v>302.14999999999998</v>
      </c>
      <c r="O517" s="60">
        <v>298.14999999999998</v>
      </c>
      <c r="P517" s="60">
        <v>293.14999999999998</v>
      </c>
      <c r="Q517" s="60">
        <v>288.14999999999998</v>
      </c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  <c r="BF517" s="78"/>
      <c r="BG517" s="78"/>
      <c r="BH517" s="78"/>
      <c r="BI517" s="78"/>
      <c r="BJ517" s="78"/>
      <c r="BK517" s="78"/>
      <c r="BL517" s="78"/>
      <c r="BM517" s="78"/>
      <c r="BN517" s="78"/>
      <c r="BO517" s="78"/>
      <c r="BP517" s="78"/>
      <c r="BQ517" s="78"/>
      <c r="BR517" s="78"/>
      <c r="BS517" s="78"/>
      <c r="BT517" s="78"/>
      <c r="BU517" s="78"/>
      <c r="BV517" s="78"/>
      <c r="BW517" s="78"/>
      <c r="BX517" s="78"/>
      <c r="BY517" s="78"/>
      <c r="BZ517" s="78"/>
      <c r="CA517" s="78"/>
      <c r="CB517" s="78"/>
      <c r="CC517" s="78"/>
      <c r="CD517" s="78"/>
      <c r="CE517" s="78"/>
      <c r="CF517" s="78"/>
      <c r="CG517" s="78"/>
      <c r="CH517" s="78"/>
      <c r="CI517" s="78"/>
      <c r="CJ517" s="78"/>
      <c r="CK517" s="78"/>
      <c r="CL517" s="78"/>
      <c r="CM517" s="78"/>
      <c r="CN517" s="78"/>
      <c r="CO517" s="78"/>
      <c r="CP517" s="78"/>
      <c r="CQ517" s="78"/>
      <c r="CR517" s="78"/>
      <c r="CS517" s="78"/>
      <c r="CT517" s="78"/>
      <c r="CU517" s="78"/>
      <c r="CV517" s="78"/>
      <c r="CW517" s="78"/>
      <c r="CX517" s="78"/>
      <c r="CY517" s="78"/>
      <c r="CZ517" s="78"/>
      <c r="DA517" s="78"/>
      <c r="DB517" s="78"/>
      <c r="DC517" s="78"/>
      <c r="DD517" s="78"/>
      <c r="DE517" s="78"/>
      <c r="DF517" s="78"/>
      <c r="DG517" s="78"/>
      <c r="DH517" s="78"/>
      <c r="DI517" s="78"/>
      <c r="DJ517" s="78"/>
      <c r="DK517" s="78"/>
      <c r="DL517" s="78"/>
      <c r="DM517" s="78"/>
      <c r="DN517" s="78"/>
      <c r="DO517" s="78"/>
      <c r="DP517" s="78"/>
      <c r="DQ517" s="78"/>
      <c r="DR517" s="78"/>
      <c r="DS517" s="78"/>
      <c r="DT517" s="78"/>
      <c r="DU517" s="78"/>
      <c r="DV517" s="78"/>
      <c r="DW517" s="78"/>
      <c r="DX517" s="78"/>
      <c r="DY517" s="78"/>
      <c r="DZ517" s="78"/>
      <c r="EA517" s="78"/>
      <c r="EB517" s="78"/>
      <c r="EC517" s="78"/>
    </row>
    <row r="518" spans="1:133" s="9" customFormat="1" ht="31.2" x14ac:dyDescent="0.4">
      <c r="A518" s="71" t="s">
        <v>77</v>
      </c>
      <c r="B518" s="60" t="s">
        <v>211</v>
      </c>
      <c r="C518" s="53" t="s">
        <v>78</v>
      </c>
      <c r="D518" s="53" t="s">
        <v>349</v>
      </c>
      <c r="E518" s="74">
        <f>SUM(F518:Q518)</f>
        <v>1516.2778049433375</v>
      </c>
      <c r="F518" s="74">
        <f>F507*F502*F505+(1-F513)*0</f>
        <v>87.483261505287857</v>
      </c>
      <c r="G518" s="74">
        <f t="shared" ref="G518:Q518" si="79">G507*G502*G505+(1-G513)*F518</f>
        <v>142.94902795474977</v>
      </c>
      <c r="H518" s="74">
        <f t="shared" si="79"/>
        <v>175.11378357805791</v>
      </c>
      <c r="I518" s="74">
        <f t="shared" si="79"/>
        <v>163.31433084785999</v>
      </c>
      <c r="J518" s="74">
        <f t="shared" si="79"/>
        <v>123.94249144035561</v>
      </c>
      <c r="K518" s="74">
        <f t="shared" si="79"/>
        <v>84.661220811568896</v>
      </c>
      <c r="L518" s="74">
        <f t="shared" si="79"/>
        <v>87.483261505287857</v>
      </c>
      <c r="M518" s="74">
        <f t="shared" si="79"/>
        <v>87.483261505287857</v>
      </c>
      <c r="N518" s="74">
        <f t="shared" si="79"/>
        <v>91.726433946019583</v>
      </c>
      <c r="O518" s="74">
        <f t="shared" si="79"/>
        <v>119.14048717289195</v>
      </c>
      <c r="P518" s="74">
        <f t="shared" si="79"/>
        <v>153.39642038513239</v>
      </c>
      <c r="Q518" s="74">
        <f t="shared" si="79"/>
        <v>199.58382429083804</v>
      </c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  <c r="BF518" s="78"/>
      <c r="BG518" s="78"/>
      <c r="BH518" s="78"/>
      <c r="BI518" s="78"/>
      <c r="BJ518" s="78"/>
      <c r="BK518" s="78"/>
      <c r="BL518" s="78"/>
      <c r="BM518" s="78"/>
      <c r="BN518" s="78"/>
      <c r="BO518" s="78"/>
      <c r="BP518" s="78"/>
      <c r="BQ518" s="78"/>
      <c r="BR518" s="78"/>
      <c r="BS518" s="78"/>
      <c r="BT518" s="78"/>
      <c r="BU518" s="78"/>
      <c r="BV518" s="78"/>
      <c r="BW518" s="78"/>
      <c r="BX518" s="78"/>
      <c r="BY518" s="78"/>
      <c r="BZ518" s="78"/>
      <c r="CA518" s="78"/>
      <c r="CB518" s="78"/>
      <c r="CC518" s="78"/>
      <c r="CD518" s="78"/>
      <c r="CE518" s="78"/>
      <c r="CF518" s="78"/>
      <c r="CG518" s="78"/>
      <c r="CH518" s="78"/>
      <c r="CI518" s="78"/>
      <c r="CJ518" s="78"/>
      <c r="CK518" s="78"/>
      <c r="CL518" s="78"/>
      <c r="CM518" s="78"/>
      <c r="CN518" s="78"/>
      <c r="CO518" s="78"/>
      <c r="CP518" s="78"/>
      <c r="CQ518" s="78"/>
      <c r="CR518" s="78"/>
      <c r="CS518" s="78"/>
      <c r="CT518" s="78"/>
      <c r="CU518" s="78"/>
      <c r="CV518" s="78"/>
      <c r="CW518" s="78"/>
      <c r="CX518" s="78"/>
      <c r="CY518" s="78"/>
      <c r="CZ518" s="78"/>
      <c r="DA518" s="78"/>
      <c r="DB518" s="78"/>
      <c r="DC518" s="78"/>
      <c r="DD518" s="78"/>
      <c r="DE518" s="78"/>
      <c r="DF518" s="78"/>
      <c r="DG518" s="78"/>
      <c r="DH518" s="78"/>
      <c r="DI518" s="78"/>
      <c r="DJ518" s="78"/>
      <c r="DK518" s="78"/>
      <c r="DL518" s="78"/>
      <c r="DM518" s="78"/>
      <c r="DN518" s="78"/>
      <c r="DO518" s="78"/>
      <c r="DP518" s="78"/>
      <c r="DQ518" s="78"/>
      <c r="DR518" s="78"/>
      <c r="DS518" s="78"/>
      <c r="DT518" s="78"/>
      <c r="DU518" s="78"/>
      <c r="DV518" s="78"/>
      <c r="DW518" s="78"/>
      <c r="DX518" s="78"/>
      <c r="DY518" s="78"/>
      <c r="DZ518" s="78"/>
      <c r="EA518" s="78"/>
      <c r="EB518" s="78"/>
      <c r="EC518" s="78"/>
    </row>
    <row r="520" spans="1:133" ht="15.6" customHeight="1" x14ac:dyDescent="0.25">
      <c r="A520" s="36" t="s">
        <v>79</v>
      </c>
      <c r="B520" s="36"/>
      <c r="C520" s="36"/>
      <c r="D520" s="36"/>
      <c r="E520" s="36"/>
    </row>
    <row r="521" spans="1:133" x14ac:dyDescent="0.25">
      <c r="A521" s="57" t="s">
        <v>9</v>
      </c>
      <c r="B521" s="58" t="s">
        <v>10</v>
      </c>
      <c r="C521" s="34" t="s">
        <v>11</v>
      </c>
      <c r="D521" s="34" t="s">
        <v>12</v>
      </c>
      <c r="E521" s="16" t="s">
        <v>80</v>
      </c>
    </row>
    <row r="522" spans="1:133" ht="46.8" x14ac:dyDescent="0.25">
      <c r="A522" s="59" t="s">
        <v>81</v>
      </c>
      <c r="B522" s="60" t="s">
        <v>28</v>
      </c>
      <c r="C522" s="53" t="s">
        <v>82</v>
      </c>
      <c r="D522" s="53" t="s">
        <v>83</v>
      </c>
      <c r="E522" s="75">
        <v>0</v>
      </c>
    </row>
    <row r="523" spans="1:133" ht="46.8" x14ac:dyDescent="0.25">
      <c r="A523" s="63" t="s">
        <v>84</v>
      </c>
      <c r="B523" s="25" t="s">
        <v>85</v>
      </c>
      <c r="C523" s="35" t="s">
        <v>86</v>
      </c>
      <c r="D523" s="35" t="str">
        <f>D529</f>
        <v>Historical data on site in the FSR (It was calculated with conservative value)</v>
      </c>
      <c r="E523" s="74">
        <f>E529</f>
        <v>325.79193548387099</v>
      </c>
    </row>
    <row r="525" spans="1:133" ht="15.6" customHeight="1" x14ac:dyDescent="0.25">
      <c r="A525" s="91" t="s">
        <v>87</v>
      </c>
      <c r="B525" s="91"/>
      <c r="C525" s="92"/>
      <c r="D525" s="92"/>
      <c r="E525" s="91"/>
    </row>
    <row r="526" spans="1:133" x14ac:dyDescent="0.25">
      <c r="A526" s="59" t="s">
        <v>9</v>
      </c>
      <c r="B526" s="16" t="s">
        <v>10</v>
      </c>
      <c r="C526" s="38" t="s">
        <v>11</v>
      </c>
      <c r="D526" s="38" t="s">
        <v>12</v>
      </c>
      <c r="E526" s="16" t="s">
        <v>80</v>
      </c>
    </row>
    <row r="527" spans="1:133" ht="33.6" x14ac:dyDescent="0.4">
      <c r="A527" s="76" t="s">
        <v>88</v>
      </c>
      <c r="B527" s="25" t="s">
        <v>89</v>
      </c>
      <c r="C527" s="35" t="s">
        <v>90</v>
      </c>
      <c r="D527" s="35" t="s">
        <v>350</v>
      </c>
      <c r="E527" s="50">
        <f>E528*E531*E532*E533*E534*E535</f>
        <v>4.8873111631514723</v>
      </c>
    </row>
    <row r="528" spans="1:133" ht="46.8" x14ac:dyDescent="0.4">
      <c r="A528" s="77" t="s">
        <v>223</v>
      </c>
      <c r="B528" s="25" t="s">
        <v>91</v>
      </c>
      <c r="C528" s="35" t="s">
        <v>92</v>
      </c>
      <c r="D528" s="35" t="s">
        <v>351</v>
      </c>
      <c r="E528" s="52">
        <f>E529/E530</f>
        <v>65.158387096774192</v>
      </c>
    </row>
    <row r="529" spans="1:5" ht="46.8" x14ac:dyDescent="0.25">
      <c r="A529" s="63" t="s">
        <v>224</v>
      </c>
      <c r="B529" s="25" t="s">
        <v>93</v>
      </c>
      <c r="C529" s="35" t="s">
        <v>94</v>
      </c>
      <c r="D529" s="53" t="s">
        <v>322</v>
      </c>
      <c r="E529" s="52">
        <v>325.79193548387099</v>
      </c>
    </row>
    <row r="530" spans="1:5" ht="31.2" x14ac:dyDescent="0.25">
      <c r="A530" s="63" t="s">
        <v>225</v>
      </c>
      <c r="B530" s="25" t="s">
        <v>95</v>
      </c>
      <c r="C530" s="35" t="s">
        <v>96</v>
      </c>
      <c r="D530" s="35" t="s">
        <v>327</v>
      </c>
      <c r="E530" s="25">
        <f>5</f>
        <v>5</v>
      </c>
    </row>
    <row r="531" spans="1:5" ht="62.4" x14ac:dyDescent="0.25">
      <c r="A531" s="63" t="s">
        <v>226</v>
      </c>
      <c r="B531" s="25" t="s">
        <v>97</v>
      </c>
      <c r="C531" s="35" t="s">
        <v>98</v>
      </c>
      <c r="D531" s="53" t="s">
        <v>327</v>
      </c>
      <c r="E531" s="25">
        <f>55.4*2</f>
        <v>110.8</v>
      </c>
    </row>
    <row r="532" spans="1:5" ht="172.2" x14ac:dyDescent="0.25">
      <c r="A532" s="63" t="s">
        <v>227</v>
      </c>
      <c r="B532" s="25" t="s">
        <v>99</v>
      </c>
      <c r="C532" s="35" t="s">
        <v>100</v>
      </c>
      <c r="D532" s="35" t="s">
        <v>338</v>
      </c>
      <c r="E532" s="25">
        <f>25.1/100</f>
        <v>0.251</v>
      </c>
    </row>
    <row r="533" spans="1:5" ht="140.4" x14ac:dyDescent="0.25">
      <c r="A533" s="63" t="s">
        <v>228</v>
      </c>
      <c r="B533" s="25" t="s">
        <v>102</v>
      </c>
      <c r="C533" s="35" t="s">
        <v>101</v>
      </c>
      <c r="D533" s="35" t="s">
        <v>337</v>
      </c>
      <c r="E533" s="25">
        <f>0.84/1000</f>
        <v>8.3999999999999993E-4</v>
      </c>
    </row>
    <row r="534" spans="1:5" ht="140.4" x14ac:dyDescent="0.25">
      <c r="A534" s="63" t="s">
        <v>229</v>
      </c>
      <c r="B534" s="25" t="s">
        <v>103</v>
      </c>
      <c r="C534" s="35" t="s">
        <v>104</v>
      </c>
      <c r="D534" s="35" t="s">
        <v>335</v>
      </c>
      <c r="E534" s="25">
        <f>43.33/1000</f>
        <v>4.333E-2</v>
      </c>
    </row>
    <row r="535" spans="1:5" ht="62.4" x14ac:dyDescent="0.25">
      <c r="A535" s="63" t="s">
        <v>230</v>
      </c>
      <c r="B535" s="25" t="s">
        <v>105</v>
      </c>
      <c r="C535" s="35" t="s">
        <v>106</v>
      </c>
      <c r="D535" s="35" t="s">
        <v>333</v>
      </c>
      <c r="E535" s="25">
        <v>74.099999999999994</v>
      </c>
    </row>
    <row r="537" spans="1:5" ht="15.6" customHeight="1" x14ac:dyDescent="0.25">
      <c r="A537" s="36" t="s">
        <v>108</v>
      </c>
      <c r="B537" s="36"/>
      <c r="C537" s="36"/>
      <c r="D537" s="36"/>
      <c r="E537" s="36"/>
    </row>
    <row r="538" spans="1:5" x14ac:dyDescent="0.25">
      <c r="A538" s="57" t="s">
        <v>9</v>
      </c>
      <c r="B538" s="58" t="s">
        <v>10</v>
      </c>
      <c r="C538" s="34" t="s">
        <v>11</v>
      </c>
      <c r="D538" s="34" t="s">
        <v>12</v>
      </c>
      <c r="E538" s="16" t="s">
        <v>80</v>
      </c>
    </row>
    <row r="539" spans="1:5" ht="64.8" x14ac:dyDescent="0.25">
      <c r="A539" s="15" t="s">
        <v>109</v>
      </c>
      <c r="B539" s="25" t="s">
        <v>110</v>
      </c>
      <c r="C539" s="35" t="s">
        <v>111</v>
      </c>
      <c r="D539" s="35" t="s">
        <v>112</v>
      </c>
      <c r="E539" s="16">
        <v>0</v>
      </c>
    </row>
    <row r="541" spans="1:5" ht="15.6" customHeight="1" x14ac:dyDescent="0.25">
      <c r="A541" s="36" t="s">
        <v>113</v>
      </c>
      <c r="B541" s="36"/>
      <c r="C541" s="36"/>
      <c r="D541" s="36"/>
      <c r="E541" s="36"/>
    </row>
    <row r="542" spans="1:5" x14ac:dyDescent="0.25">
      <c r="A542" s="57" t="s">
        <v>9</v>
      </c>
      <c r="B542" s="58" t="s">
        <v>10</v>
      </c>
      <c r="C542" s="34" t="s">
        <v>11</v>
      </c>
      <c r="D542" s="34" t="s">
        <v>12</v>
      </c>
      <c r="E542" s="16" t="s">
        <v>80</v>
      </c>
    </row>
    <row r="543" spans="1:5" ht="49.2" x14ac:dyDescent="0.25">
      <c r="A543" s="15" t="s">
        <v>114</v>
      </c>
      <c r="B543" s="25" t="s">
        <v>110</v>
      </c>
      <c r="C543" s="35" t="s">
        <v>115</v>
      </c>
      <c r="D543" s="35" t="s">
        <v>116</v>
      </c>
      <c r="E543" s="16">
        <v>0</v>
      </c>
    </row>
    <row r="545" spans="1:133" x14ac:dyDescent="0.25">
      <c r="A545" s="57" t="s">
        <v>9</v>
      </c>
      <c r="B545" s="58" t="s">
        <v>10</v>
      </c>
      <c r="C545" s="34" t="s">
        <v>11</v>
      </c>
      <c r="D545" s="34" t="s">
        <v>12</v>
      </c>
      <c r="E545" s="16" t="s">
        <v>80</v>
      </c>
    </row>
    <row r="546" spans="1:133" ht="18" x14ac:dyDescent="0.25">
      <c r="A546" s="59" t="s">
        <v>117</v>
      </c>
      <c r="B546" s="25" t="s">
        <v>118</v>
      </c>
      <c r="C546" s="35" t="s">
        <v>119</v>
      </c>
      <c r="D546" s="53" t="s">
        <v>352</v>
      </c>
      <c r="E546" s="18">
        <f>ROUNDDOWN(E496+E527+E522+E539+E543,0)</f>
        <v>3274</v>
      </c>
    </row>
    <row r="547" spans="1:133" s="138" customFormat="1" ht="43.2" customHeight="1" x14ac:dyDescent="0.25">
      <c r="A547" s="140" t="s">
        <v>253</v>
      </c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  <c r="AB547" s="141"/>
      <c r="AC547" s="141"/>
      <c r="AD547" s="141"/>
      <c r="AE547" s="141"/>
      <c r="AF547" s="141"/>
      <c r="AG547" s="141"/>
      <c r="AH547" s="141"/>
      <c r="AI547" s="141"/>
      <c r="AJ547" s="141"/>
      <c r="AK547" s="141"/>
      <c r="AL547" s="141"/>
      <c r="AM547" s="141"/>
      <c r="AN547" s="141"/>
      <c r="AO547" s="141"/>
      <c r="AP547" s="141"/>
      <c r="AQ547" s="141"/>
      <c r="AR547" s="141"/>
      <c r="AS547" s="141"/>
      <c r="AT547" s="141"/>
      <c r="AU547" s="141"/>
      <c r="AV547" s="141"/>
      <c r="AW547" s="141"/>
      <c r="AX547" s="141"/>
      <c r="AY547" s="141"/>
      <c r="AZ547" s="141"/>
      <c r="BA547" s="141"/>
      <c r="BB547" s="141"/>
      <c r="BC547" s="141"/>
      <c r="BD547" s="141"/>
      <c r="BE547" s="141"/>
      <c r="BF547" s="141"/>
      <c r="BG547" s="141"/>
      <c r="BH547" s="141"/>
      <c r="BI547" s="141"/>
      <c r="BJ547" s="141"/>
      <c r="BK547" s="141"/>
      <c r="BL547" s="141"/>
      <c r="BM547" s="141"/>
      <c r="BN547" s="141"/>
      <c r="BO547" s="141"/>
      <c r="BP547" s="141"/>
      <c r="BQ547" s="141"/>
      <c r="BR547" s="141"/>
      <c r="BS547" s="141"/>
      <c r="BT547" s="141"/>
      <c r="BU547" s="141"/>
      <c r="BV547" s="141"/>
      <c r="BW547" s="141"/>
      <c r="BX547" s="141"/>
      <c r="BY547" s="141"/>
      <c r="BZ547" s="141"/>
      <c r="CA547" s="141"/>
      <c r="CB547" s="141"/>
      <c r="CC547" s="141"/>
      <c r="CD547" s="141"/>
      <c r="CE547" s="141"/>
      <c r="CF547" s="141"/>
      <c r="CG547" s="141"/>
      <c r="CH547" s="141"/>
      <c r="CI547" s="141"/>
      <c r="CJ547" s="141"/>
      <c r="CK547" s="141"/>
      <c r="CL547" s="141"/>
      <c r="CM547" s="141"/>
      <c r="CN547" s="141"/>
      <c r="CO547" s="141"/>
      <c r="CP547" s="141"/>
      <c r="CQ547" s="141"/>
      <c r="CR547" s="141"/>
      <c r="CS547" s="141"/>
      <c r="CT547" s="141"/>
      <c r="CU547" s="141"/>
      <c r="CV547" s="141"/>
      <c r="CW547" s="141"/>
      <c r="CX547" s="141"/>
      <c r="CY547" s="141"/>
      <c r="CZ547" s="141"/>
      <c r="DA547" s="141"/>
      <c r="DB547" s="141"/>
      <c r="DC547" s="141"/>
      <c r="DD547" s="141"/>
      <c r="DE547" s="141"/>
      <c r="DF547" s="141"/>
      <c r="DG547" s="141"/>
      <c r="DH547" s="141"/>
      <c r="DI547" s="141"/>
      <c r="DJ547" s="141"/>
      <c r="DK547" s="141"/>
      <c r="DL547" s="141"/>
      <c r="DM547" s="141"/>
      <c r="DN547" s="141"/>
      <c r="DO547" s="141"/>
      <c r="DP547" s="141"/>
      <c r="DQ547" s="141"/>
      <c r="DR547" s="141"/>
      <c r="DS547" s="141"/>
      <c r="DT547" s="141"/>
      <c r="DU547" s="141"/>
      <c r="DV547" s="141"/>
      <c r="DW547" s="141"/>
      <c r="DX547" s="141"/>
      <c r="DY547" s="141"/>
      <c r="DZ547" s="141"/>
      <c r="EA547" s="141"/>
      <c r="EB547" s="141"/>
      <c r="EC547" s="142"/>
    </row>
    <row r="548" spans="1:133" s="56" customFormat="1" x14ac:dyDescent="0.25">
      <c r="A548" s="93" t="s">
        <v>9</v>
      </c>
      <c r="B548" s="94" t="s">
        <v>10</v>
      </c>
      <c r="C548" s="95" t="s">
        <v>11</v>
      </c>
      <c r="D548" s="95" t="s">
        <v>12</v>
      </c>
      <c r="E548" s="94" t="s">
        <v>13</v>
      </c>
      <c r="F548" s="96" t="s">
        <v>14</v>
      </c>
      <c r="G548" s="96" t="s">
        <v>15</v>
      </c>
      <c r="H548" s="96" t="s">
        <v>16</v>
      </c>
      <c r="I548" s="96" t="s">
        <v>17</v>
      </c>
      <c r="J548" s="96" t="s">
        <v>18</v>
      </c>
      <c r="K548" s="96" t="s">
        <v>19</v>
      </c>
      <c r="L548" s="96" t="s">
        <v>20</v>
      </c>
      <c r="M548" s="96" t="s">
        <v>21</v>
      </c>
      <c r="N548" s="96" t="s">
        <v>22</v>
      </c>
      <c r="O548" s="96" t="s">
        <v>23</v>
      </c>
      <c r="P548" s="96" t="s">
        <v>24</v>
      </c>
      <c r="Q548" s="96" t="s">
        <v>25</v>
      </c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  <c r="AL548" s="54"/>
      <c r="AM548" s="54"/>
      <c r="AN548" s="54"/>
      <c r="AO548" s="54"/>
      <c r="AP548" s="54"/>
      <c r="AQ548" s="54"/>
      <c r="AR548" s="54"/>
      <c r="AS548" s="54"/>
      <c r="AT548" s="54"/>
      <c r="AU548" s="54"/>
      <c r="AV548" s="54"/>
      <c r="AW548" s="54"/>
      <c r="AX548" s="54"/>
      <c r="AY548" s="54"/>
      <c r="AZ548" s="54"/>
      <c r="BA548" s="54"/>
      <c r="BB548" s="54"/>
      <c r="BC548" s="54"/>
      <c r="BD548" s="54"/>
      <c r="BE548" s="54"/>
      <c r="BF548" s="54"/>
      <c r="BG548" s="54"/>
      <c r="BH548" s="54"/>
      <c r="BI548" s="54"/>
      <c r="BJ548" s="54"/>
      <c r="BK548" s="54"/>
      <c r="BL548" s="54"/>
      <c r="BM548" s="54"/>
      <c r="BN548" s="54"/>
      <c r="BO548" s="54"/>
      <c r="BP548" s="54"/>
      <c r="BQ548" s="54"/>
      <c r="BR548" s="54"/>
      <c r="BS548" s="54"/>
      <c r="BT548" s="54"/>
      <c r="BU548" s="54"/>
      <c r="BV548" s="54"/>
      <c r="BW548" s="54"/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  <c r="CH548" s="54"/>
      <c r="CI548" s="54"/>
      <c r="CJ548" s="54"/>
      <c r="CK548" s="54"/>
      <c r="CL548" s="54"/>
      <c r="CM548" s="54"/>
      <c r="CN548" s="54"/>
      <c r="CO548" s="54"/>
      <c r="CP548" s="54"/>
      <c r="CQ548" s="54"/>
      <c r="CR548" s="54"/>
      <c r="CS548" s="54"/>
      <c r="CT548" s="54"/>
      <c r="CU548" s="54"/>
      <c r="CV548" s="54"/>
      <c r="CW548" s="54"/>
      <c r="CX548" s="54"/>
      <c r="CY548" s="54"/>
      <c r="CZ548" s="54"/>
      <c r="DA548" s="54"/>
      <c r="DB548" s="54"/>
      <c r="DC548" s="54"/>
      <c r="DD548" s="54"/>
      <c r="DE548" s="54"/>
      <c r="DF548" s="54"/>
      <c r="DG548" s="54"/>
      <c r="DH548" s="54"/>
      <c r="DI548" s="54"/>
      <c r="DJ548" s="54"/>
      <c r="DK548" s="54"/>
      <c r="DL548" s="54"/>
      <c r="DM548" s="54"/>
      <c r="DN548" s="54"/>
      <c r="DO548" s="54"/>
      <c r="DP548" s="54"/>
      <c r="DQ548" s="54"/>
      <c r="DR548" s="54"/>
      <c r="DS548" s="54"/>
      <c r="DT548" s="54"/>
      <c r="DU548" s="54"/>
      <c r="DV548" s="54"/>
      <c r="DW548" s="54"/>
      <c r="DX548" s="54"/>
      <c r="DY548" s="54"/>
      <c r="DZ548" s="54"/>
      <c r="EA548" s="54"/>
      <c r="EB548" s="54"/>
      <c r="EC548" s="54"/>
    </row>
    <row r="549" spans="1:133" s="56" customFormat="1" x14ac:dyDescent="0.25">
      <c r="A549" s="58" t="s">
        <v>26</v>
      </c>
      <c r="B549" s="58"/>
      <c r="C549" s="34"/>
      <c r="D549" s="34"/>
      <c r="E549" s="58"/>
      <c r="F549" s="16">
        <v>31</v>
      </c>
      <c r="G549" s="16">
        <v>28</v>
      </c>
      <c r="H549" s="16">
        <v>31</v>
      </c>
      <c r="I549" s="16">
        <v>30</v>
      </c>
      <c r="J549" s="16">
        <v>31</v>
      </c>
      <c r="K549" s="16">
        <v>30</v>
      </c>
      <c r="L549" s="16">
        <v>31</v>
      </c>
      <c r="M549" s="16">
        <v>31</v>
      </c>
      <c r="N549" s="16">
        <v>30</v>
      </c>
      <c r="O549" s="16">
        <v>31</v>
      </c>
      <c r="P549" s="16">
        <v>30</v>
      </c>
      <c r="Q549" s="16">
        <v>31</v>
      </c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  <c r="AL549" s="54"/>
      <c r="AM549" s="54"/>
      <c r="AN549" s="54"/>
      <c r="AO549" s="54"/>
      <c r="AP549" s="54"/>
      <c r="AQ549" s="54"/>
      <c r="AR549" s="54"/>
      <c r="AS549" s="54"/>
      <c r="AT549" s="54"/>
      <c r="AU549" s="54"/>
      <c r="AV549" s="54"/>
      <c r="AW549" s="54"/>
      <c r="AX549" s="54"/>
      <c r="AY549" s="54"/>
      <c r="AZ549" s="54"/>
      <c r="BA549" s="54"/>
      <c r="BB549" s="54"/>
      <c r="BC549" s="54"/>
      <c r="BD549" s="54"/>
      <c r="BE549" s="54"/>
      <c r="BF549" s="54"/>
      <c r="BG549" s="54"/>
      <c r="BH549" s="54"/>
      <c r="BI549" s="54"/>
      <c r="BJ549" s="54"/>
      <c r="BK549" s="54"/>
      <c r="BL549" s="54"/>
      <c r="BM549" s="54"/>
      <c r="BN549" s="54"/>
      <c r="BO549" s="54"/>
      <c r="BP549" s="54"/>
      <c r="BQ549" s="54"/>
      <c r="BR549" s="54"/>
      <c r="BS549" s="54"/>
      <c r="BT549" s="54"/>
      <c r="BU549" s="54"/>
      <c r="BV549" s="54"/>
      <c r="BW549" s="54"/>
      <c r="BX549" s="54"/>
      <c r="BY549" s="54"/>
      <c r="BZ549" s="54"/>
      <c r="CA549" s="54"/>
      <c r="CB549" s="54"/>
      <c r="CC549" s="54"/>
      <c r="CD549" s="54"/>
      <c r="CE549" s="54"/>
      <c r="CF549" s="54"/>
      <c r="CG549" s="54"/>
      <c r="CH549" s="54"/>
      <c r="CI549" s="54"/>
      <c r="CJ549" s="54"/>
      <c r="CK549" s="54"/>
      <c r="CL549" s="54"/>
      <c r="CM549" s="54"/>
      <c r="CN549" s="54"/>
      <c r="CO549" s="54"/>
      <c r="CP549" s="54"/>
      <c r="CQ549" s="54"/>
      <c r="CR549" s="54"/>
      <c r="CS549" s="54"/>
      <c r="CT549" s="54"/>
      <c r="CU549" s="54"/>
      <c r="CV549" s="54"/>
      <c r="CW549" s="54"/>
      <c r="CX549" s="54"/>
      <c r="CY549" s="54"/>
      <c r="CZ549" s="54"/>
      <c r="DA549" s="54"/>
      <c r="DB549" s="54"/>
      <c r="DC549" s="54"/>
      <c r="DD549" s="54"/>
      <c r="DE549" s="54"/>
      <c r="DF549" s="54"/>
      <c r="DG549" s="54"/>
      <c r="DH549" s="54"/>
      <c r="DI549" s="54"/>
      <c r="DJ549" s="54"/>
      <c r="DK549" s="54"/>
      <c r="DL549" s="54"/>
      <c r="DM549" s="54"/>
      <c r="DN549" s="54"/>
      <c r="DO549" s="54"/>
      <c r="DP549" s="54"/>
      <c r="DQ549" s="54"/>
      <c r="DR549" s="54"/>
      <c r="DS549" s="54"/>
      <c r="DT549" s="54"/>
      <c r="DU549" s="54"/>
      <c r="DV549" s="54"/>
      <c r="DW549" s="54"/>
      <c r="DX549" s="54"/>
      <c r="DY549" s="54"/>
      <c r="DZ549" s="54"/>
      <c r="EA549" s="54"/>
      <c r="EB549" s="54"/>
      <c r="EC549" s="54"/>
    </row>
    <row r="550" spans="1:133" ht="46.8" x14ac:dyDescent="0.25">
      <c r="A550" s="59" t="s">
        <v>27</v>
      </c>
      <c r="B550" s="60" t="s">
        <v>28</v>
      </c>
      <c r="C550" s="53" t="s">
        <v>29</v>
      </c>
      <c r="D550" s="53" t="s">
        <v>340</v>
      </c>
      <c r="E550" s="61">
        <f>SUM(F550:Q550)</f>
        <v>3846.0225714865469</v>
      </c>
      <c r="F550" s="62">
        <f>$E$6*$E$7*F553*$E$19</f>
        <v>326.64849237283005</v>
      </c>
      <c r="G550" s="62">
        <f t="shared" ref="G550:Q550" si="80">$E$6*$E$7*G553*$E$19</f>
        <v>295.03734794965294</v>
      </c>
      <c r="H550" s="62">
        <f t="shared" si="80"/>
        <v>326.64849237283005</v>
      </c>
      <c r="I550" s="62">
        <f t="shared" si="80"/>
        <v>316.11144423177097</v>
      </c>
      <c r="J550" s="62">
        <f t="shared" si="80"/>
        <v>326.64849237283005</v>
      </c>
      <c r="K550" s="62">
        <f t="shared" si="80"/>
        <v>316.11144423177097</v>
      </c>
      <c r="L550" s="62">
        <f t="shared" si="80"/>
        <v>326.64849237283005</v>
      </c>
      <c r="M550" s="62">
        <f t="shared" si="80"/>
        <v>326.64849237283005</v>
      </c>
      <c r="N550" s="62">
        <f t="shared" si="80"/>
        <v>316.11144423177097</v>
      </c>
      <c r="O550" s="62">
        <f t="shared" si="80"/>
        <v>326.64849237283005</v>
      </c>
      <c r="P550" s="62">
        <f t="shared" si="80"/>
        <v>316.11144423177097</v>
      </c>
      <c r="Q550" s="62">
        <f t="shared" si="80"/>
        <v>326.64849237283005</v>
      </c>
    </row>
    <row r="551" spans="1:133" ht="31.2" x14ac:dyDescent="0.25">
      <c r="A551" s="63" t="s">
        <v>30</v>
      </c>
      <c r="B551" s="60" t="s">
        <v>208</v>
      </c>
      <c r="C551" s="35" t="s">
        <v>31</v>
      </c>
      <c r="D551" s="35" t="s">
        <v>220</v>
      </c>
      <c r="E551" s="25">
        <v>28</v>
      </c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</row>
    <row r="552" spans="1:133" ht="64.8" x14ac:dyDescent="0.25">
      <c r="A552" s="63" t="s">
        <v>32</v>
      </c>
      <c r="B552" s="25" t="s">
        <v>209</v>
      </c>
      <c r="C552" s="35" t="s">
        <v>34</v>
      </c>
      <c r="D552" s="35" t="s">
        <v>373</v>
      </c>
      <c r="E552" s="25">
        <v>0.21</v>
      </c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1:133" ht="46.8" x14ac:dyDescent="0.25">
      <c r="A553" s="35" t="s">
        <v>35</v>
      </c>
      <c r="B553" s="25" t="s">
        <v>210</v>
      </c>
      <c r="C553" s="53" t="s">
        <v>36</v>
      </c>
      <c r="D553" s="53" t="s">
        <v>341</v>
      </c>
      <c r="E553" s="64">
        <f t="shared" ref="E553:Q553" si="81">E561*E554</f>
        <v>1211.5422597996594</v>
      </c>
      <c r="F553" s="64">
        <f t="shared" si="81"/>
        <v>102.89810973640942</v>
      </c>
      <c r="G553" s="64">
        <f t="shared" si="81"/>
        <v>92.94022814901497</v>
      </c>
      <c r="H553" s="64">
        <f t="shared" si="81"/>
        <v>102.89810973640942</v>
      </c>
      <c r="I553" s="64">
        <f t="shared" si="81"/>
        <v>99.578815873944606</v>
      </c>
      <c r="J553" s="64">
        <f t="shared" si="81"/>
        <v>102.89810973640942</v>
      </c>
      <c r="K553" s="64">
        <f t="shared" si="81"/>
        <v>99.578815873944606</v>
      </c>
      <c r="L553" s="64">
        <f t="shared" si="81"/>
        <v>102.89810973640942</v>
      </c>
      <c r="M553" s="64">
        <f t="shared" si="81"/>
        <v>102.89810973640942</v>
      </c>
      <c r="N553" s="64">
        <f t="shared" si="81"/>
        <v>99.578815873944606</v>
      </c>
      <c r="O553" s="64">
        <f t="shared" si="81"/>
        <v>102.89810973640942</v>
      </c>
      <c r="P553" s="64">
        <f t="shared" si="81"/>
        <v>99.578815873944606</v>
      </c>
      <c r="Q553" s="64">
        <f t="shared" si="81"/>
        <v>102.89810973640942</v>
      </c>
    </row>
    <row r="554" spans="1:133" ht="46.8" x14ac:dyDescent="0.25">
      <c r="A554" s="35" t="s">
        <v>37</v>
      </c>
      <c r="B554" s="25" t="s">
        <v>212</v>
      </c>
      <c r="C554" s="35" t="s">
        <v>206</v>
      </c>
      <c r="D554" s="35" t="s">
        <v>342</v>
      </c>
      <c r="E554" s="20">
        <f>SUM(F554:Q554)</f>
        <v>1277.5</v>
      </c>
      <c r="F554" s="20">
        <f>F556*F559</f>
        <v>108.5</v>
      </c>
      <c r="G554" s="20">
        <f t="shared" ref="G554:Q554" si="82">G556*G559</f>
        <v>98</v>
      </c>
      <c r="H554" s="20">
        <f t="shared" si="82"/>
        <v>108.5</v>
      </c>
      <c r="I554" s="20">
        <f t="shared" si="82"/>
        <v>105</v>
      </c>
      <c r="J554" s="20">
        <f t="shared" si="82"/>
        <v>108.5</v>
      </c>
      <c r="K554" s="20">
        <f t="shared" si="82"/>
        <v>105</v>
      </c>
      <c r="L554" s="20">
        <f t="shared" si="82"/>
        <v>108.5</v>
      </c>
      <c r="M554" s="20">
        <f t="shared" si="82"/>
        <v>108.5</v>
      </c>
      <c r="N554" s="20">
        <f t="shared" si="82"/>
        <v>105</v>
      </c>
      <c r="O554" s="20">
        <f t="shared" si="82"/>
        <v>108.5</v>
      </c>
      <c r="P554" s="20">
        <f t="shared" si="82"/>
        <v>105</v>
      </c>
      <c r="Q554" s="20">
        <f t="shared" si="82"/>
        <v>108.5</v>
      </c>
    </row>
    <row r="555" spans="1:133" ht="46.8" x14ac:dyDescent="0.3">
      <c r="A555" s="51" t="s">
        <v>221</v>
      </c>
      <c r="B555" s="60" t="s">
        <v>207</v>
      </c>
      <c r="C555" s="35" t="s">
        <v>39</v>
      </c>
      <c r="D555" s="35" t="s">
        <v>222</v>
      </c>
      <c r="E555" s="20">
        <v>7000</v>
      </c>
      <c r="F555" s="20">
        <v>7000</v>
      </c>
      <c r="G555" s="20">
        <v>7000</v>
      </c>
      <c r="H555" s="20">
        <v>7000</v>
      </c>
      <c r="I555" s="20">
        <v>7000</v>
      </c>
      <c r="J555" s="20">
        <v>7000</v>
      </c>
      <c r="K555" s="20">
        <v>7000</v>
      </c>
      <c r="L555" s="20">
        <v>7000</v>
      </c>
      <c r="M555" s="20">
        <v>7000</v>
      </c>
      <c r="N555" s="20">
        <v>7000</v>
      </c>
      <c r="O555" s="20">
        <v>7000</v>
      </c>
      <c r="P555" s="20">
        <v>7000</v>
      </c>
      <c r="Q555" s="20">
        <v>7000</v>
      </c>
    </row>
    <row r="556" spans="1:133" ht="46.8" x14ac:dyDescent="0.25">
      <c r="A556" s="35" t="s">
        <v>41</v>
      </c>
      <c r="B556" s="60" t="s">
        <v>213</v>
      </c>
      <c r="C556" s="35" t="s">
        <v>42</v>
      </c>
      <c r="D556" s="35" t="s">
        <v>326</v>
      </c>
      <c r="E556" s="65">
        <f>SUM(F556:Q556)</f>
        <v>2555000</v>
      </c>
      <c r="F556" s="65">
        <f>F555*F549</f>
        <v>217000</v>
      </c>
      <c r="G556" s="65">
        <f t="shared" ref="G556:Q556" si="83">G555*G549</f>
        <v>196000</v>
      </c>
      <c r="H556" s="65">
        <f t="shared" si="83"/>
        <v>217000</v>
      </c>
      <c r="I556" s="65">
        <f t="shared" si="83"/>
        <v>210000</v>
      </c>
      <c r="J556" s="65">
        <f t="shared" si="83"/>
        <v>217000</v>
      </c>
      <c r="K556" s="65">
        <f t="shared" si="83"/>
        <v>210000</v>
      </c>
      <c r="L556" s="65">
        <f t="shared" si="83"/>
        <v>217000</v>
      </c>
      <c r="M556" s="65">
        <f t="shared" si="83"/>
        <v>217000</v>
      </c>
      <c r="N556" s="65">
        <f t="shared" si="83"/>
        <v>210000</v>
      </c>
      <c r="O556" s="65">
        <f t="shared" si="83"/>
        <v>217000</v>
      </c>
      <c r="P556" s="65">
        <f t="shared" si="83"/>
        <v>210000</v>
      </c>
      <c r="Q556" s="65">
        <f t="shared" si="83"/>
        <v>217000</v>
      </c>
    </row>
    <row r="557" spans="1:133" ht="62.4" x14ac:dyDescent="0.25">
      <c r="A557" s="35" t="s">
        <v>43</v>
      </c>
      <c r="B557" s="60" t="s">
        <v>214</v>
      </c>
      <c r="C557" s="35" t="s">
        <v>44</v>
      </c>
      <c r="D557" s="35" t="s">
        <v>40</v>
      </c>
      <c r="E557" s="66">
        <v>500</v>
      </c>
      <c r="F557" s="66">
        <v>500</v>
      </c>
      <c r="G557" s="66">
        <v>500</v>
      </c>
      <c r="H557" s="66">
        <v>500</v>
      </c>
      <c r="I557" s="66">
        <v>500</v>
      </c>
      <c r="J557" s="66">
        <v>500</v>
      </c>
      <c r="K557" s="66">
        <v>500</v>
      </c>
      <c r="L557" s="66">
        <v>500</v>
      </c>
      <c r="M557" s="66">
        <v>500</v>
      </c>
      <c r="N557" s="66">
        <v>500</v>
      </c>
      <c r="O557" s="66">
        <v>500</v>
      </c>
      <c r="P557" s="66">
        <v>500</v>
      </c>
      <c r="Q557" s="66">
        <v>500</v>
      </c>
    </row>
    <row r="558" spans="1:133" ht="62.4" x14ac:dyDescent="0.25">
      <c r="A558" s="35" t="s">
        <v>45</v>
      </c>
      <c r="B558" s="60" t="s">
        <v>214</v>
      </c>
      <c r="C558" s="35" t="s">
        <v>46</v>
      </c>
      <c r="D558" s="35" t="s">
        <v>40</v>
      </c>
      <c r="E558" s="65">
        <v>40</v>
      </c>
      <c r="F558" s="65">
        <v>40</v>
      </c>
      <c r="G558" s="65">
        <v>40</v>
      </c>
      <c r="H558" s="65">
        <v>40</v>
      </c>
      <c r="I558" s="65">
        <v>40</v>
      </c>
      <c r="J558" s="65">
        <v>40</v>
      </c>
      <c r="K558" s="65">
        <v>40</v>
      </c>
      <c r="L558" s="65">
        <v>40</v>
      </c>
      <c r="M558" s="65">
        <v>40</v>
      </c>
      <c r="N558" s="65">
        <v>40</v>
      </c>
      <c r="O558" s="65">
        <v>40</v>
      </c>
      <c r="P558" s="65">
        <v>40</v>
      </c>
      <c r="Q558" s="65">
        <v>40</v>
      </c>
    </row>
    <row r="559" spans="1:133" ht="62.4" x14ac:dyDescent="0.25">
      <c r="A559" s="35" t="s">
        <v>47</v>
      </c>
      <c r="B559" s="60" t="s">
        <v>215</v>
      </c>
      <c r="C559" s="35" t="s">
        <v>49</v>
      </c>
      <c r="D559" s="35" t="s">
        <v>324</v>
      </c>
      <c r="E559" s="67">
        <f>E557/1000000</f>
        <v>5.0000000000000001E-4</v>
      </c>
      <c r="F559" s="22">
        <f>F557/1000000</f>
        <v>5.0000000000000001E-4</v>
      </c>
      <c r="G559" s="22">
        <f t="shared" ref="G559:Q559" si="84">G557/1000000</f>
        <v>5.0000000000000001E-4</v>
      </c>
      <c r="H559" s="22">
        <f t="shared" si="84"/>
        <v>5.0000000000000001E-4</v>
      </c>
      <c r="I559" s="22">
        <f t="shared" si="84"/>
        <v>5.0000000000000001E-4</v>
      </c>
      <c r="J559" s="22">
        <f t="shared" si="84"/>
        <v>5.0000000000000001E-4</v>
      </c>
      <c r="K559" s="22">
        <f t="shared" si="84"/>
        <v>5.0000000000000001E-4</v>
      </c>
      <c r="L559" s="22">
        <f t="shared" si="84"/>
        <v>5.0000000000000001E-4</v>
      </c>
      <c r="M559" s="22">
        <f t="shared" si="84"/>
        <v>5.0000000000000001E-4</v>
      </c>
      <c r="N559" s="22">
        <f t="shared" si="84"/>
        <v>5.0000000000000001E-4</v>
      </c>
      <c r="O559" s="22">
        <f t="shared" si="84"/>
        <v>5.0000000000000001E-4</v>
      </c>
      <c r="P559" s="22">
        <f t="shared" si="84"/>
        <v>5.0000000000000001E-4</v>
      </c>
      <c r="Q559" s="22">
        <f t="shared" si="84"/>
        <v>5.0000000000000001E-4</v>
      </c>
    </row>
    <row r="560" spans="1:133" ht="62.4" x14ac:dyDescent="0.25">
      <c r="A560" s="35" t="s">
        <v>45</v>
      </c>
      <c r="B560" s="60" t="s">
        <v>48</v>
      </c>
      <c r="C560" s="35" t="s">
        <v>50</v>
      </c>
      <c r="D560" s="35" t="s">
        <v>325</v>
      </c>
      <c r="E560" s="67">
        <f>E558/1000000</f>
        <v>4.0000000000000003E-5</v>
      </c>
      <c r="F560" s="22">
        <f>F558/1000000</f>
        <v>4.0000000000000003E-5</v>
      </c>
      <c r="G560" s="22">
        <f t="shared" ref="G560:Q560" si="85">G558/1000000</f>
        <v>4.0000000000000003E-5</v>
      </c>
      <c r="H560" s="22">
        <f t="shared" si="85"/>
        <v>4.0000000000000003E-5</v>
      </c>
      <c r="I560" s="22">
        <f t="shared" si="85"/>
        <v>4.0000000000000003E-5</v>
      </c>
      <c r="J560" s="22">
        <f t="shared" si="85"/>
        <v>4.0000000000000003E-5</v>
      </c>
      <c r="K560" s="22">
        <f t="shared" si="85"/>
        <v>4.0000000000000003E-5</v>
      </c>
      <c r="L560" s="22">
        <f t="shared" si="85"/>
        <v>4.0000000000000003E-5</v>
      </c>
      <c r="M560" s="22">
        <f t="shared" si="85"/>
        <v>4.0000000000000003E-5</v>
      </c>
      <c r="N560" s="22">
        <f t="shared" si="85"/>
        <v>4.0000000000000003E-5</v>
      </c>
      <c r="O560" s="22">
        <f t="shared" si="85"/>
        <v>4.0000000000000003E-5</v>
      </c>
      <c r="P560" s="22">
        <f t="shared" si="85"/>
        <v>4.0000000000000003E-5</v>
      </c>
      <c r="Q560" s="22">
        <f t="shared" si="85"/>
        <v>4.0000000000000003E-5</v>
      </c>
    </row>
    <row r="561" spans="1:133" ht="46.8" x14ac:dyDescent="0.25">
      <c r="A561" s="63" t="s">
        <v>51</v>
      </c>
      <c r="B561" s="25" t="s">
        <v>216</v>
      </c>
      <c r="C561" s="35" t="s">
        <v>53</v>
      </c>
      <c r="D561" s="35" t="s">
        <v>343</v>
      </c>
      <c r="E561" s="68">
        <f>(1-(E562/E563))</f>
        <v>0.94836967498994862</v>
      </c>
      <c r="F561" s="68">
        <f>E561</f>
        <v>0.94836967498994862</v>
      </c>
      <c r="G561" s="68">
        <f>E561</f>
        <v>0.94836967498994862</v>
      </c>
      <c r="H561" s="68">
        <f>E561</f>
        <v>0.94836967498994862</v>
      </c>
      <c r="I561" s="68">
        <f>E561</f>
        <v>0.94836967498994862</v>
      </c>
      <c r="J561" s="68">
        <f>E561</f>
        <v>0.94836967498994862</v>
      </c>
      <c r="K561" s="68">
        <f>E561</f>
        <v>0.94836967498994862</v>
      </c>
      <c r="L561" s="68">
        <f>E561</f>
        <v>0.94836967498994862</v>
      </c>
      <c r="M561" s="68">
        <f>E561</f>
        <v>0.94836967498994862</v>
      </c>
      <c r="N561" s="68">
        <f>E561</f>
        <v>0.94836967498994862</v>
      </c>
      <c r="O561" s="68">
        <f>E561</f>
        <v>0.94836967498994862</v>
      </c>
      <c r="P561" s="68">
        <f>E561</f>
        <v>0.94836967498994862</v>
      </c>
      <c r="Q561" s="68">
        <f>E561</f>
        <v>0.94836967498994862</v>
      </c>
    </row>
    <row r="562" spans="1:133" ht="31.2" x14ac:dyDescent="0.25">
      <c r="A562" s="35" t="s">
        <v>54</v>
      </c>
      <c r="B562" s="25" t="s">
        <v>211</v>
      </c>
      <c r="C562" s="35" t="s">
        <v>55</v>
      </c>
      <c r="D562" s="35" t="s">
        <v>323</v>
      </c>
      <c r="E562" s="52">
        <f>SUM(F562:Q562)</f>
        <v>44.707954655000009</v>
      </c>
      <c r="F562" s="52">
        <v>3.7971139570000001</v>
      </c>
      <c r="G562" s="52">
        <v>3.4296513159999997</v>
      </c>
      <c r="H562" s="52">
        <v>3.7971139570000001</v>
      </c>
      <c r="I562" s="52">
        <v>3.6746264100000001</v>
      </c>
      <c r="J562" s="52">
        <v>3.7971139570000001</v>
      </c>
      <c r="K562" s="52">
        <v>3.6746264100000001</v>
      </c>
      <c r="L562" s="52">
        <v>3.7971139570000001</v>
      </c>
      <c r="M562" s="52">
        <v>3.7971139570000001</v>
      </c>
      <c r="N562" s="52">
        <v>3.6746264100000001</v>
      </c>
      <c r="O562" s="52">
        <v>3.7971139570000001</v>
      </c>
      <c r="P562" s="52">
        <v>3.6746264100000001</v>
      </c>
      <c r="Q562" s="52">
        <v>3.7971139570000001</v>
      </c>
    </row>
    <row r="563" spans="1:133" ht="31.2" x14ac:dyDescent="0.25">
      <c r="A563" s="63" t="s">
        <v>56</v>
      </c>
      <c r="B563" s="25" t="s">
        <v>38</v>
      </c>
      <c r="C563" s="35" t="s">
        <v>57</v>
      </c>
      <c r="D563" s="35" t="s">
        <v>323</v>
      </c>
      <c r="E563" s="52">
        <f>SUM(F563:Q563)</f>
        <v>865.92433122000011</v>
      </c>
      <c r="F563" s="52">
        <v>73.544258267999993</v>
      </c>
      <c r="G563" s="52">
        <v>66.427071983999994</v>
      </c>
      <c r="H563" s="52">
        <v>73.544258267999993</v>
      </c>
      <c r="I563" s="52">
        <v>71.171862839999989</v>
      </c>
      <c r="J563" s="52">
        <v>73.544258267999993</v>
      </c>
      <c r="K563" s="52">
        <v>71.171862839999989</v>
      </c>
      <c r="L563" s="52">
        <v>73.544258267999993</v>
      </c>
      <c r="M563" s="52">
        <v>73.544258267999993</v>
      </c>
      <c r="N563" s="52">
        <v>71.171862839999989</v>
      </c>
      <c r="O563" s="52">
        <v>73.544258267999993</v>
      </c>
      <c r="P563" s="52">
        <v>71.171862839999989</v>
      </c>
      <c r="Q563" s="52">
        <v>73.544258267999993</v>
      </c>
    </row>
    <row r="564" spans="1:133" ht="31.2" x14ac:dyDescent="0.25">
      <c r="A564" s="53" t="s">
        <v>58</v>
      </c>
      <c r="B564" s="25" t="s">
        <v>216</v>
      </c>
      <c r="C564" s="53" t="s">
        <v>59</v>
      </c>
      <c r="D564" s="35" t="s">
        <v>344</v>
      </c>
      <c r="E564" s="116">
        <f>E565*E566*0.89</f>
        <v>0.51685820198950627</v>
      </c>
      <c r="F564" s="117"/>
      <c r="G564" s="117"/>
      <c r="H564" s="117"/>
      <c r="I564" s="117"/>
      <c r="J564" s="117"/>
      <c r="K564" s="117"/>
      <c r="L564" s="117"/>
      <c r="M564" s="117"/>
      <c r="N564" s="117"/>
      <c r="O564" s="117"/>
      <c r="P564" s="117"/>
      <c r="Q564" s="118"/>
    </row>
    <row r="565" spans="1:133" ht="31.2" x14ac:dyDescent="0.25">
      <c r="A565" s="70" t="s">
        <v>60</v>
      </c>
      <c r="B565" s="25" t="s">
        <v>216</v>
      </c>
      <c r="C565" s="53" t="s">
        <v>61</v>
      </c>
      <c r="D565" s="35" t="s">
        <v>345</v>
      </c>
      <c r="E565" s="119">
        <v>0.7</v>
      </c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1"/>
    </row>
    <row r="566" spans="1:133" ht="36" customHeight="1" x14ac:dyDescent="0.25">
      <c r="A566" s="70" t="s">
        <v>62</v>
      </c>
      <c r="B566" s="25" t="s">
        <v>52</v>
      </c>
      <c r="C566" s="53" t="s">
        <v>63</v>
      </c>
      <c r="D566" s="35" t="s">
        <v>346</v>
      </c>
      <c r="E566" s="122">
        <f>(F567*F572+G567*G572+H567*H572+I567*I572+J567*J572+K567*K572+L567*L572+M567*M572+N567*N572+O567*O572+P567*P572+Q567*Q572)/(F561*F556*F559+G561*G559*G556+H561*H556*H559+I561*I559*I556+J561*J559*J556+K561*K559*K556+L561*L559*L556+M561*M559*M556+N561*N559*N556+O561*O556*O559+P561*P559*P556+Q561*Q559*Q556)</f>
        <v>0.82962793256742573</v>
      </c>
      <c r="F566" s="123"/>
      <c r="G566" s="123"/>
      <c r="H566" s="123"/>
      <c r="I566" s="123"/>
      <c r="J566" s="123"/>
      <c r="K566" s="123"/>
      <c r="L566" s="123"/>
      <c r="M566" s="123"/>
      <c r="N566" s="123"/>
      <c r="O566" s="123"/>
      <c r="P566" s="123"/>
      <c r="Q566" s="124"/>
    </row>
    <row r="567" spans="1:133" s="9" customFormat="1" ht="46.8" x14ac:dyDescent="0.4">
      <c r="A567" s="71" t="s">
        <v>64</v>
      </c>
      <c r="B567" s="25" t="s">
        <v>52</v>
      </c>
      <c r="C567" s="53" t="s">
        <v>65</v>
      </c>
      <c r="D567" s="53" t="s">
        <v>347</v>
      </c>
      <c r="E567" s="72">
        <f>AVERAGE(F567:Q567)</f>
        <v>0.6246384929124339</v>
      </c>
      <c r="F567" s="72">
        <f t="shared" ref="F567:Q567" si="86">IF(F571&lt;283,0,IF(F571&gt;303,1,EXP(($E$23*(F571-$E$24))/($E$25*$E$24*F571))))</f>
        <v>0.24547412919519337</v>
      </c>
      <c r="G567" s="72">
        <f t="shared" si="86"/>
        <v>0.26921004737855481</v>
      </c>
      <c r="H567" s="72">
        <f t="shared" si="86"/>
        <v>0.38698063689870399</v>
      </c>
      <c r="I567" s="72">
        <f t="shared" si="86"/>
        <v>0.55084569341606926</v>
      </c>
      <c r="J567" s="72">
        <f t="shared" si="86"/>
        <v>0.77675425208684001</v>
      </c>
      <c r="K567" s="72">
        <f t="shared" si="86"/>
        <v>1</v>
      </c>
      <c r="L567" s="72">
        <f t="shared" si="86"/>
        <v>1</v>
      </c>
      <c r="M567" s="72">
        <f t="shared" si="86"/>
        <v>1</v>
      </c>
      <c r="N567" s="72">
        <f t="shared" si="86"/>
        <v>0.91923925774048054</v>
      </c>
      <c r="O567" s="72">
        <f t="shared" si="86"/>
        <v>0.65487347206548807</v>
      </c>
      <c r="P567" s="72">
        <f t="shared" si="86"/>
        <v>0.42307437878932203</v>
      </c>
      <c r="Q567" s="72">
        <f t="shared" si="86"/>
        <v>0.26921004737855481</v>
      </c>
      <c r="R567" s="78"/>
      <c r="S567" s="78"/>
      <c r="T567" s="78"/>
      <c r="U567" s="78"/>
      <c r="V567" s="78"/>
      <c r="W567" s="78"/>
      <c r="X567" s="78"/>
      <c r="Y567" s="78"/>
      <c r="Z567" s="78"/>
      <c r="AA567" s="78"/>
      <c r="AB567" s="78"/>
      <c r="AC567" s="78"/>
      <c r="AD567" s="78"/>
      <c r="AE567" s="78"/>
      <c r="AF567" s="78"/>
      <c r="AG567" s="78"/>
      <c r="AH567" s="78"/>
      <c r="AI567" s="78"/>
      <c r="AJ567" s="78"/>
      <c r="AK567" s="78"/>
      <c r="AL567" s="78"/>
      <c r="AM567" s="78"/>
      <c r="AN567" s="78"/>
      <c r="AO567" s="78"/>
      <c r="AP567" s="78"/>
      <c r="AQ567" s="78"/>
      <c r="AR567" s="78"/>
      <c r="AS567" s="78"/>
      <c r="AT567" s="78"/>
      <c r="AU567" s="78"/>
      <c r="AV567" s="78"/>
      <c r="AW567" s="78"/>
      <c r="AX567" s="78"/>
      <c r="AY567" s="78"/>
      <c r="AZ567" s="78"/>
      <c r="BA567" s="78"/>
      <c r="BB567" s="78"/>
      <c r="BC567" s="78"/>
      <c r="BD567" s="78"/>
      <c r="BE567" s="78"/>
      <c r="BF567" s="78"/>
      <c r="BG567" s="78"/>
      <c r="BH567" s="78"/>
      <c r="BI567" s="78"/>
      <c r="BJ567" s="78"/>
      <c r="BK567" s="78"/>
      <c r="BL567" s="78"/>
      <c r="BM567" s="78"/>
      <c r="BN567" s="78"/>
      <c r="BO567" s="78"/>
      <c r="BP567" s="78"/>
      <c r="BQ567" s="78"/>
      <c r="BR567" s="78"/>
      <c r="BS567" s="78"/>
      <c r="BT567" s="78"/>
      <c r="BU567" s="78"/>
      <c r="BV567" s="78"/>
      <c r="BW567" s="78"/>
      <c r="BX567" s="78"/>
      <c r="BY567" s="78"/>
      <c r="BZ567" s="78"/>
      <c r="CA567" s="78"/>
      <c r="CB567" s="78"/>
      <c r="CC567" s="78"/>
      <c r="CD567" s="78"/>
      <c r="CE567" s="78"/>
      <c r="CF567" s="78"/>
      <c r="CG567" s="78"/>
      <c r="CH567" s="78"/>
      <c r="CI567" s="78"/>
      <c r="CJ567" s="78"/>
      <c r="CK567" s="78"/>
      <c r="CL567" s="78"/>
      <c r="CM567" s="78"/>
      <c r="CN567" s="78"/>
      <c r="CO567" s="78"/>
      <c r="CP567" s="78"/>
      <c r="CQ567" s="78"/>
      <c r="CR567" s="78"/>
      <c r="CS567" s="78"/>
      <c r="CT567" s="78"/>
      <c r="CU567" s="78"/>
      <c r="CV567" s="78"/>
      <c r="CW567" s="78"/>
      <c r="CX567" s="78"/>
      <c r="CY567" s="78"/>
      <c r="CZ567" s="78"/>
      <c r="DA567" s="78"/>
      <c r="DB567" s="78"/>
      <c r="DC567" s="78"/>
      <c r="DD567" s="78"/>
      <c r="DE567" s="78"/>
      <c r="DF567" s="78"/>
      <c r="DG567" s="78"/>
      <c r="DH567" s="78"/>
      <c r="DI567" s="78"/>
      <c r="DJ567" s="78"/>
      <c r="DK567" s="78"/>
      <c r="DL567" s="78"/>
      <c r="DM567" s="78"/>
      <c r="DN567" s="78"/>
      <c r="DO567" s="78"/>
      <c r="DP567" s="78"/>
      <c r="DQ567" s="78"/>
      <c r="DR567" s="78"/>
      <c r="DS567" s="78"/>
      <c r="DT567" s="78"/>
      <c r="DU567" s="78"/>
      <c r="DV567" s="78"/>
      <c r="DW567" s="78"/>
      <c r="DX567" s="78"/>
      <c r="DY567" s="78"/>
      <c r="DZ567" s="78"/>
      <c r="EA567" s="78"/>
      <c r="EB567" s="78"/>
      <c r="EC567" s="78"/>
    </row>
    <row r="568" spans="1:133" s="9" customFormat="1" x14ac:dyDescent="0.25">
      <c r="A568" s="73" t="s">
        <v>66</v>
      </c>
      <c r="B568" s="60" t="s">
        <v>217</v>
      </c>
      <c r="C568" s="53" t="s">
        <v>68</v>
      </c>
      <c r="D568" s="53" t="s">
        <v>348</v>
      </c>
      <c r="E568" s="119">
        <v>15175</v>
      </c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1"/>
      <c r="R568" s="78"/>
      <c r="S568" s="78"/>
      <c r="T568" s="78"/>
      <c r="U568" s="78"/>
      <c r="V568" s="78"/>
      <c r="W568" s="78"/>
      <c r="X568" s="78"/>
      <c r="Y568" s="78"/>
      <c r="Z568" s="78"/>
      <c r="AA568" s="78"/>
      <c r="AB568" s="78"/>
      <c r="AC568" s="78"/>
      <c r="AD568" s="78"/>
      <c r="AE568" s="78"/>
      <c r="AF568" s="78"/>
      <c r="AG568" s="78"/>
      <c r="AH568" s="78"/>
      <c r="AI568" s="78"/>
      <c r="AJ568" s="78"/>
      <c r="AK568" s="78"/>
      <c r="AL568" s="78"/>
      <c r="AM568" s="78"/>
      <c r="AN568" s="78"/>
      <c r="AO568" s="78"/>
      <c r="AP568" s="78"/>
      <c r="AQ568" s="78"/>
      <c r="AR568" s="78"/>
      <c r="AS568" s="78"/>
      <c r="AT568" s="78"/>
      <c r="AU568" s="78"/>
      <c r="AV568" s="78"/>
      <c r="AW568" s="78"/>
      <c r="AX568" s="78"/>
      <c r="AY568" s="78"/>
      <c r="AZ568" s="78"/>
      <c r="BA568" s="78"/>
      <c r="BB568" s="78"/>
      <c r="BC568" s="78"/>
      <c r="BD568" s="78"/>
      <c r="BE568" s="78"/>
      <c r="BF568" s="78"/>
      <c r="BG568" s="78"/>
      <c r="BH568" s="78"/>
      <c r="BI568" s="78"/>
      <c r="BJ568" s="78"/>
      <c r="BK568" s="78"/>
      <c r="BL568" s="78"/>
      <c r="BM568" s="78"/>
      <c r="BN568" s="78"/>
      <c r="BO568" s="78"/>
      <c r="BP568" s="78"/>
      <c r="BQ568" s="78"/>
      <c r="BR568" s="78"/>
      <c r="BS568" s="78"/>
      <c r="BT568" s="78"/>
      <c r="BU568" s="78"/>
      <c r="BV568" s="78"/>
      <c r="BW568" s="78"/>
      <c r="BX568" s="78"/>
      <c r="BY568" s="78"/>
      <c r="BZ568" s="78"/>
      <c r="CA568" s="78"/>
      <c r="CB568" s="78"/>
      <c r="CC568" s="78"/>
      <c r="CD568" s="78"/>
      <c r="CE568" s="78"/>
      <c r="CF568" s="78"/>
      <c r="CG568" s="78"/>
      <c r="CH568" s="78"/>
      <c r="CI568" s="78"/>
      <c r="CJ568" s="78"/>
      <c r="CK568" s="78"/>
      <c r="CL568" s="78"/>
      <c r="CM568" s="78"/>
      <c r="CN568" s="78"/>
      <c r="CO568" s="78"/>
      <c r="CP568" s="78"/>
      <c r="CQ568" s="78"/>
      <c r="CR568" s="78"/>
      <c r="CS568" s="78"/>
      <c r="CT568" s="78"/>
      <c r="CU568" s="78"/>
      <c r="CV568" s="78"/>
      <c r="CW568" s="78"/>
      <c r="CX568" s="78"/>
      <c r="CY568" s="78"/>
      <c r="CZ568" s="78"/>
      <c r="DA568" s="78"/>
      <c r="DB568" s="78"/>
      <c r="DC568" s="78"/>
      <c r="DD568" s="78"/>
      <c r="DE568" s="78"/>
      <c r="DF568" s="78"/>
      <c r="DG568" s="78"/>
      <c r="DH568" s="78"/>
      <c r="DI568" s="78"/>
      <c r="DJ568" s="78"/>
      <c r="DK568" s="78"/>
      <c r="DL568" s="78"/>
      <c r="DM568" s="78"/>
      <c r="DN568" s="78"/>
      <c r="DO568" s="78"/>
      <c r="DP568" s="78"/>
      <c r="DQ568" s="78"/>
      <c r="DR568" s="78"/>
      <c r="DS568" s="78"/>
      <c r="DT568" s="78"/>
      <c r="DU568" s="78"/>
      <c r="DV568" s="78"/>
      <c r="DW568" s="78"/>
      <c r="DX568" s="78"/>
      <c r="DY568" s="78"/>
      <c r="DZ568" s="78"/>
      <c r="EA568" s="78"/>
      <c r="EB568" s="78"/>
      <c r="EC568" s="78"/>
    </row>
    <row r="569" spans="1:133" s="9" customFormat="1" ht="18" x14ac:dyDescent="0.25">
      <c r="A569" s="73" t="s">
        <v>69</v>
      </c>
      <c r="B569" s="60" t="s">
        <v>218</v>
      </c>
      <c r="C569" s="53" t="s">
        <v>71</v>
      </c>
      <c r="D569" s="53" t="s">
        <v>348</v>
      </c>
      <c r="E569" s="119">
        <v>303.16000000000003</v>
      </c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1"/>
      <c r="R569" s="78"/>
      <c r="S569" s="78"/>
      <c r="T569" s="78"/>
      <c r="U569" s="78"/>
      <c r="V569" s="78"/>
      <c r="W569" s="78"/>
      <c r="X569" s="78"/>
      <c r="Y569" s="78"/>
      <c r="Z569" s="78"/>
      <c r="AA569" s="78"/>
      <c r="AB569" s="78"/>
      <c r="AC569" s="78"/>
      <c r="AD569" s="78"/>
      <c r="AE569" s="78"/>
      <c r="AF569" s="78"/>
      <c r="AG569" s="78"/>
      <c r="AH569" s="78"/>
      <c r="AI569" s="78"/>
      <c r="AJ569" s="78"/>
      <c r="AK569" s="78"/>
      <c r="AL569" s="78"/>
      <c r="AM569" s="78"/>
      <c r="AN569" s="78"/>
      <c r="AO569" s="78"/>
      <c r="AP569" s="78"/>
      <c r="AQ569" s="78"/>
      <c r="AR569" s="78"/>
      <c r="AS569" s="78"/>
      <c r="AT569" s="78"/>
      <c r="AU569" s="78"/>
      <c r="AV569" s="78"/>
      <c r="AW569" s="78"/>
      <c r="AX569" s="78"/>
      <c r="AY569" s="78"/>
      <c r="AZ569" s="78"/>
      <c r="BA569" s="78"/>
      <c r="BB569" s="78"/>
      <c r="BC569" s="78"/>
      <c r="BD569" s="78"/>
      <c r="BE569" s="78"/>
      <c r="BF569" s="78"/>
      <c r="BG569" s="78"/>
      <c r="BH569" s="78"/>
      <c r="BI569" s="78"/>
      <c r="BJ569" s="78"/>
      <c r="BK569" s="78"/>
      <c r="BL569" s="78"/>
      <c r="BM569" s="78"/>
      <c r="BN569" s="78"/>
      <c r="BO569" s="78"/>
      <c r="BP569" s="78"/>
      <c r="BQ569" s="78"/>
      <c r="BR569" s="78"/>
      <c r="BS569" s="78"/>
      <c r="BT569" s="78"/>
      <c r="BU569" s="78"/>
      <c r="BV569" s="78"/>
      <c r="BW569" s="78"/>
      <c r="BX569" s="78"/>
      <c r="BY569" s="78"/>
      <c r="BZ569" s="78"/>
      <c r="CA569" s="78"/>
      <c r="CB569" s="78"/>
      <c r="CC569" s="78"/>
      <c r="CD569" s="78"/>
      <c r="CE569" s="78"/>
      <c r="CF569" s="78"/>
      <c r="CG569" s="78"/>
      <c r="CH569" s="78"/>
      <c r="CI569" s="78"/>
      <c r="CJ569" s="78"/>
      <c r="CK569" s="78"/>
      <c r="CL569" s="78"/>
      <c r="CM569" s="78"/>
      <c r="CN569" s="78"/>
      <c r="CO569" s="78"/>
      <c r="CP569" s="78"/>
      <c r="CQ569" s="78"/>
      <c r="CR569" s="78"/>
      <c r="CS569" s="78"/>
      <c r="CT569" s="78"/>
      <c r="CU569" s="78"/>
      <c r="CV569" s="78"/>
      <c r="CW569" s="78"/>
      <c r="CX569" s="78"/>
      <c r="CY569" s="78"/>
      <c r="CZ569" s="78"/>
      <c r="DA569" s="78"/>
      <c r="DB569" s="78"/>
      <c r="DC569" s="78"/>
      <c r="DD569" s="78"/>
      <c r="DE569" s="78"/>
      <c r="DF569" s="78"/>
      <c r="DG569" s="78"/>
      <c r="DH569" s="78"/>
      <c r="DI569" s="78"/>
      <c r="DJ569" s="78"/>
      <c r="DK569" s="78"/>
      <c r="DL569" s="78"/>
      <c r="DM569" s="78"/>
      <c r="DN569" s="78"/>
      <c r="DO569" s="78"/>
      <c r="DP569" s="78"/>
      <c r="DQ569" s="78"/>
      <c r="DR569" s="78"/>
      <c r="DS569" s="78"/>
      <c r="DT569" s="78"/>
      <c r="DU569" s="78"/>
      <c r="DV569" s="78"/>
      <c r="DW569" s="78"/>
      <c r="DX569" s="78"/>
      <c r="DY569" s="78"/>
      <c r="DZ569" s="78"/>
      <c r="EA569" s="78"/>
      <c r="EB569" s="78"/>
      <c r="EC569" s="78"/>
    </row>
    <row r="570" spans="1:133" s="9" customFormat="1" x14ac:dyDescent="0.25">
      <c r="A570" s="73" t="s">
        <v>72</v>
      </c>
      <c r="B570" s="60" t="s">
        <v>219</v>
      </c>
      <c r="C570" s="53" t="s">
        <v>74</v>
      </c>
      <c r="D570" s="53" t="s">
        <v>348</v>
      </c>
      <c r="E570" s="119">
        <v>1.9870000000000001</v>
      </c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1"/>
      <c r="R570" s="78"/>
      <c r="S570" s="78"/>
      <c r="T570" s="78"/>
      <c r="U570" s="78"/>
      <c r="V570" s="78"/>
      <c r="W570" s="78"/>
      <c r="X570" s="78"/>
      <c r="Y570" s="78"/>
      <c r="Z570" s="78"/>
      <c r="AA570" s="78"/>
      <c r="AB570" s="78"/>
      <c r="AC570" s="78"/>
      <c r="AD570" s="78"/>
      <c r="AE570" s="78"/>
      <c r="AF570" s="78"/>
      <c r="AG570" s="78"/>
      <c r="AH570" s="78"/>
      <c r="AI570" s="78"/>
      <c r="AJ570" s="78"/>
      <c r="AK570" s="78"/>
      <c r="AL570" s="78"/>
      <c r="AM570" s="78"/>
      <c r="AN570" s="78"/>
      <c r="AO570" s="78"/>
      <c r="AP570" s="78"/>
      <c r="AQ570" s="78"/>
      <c r="AR570" s="78"/>
      <c r="AS570" s="78"/>
      <c r="AT570" s="78"/>
      <c r="AU570" s="78"/>
      <c r="AV570" s="78"/>
      <c r="AW570" s="78"/>
      <c r="AX570" s="78"/>
      <c r="AY570" s="78"/>
      <c r="AZ570" s="78"/>
      <c r="BA570" s="78"/>
      <c r="BB570" s="78"/>
      <c r="BC570" s="78"/>
      <c r="BD570" s="78"/>
      <c r="BE570" s="78"/>
      <c r="BF570" s="78"/>
      <c r="BG570" s="78"/>
      <c r="BH570" s="78"/>
      <c r="BI570" s="78"/>
      <c r="BJ570" s="78"/>
      <c r="BK570" s="78"/>
      <c r="BL570" s="78"/>
      <c r="BM570" s="78"/>
      <c r="BN570" s="78"/>
      <c r="BO570" s="78"/>
      <c r="BP570" s="78"/>
      <c r="BQ570" s="78"/>
      <c r="BR570" s="78"/>
      <c r="BS570" s="78"/>
      <c r="BT570" s="78"/>
      <c r="BU570" s="78"/>
      <c r="BV570" s="78"/>
      <c r="BW570" s="78"/>
      <c r="BX570" s="78"/>
      <c r="BY570" s="78"/>
      <c r="BZ570" s="78"/>
      <c r="CA570" s="78"/>
      <c r="CB570" s="78"/>
      <c r="CC570" s="78"/>
      <c r="CD570" s="78"/>
      <c r="CE570" s="78"/>
      <c r="CF570" s="78"/>
      <c r="CG570" s="78"/>
      <c r="CH570" s="78"/>
      <c r="CI570" s="78"/>
      <c r="CJ570" s="78"/>
      <c r="CK570" s="78"/>
      <c r="CL570" s="78"/>
      <c r="CM570" s="78"/>
      <c r="CN570" s="78"/>
      <c r="CO570" s="78"/>
      <c r="CP570" s="78"/>
      <c r="CQ570" s="78"/>
      <c r="CR570" s="78"/>
      <c r="CS570" s="78"/>
      <c r="CT570" s="78"/>
      <c r="CU570" s="78"/>
      <c r="CV570" s="78"/>
      <c r="CW570" s="78"/>
      <c r="CX570" s="78"/>
      <c r="CY570" s="78"/>
      <c r="CZ570" s="78"/>
      <c r="DA570" s="78"/>
      <c r="DB570" s="78"/>
      <c r="DC570" s="78"/>
      <c r="DD570" s="78"/>
      <c r="DE570" s="78"/>
      <c r="DF570" s="78"/>
      <c r="DG570" s="78"/>
      <c r="DH570" s="78"/>
      <c r="DI570" s="78"/>
      <c r="DJ570" s="78"/>
      <c r="DK570" s="78"/>
      <c r="DL570" s="78"/>
      <c r="DM570" s="78"/>
      <c r="DN570" s="78"/>
      <c r="DO570" s="78"/>
      <c r="DP570" s="78"/>
      <c r="DQ570" s="78"/>
      <c r="DR570" s="78"/>
      <c r="DS570" s="78"/>
      <c r="DT570" s="78"/>
      <c r="DU570" s="78"/>
      <c r="DV570" s="78"/>
      <c r="DW570" s="78"/>
      <c r="DX570" s="78"/>
      <c r="DY570" s="78"/>
      <c r="DZ570" s="78"/>
      <c r="EA570" s="78"/>
      <c r="EB570" s="78"/>
      <c r="EC570" s="78"/>
    </row>
    <row r="571" spans="1:133" s="9" customFormat="1" ht="31.2" x14ac:dyDescent="0.25">
      <c r="A571" s="73" t="s">
        <v>75</v>
      </c>
      <c r="B571" s="60" t="s">
        <v>218</v>
      </c>
      <c r="C571" s="53" t="s">
        <v>76</v>
      </c>
      <c r="D571" s="53" t="s">
        <v>269</v>
      </c>
      <c r="E571" s="111">
        <f>AVERAGE(F571:Q571)</f>
        <v>296.23333333333341</v>
      </c>
      <c r="F571" s="60">
        <v>287.14999999999998</v>
      </c>
      <c r="G571" s="60">
        <v>288.14999999999998</v>
      </c>
      <c r="H571" s="60">
        <v>292.14999999999998</v>
      </c>
      <c r="I571" s="60">
        <v>296.14999999999998</v>
      </c>
      <c r="J571" s="60">
        <v>300.14999999999998</v>
      </c>
      <c r="K571" s="60">
        <v>303.14999999999998</v>
      </c>
      <c r="L571" s="60">
        <v>303.14999999999998</v>
      </c>
      <c r="M571" s="60">
        <v>303.14999999999998</v>
      </c>
      <c r="N571" s="60">
        <v>302.14999999999998</v>
      </c>
      <c r="O571" s="60">
        <v>298.14999999999998</v>
      </c>
      <c r="P571" s="60">
        <v>293.14999999999998</v>
      </c>
      <c r="Q571" s="60">
        <v>288.14999999999998</v>
      </c>
      <c r="R571" s="78"/>
      <c r="S571" s="78"/>
      <c r="T571" s="78"/>
      <c r="U571" s="78"/>
      <c r="V571" s="78"/>
      <c r="W571" s="78"/>
      <c r="X571" s="78"/>
      <c r="Y571" s="78"/>
      <c r="Z571" s="78"/>
      <c r="AA571" s="78"/>
      <c r="AB571" s="78"/>
      <c r="AC571" s="78"/>
      <c r="AD571" s="78"/>
      <c r="AE571" s="78"/>
      <c r="AF571" s="78"/>
      <c r="AG571" s="78"/>
      <c r="AH571" s="78"/>
      <c r="AI571" s="78"/>
      <c r="AJ571" s="78"/>
      <c r="AK571" s="78"/>
      <c r="AL571" s="78"/>
      <c r="AM571" s="78"/>
      <c r="AN571" s="78"/>
      <c r="AO571" s="78"/>
      <c r="AP571" s="78"/>
      <c r="AQ571" s="78"/>
      <c r="AR571" s="78"/>
      <c r="AS571" s="78"/>
      <c r="AT571" s="78"/>
      <c r="AU571" s="78"/>
      <c r="AV571" s="78"/>
      <c r="AW571" s="78"/>
      <c r="AX571" s="78"/>
      <c r="AY571" s="78"/>
      <c r="AZ571" s="78"/>
      <c r="BA571" s="78"/>
      <c r="BB571" s="78"/>
      <c r="BC571" s="78"/>
      <c r="BD571" s="78"/>
      <c r="BE571" s="78"/>
      <c r="BF571" s="78"/>
      <c r="BG571" s="78"/>
      <c r="BH571" s="78"/>
      <c r="BI571" s="78"/>
      <c r="BJ571" s="78"/>
      <c r="BK571" s="78"/>
      <c r="BL571" s="78"/>
      <c r="BM571" s="78"/>
      <c r="BN571" s="78"/>
      <c r="BO571" s="78"/>
      <c r="BP571" s="78"/>
      <c r="BQ571" s="78"/>
      <c r="BR571" s="78"/>
      <c r="BS571" s="78"/>
      <c r="BT571" s="78"/>
      <c r="BU571" s="78"/>
      <c r="BV571" s="78"/>
      <c r="BW571" s="78"/>
      <c r="BX571" s="78"/>
      <c r="BY571" s="78"/>
      <c r="BZ571" s="78"/>
      <c r="CA571" s="78"/>
      <c r="CB571" s="78"/>
      <c r="CC571" s="78"/>
      <c r="CD571" s="78"/>
      <c r="CE571" s="78"/>
      <c r="CF571" s="78"/>
      <c r="CG571" s="78"/>
      <c r="CH571" s="78"/>
      <c r="CI571" s="78"/>
      <c r="CJ571" s="78"/>
      <c r="CK571" s="78"/>
      <c r="CL571" s="78"/>
      <c r="CM571" s="78"/>
      <c r="CN571" s="78"/>
      <c r="CO571" s="78"/>
      <c r="CP571" s="78"/>
      <c r="CQ571" s="78"/>
      <c r="CR571" s="78"/>
      <c r="CS571" s="78"/>
      <c r="CT571" s="78"/>
      <c r="CU571" s="78"/>
      <c r="CV571" s="78"/>
      <c r="CW571" s="78"/>
      <c r="CX571" s="78"/>
      <c r="CY571" s="78"/>
      <c r="CZ571" s="78"/>
      <c r="DA571" s="78"/>
      <c r="DB571" s="78"/>
      <c r="DC571" s="78"/>
      <c r="DD571" s="78"/>
      <c r="DE571" s="78"/>
      <c r="DF571" s="78"/>
      <c r="DG571" s="78"/>
      <c r="DH571" s="78"/>
      <c r="DI571" s="78"/>
      <c r="DJ571" s="78"/>
      <c r="DK571" s="78"/>
      <c r="DL571" s="78"/>
      <c r="DM571" s="78"/>
      <c r="DN571" s="78"/>
      <c r="DO571" s="78"/>
      <c r="DP571" s="78"/>
      <c r="DQ571" s="78"/>
      <c r="DR571" s="78"/>
      <c r="DS571" s="78"/>
      <c r="DT571" s="78"/>
      <c r="DU571" s="78"/>
      <c r="DV571" s="78"/>
      <c r="DW571" s="78"/>
      <c r="DX571" s="78"/>
      <c r="DY571" s="78"/>
      <c r="DZ571" s="78"/>
      <c r="EA571" s="78"/>
      <c r="EB571" s="78"/>
      <c r="EC571" s="78"/>
    </row>
    <row r="572" spans="1:133" s="9" customFormat="1" ht="31.2" x14ac:dyDescent="0.4">
      <c r="A572" s="71" t="s">
        <v>77</v>
      </c>
      <c r="B572" s="60" t="s">
        <v>211</v>
      </c>
      <c r="C572" s="53" t="s">
        <v>78</v>
      </c>
      <c r="D572" s="53" t="s">
        <v>349</v>
      </c>
      <c r="E572" s="74">
        <f>SUM(F572:Q572)</f>
        <v>1783.4511114393117</v>
      </c>
      <c r="F572" s="74">
        <f>F561*F556*F559+(1-F567)*0</f>
        <v>102.89810973640944</v>
      </c>
      <c r="G572" s="74">
        <f t="shared" ref="G572:Q572" si="87">G561*G556*G559+(1-G567)*F572</f>
        <v>168.1371328881219</v>
      </c>
      <c r="H572" s="74">
        <f t="shared" si="87"/>
        <v>205.96942785316389</v>
      </c>
      <c r="I572" s="74">
        <f t="shared" si="87"/>
        <v>192.09087141882139</v>
      </c>
      <c r="J572" s="74">
        <f t="shared" si="87"/>
        <v>145.78157999359487</v>
      </c>
      <c r="K572" s="74">
        <f t="shared" si="87"/>
        <v>99.578815873944606</v>
      </c>
      <c r="L572" s="74">
        <f t="shared" si="87"/>
        <v>102.89810973640944</v>
      </c>
      <c r="M572" s="74">
        <f t="shared" si="87"/>
        <v>102.89810973640944</v>
      </c>
      <c r="N572" s="74">
        <f t="shared" si="87"/>
        <v>107.88894359335852</v>
      </c>
      <c r="O572" s="74">
        <f t="shared" si="87"/>
        <v>140.13344624130767</v>
      </c>
      <c r="P572" s="74">
        <f t="shared" si="87"/>
        <v>180.42539139910417</v>
      </c>
      <c r="Q572" s="74">
        <f t="shared" si="87"/>
        <v>234.75117296866648</v>
      </c>
      <c r="R572" s="78"/>
      <c r="S572" s="78"/>
      <c r="T572" s="78"/>
      <c r="U572" s="78"/>
      <c r="V572" s="78"/>
      <c r="W572" s="78"/>
      <c r="X572" s="78"/>
      <c r="Y572" s="78"/>
      <c r="Z572" s="78"/>
      <c r="AA572" s="78"/>
      <c r="AB572" s="78"/>
      <c r="AC572" s="78"/>
      <c r="AD572" s="78"/>
      <c r="AE572" s="78"/>
      <c r="AF572" s="78"/>
      <c r="AG572" s="78"/>
      <c r="AH572" s="78"/>
      <c r="AI572" s="78"/>
      <c r="AJ572" s="78"/>
      <c r="AK572" s="78"/>
      <c r="AL572" s="78"/>
      <c r="AM572" s="78"/>
      <c r="AN572" s="78"/>
      <c r="AO572" s="78"/>
      <c r="AP572" s="78"/>
      <c r="AQ572" s="78"/>
      <c r="AR572" s="78"/>
      <c r="AS572" s="78"/>
      <c r="AT572" s="78"/>
      <c r="AU572" s="78"/>
      <c r="AV572" s="78"/>
      <c r="AW572" s="78"/>
      <c r="AX572" s="78"/>
      <c r="AY572" s="78"/>
      <c r="AZ572" s="78"/>
      <c r="BA572" s="78"/>
      <c r="BB572" s="78"/>
      <c r="BC572" s="78"/>
      <c r="BD572" s="78"/>
      <c r="BE572" s="78"/>
      <c r="BF572" s="78"/>
      <c r="BG572" s="78"/>
      <c r="BH572" s="78"/>
      <c r="BI572" s="78"/>
      <c r="BJ572" s="78"/>
      <c r="BK572" s="78"/>
      <c r="BL572" s="78"/>
      <c r="BM572" s="78"/>
      <c r="BN572" s="78"/>
      <c r="BO572" s="78"/>
      <c r="BP572" s="78"/>
      <c r="BQ572" s="78"/>
      <c r="BR572" s="78"/>
      <c r="BS572" s="78"/>
      <c r="BT572" s="78"/>
      <c r="BU572" s="78"/>
      <c r="BV572" s="78"/>
      <c r="BW572" s="78"/>
      <c r="BX572" s="78"/>
      <c r="BY572" s="78"/>
      <c r="BZ572" s="78"/>
      <c r="CA572" s="78"/>
      <c r="CB572" s="78"/>
      <c r="CC572" s="78"/>
      <c r="CD572" s="78"/>
      <c r="CE572" s="78"/>
      <c r="CF572" s="78"/>
      <c r="CG572" s="78"/>
      <c r="CH572" s="78"/>
      <c r="CI572" s="78"/>
      <c r="CJ572" s="78"/>
      <c r="CK572" s="78"/>
      <c r="CL572" s="78"/>
      <c r="CM572" s="78"/>
      <c r="CN572" s="78"/>
      <c r="CO572" s="78"/>
      <c r="CP572" s="78"/>
      <c r="CQ572" s="78"/>
      <c r="CR572" s="78"/>
      <c r="CS572" s="78"/>
      <c r="CT572" s="78"/>
      <c r="CU572" s="78"/>
      <c r="CV572" s="78"/>
      <c r="CW572" s="78"/>
      <c r="CX572" s="78"/>
      <c r="CY572" s="78"/>
      <c r="CZ572" s="78"/>
      <c r="DA572" s="78"/>
      <c r="DB572" s="78"/>
      <c r="DC572" s="78"/>
      <c r="DD572" s="78"/>
      <c r="DE572" s="78"/>
      <c r="DF572" s="78"/>
      <c r="DG572" s="78"/>
      <c r="DH572" s="78"/>
      <c r="DI572" s="78"/>
      <c r="DJ572" s="78"/>
      <c r="DK572" s="78"/>
      <c r="DL572" s="78"/>
      <c r="DM572" s="78"/>
      <c r="DN572" s="78"/>
      <c r="DO572" s="78"/>
      <c r="DP572" s="78"/>
      <c r="DQ572" s="78"/>
      <c r="DR572" s="78"/>
      <c r="DS572" s="78"/>
      <c r="DT572" s="78"/>
      <c r="DU572" s="78"/>
      <c r="DV572" s="78"/>
      <c r="DW572" s="78"/>
      <c r="DX572" s="78"/>
      <c r="DY572" s="78"/>
      <c r="DZ572" s="78"/>
      <c r="EA572" s="78"/>
      <c r="EB572" s="78"/>
      <c r="EC572" s="78"/>
    </row>
    <row r="574" spans="1:133" ht="15.6" customHeight="1" x14ac:dyDescent="0.25">
      <c r="A574" s="36" t="s">
        <v>79</v>
      </c>
      <c r="B574" s="36"/>
      <c r="C574" s="36"/>
      <c r="D574" s="36"/>
      <c r="E574" s="36"/>
    </row>
    <row r="575" spans="1:133" x14ac:dyDescent="0.25">
      <c r="A575" s="57" t="s">
        <v>9</v>
      </c>
      <c r="B575" s="58" t="s">
        <v>10</v>
      </c>
      <c r="C575" s="34" t="s">
        <v>11</v>
      </c>
      <c r="D575" s="34" t="s">
        <v>12</v>
      </c>
      <c r="E575" s="16" t="s">
        <v>80</v>
      </c>
    </row>
    <row r="576" spans="1:133" ht="46.8" x14ac:dyDescent="0.25">
      <c r="A576" s="59" t="s">
        <v>81</v>
      </c>
      <c r="B576" s="60" t="s">
        <v>28</v>
      </c>
      <c r="C576" s="53" t="s">
        <v>82</v>
      </c>
      <c r="D576" s="53" t="s">
        <v>83</v>
      </c>
      <c r="E576" s="75">
        <v>0</v>
      </c>
    </row>
    <row r="577" spans="1:5" ht="46.8" x14ac:dyDescent="0.25">
      <c r="A577" s="63" t="s">
        <v>84</v>
      </c>
      <c r="B577" s="25" t="s">
        <v>85</v>
      </c>
      <c r="C577" s="35" t="s">
        <v>86</v>
      </c>
      <c r="D577" s="35" t="str">
        <f>D583</f>
        <v>Historical data on site in the FSR (It was calculated with conservative value)</v>
      </c>
      <c r="E577" s="74">
        <f>E583</f>
        <v>344.04193548387093</v>
      </c>
    </row>
    <row r="579" spans="1:5" ht="15.6" customHeight="1" x14ac:dyDescent="0.25">
      <c r="A579" s="91" t="s">
        <v>87</v>
      </c>
      <c r="B579" s="91"/>
      <c r="C579" s="92"/>
      <c r="D579" s="92"/>
      <c r="E579" s="91"/>
    </row>
    <row r="580" spans="1:5" x14ac:dyDescent="0.25">
      <c r="A580" s="59" t="s">
        <v>9</v>
      </c>
      <c r="B580" s="16" t="s">
        <v>10</v>
      </c>
      <c r="C580" s="38" t="s">
        <v>11</v>
      </c>
      <c r="D580" s="38" t="s">
        <v>12</v>
      </c>
      <c r="E580" s="16" t="s">
        <v>80</v>
      </c>
    </row>
    <row r="581" spans="1:5" ht="33.6" x14ac:dyDescent="0.4">
      <c r="A581" s="76" t="s">
        <v>88</v>
      </c>
      <c r="B581" s="25" t="s">
        <v>89</v>
      </c>
      <c r="C581" s="35" t="s">
        <v>90</v>
      </c>
      <c r="D581" s="35" t="s">
        <v>350</v>
      </c>
      <c r="E581" s="50">
        <f>E582*E585*E586*E587*E588*E589</f>
        <v>4.5089626698001091</v>
      </c>
    </row>
    <row r="582" spans="1:5" ht="46.8" x14ac:dyDescent="0.4">
      <c r="A582" s="77" t="s">
        <v>223</v>
      </c>
      <c r="B582" s="25" t="s">
        <v>91</v>
      </c>
      <c r="C582" s="35" t="s">
        <v>92</v>
      </c>
      <c r="D582" s="35" t="s">
        <v>351</v>
      </c>
      <c r="E582" s="52">
        <f>E583/E584</f>
        <v>68.808387096774183</v>
      </c>
    </row>
    <row r="583" spans="1:5" ht="46.8" x14ac:dyDescent="0.25">
      <c r="A583" s="63" t="s">
        <v>224</v>
      </c>
      <c r="B583" s="25" t="s">
        <v>93</v>
      </c>
      <c r="C583" s="35" t="s">
        <v>94</v>
      </c>
      <c r="D583" s="53" t="s">
        <v>322</v>
      </c>
      <c r="E583" s="52">
        <v>344.04193548387093</v>
      </c>
    </row>
    <row r="584" spans="1:5" ht="31.2" x14ac:dyDescent="0.25">
      <c r="A584" s="63" t="s">
        <v>225</v>
      </c>
      <c r="B584" s="25" t="s">
        <v>95</v>
      </c>
      <c r="C584" s="35" t="s">
        <v>96</v>
      </c>
      <c r="D584" s="35" t="s">
        <v>327</v>
      </c>
      <c r="E584" s="25">
        <f>5</f>
        <v>5</v>
      </c>
    </row>
    <row r="585" spans="1:5" ht="62.4" x14ac:dyDescent="0.25">
      <c r="A585" s="63" t="s">
        <v>226</v>
      </c>
      <c r="B585" s="25" t="s">
        <v>97</v>
      </c>
      <c r="C585" s="35" t="s">
        <v>98</v>
      </c>
      <c r="D585" s="53" t="s">
        <v>327</v>
      </c>
      <c r="E585" s="25">
        <f>48.4*2</f>
        <v>96.8</v>
      </c>
    </row>
    <row r="586" spans="1:5" ht="171.6" x14ac:dyDescent="0.25">
      <c r="A586" s="63" t="s">
        <v>227</v>
      </c>
      <c r="B586" s="25" t="s">
        <v>99</v>
      </c>
      <c r="C586" s="35" t="s">
        <v>100</v>
      </c>
      <c r="D586" s="35" t="s">
        <v>339</v>
      </c>
      <c r="E586" s="25">
        <f>25.1/100</f>
        <v>0.251</v>
      </c>
    </row>
    <row r="587" spans="1:5" ht="140.4" x14ac:dyDescent="0.25">
      <c r="A587" s="63" t="s">
        <v>228</v>
      </c>
      <c r="B587" s="25" t="s">
        <v>102</v>
      </c>
      <c r="C587" s="35" t="s">
        <v>101</v>
      </c>
      <c r="D587" s="35" t="s">
        <v>336</v>
      </c>
      <c r="E587" s="25">
        <f>0.84/1000</f>
        <v>8.3999999999999993E-4</v>
      </c>
    </row>
    <row r="588" spans="1:5" ht="140.4" x14ac:dyDescent="0.25">
      <c r="A588" s="63" t="s">
        <v>229</v>
      </c>
      <c r="B588" s="25" t="s">
        <v>103</v>
      </c>
      <c r="C588" s="35" t="s">
        <v>104</v>
      </c>
      <c r="D588" s="35" t="s">
        <v>334</v>
      </c>
      <c r="E588" s="25">
        <f>43.33/1000</f>
        <v>4.333E-2</v>
      </c>
    </row>
    <row r="589" spans="1:5" ht="62.4" x14ac:dyDescent="0.25">
      <c r="A589" s="63" t="s">
        <v>230</v>
      </c>
      <c r="B589" s="25" t="s">
        <v>105</v>
      </c>
      <c r="C589" s="35" t="s">
        <v>106</v>
      </c>
      <c r="D589" s="35" t="s">
        <v>332</v>
      </c>
      <c r="E589" s="25">
        <v>74.099999999999994</v>
      </c>
    </row>
    <row r="591" spans="1:5" ht="15.6" customHeight="1" x14ac:dyDescent="0.25">
      <c r="A591" s="36" t="s">
        <v>108</v>
      </c>
      <c r="B591" s="36"/>
      <c r="C591" s="36"/>
      <c r="D591" s="36"/>
      <c r="E591" s="36"/>
    </row>
    <row r="592" spans="1:5" x14ac:dyDescent="0.25">
      <c r="A592" s="57" t="s">
        <v>9</v>
      </c>
      <c r="B592" s="58" t="s">
        <v>10</v>
      </c>
      <c r="C592" s="34" t="s">
        <v>11</v>
      </c>
      <c r="D592" s="34" t="s">
        <v>12</v>
      </c>
      <c r="E592" s="16" t="s">
        <v>80</v>
      </c>
    </row>
    <row r="593" spans="1:133" ht="64.8" x14ac:dyDescent="0.25">
      <c r="A593" s="15" t="s">
        <v>109</v>
      </c>
      <c r="B593" s="25" t="s">
        <v>110</v>
      </c>
      <c r="C593" s="35" t="s">
        <v>111</v>
      </c>
      <c r="D593" s="35" t="s">
        <v>112</v>
      </c>
      <c r="E593" s="16">
        <v>0</v>
      </c>
    </row>
    <row r="595" spans="1:133" ht="15.6" customHeight="1" x14ac:dyDescent="0.25">
      <c r="A595" s="36" t="s">
        <v>113</v>
      </c>
      <c r="B595" s="36"/>
      <c r="C595" s="36"/>
      <c r="D595" s="36"/>
      <c r="E595" s="36"/>
    </row>
    <row r="596" spans="1:133" x14ac:dyDescent="0.25">
      <c r="A596" s="57" t="s">
        <v>9</v>
      </c>
      <c r="B596" s="58" t="s">
        <v>10</v>
      </c>
      <c r="C596" s="34" t="s">
        <v>11</v>
      </c>
      <c r="D596" s="34" t="s">
        <v>12</v>
      </c>
      <c r="E596" s="16" t="s">
        <v>80</v>
      </c>
    </row>
    <row r="597" spans="1:133" ht="49.2" x14ac:dyDescent="0.25">
      <c r="A597" s="15" t="s">
        <v>114</v>
      </c>
      <c r="B597" s="25" t="s">
        <v>110</v>
      </c>
      <c r="C597" s="35" t="s">
        <v>115</v>
      </c>
      <c r="D597" s="35" t="s">
        <v>116</v>
      </c>
      <c r="E597" s="16">
        <v>0</v>
      </c>
    </row>
    <row r="599" spans="1:133" x14ac:dyDescent="0.25">
      <c r="A599" s="57" t="s">
        <v>9</v>
      </c>
      <c r="B599" s="58" t="s">
        <v>10</v>
      </c>
      <c r="C599" s="34" t="s">
        <v>11</v>
      </c>
      <c r="D599" s="34" t="s">
        <v>12</v>
      </c>
      <c r="E599" s="16" t="s">
        <v>80</v>
      </c>
    </row>
    <row r="600" spans="1:133" ht="18" x14ac:dyDescent="0.25">
      <c r="A600" s="59" t="s">
        <v>117</v>
      </c>
      <c r="B600" s="25" t="s">
        <v>118</v>
      </c>
      <c r="C600" s="35" t="s">
        <v>119</v>
      </c>
      <c r="D600" s="53" t="s">
        <v>352</v>
      </c>
      <c r="E600" s="18">
        <f>ROUNDDOWN(E550+E581+E576+E593+E597,0)</f>
        <v>3850</v>
      </c>
    </row>
    <row r="601" spans="1:133" s="136" customFormat="1" ht="38.4" customHeight="1" x14ac:dyDescent="0.25">
      <c r="A601" s="143" t="s">
        <v>254</v>
      </c>
      <c r="B601" s="144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  <c r="AJ601" s="144"/>
      <c r="AK601" s="144"/>
      <c r="AL601" s="144"/>
      <c r="AM601" s="144"/>
      <c r="AN601" s="144"/>
      <c r="AO601" s="144"/>
      <c r="AP601" s="144"/>
      <c r="AQ601" s="144"/>
      <c r="AR601" s="144"/>
      <c r="AS601" s="144"/>
      <c r="AT601" s="144"/>
      <c r="AU601" s="144"/>
      <c r="AV601" s="144"/>
      <c r="AW601" s="144"/>
      <c r="AX601" s="144"/>
      <c r="AY601" s="144"/>
      <c r="AZ601" s="144"/>
      <c r="BA601" s="144"/>
      <c r="BB601" s="144"/>
      <c r="BC601" s="144"/>
      <c r="BD601" s="144"/>
      <c r="BE601" s="144"/>
      <c r="BF601" s="144"/>
      <c r="BG601" s="144"/>
      <c r="BH601" s="144"/>
      <c r="BI601" s="144"/>
      <c r="BJ601" s="144"/>
      <c r="BK601" s="144"/>
      <c r="BL601" s="144"/>
      <c r="BM601" s="144"/>
      <c r="BN601" s="144"/>
      <c r="BO601" s="144"/>
      <c r="BP601" s="144"/>
      <c r="BQ601" s="144"/>
      <c r="BR601" s="144"/>
      <c r="BS601" s="144"/>
      <c r="BT601" s="144"/>
      <c r="BU601" s="144"/>
      <c r="BV601" s="144"/>
      <c r="BW601" s="144"/>
      <c r="BX601" s="144"/>
      <c r="BY601" s="144"/>
      <c r="BZ601" s="144"/>
      <c r="CA601" s="144"/>
      <c r="CB601" s="144"/>
      <c r="CC601" s="144"/>
      <c r="CD601" s="144"/>
      <c r="CE601" s="144"/>
      <c r="CF601" s="144"/>
      <c r="CG601" s="144"/>
      <c r="CH601" s="144"/>
      <c r="CI601" s="144"/>
      <c r="CJ601" s="144"/>
      <c r="CK601" s="144"/>
      <c r="CL601" s="144"/>
      <c r="CM601" s="144"/>
      <c r="CN601" s="144"/>
      <c r="CO601" s="144"/>
      <c r="CP601" s="144"/>
      <c r="CQ601" s="144"/>
      <c r="CR601" s="144"/>
      <c r="CS601" s="144"/>
      <c r="CT601" s="144"/>
      <c r="CU601" s="144"/>
      <c r="CV601" s="144"/>
      <c r="CW601" s="144"/>
      <c r="CX601" s="144"/>
      <c r="CY601" s="144"/>
      <c r="CZ601" s="144"/>
      <c r="DA601" s="144"/>
      <c r="DB601" s="144"/>
      <c r="DC601" s="144"/>
      <c r="DD601" s="144"/>
      <c r="DE601" s="144"/>
      <c r="DF601" s="144"/>
      <c r="DG601" s="144"/>
      <c r="DH601" s="144"/>
      <c r="DI601" s="144"/>
      <c r="DJ601" s="144"/>
      <c r="DK601" s="144"/>
      <c r="DL601" s="144"/>
      <c r="DM601" s="144"/>
      <c r="DN601" s="144"/>
      <c r="DO601" s="144"/>
      <c r="DP601" s="144"/>
      <c r="DQ601" s="144"/>
      <c r="DR601" s="144"/>
      <c r="DS601" s="144"/>
      <c r="DT601" s="144"/>
      <c r="DU601" s="144"/>
      <c r="DV601" s="144"/>
      <c r="DW601" s="144"/>
      <c r="DX601" s="144"/>
      <c r="DY601" s="144"/>
      <c r="DZ601" s="144"/>
      <c r="EA601" s="144"/>
      <c r="EB601" s="144"/>
      <c r="EC601" s="145"/>
    </row>
    <row r="602" spans="1:133" s="138" customFormat="1" ht="43.2" customHeight="1" x14ac:dyDescent="0.25">
      <c r="A602" s="140" t="s">
        <v>255</v>
      </c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  <c r="AB602" s="141"/>
      <c r="AC602" s="141"/>
      <c r="AD602" s="141"/>
      <c r="AE602" s="141"/>
      <c r="AF602" s="141"/>
      <c r="AG602" s="141"/>
      <c r="AH602" s="141"/>
      <c r="AI602" s="141"/>
      <c r="AJ602" s="141"/>
      <c r="AK602" s="141"/>
      <c r="AL602" s="141"/>
      <c r="AM602" s="141"/>
      <c r="AN602" s="141"/>
      <c r="AO602" s="141"/>
      <c r="AP602" s="141"/>
      <c r="AQ602" s="141"/>
      <c r="AR602" s="141"/>
      <c r="AS602" s="141"/>
      <c r="AT602" s="141"/>
      <c r="AU602" s="141"/>
      <c r="AV602" s="141"/>
      <c r="AW602" s="141"/>
      <c r="AX602" s="141"/>
      <c r="AY602" s="141"/>
      <c r="AZ602" s="141"/>
      <c r="BA602" s="141"/>
      <c r="BB602" s="141"/>
      <c r="BC602" s="141"/>
      <c r="BD602" s="141"/>
      <c r="BE602" s="141"/>
      <c r="BF602" s="141"/>
      <c r="BG602" s="141"/>
      <c r="BH602" s="141"/>
      <c r="BI602" s="141"/>
      <c r="BJ602" s="141"/>
      <c r="BK602" s="141"/>
      <c r="BL602" s="141"/>
      <c r="BM602" s="141"/>
      <c r="BN602" s="141"/>
      <c r="BO602" s="141"/>
      <c r="BP602" s="141"/>
      <c r="BQ602" s="141"/>
      <c r="BR602" s="141"/>
      <c r="BS602" s="141"/>
      <c r="BT602" s="141"/>
      <c r="BU602" s="141"/>
      <c r="BV602" s="141"/>
      <c r="BW602" s="141"/>
      <c r="BX602" s="141"/>
      <c r="BY602" s="141"/>
      <c r="BZ602" s="141"/>
      <c r="CA602" s="141"/>
      <c r="CB602" s="141"/>
      <c r="CC602" s="141"/>
      <c r="CD602" s="141"/>
      <c r="CE602" s="141"/>
      <c r="CF602" s="141"/>
      <c r="CG602" s="141"/>
      <c r="CH602" s="141"/>
      <c r="CI602" s="141"/>
      <c r="CJ602" s="141"/>
      <c r="CK602" s="141"/>
      <c r="CL602" s="141"/>
      <c r="CM602" s="141"/>
      <c r="CN602" s="141"/>
      <c r="CO602" s="141"/>
      <c r="CP602" s="141"/>
      <c r="CQ602" s="141"/>
      <c r="CR602" s="141"/>
      <c r="CS602" s="141"/>
      <c r="CT602" s="141"/>
      <c r="CU602" s="141"/>
      <c r="CV602" s="141"/>
      <c r="CW602" s="141"/>
      <c r="CX602" s="141"/>
      <c r="CY602" s="141"/>
      <c r="CZ602" s="141"/>
      <c r="DA602" s="141"/>
      <c r="DB602" s="141"/>
      <c r="DC602" s="141"/>
      <c r="DD602" s="141"/>
      <c r="DE602" s="141"/>
      <c r="DF602" s="141"/>
      <c r="DG602" s="141"/>
      <c r="DH602" s="141"/>
      <c r="DI602" s="141"/>
      <c r="DJ602" s="141"/>
      <c r="DK602" s="141"/>
      <c r="DL602" s="141"/>
      <c r="DM602" s="141"/>
      <c r="DN602" s="141"/>
      <c r="DO602" s="141"/>
      <c r="DP602" s="141"/>
      <c r="DQ602" s="141"/>
      <c r="DR602" s="141"/>
      <c r="DS602" s="141"/>
      <c r="DT602" s="141"/>
      <c r="DU602" s="141"/>
      <c r="DV602" s="141"/>
      <c r="DW602" s="141"/>
      <c r="DX602" s="141"/>
      <c r="DY602" s="141"/>
      <c r="DZ602" s="141"/>
      <c r="EA602" s="141"/>
      <c r="EB602" s="141"/>
      <c r="EC602" s="142"/>
    </row>
    <row r="603" spans="1:133" s="56" customFormat="1" x14ac:dyDescent="0.25">
      <c r="A603" s="93" t="s">
        <v>9</v>
      </c>
      <c r="B603" s="94" t="s">
        <v>10</v>
      </c>
      <c r="C603" s="95" t="s">
        <v>11</v>
      </c>
      <c r="D603" s="95" t="s">
        <v>12</v>
      </c>
      <c r="E603" s="94" t="s">
        <v>13</v>
      </c>
      <c r="F603" s="96" t="s">
        <v>14</v>
      </c>
      <c r="G603" s="96" t="s">
        <v>15</v>
      </c>
      <c r="H603" s="96" t="s">
        <v>16</v>
      </c>
      <c r="I603" s="96" t="s">
        <v>17</v>
      </c>
      <c r="J603" s="96" t="s">
        <v>18</v>
      </c>
      <c r="K603" s="96" t="s">
        <v>19</v>
      </c>
      <c r="L603" s="96" t="s">
        <v>20</v>
      </c>
      <c r="M603" s="96" t="s">
        <v>21</v>
      </c>
      <c r="N603" s="96" t="s">
        <v>22</v>
      </c>
      <c r="O603" s="96" t="s">
        <v>23</v>
      </c>
      <c r="P603" s="96" t="s">
        <v>24</v>
      </c>
      <c r="Q603" s="96" t="s">
        <v>25</v>
      </c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  <c r="AL603" s="54"/>
      <c r="AM603" s="54"/>
      <c r="AN603" s="54"/>
      <c r="AO603" s="54"/>
      <c r="AP603" s="54"/>
      <c r="AQ603" s="54"/>
      <c r="AR603" s="54"/>
      <c r="AS603" s="54"/>
      <c r="AT603" s="54"/>
      <c r="AU603" s="54"/>
      <c r="AV603" s="54"/>
      <c r="AW603" s="54"/>
      <c r="AX603" s="54"/>
      <c r="AY603" s="54"/>
      <c r="AZ603" s="54"/>
      <c r="BA603" s="54"/>
      <c r="BB603" s="54"/>
      <c r="BC603" s="54"/>
      <c r="BD603" s="54"/>
      <c r="BE603" s="54"/>
      <c r="BF603" s="54"/>
      <c r="BG603" s="54"/>
      <c r="BH603" s="54"/>
      <c r="BI603" s="54"/>
      <c r="BJ603" s="54"/>
      <c r="BK603" s="54"/>
      <c r="BL603" s="54"/>
      <c r="BM603" s="54"/>
      <c r="BN603" s="54"/>
      <c r="BO603" s="54"/>
      <c r="BP603" s="54"/>
      <c r="BQ603" s="54"/>
      <c r="BR603" s="54"/>
      <c r="BS603" s="54"/>
      <c r="BT603" s="54"/>
      <c r="BU603" s="54"/>
      <c r="BV603" s="54"/>
      <c r="BW603" s="54"/>
      <c r="BX603" s="54"/>
      <c r="BY603" s="54"/>
      <c r="BZ603" s="54"/>
      <c r="CA603" s="54"/>
      <c r="CB603" s="54"/>
      <c r="CC603" s="54"/>
      <c r="CD603" s="54"/>
      <c r="CE603" s="54"/>
      <c r="CF603" s="54"/>
      <c r="CG603" s="54"/>
      <c r="CH603" s="54"/>
      <c r="CI603" s="54"/>
      <c r="CJ603" s="54"/>
      <c r="CK603" s="54"/>
      <c r="CL603" s="54"/>
      <c r="CM603" s="54"/>
      <c r="CN603" s="54"/>
      <c r="CO603" s="54"/>
      <c r="CP603" s="54"/>
      <c r="CQ603" s="54"/>
      <c r="CR603" s="54"/>
      <c r="CS603" s="54"/>
      <c r="CT603" s="54"/>
      <c r="CU603" s="54"/>
      <c r="CV603" s="54"/>
      <c r="CW603" s="54"/>
      <c r="CX603" s="54"/>
      <c r="CY603" s="54"/>
      <c r="CZ603" s="54"/>
      <c r="DA603" s="54"/>
      <c r="DB603" s="54"/>
      <c r="DC603" s="54"/>
      <c r="DD603" s="54"/>
      <c r="DE603" s="54"/>
      <c r="DF603" s="54"/>
      <c r="DG603" s="54"/>
      <c r="DH603" s="54"/>
      <c r="DI603" s="54"/>
      <c r="DJ603" s="54"/>
      <c r="DK603" s="54"/>
      <c r="DL603" s="54"/>
      <c r="DM603" s="54"/>
      <c r="DN603" s="54"/>
      <c r="DO603" s="54"/>
      <c r="DP603" s="54"/>
      <c r="DQ603" s="54"/>
      <c r="DR603" s="54"/>
      <c r="DS603" s="54"/>
      <c r="DT603" s="54"/>
      <c r="DU603" s="54"/>
      <c r="DV603" s="54"/>
      <c r="DW603" s="54"/>
      <c r="DX603" s="54"/>
      <c r="DY603" s="54"/>
      <c r="DZ603" s="54"/>
      <c r="EA603" s="54"/>
      <c r="EB603" s="54"/>
      <c r="EC603" s="54"/>
    </row>
    <row r="604" spans="1:133" s="56" customFormat="1" x14ac:dyDescent="0.25">
      <c r="A604" s="58" t="s">
        <v>26</v>
      </c>
      <c r="B604" s="58"/>
      <c r="C604" s="34"/>
      <c r="D604" s="34"/>
      <c r="E604" s="58"/>
      <c r="F604" s="16">
        <v>31</v>
      </c>
      <c r="G604" s="16">
        <v>28</v>
      </c>
      <c r="H604" s="16">
        <v>31</v>
      </c>
      <c r="I604" s="16">
        <v>30</v>
      </c>
      <c r="J604" s="16">
        <v>31</v>
      </c>
      <c r="K604" s="16">
        <v>30</v>
      </c>
      <c r="L604" s="16">
        <v>31</v>
      </c>
      <c r="M604" s="16">
        <v>31</v>
      </c>
      <c r="N604" s="16">
        <v>30</v>
      </c>
      <c r="O604" s="16">
        <v>31</v>
      </c>
      <c r="P604" s="16">
        <v>30</v>
      </c>
      <c r="Q604" s="16">
        <v>31</v>
      </c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  <c r="AK604" s="54"/>
      <c r="AL604" s="54"/>
      <c r="AM604" s="54"/>
      <c r="AN604" s="54"/>
      <c r="AO604" s="54"/>
      <c r="AP604" s="54"/>
      <c r="AQ604" s="54"/>
      <c r="AR604" s="54"/>
      <c r="AS604" s="54"/>
      <c r="AT604" s="54"/>
      <c r="AU604" s="54"/>
      <c r="AV604" s="54"/>
      <c r="AW604" s="54"/>
      <c r="AX604" s="54"/>
      <c r="AY604" s="54"/>
      <c r="AZ604" s="54"/>
      <c r="BA604" s="54"/>
      <c r="BB604" s="54"/>
      <c r="BC604" s="54"/>
      <c r="BD604" s="54"/>
      <c r="BE604" s="54"/>
      <c r="BF604" s="54"/>
      <c r="BG604" s="54"/>
      <c r="BH604" s="54"/>
      <c r="BI604" s="54"/>
      <c r="BJ604" s="54"/>
      <c r="BK604" s="54"/>
      <c r="BL604" s="54"/>
      <c r="BM604" s="54"/>
      <c r="BN604" s="54"/>
      <c r="BO604" s="54"/>
      <c r="BP604" s="54"/>
      <c r="BQ604" s="54"/>
      <c r="BR604" s="54"/>
      <c r="BS604" s="54"/>
      <c r="BT604" s="54"/>
      <c r="BU604" s="54"/>
      <c r="BV604" s="54"/>
      <c r="BW604" s="54"/>
      <c r="BX604" s="54"/>
      <c r="BY604" s="54"/>
      <c r="BZ604" s="54"/>
      <c r="CA604" s="54"/>
      <c r="CB604" s="54"/>
      <c r="CC604" s="54"/>
      <c r="CD604" s="54"/>
      <c r="CE604" s="54"/>
      <c r="CF604" s="54"/>
      <c r="CG604" s="54"/>
      <c r="CH604" s="54"/>
      <c r="CI604" s="54"/>
      <c r="CJ604" s="54"/>
      <c r="CK604" s="54"/>
      <c r="CL604" s="54"/>
      <c r="CM604" s="54"/>
      <c r="CN604" s="54"/>
      <c r="CO604" s="54"/>
      <c r="CP604" s="54"/>
      <c r="CQ604" s="54"/>
      <c r="CR604" s="54"/>
      <c r="CS604" s="54"/>
      <c r="CT604" s="54"/>
      <c r="CU604" s="54"/>
      <c r="CV604" s="54"/>
      <c r="CW604" s="54"/>
      <c r="CX604" s="54"/>
      <c r="CY604" s="54"/>
      <c r="CZ604" s="54"/>
      <c r="DA604" s="54"/>
      <c r="DB604" s="54"/>
      <c r="DC604" s="54"/>
      <c r="DD604" s="54"/>
      <c r="DE604" s="54"/>
      <c r="DF604" s="54"/>
      <c r="DG604" s="54"/>
      <c r="DH604" s="54"/>
      <c r="DI604" s="54"/>
      <c r="DJ604" s="54"/>
      <c r="DK604" s="54"/>
      <c r="DL604" s="54"/>
      <c r="DM604" s="54"/>
      <c r="DN604" s="54"/>
      <c r="DO604" s="54"/>
      <c r="DP604" s="54"/>
      <c r="DQ604" s="54"/>
      <c r="DR604" s="54"/>
      <c r="DS604" s="54"/>
      <c r="DT604" s="54"/>
      <c r="DU604" s="54"/>
      <c r="DV604" s="54"/>
      <c r="DW604" s="54"/>
      <c r="DX604" s="54"/>
      <c r="DY604" s="54"/>
      <c r="DZ604" s="54"/>
      <c r="EA604" s="54"/>
      <c r="EB604" s="54"/>
      <c r="EC604" s="54"/>
    </row>
    <row r="605" spans="1:133" ht="46.8" x14ac:dyDescent="0.25">
      <c r="A605" s="59" t="s">
        <v>27</v>
      </c>
      <c r="B605" s="60" t="s">
        <v>28</v>
      </c>
      <c r="C605" s="53" t="s">
        <v>29</v>
      </c>
      <c r="D605" s="53" t="s">
        <v>340</v>
      </c>
      <c r="E605" s="61">
        <f>SUM(F605:Q605)</f>
        <v>2693.6149758984634</v>
      </c>
      <c r="F605" s="62">
        <f>$E$6*$E$7*F608*$E$19</f>
        <v>228.77277877493796</v>
      </c>
      <c r="G605" s="62">
        <f t="shared" ref="G605:Q605" si="88">$E$6*$E$7*G608*$E$19</f>
        <v>206.63347760316969</v>
      </c>
      <c r="H605" s="62">
        <f t="shared" si="88"/>
        <v>228.77277877493796</v>
      </c>
      <c r="I605" s="62">
        <f t="shared" si="88"/>
        <v>221.39301171768187</v>
      </c>
      <c r="J605" s="62">
        <f t="shared" si="88"/>
        <v>228.77277877493796</v>
      </c>
      <c r="K605" s="62">
        <f t="shared" si="88"/>
        <v>221.39301171768187</v>
      </c>
      <c r="L605" s="62">
        <f t="shared" si="88"/>
        <v>228.77277877493796</v>
      </c>
      <c r="M605" s="62">
        <f t="shared" si="88"/>
        <v>228.77277877493796</v>
      </c>
      <c r="N605" s="62">
        <f t="shared" si="88"/>
        <v>221.39301171768187</v>
      </c>
      <c r="O605" s="62">
        <f t="shared" si="88"/>
        <v>228.77277877493796</v>
      </c>
      <c r="P605" s="62">
        <f t="shared" si="88"/>
        <v>221.39301171768187</v>
      </c>
      <c r="Q605" s="62">
        <f t="shared" si="88"/>
        <v>228.77277877493796</v>
      </c>
    </row>
    <row r="606" spans="1:133" ht="31.2" x14ac:dyDescent="0.25">
      <c r="A606" s="63" t="s">
        <v>30</v>
      </c>
      <c r="B606" s="60" t="s">
        <v>208</v>
      </c>
      <c r="C606" s="35" t="s">
        <v>31</v>
      </c>
      <c r="D606" s="35" t="s">
        <v>220</v>
      </c>
      <c r="E606" s="25">
        <v>28</v>
      </c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</row>
    <row r="607" spans="1:133" ht="64.8" x14ac:dyDescent="0.25">
      <c r="A607" s="63" t="s">
        <v>32</v>
      </c>
      <c r="B607" s="25" t="s">
        <v>209</v>
      </c>
      <c r="C607" s="35" t="s">
        <v>34</v>
      </c>
      <c r="D607" s="35" t="s">
        <v>373</v>
      </c>
      <c r="E607" s="25">
        <v>0.21</v>
      </c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</row>
    <row r="608" spans="1:133" ht="46.8" x14ac:dyDescent="0.25">
      <c r="A608" s="35" t="s">
        <v>35</v>
      </c>
      <c r="B608" s="25" t="s">
        <v>210</v>
      </c>
      <c r="C608" s="53" t="s">
        <v>36</v>
      </c>
      <c r="D608" s="53" t="s">
        <v>341</v>
      </c>
      <c r="E608" s="64">
        <f t="shared" ref="E608:Q608" si="89">E616*E609</f>
        <v>848.52033868040019</v>
      </c>
      <c r="F608" s="64">
        <f t="shared" si="89"/>
        <v>72.066110956417546</v>
      </c>
      <c r="G608" s="64">
        <f t="shared" si="89"/>
        <v>65.09197118644164</v>
      </c>
      <c r="H608" s="64">
        <f t="shared" si="89"/>
        <v>72.066110956417546</v>
      </c>
      <c r="I608" s="64">
        <f t="shared" si="89"/>
        <v>69.741397699758906</v>
      </c>
      <c r="J608" s="64">
        <f t="shared" si="89"/>
        <v>72.066110956417546</v>
      </c>
      <c r="K608" s="64">
        <f t="shared" si="89"/>
        <v>69.741397699758906</v>
      </c>
      <c r="L608" s="64">
        <f t="shared" si="89"/>
        <v>72.066110956417546</v>
      </c>
      <c r="M608" s="64">
        <f t="shared" si="89"/>
        <v>72.066110956417546</v>
      </c>
      <c r="N608" s="64">
        <f t="shared" si="89"/>
        <v>69.741397699758906</v>
      </c>
      <c r="O608" s="64">
        <f t="shared" si="89"/>
        <v>72.066110956417546</v>
      </c>
      <c r="P608" s="64">
        <f t="shared" si="89"/>
        <v>69.741397699758906</v>
      </c>
      <c r="Q608" s="64">
        <f t="shared" si="89"/>
        <v>72.066110956417546</v>
      </c>
    </row>
    <row r="609" spans="1:133" ht="46.8" x14ac:dyDescent="0.25">
      <c r="A609" s="35" t="s">
        <v>37</v>
      </c>
      <c r="B609" s="25" t="s">
        <v>212</v>
      </c>
      <c r="C609" s="35" t="s">
        <v>206</v>
      </c>
      <c r="D609" s="35" t="s">
        <v>342</v>
      </c>
      <c r="E609" s="20">
        <f>SUM(F609:Q609)</f>
        <v>894.25000000000011</v>
      </c>
      <c r="F609" s="20">
        <f>F611*F614</f>
        <v>75.95</v>
      </c>
      <c r="G609" s="20">
        <f t="shared" ref="G609:Q609" si="90">G611*G614</f>
        <v>68.599999999999994</v>
      </c>
      <c r="H609" s="20">
        <f t="shared" si="90"/>
        <v>75.95</v>
      </c>
      <c r="I609" s="20">
        <f t="shared" si="90"/>
        <v>73.5</v>
      </c>
      <c r="J609" s="20">
        <f t="shared" si="90"/>
        <v>75.95</v>
      </c>
      <c r="K609" s="20">
        <f t="shared" si="90"/>
        <v>73.5</v>
      </c>
      <c r="L609" s="20">
        <f t="shared" si="90"/>
        <v>75.95</v>
      </c>
      <c r="M609" s="20">
        <f t="shared" si="90"/>
        <v>75.95</v>
      </c>
      <c r="N609" s="20">
        <f t="shared" si="90"/>
        <v>73.5</v>
      </c>
      <c r="O609" s="20">
        <f t="shared" si="90"/>
        <v>75.95</v>
      </c>
      <c r="P609" s="20">
        <f t="shared" si="90"/>
        <v>73.5</v>
      </c>
      <c r="Q609" s="20">
        <f t="shared" si="90"/>
        <v>75.95</v>
      </c>
    </row>
    <row r="610" spans="1:133" ht="46.8" x14ac:dyDescent="0.3">
      <c r="A610" s="51" t="s">
        <v>221</v>
      </c>
      <c r="B610" s="60" t="s">
        <v>207</v>
      </c>
      <c r="C610" s="35" t="s">
        <v>39</v>
      </c>
      <c r="D610" s="35" t="s">
        <v>222</v>
      </c>
      <c r="E610" s="20">
        <v>7000</v>
      </c>
      <c r="F610" s="20">
        <v>7000</v>
      </c>
      <c r="G610" s="20">
        <v>7000</v>
      </c>
      <c r="H610" s="20">
        <v>7000</v>
      </c>
      <c r="I610" s="20">
        <v>7000</v>
      </c>
      <c r="J610" s="20">
        <v>7000</v>
      </c>
      <c r="K610" s="20">
        <v>7000</v>
      </c>
      <c r="L610" s="20">
        <v>7000</v>
      </c>
      <c r="M610" s="20">
        <v>7000</v>
      </c>
      <c r="N610" s="20">
        <v>7000</v>
      </c>
      <c r="O610" s="20">
        <v>7000</v>
      </c>
      <c r="P610" s="20">
        <v>7000</v>
      </c>
      <c r="Q610" s="20">
        <v>7000</v>
      </c>
    </row>
    <row r="611" spans="1:133" ht="46.8" x14ac:dyDescent="0.25">
      <c r="A611" s="35" t="s">
        <v>41</v>
      </c>
      <c r="B611" s="60" t="s">
        <v>213</v>
      </c>
      <c r="C611" s="35" t="s">
        <v>42</v>
      </c>
      <c r="D611" s="35" t="s">
        <v>326</v>
      </c>
      <c r="E611" s="65">
        <f>SUM(F611:Q611)</f>
        <v>2555000</v>
      </c>
      <c r="F611" s="65">
        <f>F610*F604</f>
        <v>217000</v>
      </c>
      <c r="G611" s="65">
        <f t="shared" ref="G611:Q611" si="91">G610*G604</f>
        <v>196000</v>
      </c>
      <c r="H611" s="65">
        <f t="shared" si="91"/>
        <v>217000</v>
      </c>
      <c r="I611" s="65">
        <f t="shared" si="91"/>
        <v>210000</v>
      </c>
      <c r="J611" s="65">
        <f t="shared" si="91"/>
        <v>217000</v>
      </c>
      <c r="K611" s="65">
        <f t="shared" si="91"/>
        <v>210000</v>
      </c>
      <c r="L611" s="65">
        <f t="shared" si="91"/>
        <v>217000</v>
      </c>
      <c r="M611" s="65">
        <f t="shared" si="91"/>
        <v>217000</v>
      </c>
      <c r="N611" s="65">
        <f t="shared" si="91"/>
        <v>210000</v>
      </c>
      <c r="O611" s="65">
        <f t="shared" si="91"/>
        <v>217000</v>
      </c>
      <c r="P611" s="65">
        <f t="shared" si="91"/>
        <v>210000</v>
      </c>
      <c r="Q611" s="65">
        <f t="shared" si="91"/>
        <v>217000</v>
      </c>
    </row>
    <row r="612" spans="1:133" ht="62.4" x14ac:dyDescent="0.25">
      <c r="A612" s="35" t="s">
        <v>43</v>
      </c>
      <c r="B612" s="60" t="s">
        <v>214</v>
      </c>
      <c r="C612" s="35" t="s">
        <v>44</v>
      </c>
      <c r="D612" s="35" t="s">
        <v>40</v>
      </c>
      <c r="E612" s="66">
        <v>350</v>
      </c>
      <c r="F612" s="66">
        <v>350</v>
      </c>
      <c r="G612" s="66">
        <v>350</v>
      </c>
      <c r="H612" s="66">
        <v>350</v>
      </c>
      <c r="I612" s="66">
        <v>350</v>
      </c>
      <c r="J612" s="66">
        <v>350</v>
      </c>
      <c r="K612" s="66">
        <v>350</v>
      </c>
      <c r="L612" s="66">
        <v>350</v>
      </c>
      <c r="M612" s="66">
        <v>350</v>
      </c>
      <c r="N612" s="66">
        <v>350</v>
      </c>
      <c r="O612" s="66">
        <v>350</v>
      </c>
      <c r="P612" s="66">
        <v>350</v>
      </c>
      <c r="Q612" s="66">
        <v>350</v>
      </c>
    </row>
    <row r="613" spans="1:133" ht="62.4" x14ac:dyDescent="0.25">
      <c r="A613" s="35" t="s">
        <v>45</v>
      </c>
      <c r="B613" s="60" t="s">
        <v>214</v>
      </c>
      <c r="C613" s="35" t="s">
        <v>46</v>
      </c>
      <c r="D613" s="35" t="s">
        <v>40</v>
      </c>
      <c r="E613" s="65">
        <v>40</v>
      </c>
      <c r="F613" s="65">
        <v>40</v>
      </c>
      <c r="G613" s="65">
        <v>40</v>
      </c>
      <c r="H613" s="65">
        <v>40</v>
      </c>
      <c r="I613" s="65">
        <v>40</v>
      </c>
      <c r="J613" s="65">
        <v>40</v>
      </c>
      <c r="K613" s="65">
        <v>40</v>
      </c>
      <c r="L613" s="65">
        <v>40</v>
      </c>
      <c r="M613" s="65">
        <v>40</v>
      </c>
      <c r="N613" s="65">
        <v>40</v>
      </c>
      <c r="O613" s="65">
        <v>40</v>
      </c>
      <c r="P613" s="65">
        <v>40</v>
      </c>
      <c r="Q613" s="65">
        <v>40</v>
      </c>
    </row>
    <row r="614" spans="1:133" ht="62.4" x14ac:dyDescent="0.25">
      <c r="A614" s="35" t="s">
        <v>47</v>
      </c>
      <c r="B614" s="60" t="s">
        <v>215</v>
      </c>
      <c r="C614" s="35" t="s">
        <v>49</v>
      </c>
      <c r="D614" s="35" t="s">
        <v>324</v>
      </c>
      <c r="E614" s="67">
        <f>E612/1000000</f>
        <v>3.5E-4</v>
      </c>
      <c r="F614" s="22">
        <f>F612/1000000</f>
        <v>3.5E-4</v>
      </c>
      <c r="G614" s="22">
        <f t="shared" ref="G614:Q614" si="92">G612/1000000</f>
        <v>3.5E-4</v>
      </c>
      <c r="H614" s="22">
        <f t="shared" si="92"/>
        <v>3.5E-4</v>
      </c>
      <c r="I614" s="22">
        <f t="shared" si="92"/>
        <v>3.5E-4</v>
      </c>
      <c r="J614" s="22">
        <f t="shared" si="92"/>
        <v>3.5E-4</v>
      </c>
      <c r="K614" s="22">
        <f t="shared" si="92"/>
        <v>3.5E-4</v>
      </c>
      <c r="L614" s="22">
        <f t="shared" si="92"/>
        <v>3.5E-4</v>
      </c>
      <c r="M614" s="22">
        <f t="shared" si="92"/>
        <v>3.5E-4</v>
      </c>
      <c r="N614" s="22">
        <f t="shared" si="92"/>
        <v>3.5E-4</v>
      </c>
      <c r="O614" s="22">
        <f t="shared" si="92"/>
        <v>3.5E-4</v>
      </c>
      <c r="P614" s="22">
        <f t="shared" si="92"/>
        <v>3.5E-4</v>
      </c>
      <c r="Q614" s="22">
        <f t="shared" si="92"/>
        <v>3.5E-4</v>
      </c>
    </row>
    <row r="615" spans="1:133" ht="62.4" x14ac:dyDescent="0.25">
      <c r="A615" s="35" t="s">
        <v>45</v>
      </c>
      <c r="B615" s="60" t="s">
        <v>48</v>
      </c>
      <c r="C615" s="35" t="s">
        <v>50</v>
      </c>
      <c r="D615" s="35" t="s">
        <v>325</v>
      </c>
      <c r="E615" s="67">
        <f>E613/1000000</f>
        <v>4.0000000000000003E-5</v>
      </c>
      <c r="F615" s="22">
        <f>F613/1000000</f>
        <v>4.0000000000000003E-5</v>
      </c>
      <c r="G615" s="22">
        <f t="shared" ref="G615:Q615" si="93">G613/1000000</f>
        <v>4.0000000000000003E-5</v>
      </c>
      <c r="H615" s="22">
        <f t="shared" si="93"/>
        <v>4.0000000000000003E-5</v>
      </c>
      <c r="I615" s="22">
        <f t="shared" si="93"/>
        <v>4.0000000000000003E-5</v>
      </c>
      <c r="J615" s="22">
        <f t="shared" si="93"/>
        <v>4.0000000000000003E-5</v>
      </c>
      <c r="K615" s="22">
        <f t="shared" si="93"/>
        <v>4.0000000000000003E-5</v>
      </c>
      <c r="L615" s="22">
        <f t="shared" si="93"/>
        <v>4.0000000000000003E-5</v>
      </c>
      <c r="M615" s="22">
        <f t="shared" si="93"/>
        <v>4.0000000000000003E-5</v>
      </c>
      <c r="N615" s="22">
        <f t="shared" si="93"/>
        <v>4.0000000000000003E-5</v>
      </c>
      <c r="O615" s="22">
        <f t="shared" si="93"/>
        <v>4.0000000000000003E-5</v>
      </c>
      <c r="P615" s="22">
        <f t="shared" si="93"/>
        <v>4.0000000000000003E-5</v>
      </c>
      <c r="Q615" s="22">
        <f t="shared" si="93"/>
        <v>4.0000000000000003E-5</v>
      </c>
    </row>
    <row r="616" spans="1:133" ht="46.8" x14ac:dyDescent="0.25">
      <c r="A616" s="63" t="s">
        <v>51</v>
      </c>
      <c r="B616" s="25" t="s">
        <v>216</v>
      </c>
      <c r="C616" s="35" t="s">
        <v>53</v>
      </c>
      <c r="D616" s="35" t="s">
        <v>343</v>
      </c>
      <c r="E616" s="68">
        <f>(1-(E617/E618))</f>
        <v>0.94886255373821649</v>
      </c>
      <c r="F616" s="68">
        <f>E616</f>
        <v>0.94886255373821649</v>
      </c>
      <c r="G616" s="68">
        <f>E616</f>
        <v>0.94886255373821649</v>
      </c>
      <c r="H616" s="68">
        <f>E616</f>
        <v>0.94886255373821649</v>
      </c>
      <c r="I616" s="68">
        <f>E616</f>
        <v>0.94886255373821649</v>
      </c>
      <c r="J616" s="68">
        <f>E616</f>
        <v>0.94886255373821649</v>
      </c>
      <c r="K616" s="68">
        <f>E616</f>
        <v>0.94886255373821649</v>
      </c>
      <c r="L616" s="68">
        <f>E616</f>
        <v>0.94886255373821649</v>
      </c>
      <c r="M616" s="68">
        <f>E616</f>
        <v>0.94886255373821649</v>
      </c>
      <c r="N616" s="68">
        <f>E616</f>
        <v>0.94886255373821649</v>
      </c>
      <c r="O616" s="68">
        <f>E616</f>
        <v>0.94886255373821649</v>
      </c>
      <c r="P616" s="68">
        <f>E616</f>
        <v>0.94886255373821649</v>
      </c>
      <c r="Q616" s="68">
        <f>E616</f>
        <v>0.94886255373821649</v>
      </c>
    </row>
    <row r="617" spans="1:133" ht="31.2" x14ac:dyDescent="0.25">
      <c r="A617" s="35" t="s">
        <v>54</v>
      </c>
      <c r="B617" s="25" t="s">
        <v>211</v>
      </c>
      <c r="C617" s="35" t="s">
        <v>55</v>
      </c>
      <c r="D617" s="35" t="s">
        <v>323</v>
      </c>
      <c r="E617" s="52">
        <f>SUM(F617:Q617)</f>
        <v>30.794409790000007</v>
      </c>
      <c r="F617" s="52">
        <v>2.6154156260000003</v>
      </c>
      <c r="G617" s="52">
        <v>2.3623108879999997</v>
      </c>
      <c r="H617" s="52">
        <v>2.6154156260000003</v>
      </c>
      <c r="I617" s="52">
        <v>2.53104738</v>
      </c>
      <c r="J617" s="52">
        <v>2.6154156260000003</v>
      </c>
      <c r="K617" s="52">
        <v>2.53104738</v>
      </c>
      <c r="L617" s="52">
        <v>2.6154156260000003</v>
      </c>
      <c r="M617" s="52">
        <v>2.6154156260000003</v>
      </c>
      <c r="N617" s="52">
        <v>2.53104738</v>
      </c>
      <c r="O617" s="52">
        <v>2.6154156260000003</v>
      </c>
      <c r="P617" s="52">
        <v>2.53104738</v>
      </c>
      <c r="Q617" s="52">
        <v>2.6154156260000003</v>
      </c>
    </row>
    <row r="618" spans="1:133" ht="31.2" x14ac:dyDescent="0.25">
      <c r="A618" s="63" t="s">
        <v>56</v>
      </c>
      <c r="B618" s="25" t="s">
        <v>38</v>
      </c>
      <c r="C618" s="35" t="s">
        <v>57</v>
      </c>
      <c r="D618" s="35" t="s">
        <v>323</v>
      </c>
      <c r="E618" s="52">
        <f>SUM(F618:Q618)</f>
        <v>602.18904229899999</v>
      </c>
      <c r="F618" s="52">
        <v>51.144822770600001</v>
      </c>
      <c r="G618" s="52">
        <v>46.195323792799996</v>
      </c>
      <c r="H618" s="52">
        <v>51.144822770600001</v>
      </c>
      <c r="I618" s="52">
        <v>49.494989777999997</v>
      </c>
      <c r="J618" s="52">
        <v>51.144822770600001</v>
      </c>
      <c r="K618" s="52">
        <v>49.494989777999997</v>
      </c>
      <c r="L618" s="52">
        <v>51.144822770600001</v>
      </c>
      <c r="M618" s="52">
        <v>51.144822770600001</v>
      </c>
      <c r="N618" s="52">
        <v>49.494989777999997</v>
      </c>
      <c r="O618" s="52">
        <v>51.144822770600001</v>
      </c>
      <c r="P618" s="52">
        <v>49.494989777999997</v>
      </c>
      <c r="Q618" s="52">
        <v>51.144822770600001</v>
      </c>
    </row>
    <row r="619" spans="1:133" ht="31.2" x14ac:dyDescent="0.25">
      <c r="A619" s="53" t="s">
        <v>58</v>
      </c>
      <c r="B619" s="25" t="s">
        <v>216</v>
      </c>
      <c r="C619" s="53" t="s">
        <v>59</v>
      </c>
      <c r="D619" s="35" t="s">
        <v>344</v>
      </c>
      <c r="E619" s="116">
        <f>E620*E621*0.89</f>
        <v>0.50805446708058999</v>
      </c>
      <c r="F619" s="117"/>
      <c r="G619" s="117"/>
      <c r="H619" s="117"/>
      <c r="I619" s="117"/>
      <c r="J619" s="117"/>
      <c r="K619" s="117"/>
      <c r="L619" s="117"/>
      <c r="M619" s="117"/>
      <c r="N619" s="117"/>
      <c r="O619" s="117"/>
      <c r="P619" s="117"/>
      <c r="Q619" s="118"/>
    </row>
    <row r="620" spans="1:133" ht="31.2" x14ac:dyDescent="0.25">
      <c r="A620" s="70" t="s">
        <v>60</v>
      </c>
      <c r="B620" s="25" t="s">
        <v>216</v>
      </c>
      <c r="C620" s="53" t="s">
        <v>61</v>
      </c>
      <c r="D620" s="35" t="s">
        <v>345</v>
      </c>
      <c r="E620" s="119">
        <v>0.7</v>
      </c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1"/>
    </row>
    <row r="621" spans="1:133" ht="36" customHeight="1" x14ac:dyDescent="0.25">
      <c r="A621" s="70" t="s">
        <v>62</v>
      </c>
      <c r="B621" s="25" t="s">
        <v>52</v>
      </c>
      <c r="C621" s="53" t="s">
        <v>63</v>
      </c>
      <c r="D621" s="35" t="s">
        <v>346</v>
      </c>
      <c r="E621" s="122">
        <f>(F622*F627+G622*G627+H622*H627+I622*I627+J622*J627+K622*K627+L622*L627+M622*M627+N622*N627+O622*O627+P622*P627+Q622*Q627)/(F616*F611*F614+G616*G614*G611+H616*H611*H614+I616*I614*I611+J616*J614*J611+K616*K614*K611+L616*L614*L611+M616*M614*M611+N616*N614*N611+O616*O611*O614+P616*P614*P611+Q616*Q614*Q611)</f>
        <v>0.81549673688698243</v>
      </c>
      <c r="F621" s="123"/>
      <c r="G621" s="123"/>
      <c r="H621" s="123"/>
      <c r="I621" s="123"/>
      <c r="J621" s="123"/>
      <c r="K621" s="123"/>
      <c r="L621" s="123"/>
      <c r="M621" s="123"/>
      <c r="N621" s="123"/>
      <c r="O621" s="123"/>
      <c r="P621" s="123"/>
      <c r="Q621" s="124"/>
    </row>
    <row r="622" spans="1:133" s="9" customFormat="1" ht="46.8" x14ac:dyDescent="0.4">
      <c r="A622" s="71" t="s">
        <v>64</v>
      </c>
      <c r="B622" s="25" t="s">
        <v>52</v>
      </c>
      <c r="C622" s="53" t="s">
        <v>65</v>
      </c>
      <c r="D622" s="53" t="s">
        <v>347</v>
      </c>
      <c r="E622" s="72">
        <f>AVERAGE(F622:Q622)</f>
        <v>0.59801195869818824</v>
      </c>
      <c r="F622" s="72">
        <f t="shared" ref="F622:Q622" si="94">IF(F626&lt;283,0,IF(F626&gt;303,1,EXP(($E$23*(F626-$E$24))/($E$25*$E$24*F626))))</f>
        <v>0.22368662668957603</v>
      </c>
      <c r="G622" s="72">
        <f t="shared" si="94"/>
        <v>0.24547412919519337</v>
      </c>
      <c r="H622" s="72">
        <f t="shared" si="94"/>
        <v>0.35374940126825682</v>
      </c>
      <c r="I622" s="72">
        <f t="shared" si="94"/>
        <v>0.50475941545474445</v>
      </c>
      <c r="J622" s="72">
        <f t="shared" si="94"/>
        <v>0.77675425208684001</v>
      </c>
      <c r="K622" s="72">
        <f t="shared" si="94"/>
        <v>0.91923925774048054</v>
      </c>
      <c r="L622" s="72">
        <f t="shared" si="94"/>
        <v>1</v>
      </c>
      <c r="M622" s="72">
        <f t="shared" si="94"/>
        <v>1</v>
      </c>
      <c r="N622" s="72">
        <f t="shared" si="94"/>
        <v>0.91923925774048054</v>
      </c>
      <c r="O622" s="72">
        <f t="shared" si="94"/>
        <v>0.60078639810878987</v>
      </c>
      <c r="P622" s="72">
        <f t="shared" si="94"/>
        <v>0.38698063689870399</v>
      </c>
      <c r="Q622" s="72">
        <f t="shared" si="94"/>
        <v>0.24547412919519337</v>
      </c>
      <c r="R622" s="78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8"/>
      <c r="AO622" s="78"/>
      <c r="AP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  <c r="BF622" s="78"/>
      <c r="BG622" s="78"/>
      <c r="BH622" s="78"/>
      <c r="BI622" s="78"/>
      <c r="BJ622" s="78"/>
      <c r="BK622" s="78"/>
      <c r="BL622" s="78"/>
      <c r="BM622" s="78"/>
      <c r="BN622" s="78"/>
      <c r="BO622" s="78"/>
      <c r="BP622" s="78"/>
      <c r="BQ622" s="78"/>
      <c r="BR622" s="78"/>
      <c r="BS622" s="78"/>
      <c r="BT622" s="78"/>
      <c r="BU622" s="78"/>
      <c r="BV622" s="78"/>
      <c r="BW622" s="78"/>
      <c r="BX622" s="78"/>
      <c r="BY622" s="78"/>
      <c r="BZ622" s="78"/>
      <c r="CA622" s="78"/>
      <c r="CB622" s="78"/>
      <c r="CC622" s="78"/>
      <c r="CD622" s="78"/>
      <c r="CE622" s="78"/>
      <c r="CF622" s="78"/>
      <c r="CG622" s="78"/>
      <c r="CH622" s="78"/>
      <c r="CI622" s="78"/>
      <c r="CJ622" s="78"/>
      <c r="CK622" s="78"/>
      <c r="CL622" s="78"/>
      <c r="CM622" s="78"/>
      <c r="CN622" s="78"/>
      <c r="CO622" s="78"/>
      <c r="CP622" s="78"/>
      <c r="CQ622" s="78"/>
      <c r="CR622" s="78"/>
      <c r="CS622" s="78"/>
      <c r="CT622" s="78"/>
      <c r="CU622" s="78"/>
      <c r="CV622" s="78"/>
      <c r="CW622" s="78"/>
      <c r="CX622" s="78"/>
      <c r="CY622" s="78"/>
      <c r="CZ622" s="78"/>
      <c r="DA622" s="78"/>
      <c r="DB622" s="78"/>
      <c r="DC622" s="78"/>
      <c r="DD622" s="78"/>
      <c r="DE622" s="78"/>
      <c r="DF622" s="78"/>
      <c r="DG622" s="78"/>
      <c r="DH622" s="78"/>
      <c r="DI622" s="78"/>
      <c r="DJ622" s="78"/>
      <c r="DK622" s="78"/>
      <c r="DL622" s="78"/>
      <c r="DM622" s="78"/>
      <c r="DN622" s="78"/>
      <c r="DO622" s="78"/>
      <c r="DP622" s="78"/>
      <c r="DQ622" s="78"/>
      <c r="DR622" s="78"/>
      <c r="DS622" s="78"/>
      <c r="DT622" s="78"/>
      <c r="DU622" s="78"/>
      <c r="DV622" s="78"/>
      <c r="DW622" s="78"/>
      <c r="DX622" s="78"/>
      <c r="DY622" s="78"/>
      <c r="DZ622" s="78"/>
      <c r="EA622" s="78"/>
      <c r="EB622" s="78"/>
      <c r="EC622" s="78"/>
    </row>
    <row r="623" spans="1:133" s="9" customFormat="1" x14ac:dyDescent="0.25">
      <c r="A623" s="73" t="s">
        <v>66</v>
      </c>
      <c r="B623" s="60" t="s">
        <v>217</v>
      </c>
      <c r="C623" s="53" t="s">
        <v>68</v>
      </c>
      <c r="D623" s="53" t="s">
        <v>348</v>
      </c>
      <c r="E623" s="119">
        <v>15175</v>
      </c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1"/>
      <c r="R623" s="78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8"/>
      <c r="AO623" s="78"/>
      <c r="AP623" s="78"/>
      <c r="AQ623" s="78"/>
      <c r="AR623" s="78"/>
      <c r="AS623" s="78"/>
      <c r="AT623" s="78"/>
      <c r="AU623" s="78"/>
      <c r="AV623" s="78"/>
      <c r="AW623" s="78"/>
      <c r="AX623" s="78"/>
      <c r="AY623" s="78"/>
      <c r="AZ623" s="78"/>
      <c r="BA623" s="78"/>
      <c r="BB623" s="78"/>
      <c r="BC623" s="78"/>
      <c r="BD623" s="78"/>
      <c r="BE623" s="78"/>
      <c r="BF623" s="78"/>
      <c r="BG623" s="78"/>
      <c r="BH623" s="78"/>
      <c r="BI623" s="78"/>
      <c r="BJ623" s="78"/>
      <c r="BK623" s="78"/>
      <c r="BL623" s="78"/>
      <c r="BM623" s="78"/>
      <c r="BN623" s="78"/>
      <c r="BO623" s="78"/>
      <c r="BP623" s="78"/>
      <c r="BQ623" s="78"/>
      <c r="BR623" s="78"/>
      <c r="BS623" s="78"/>
      <c r="BT623" s="78"/>
      <c r="BU623" s="78"/>
      <c r="BV623" s="78"/>
      <c r="BW623" s="78"/>
      <c r="BX623" s="78"/>
      <c r="BY623" s="78"/>
      <c r="BZ623" s="78"/>
      <c r="CA623" s="78"/>
      <c r="CB623" s="78"/>
      <c r="CC623" s="78"/>
      <c r="CD623" s="78"/>
      <c r="CE623" s="78"/>
      <c r="CF623" s="78"/>
      <c r="CG623" s="78"/>
      <c r="CH623" s="78"/>
      <c r="CI623" s="78"/>
      <c r="CJ623" s="78"/>
      <c r="CK623" s="78"/>
      <c r="CL623" s="78"/>
      <c r="CM623" s="78"/>
      <c r="CN623" s="78"/>
      <c r="CO623" s="78"/>
      <c r="CP623" s="78"/>
      <c r="CQ623" s="78"/>
      <c r="CR623" s="78"/>
      <c r="CS623" s="78"/>
      <c r="CT623" s="78"/>
      <c r="CU623" s="78"/>
      <c r="CV623" s="78"/>
      <c r="CW623" s="78"/>
      <c r="CX623" s="78"/>
      <c r="CY623" s="78"/>
      <c r="CZ623" s="78"/>
      <c r="DA623" s="78"/>
      <c r="DB623" s="78"/>
      <c r="DC623" s="78"/>
      <c r="DD623" s="78"/>
      <c r="DE623" s="78"/>
      <c r="DF623" s="78"/>
      <c r="DG623" s="78"/>
      <c r="DH623" s="78"/>
      <c r="DI623" s="78"/>
      <c r="DJ623" s="78"/>
      <c r="DK623" s="78"/>
      <c r="DL623" s="78"/>
      <c r="DM623" s="78"/>
      <c r="DN623" s="78"/>
      <c r="DO623" s="78"/>
      <c r="DP623" s="78"/>
      <c r="DQ623" s="78"/>
      <c r="DR623" s="78"/>
      <c r="DS623" s="78"/>
      <c r="DT623" s="78"/>
      <c r="DU623" s="78"/>
      <c r="DV623" s="78"/>
      <c r="DW623" s="78"/>
      <c r="DX623" s="78"/>
      <c r="DY623" s="78"/>
      <c r="DZ623" s="78"/>
      <c r="EA623" s="78"/>
      <c r="EB623" s="78"/>
      <c r="EC623" s="78"/>
    </row>
    <row r="624" spans="1:133" s="9" customFormat="1" ht="18" x14ac:dyDescent="0.25">
      <c r="A624" s="73" t="s">
        <v>69</v>
      </c>
      <c r="B624" s="60" t="s">
        <v>218</v>
      </c>
      <c r="C624" s="53" t="s">
        <v>71</v>
      </c>
      <c r="D624" s="53" t="s">
        <v>348</v>
      </c>
      <c r="E624" s="119">
        <v>303.16000000000003</v>
      </c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1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8"/>
      <c r="AO624" s="78"/>
      <c r="AP624" s="78"/>
      <c r="AQ624" s="78"/>
      <c r="AR624" s="78"/>
      <c r="AS624" s="78"/>
      <c r="AT624" s="78"/>
      <c r="AU624" s="78"/>
      <c r="AV624" s="78"/>
      <c r="AW624" s="78"/>
      <c r="AX624" s="78"/>
      <c r="AY624" s="78"/>
      <c r="AZ624" s="78"/>
      <c r="BA624" s="78"/>
      <c r="BB624" s="78"/>
      <c r="BC624" s="78"/>
      <c r="BD624" s="78"/>
      <c r="BE624" s="78"/>
      <c r="BF624" s="78"/>
      <c r="BG624" s="78"/>
      <c r="BH624" s="78"/>
      <c r="BI624" s="78"/>
      <c r="BJ624" s="78"/>
      <c r="BK624" s="78"/>
      <c r="BL624" s="78"/>
      <c r="BM624" s="78"/>
      <c r="BN624" s="78"/>
      <c r="BO624" s="78"/>
      <c r="BP624" s="78"/>
      <c r="BQ624" s="78"/>
      <c r="BR624" s="78"/>
      <c r="BS624" s="78"/>
      <c r="BT624" s="78"/>
      <c r="BU624" s="78"/>
      <c r="BV624" s="78"/>
      <c r="BW624" s="78"/>
      <c r="BX624" s="78"/>
      <c r="BY624" s="78"/>
      <c r="BZ624" s="78"/>
      <c r="CA624" s="78"/>
      <c r="CB624" s="78"/>
      <c r="CC624" s="78"/>
      <c r="CD624" s="78"/>
      <c r="CE624" s="78"/>
      <c r="CF624" s="78"/>
      <c r="CG624" s="78"/>
      <c r="CH624" s="78"/>
      <c r="CI624" s="78"/>
      <c r="CJ624" s="78"/>
      <c r="CK624" s="78"/>
      <c r="CL624" s="78"/>
      <c r="CM624" s="78"/>
      <c r="CN624" s="78"/>
      <c r="CO624" s="78"/>
      <c r="CP624" s="78"/>
      <c r="CQ624" s="78"/>
      <c r="CR624" s="78"/>
      <c r="CS624" s="78"/>
      <c r="CT624" s="78"/>
      <c r="CU624" s="78"/>
      <c r="CV624" s="78"/>
      <c r="CW624" s="78"/>
      <c r="CX624" s="78"/>
      <c r="CY624" s="78"/>
      <c r="CZ624" s="78"/>
      <c r="DA624" s="78"/>
      <c r="DB624" s="78"/>
      <c r="DC624" s="78"/>
      <c r="DD624" s="78"/>
      <c r="DE624" s="78"/>
      <c r="DF624" s="78"/>
      <c r="DG624" s="78"/>
      <c r="DH624" s="78"/>
      <c r="DI624" s="78"/>
      <c r="DJ624" s="78"/>
      <c r="DK624" s="78"/>
      <c r="DL624" s="78"/>
      <c r="DM624" s="78"/>
      <c r="DN624" s="78"/>
      <c r="DO624" s="78"/>
      <c r="DP624" s="78"/>
      <c r="DQ624" s="78"/>
      <c r="DR624" s="78"/>
      <c r="DS624" s="78"/>
      <c r="DT624" s="78"/>
      <c r="DU624" s="78"/>
      <c r="DV624" s="78"/>
      <c r="DW624" s="78"/>
      <c r="DX624" s="78"/>
      <c r="DY624" s="78"/>
      <c r="DZ624" s="78"/>
      <c r="EA624" s="78"/>
      <c r="EB624" s="78"/>
      <c r="EC624" s="78"/>
    </row>
    <row r="625" spans="1:133" s="9" customFormat="1" x14ac:dyDescent="0.25">
      <c r="A625" s="73" t="s">
        <v>72</v>
      </c>
      <c r="B625" s="60" t="s">
        <v>219</v>
      </c>
      <c r="C625" s="53" t="s">
        <v>74</v>
      </c>
      <c r="D625" s="53" t="s">
        <v>348</v>
      </c>
      <c r="E625" s="119">
        <v>1.9870000000000001</v>
      </c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1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8"/>
      <c r="AO625" s="78"/>
      <c r="AP625" s="78"/>
      <c r="AQ625" s="78"/>
      <c r="AR625" s="78"/>
      <c r="AS625" s="78"/>
      <c r="AT625" s="78"/>
      <c r="AU625" s="78"/>
      <c r="AV625" s="78"/>
      <c r="AW625" s="78"/>
      <c r="AX625" s="78"/>
      <c r="AY625" s="78"/>
      <c r="AZ625" s="78"/>
      <c r="BA625" s="78"/>
      <c r="BB625" s="78"/>
      <c r="BC625" s="78"/>
      <c r="BD625" s="78"/>
      <c r="BE625" s="78"/>
      <c r="BF625" s="78"/>
      <c r="BG625" s="78"/>
      <c r="BH625" s="78"/>
      <c r="BI625" s="78"/>
      <c r="BJ625" s="78"/>
      <c r="BK625" s="78"/>
      <c r="BL625" s="78"/>
      <c r="BM625" s="78"/>
      <c r="BN625" s="78"/>
      <c r="BO625" s="78"/>
      <c r="BP625" s="78"/>
      <c r="BQ625" s="78"/>
      <c r="BR625" s="78"/>
      <c r="BS625" s="78"/>
      <c r="BT625" s="78"/>
      <c r="BU625" s="78"/>
      <c r="BV625" s="78"/>
      <c r="BW625" s="78"/>
      <c r="BX625" s="78"/>
      <c r="BY625" s="78"/>
      <c r="BZ625" s="78"/>
      <c r="CA625" s="78"/>
      <c r="CB625" s="78"/>
      <c r="CC625" s="78"/>
      <c r="CD625" s="78"/>
      <c r="CE625" s="78"/>
      <c r="CF625" s="78"/>
      <c r="CG625" s="78"/>
      <c r="CH625" s="78"/>
      <c r="CI625" s="78"/>
      <c r="CJ625" s="78"/>
      <c r="CK625" s="78"/>
      <c r="CL625" s="78"/>
      <c r="CM625" s="78"/>
      <c r="CN625" s="78"/>
      <c r="CO625" s="78"/>
      <c r="CP625" s="78"/>
      <c r="CQ625" s="78"/>
      <c r="CR625" s="78"/>
      <c r="CS625" s="78"/>
      <c r="CT625" s="78"/>
      <c r="CU625" s="78"/>
      <c r="CV625" s="78"/>
      <c r="CW625" s="78"/>
      <c r="CX625" s="78"/>
      <c r="CY625" s="78"/>
      <c r="CZ625" s="78"/>
      <c r="DA625" s="78"/>
      <c r="DB625" s="78"/>
      <c r="DC625" s="78"/>
      <c r="DD625" s="78"/>
      <c r="DE625" s="78"/>
      <c r="DF625" s="78"/>
      <c r="DG625" s="78"/>
      <c r="DH625" s="78"/>
      <c r="DI625" s="78"/>
      <c r="DJ625" s="78"/>
      <c r="DK625" s="78"/>
      <c r="DL625" s="78"/>
      <c r="DM625" s="78"/>
      <c r="DN625" s="78"/>
      <c r="DO625" s="78"/>
      <c r="DP625" s="78"/>
      <c r="DQ625" s="78"/>
      <c r="DR625" s="78"/>
      <c r="DS625" s="78"/>
      <c r="DT625" s="78"/>
      <c r="DU625" s="78"/>
      <c r="DV625" s="78"/>
      <c r="DW625" s="78"/>
      <c r="DX625" s="78"/>
      <c r="DY625" s="78"/>
      <c r="DZ625" s="78"/>
      <c r="EA625" s="78"/>
      <c r="EB625" s="78"/>
      <c r="EC625" s="78"/>
    </row>
    <row r="626" spans="1:133" s="9" customFormat="1" ht="31.2" x14ac:dyDescent="0.25">
      <c r="A626" s="73" t="s">
        <v>75</v>
      </c>
      <c r="B626" s="60" t="s">
        <v>218</v>
      </c>
      <c r="C626" s="53" t="s">
        <v>76</v>
      </c>
      <c r="D626" s="53" t="s">
        <v>270</v>
      </c>
      <c r="E626" s="111">
        <f>AVERAGE(F626:Q626)</f>
        <v>295.56666666666672</v>
      </c>
      <c r="F626" s="60">
        <v>286.14999999999998</v>
      </c>
      <c r="G626" s="60">
        <v>287.14999999999998</v>
      </c>
      <c r="H626" s="60">
        <v>291.14999999999998</v>
      </c>
      <c r="I626" s="60">
        <v>295.14999999999998</v>
      </c>
      <c r="J626" s="60">
        <v>300.14999999999998</v>
      </c>
      <c r="K626" s="60">
        <v>302.14999999999998</v>
      </c>
      <c r="L626" s="60">
        <v>303.14999999999998</v>
      </c>
      <c r="M626" s="60">
        <v>303.14999999999998</v>
      </c>
      <c r="N626" s="60">
        <v>302.14999999999998</v>
      </c>
      <c r="O626" s="60">
        <v>297.14999999999998</v>
      </c>
      <c r="P626" s="60">
        <v>292.14999999999998</v>
      </c>
      <c r="Q626" s="60">
        <v>287.14999999999998</v>
      </c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8"/>
      <c r="AO626" s="78"/>
      <c r="AP626" s="78"/>
      <c r="AQ626" s="78"/>
      <c r="AR626" s="78"/>
      <c r="AS626" s="78"/>
      <c r="AT626" s="78"/>
      <c r="AU626" s="78"/>
      <c r="AV626" s="78"/>
      <c r="AW626" s="78"/>
      <c r="AX626" s="78"/>
      <c r="AY626" s="78"/>
      <c r="AZ626" s="78"/>
      <c r="BA626" s="78"/>
      <c r="BB626" s="78"/>
      <c r="BC626" s="78"/>
      <c r="BD626" s="78"/>
      <c r="BE626" s="78"/>
      <c r="BF626" s="78"/>
      <c r="BG626" s="78"/>
      <c r="BH626" s="78"/>
      <c r="BI626" s="78"/>
      <c r="BJ626" s="78"/>
      <c r="BK626" s="78"/>
      <c r="BL626" s="78"/>
      <c r="BM626" s="78"/>
      <c r="BN626" s="78"/>
      <c r="BO626" s="78"/>
      <c r="BP626" s="78"/>
      <c r="BQ626" s="78"/>
      <c r="BR626" s="78"/>
      <c r="BS626" s="78"/>
      <c r="BT626" s="78"/>
      <c r="BU626" s="78"/>
      <c r="BV626" s="78"/>
      <c r="BW626" s="78"/>
      <c r="BX626" s="78"/>
      <c r="BY626" s="78"/>
      <c r="BZ626" s="78"/>
      <c r="CA626" s="78"/>
      <c r="CB626" s="78"/>
      <c r="CC626" s="78"/>
      <c r="CD626" s="78"/>
      <c r="CE626" s="78"/>
      <c r="CF626" s="78"/>
      <c r="CG626" s="78"/>
      <c r="CH626" s="78"/>
      <c r="CI626" s="78"/>
      <c r="CJ626" s="78"/>
      <c r="CK626" s="78"/>
      <c r="CL626" s="78"/>
      <c r="CM626" s="78"/>
      <c r="CN626" s="78"/>
      <c r="CO626" s="78"/>
      <c r="CP626" s="78"/>
      <c r="CQ626" s="78"/>
      <c r="CR626" s="78"/>
      <c r="CS626" s="78"/>
      <c r="CT626" s="78"/>
      <c r="CU626" s="78"/>
      <c r="CV626" s="78"/>
      <c r="CW626" s="78"/>
      <c r="CX626" s="78"/>
      <c r="CY626" s="78"/>
      <c r="CZ626" s="78"/>
      <c r="DA626" s="78"/>
      <c r="DB626" s="78"/>
      <c r="DC626" s="78"/>
      <c r="DD626" s="78"/>
      <c r="DE626" s="78"/>
      <c r="DF626" s="78"/>
      <c r="DG626" s="78"/>
      <c r="DH626" s="78"/>
      <c r="DI626" s="78"/>
      <c r="DJ626" s="78"/>
      <c r="DK626" s="78"/>
      <c r="DL626" s="78"/>
      <c r="DM626" s="78"/>
      <c r="DN626" s="78"/>
      <c r="DO626" s="78"/>
      <c r="DP626" s="78"/>
      <c r="DQ626" s="78"/>
      <c r="DR626" s="78"/>
      <c r="DS626" s="78"/>
      <c r="DT626" s="78"/>
      <c r="DU626" s="78"/>
      <c r="DV626" s="78"/>
      <c r="DW626" s="78"/>
      <c r="DX626" s="78"/>
      <c r="DY626" s="78"/>
      <c r="DZ626" s="78"/>
      <c r="EA626" s="78"/>
      <c r="EB626" s="78"/>
      <c r="EC626" s="78"/>
    </row>
    <row r="627" spans="1:133" s="9" customFormat="1" ht="31.2" x14ac:dyDescent="0.4">
      <c r="A627" s="71" t="s">
        <v>77</v>
      </c>
      <c r="B627" s="60" t="s">
        <v>211</v>
      </c>
      <c r="C627" s="53" t="s">
        <v>78</v>
      </c>
      <c r="D627" s="53" t="s">
        <v>349</v>
      </c>
      <c r="E627" s="74">
        <f>SUM(F627:Q627)</f>
        <v>1293.0739332350181</v>
      </c>
      <c r="F627" s="74">
        <f>F616*F611*F614+(1-F622)*0</f>
        <v>72.066110956417546</v>
      </c>
      <c r="G627" s="74">
        <f t="shared" ref="G627:Q627" si="95">G616*G611*G614+(1-G622)*F627</f>
        <v>119.46771631134843</v>
      </c>
      <c r="H627" s="74">
        <f t="shared" si="95"/>
        <v>149.27219415174051</v>
      </c>
      <c r="I627" s="74">
        <f t="shared" si="95"/>
        <v>143.66704638781977</v>
      </c>
      <c r="J627" s="74">
        <f t="shared" si="95"/>
        <v>104.13916817774103</v>
      </c>
      <c r="K627" s="74">
        <f t="shared" si="95"/>
        <v>78.151754220082196</v>
      </c>
      <c r="L627" s="74">
        <f t="shared" si="95"/>
        <v>72.066110956417546</v>
      </c>
      <c r="M627" s="74">
        <f t="shared" si="95"/>
        <v>72.066110956417546</v>
      </c>
      <c r="N627" s="74">
        <f t="shared" si="95"/>
        <v>75.561510312356077</v>
      </c>
      <c r="O627" s="74">
        <f t="shared" si="95"/>
        <v>102.23129365255303</v>
      </c>
      <c r="P627" s="74">
        <f t="shared" si="95"/>
        <v>132.41116022366853</v>
      </c>
      <c r="Q627" s="74">
        <f t="shared" si="95"/>
        <v>171.97375692845583</v>
      </c>
      <c r="R627" s="78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8"/>
      <c r="AO627" s="78"/>
      <c r="AP627" s="78"/>
      <c r="AQ627" s="78"/>
      <c r="AR627" s="78"/>
      <c r="AS627" s="78"/>
      <c r="AT627" s="78"/>
      <c r="AU627" s="78"/>
      <c r="AV627" s="78"/>
      <c r="AW627" s="78"/>
      <c r="AX627" s="78"/>
      <c r="AY627" s="78"/>
      <c r="AZ627" s="78"/>
      <c r="BA627" s="78"/>
      <c r="BB627" s="78"/>
      <c r="BC627" s="78"/>
      <c r="BD627" s="78"/>
      <c r="BE627" s="78"/>
      <c r="BF627" s="78"/>
      <c r="BG627" s="78"/>
      <c r="BH627" s="78"/>
      <c r="BI627" s="78"/>
      <c r="BJ627" s="78"/>
      <c r="BK627" s="78"/>
      <c r="BL627" s="78"/>
      <c r="BM627" s="78"/>
      <c r="BN627" s="78"/>
      <c r="BO627" s="78"/>
      <c r="BP627" s="78"/>
      <c r="BQ627" s="78"/>
      <c r="BR627" s="78"/>
      <c r="BS627" s="78"/>
      <c r="BT627" s="78"/>
      <c r="BU627" s="78"/>
      <c r="BV627" s="78"/>
      <c r="BW627" s="78"/>
      <c r="BX627" s="78"/>
      <c r="BY627" s="78"/>
      <c r="BZ627" s="78"/>
      <c r="CA627" s="78"/>
      <c r="CB627" s="78"/>
      <c r="CC627" s="78"/>
      <c r="CD627" s="78"/>
      <c r="CE627" s="78"/>
      <c r="CF627" s="78"/>
      <c r="CG627" s="78"/>
      <c r="CH627" s="78"/>
      <c r="CI627" s="78"/>
      <c r="CJ627" s="78"/>
      <c r="CK627" s="78"/>
      <c r="CL627" s="78"/>
      <c r="CM627" s="78"/>
      <c r="CN627" s="78"/>
      <c r="CO627" s="78"/>
      <c r="CP627" s="78"/>
      <c r="CQ627" s="78"/>
      <c r="CR627" s="78"/>
      <c r="CS627" s="78"/>
      <c r="CT627" s="78"/>
      <c r="CU627" s="78"/>
      <c r="CV627" s="78"/>
      <c r="CW627" s="78"/>
      <c r="CX627" s="78"/>
      <c r="CY627" s="78"/>
      <c r="CZ627" s="78"/>
      <c r="DA627" s="78"/>
      <c r="DB627" s="78"/>
      <c r="DC627" s="78"/>
      <c r="DD627" s="78"/>
      <c r="DE627" s="78"/>
      <c r="DF627" s="78"/>
      <c r="DG627" s="78"/>
      <c r="DH627" s="78"/>
      <c r="DI627" s="78"/>
      <c r="DJ627" s="78"/>
      <c r="DK627" s="78"/>
      <c r="DL627" s="78"/>
      <c r="DM627" s="78"/>
      <c r="DN627" s="78"/>
      <c r="DO627" s="78"/>
      <c r="DP627" s="78"/>
      <c r="DQ627" s="78"/>
      <c r="DR627" s="78"/>
      <c r="DS627" s="78"/>
      <c r="DT627" s="78"/>
      <c r="DU627" s="78"/>
      <c r="DV627" s="78"/>
      <c r="DW627" s="78"/>
      <c r="DX627" s="78"/>
      <c r="DY627" s="78"/>
      <c r="DZ627" s="78"/>
      <c r="EA627" s="78"/>
      <c r="EB627" s="78"/>
      <c r="EC627" s="78"/>
    </row>
    <row r="629" spans="1:133" ht="15.6" customHeight="1" x14ac:dyDescent="0.25">
      <c r="A629" s="36" t="s">
        <v>79</v>
      </c>
      <c r="B629" s="36"/>
      <c r="C629" s="36"/>
      <c r="D629" s="36"/>
      <c r="E629" s="36"/>
    </row>
    <row r="630" spans="1:133" x14ac:dyDescent="0.25">
      <c r="A630" s="57" t="s">
        <v>9</v>
      </c>
      <c r="B630" s="58" t="s">
        <v>10</v>
      </c>
      <c r="C630" s="34" t="s">
        <v>11</v>
      </c>
      <c r="D630" s="34" t="s">
        <v>12</v>
      </c>
      <c r="E630" s="16" t="s">
        <v>80</v>
      </c>
    </row>
    <row r="631" spans="1:133" ht="46.8" x14ac:dyDescent="0.25">
      <c r="A631" s="59" t="s">
        <v>81</v>
      </c>
      <c r="B631" s="60" t="s">
        <v>28</v>
      </c>
      <c r="C631" s="53" t="s">
        <v>82</v>
      </c>
      <c r="D631" s="53" t="s">
        <v>83</v>
      </c>
      <c r="E631" s="75">
        <v>0</v>
      </c>
    </row>
    <row r="632" spans="1:133" ht="46.8" x14ac:dyDescent="0.25">
      <c r="A632" s="63" t="s">
        <v>84</v>
      </c>
      <c r="B632" s="25" t="s">
        <v>85</v>
      </c>
      <c r="C632" s="35" t="s">
        <v>86</v>
      </c>
      <c r="D632" s="35" t="str">
        <f>D638</f>
        <v>Historical data on site in the FSR (It was calculated with conservative value)</v>
      </c>
      <c r="E632" s="74">
        <f>E638</f>
        <v>345.80806451612915</v>
      </c>
    </row>
    <row r="634" spans="1:133" ht="15.6" customHeight="1" x14ac:dyDescent="0.25">
      <c r="A634" s="91" t="s">
        <v>87</v>
      </c>
      <c r="B634" s="91"/>
      <c r="C634" s="92"/>
      <c r="D634" s="92"/>
      <c r="E634" s="91"/>
    </row>
    <row r="635" spans="1:133" x14ac:dyDescent="0.25">
      <c r="A635" s="59" t="s">
        <v>9</v>
      </c>
      <c r="B635" s="16" t="s">
        <v>10</v>
      </c>
      <c r="C635" s="38" t="s">
        <v>11</v>
      </c>
      <c r="D635" s="38" t="s">
        <v>12</v>
      </c>
      <c r="E635" s="16" t="s">
        <v>80</v>
      </c>
    </row>
    <row r="636" spans="1:133" ht="33.6" x14ac:dyDescent="0.4">
      <c r="A636" s="76" t="s">
        <v>88</v>
      </c>
      <c r="B636" s="25" t="s">
        <v>89</v>
      </c>
      <c r="C636" s="35" t="s">
        <v>90</v>
      </c>
      <c r="D636" s="35" t="s">
        <v>350</v>
      </c>
      <c r="E636" s="50">
        <f>E637*E640*E641*E642*E643*E644</f>
        <v>2.6406091349319389</v>
      </c>
    </row>
    <row r="637" spans="1:133" ht="46.8" x14ac:dyDescent="0.4">
      <c r="A637" s="77" t="s">
        <v>223</v>
      </c>
      <c r="B637" s="25" t="s">
        <v>91</v>
      </c>
      <c r="C637" s="35" t="s">
        <v>92</v>
      </c>
      <c r="D637" s="35" t="s">
        <v>351</v>
      </c>
      <c r="E637" s="52">
        <f>E638/E639</f>
        <v>69.16161290322583</v>
      </c>
    </row>
    <row r="638" spans="1:133" ht="46.8" x14ac:dyDescent="0.25">
      <c r="A638" s="63" t="s">
        <v>224</v>
      </c>
      <c r="B638" s="25" t="s">
        <v>93</v>
      </c>
      <c r="C638" s="35" t="s">
        <v>94</v>
      </c>
      <c r="D638" s="53" t="s">
        <v>322</v>
      </c>
      <c r="E638" s="52">
        <v>345.80806451612915</v>
      </c>
    </row>
    <row r="639" spans="1:133" ht="31.2" x14ac:dyDescent="0.25">
      <c r="A639" s="63" t="s">
        <v>225</v>
      </c>
      <c r="B639" s="25" t="s">
        <v>95</v>
      </c>
      <c r="C639" s="35" t="s">
        <v>96</v>
      </c>
      <c r="D639" s="35" t="s">
        <v>327</v>
      </c>
      <c r="E639" s="25">
        <f>5</f>
        <v>5</v>
      </c>
    </row>
    <row r="640" spans="1:133" ht="62.4" x14ac:dyDescent="0.25">
      <c r="A640" s="63" t="s">
        <v>226</v>
      </c>
      <c r="B640" s="25" t="s">
        <v>97</v>
      </c>
      <c r="C640" s="35" t="s">
        <v>98</v>
      </c>
      <c r="D640" s="53" t="s">
        <v>327</v>
      </c>
      <c r="E640" s="25">
        <f>28.2*2</f>
        <v>56.4</v>
      </c>
    </row>
    <row r="641" spans="1:133" ht="172.2" x14ac:dyDescent="0.25">
      <c r="A641" s="63" t="s">
        <v>227</v>
      </c>
      <c r="B641" s="25" t="s">
        <v>99</v>
      </c>
      <c r="C641" s="35" t="s">
        <v>100</v>
      </c>
      <c r="D641" s="35" t="s">
        <v>338</v>
      </c>
      <c r="E641" s="25">
        <f>25.1/100</f>
        <v>0.251</v>
      </c>
    </row>
    <row r="642" spans="1:133" ht="140.4" x14ac:dyDescent="0.25">
      <c r="A642" s="63" t="s">
        <v>228</v>
      </c>
      <c r="B642" s="25" t="s">
        <v>102</v>
      </c>
      <c r="C642" s="35" t="s">
        <v>101</v>
      </c>
      <c r="D642" s="35" t="s">
        <v>337</v>
      </c>
      <c r="E642" s="25">
        <f>0.84/1000</f>
        <v>8.3999999999999993E-4</v>
      </c>
    </row>
    <row r="643" spans="1:133" ht="140.4" x14ac:dyDescent="0.25">
      <c r="A643" s="63" t="s">
        <v>229</v>
      </c>
      <c r="B643" s="25" t="s">
        <v>103</v>
      </c>
      <c r="C643" s="35" t="s">
        <v>104</v>
      </c>
      <c r="D643" s="35" t="s">
        <v>335</v>
      </c>
      <c r="E643" s="25">
        <f>43.33/1000</f>
        <v>4.333E-2</v>
      </c>
    </row>
    <row r="644" spans="1:133" ht="62.4" x14ac:dyDescent="0.25">
      <c r="A644" s="63" t="s">
        <v>230</v>
      </c>
      <c r="B644" s="25" t="s">
        <v>105</v>
      </c>
      <c r="C644" s="35" t="s">
        <v>106</v>
      </c>
      <c r="D644" s="35" t="s">
        <v>333</v>
      </c>
      <c r="E644" s="25">
        <v>74.099999999999994</v>
      </c>
    </row>
    <row r="646" spans="1:133" ht="15.6" customHeight="1" x14ac:dyDescent="0.25">
      <c r="A646" s="36" t="s">
        <v>108</v>
      </c>
      <c r="B646" s="36"/>
      <c r="C646" s="36"/>
      <c r="D646" s="36"/>
      <c r="E646" s="36"/>
    </row>
    <row r="647" spans="1:133" x14ac:dyDescent="0.25">
      <c r="A647" s="57" t="s">
        <v>9</v>
      </c>
      <c r="B647" s="58" t="s">
        <v>10</v>
      </c>
      <c r="C647" s="34" t="s">
        <v>11</v>
      </c>
      <c r="D647" s="34" t="s">
        <v>12</v>
      </c>
      <c r="E647" s="16" t="s">
        <v>80</v>
      </c>
    </row>
    <row r="648" spans="1:133" ht="64.8" x14ac:dyDescent="0.25">
      <c r="A648" s="15" t="s">
        <v>109</v>
      </c>
      <c r="B648" s="25" t="s">
        <v>110</v>
      </c>
      <c r="C648" s="35" t="s">
        <v>111</v>
      </c>
      <c r="D648" s="35" t="s">
        <v>112</v>
      </c>
      <c r="E648" s="16">
        <v>0</v>
      </c>
    </row>
    <row r="650" spans="1:133" ht="15.6" customHeight="1" x14ac:dyDescent="0.25">
      <c r="A650" s="36" t="s">
        <v>113</v>
      </c>
      <c r="B650" s="36"/>
      <c r="C650" s="36"/>
      <c r="D650" s="36"/>
      <c r="E650" s="36"/>
    </row>
    <row r="651" spans="1:133" x14ac:dyDescent="0.25">
      <c r="A651" s="57" t="s">
        <v>9</v>
      </c>
      <c r="B651" s="58" t="s">
        <v>10</v>
      </c>
      <c r="C651" s="34" t="s">
        <v>11</v>
      </c>
      <c r="D651" s="34" t="s">
        <v>12</v>
      </c>
      <c r="E651" s="16" t="s">
        <v>80</v>
      </c>
    </row>
    <row r="652" spans="1:133" ht="49.2" x14ac:dyDescent="0.25">
      <c r="A652" s="15" t="s">
        <v>114</v>
      </c>
      <c r="B652" s="25" t="s">
        <v>110</v>
      </c>
      <c r="C652" s="35" t="s">
        <v>115</v>
      </c>
      <c r="D652" s="35" t="s">
        <v>116</v>
      </c>
      <c r="E652" s="16">
        <v>0</v>
      </c>
    </row>
    <row r="654" spans="1:133" x14ac:dyDescent="0.25">
      <c r="A654" s="57" t="s">
        <v>9</v>
      </c>
      <c r="B654" s="58" t="s">
        <v>10</v>
      </c>
      <c r="C654" s="34" t="s">
        <v>11</v>
      </c>
      <c r="D654" s="34" t="s">
        <v>12</v>
      </c>
      <c r="E654" s="16" t="s">
        <v>80</v>
      </c>
    </row>
    <row r="655" spans="1:133" ht="18" x14ac:dyDescent="0.25">
      <c r="A655" s="59" t="s">
        <v>117</v>
      </c>
      <c r="B655" s="25" t="s">
        <v>118</v>
      </c>
      <c r="C655" s="35" t="s">
        <v>119</v>
      </c>
      <c r="D655" s="53" t="s">
        <v>352</v>
      </c>
      <c r="E655" s="18">
        <f>ROUNDDOWN(E605+E636+E631+E648+E652,0)</f>
        <v>2696</v>
      </c>
    </row>
    <row r="656" spans="1:133" s="138" customFormat="1" ht="43.2" customHeight="1" x14ac:dyDescent="0.25">
      <c r="A656" s="140" t="s">
        <v>256</v>
      </c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  <c r="BA656" s="141"/>
      <c r="BB656" s="141"/>
      <c r="BC656" s="141"/>
      <c r="BD656" s="141"/>
      <c r="BE656" s="141"/>
      <c r="BF656" s="141"/>
      <c r="BG656" s="141"/>
      <c r="BH656" s="141"/>
      <c r="BI656" s="141"/>
      <c r="BJ656" s="141"/>
      <c r="BK656" s="141"/>
      <c r="BL656" s="141"/>
      <c r="BM656" s="141"/>
      <c r="BN656" s="141"/>
      <c r="BO656" s="141"/>
      <c r="BP656" s="141"/>
      <c r="BQ656" s="141"/>
      <c r="BR656" s="141"/>
      <c r="BS656" s="141"/>
      <c r="BT656" s="141"/>
      <c r="BU656" s="141"/>
      <c r="BV656" s="141"/>
      <c r="BW656" s="141"/>
      <c r="BX656" s="141"/>
      <c r="BY656" s="141"/>
      <c r="BZ656" s="141"/>
      <c r="CA656" s="141"/>
      <c r="CB656" s="141"/>
      <c r="CC656" s="141"/>
      <c r="CD656" s="141"/>
      <c r="CE656" s="141"/>
      <c r="CF656" s="141"/>
      <c r="CG656" s="141"/>
      <c r="CH656" s="141"/>
      <c r="CI656" s="141"/>
      <c r="CJ656" s="141"/>
      <c r="CK656" s="141"/>
      <c r="CL656" s="141"/>
      <c r="CM656" s="141"/>
      <c r="CN656" s="141"/>
      <c r="CO656" s="141"/>
      <c r="CP656" s="141"/>
      <c r="CQ656" s="141"/>
      <c r="CR656" s="141"/>
      <c r="CS656" s="141"/>
      <c r="CT656" s="141"/>
      <c r="CU656" s="141"/>
      <c r="CV656" s="141"/>
      <c r="CW656" s="141"/>
      <c r="CX656" s="141"/>
      <c r="CY656" s="141"/>
      <c r="CZ656" s="141"/>
      <c r="DA656" s="141"/>
      <c r="DB656" s="141"/>
      <c r="DC656" s="141"/>
      <c r="DD656" s="141"/>
      <c r="DE656" s="141"/>
      <c r="DF656" s="141"/>
      <c r="DG656" s="141"/>
      <c r="DH656" s="141"/>
      <c r="DI656" s="141"/>
      <c r="DJ656" s="141"/>
      <c r="DK656" s="141"/>
      <c r="DL656" s="141"/>
      <c r="DM656" s="141"/>
      <c r="DN656" s="141"/>
      <c r="DO656" s="141"/>
      <c r="DP656" s="141"/>
      <c r="DQ656" s="141"/>
      <c r="DR656" s="141"/>
      <c r="DS656" s="141"/>
      <c r="DT656" s="141"/>
      <c r="DU656" s="141"/>
      <c r="DV656" s="141"/>
      <c r="DW656" s="141"/>
      <c r="DX656" s="141"/>
      <c r="DY656" s="141"/>
      <c r="DZ656" s="141"/>
      <c r="EA656" s="141"/>
      <c r="EB656" s="141"/>
      <c r="EC656" s="142"/>
    </row>
    <row r="657" spans="1:133" s="56" customFormat="1" x14ac:dyDescent="0.25">
      <c r="A657" s="93" t="s">
        <v>9</v>
      </c>
      <c r="B657" s="94" t="s">
        <v>10</v>
      </c>
      <c r="C657" s="95" t="s">
        <v>11</v>
      </c>
      <c r="D657" s="95" t="s">
        <v>12</v>
      </c>
      <c r="E657" s="94" t="s">
        <v>13</v>
      </c>
      <c r="F657" s="96" t="s">
        <v>14</v>
      </c>
      <c r="G657" s="96" t="s">
        <v>15</v>
      </c>
      <c r="H657" s="96" t="s">
        <v>16</v>
      </c>
      <c r="I657" s="96" t="s">
        <v>17</v>
      </c>
      <c r="J657" s="96" t="s">
        <v>18</v>
      </c>
      <c r="K657" s="96" t="s">
        <v>19</v>
      </c>
      <c r="L657" s="96" t="s">
        <v>20</v>
      </c>
      <c r="M657" s="96" t="s">
        <v>21</v>
      </c>
      <c r="N657" s="96" t="s">
        <v>22</v>
      </c>
      <c r="O657" s="96" t="s">
        <v>23</v>
      </c>
      <c r="P657" s="96" t="s">
        <v>24</v>
      </c>
      <c r="Q657" s="96" t="s">
        <v>25</v>
      </c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  <c r="AK657" s="54"/>
      <c r="AL657" s="54"/>
      <c r="AM657" s="54"/>
      <c r="AN657" s="54"/>
      <c r="AO657" s="54"/>
      <c r="AP657" s="54"/>
      <c r="AQ657" s="54"/>
      <c r="AR657" s="54"/>
      <c r="AS657" s="54"/>
      <c r="AT657" s="54"/>
      <c r="AU657" s="54"/>
      <c r="AV657" s="54"/>
      <c r="AW657" s="54"/>
      <c r="AX657" s="54"/>
      <c r="AY657" s="54"/>
      <c r="AZ657" s="54"/>
      <c r="BA657" s="54"/>
      <c r="BB657" s="54"/>
      <c r="BC657" s="54"/>
      <c r="BD657" s="54"/>
      <c r="BE657" s="54"/>
      <c r="BF657" s="54"/>
      <c r="BG657" s="54"/>
      <c r="BH657" s="54"/>
      <c r="BI657" s="54"/>
      <c r="BJ657" s="54"/>
      <c r="BK657" s="54"/>
      <c r="BL657" s="54"/>
      <c r="BM657" s="54"/>
      <c r="BN657" s="54"/>
      <c r="BO657" s="54"/>
      <c r="BP657" s="54"/>
      <c r="BQ657" s="54"/>
      <c r="BR657" s="54"/>
      <c r="BS657" s="54"/>
      <c r="BT657" s="54"/>
      <c r="BU657" s="54"/>
      <c r="BV657" s="54"/>
      <c r="BW657" s="54"/>
      <c r="BX657" s="54"/>
      <c r="BY657" s="54"/>
      <c r="BZ657" s="54"/>
      <c r="CA657" s="54"/>
      <c r="CB657" s="54"/>
      <c r="CC657" s="54"/>
      <c r="CD657" s="54"/>
      <c r="CE657" s="54"/>
      <c r="CF657" s="54"/>
      <c r="CG657" s="54"/>
      <c r="CH657" s="54"/>
      <c r="CI657" s="54"/>
      <c r="CJ657" s="54"/>
      <c r="CK657" s="54"/>
      <c r="CL657" s="54"/>
      <c r="CM657" s="54"/>
      <c r="CN657" s="54"/>
      <c r="CO657" s="54"/>
      <c r="CP657" s="54"/>
      <c r="CQ657" s="54"/>
      <c r="CR657" s="54"/>
      <c r="CS657" s="54"/>
      <c r="CT657" s="54"/>
      <c r="CU657" s="54"/>
      <c r="CV657" s="54"/>
      <c r="CW657" s="54"/>
      <c r="CX657" s="54"/>
      <c r="CY657" s="54"/>
      <c r="CZ657" s="54"/>
      <c r="DA657" s="54"/>
      <c r="DB657" s="54"/>
      <c r="DC657" s="54"/>
      <c r="DD657" s="54"/>
      <c r="DE657" s="54"/>
      <c r="DF657" s="54"/>
      <c r="DG657" s="54"/>
      <c r="DH657" s="54"/>
      <c r="DI657" s="54"/>
      <c r="DJ657" s="54"/>
      <c r="DK657" s="54"/>
      <c r="DL657" s="54"/>
      <c r="DM657" s="54"/>
      <c r="DN657" s="54"/>
      <c r="DO657" s="54"/>
      <c r="DP657" s="54"/>
      <c r="DQ657" s="54"/>
      <c r="DR657" s="54"/>
      <c r="DS657" s="54"/>
      <c r="DT657" s="54"/>
      <c r="DU657" s="54"/>
      <c r="DV657" s="54"/>
      <c r="DW657" s="54"/>
      <c r="DX657" s="54"/>
      <c r="DY657" s="54"/>
      <c r="DZ657" s="54"/>
      <c r="EA657" s="54"/>
      <c r="EB657" s="54"/>
      <c r="EC657" s="54"/>
    </row>
    <row r="658" spans="1:133" s="56" customFormat="1" x14ac:dyDescent="0.25">
      <c r="A658" s="58" t="s">
        <v>26</v>
      </c>
      <c r="B658" s="58"/>
      <c r="C658" s="34"/>
      <c r="D658" s="34"/>
      <c r="E658" s="58"/>
      <c r="F658" s="16">
        <v>31</v>
      </c>
      <c r="G658" s="16">
        <v>28</v>
      </c>
      <c r="H658" s="16">
        <v>31</v>
      </c>
      <c r="I658" s="16">
        <v>30</v>
      </c>
      <c r="J658" s="16">
        <v>31</v>
      </c>
      <c r="K658" s="16">
        <v>30</v>
      </c>
      <c r="L658" s="16">
        <v>31</v>
      </c>
      <c r="M658" s="16">
        <v>31</v>
      </c>
      <c r="N658" s="16">
        <v>30</v>
      </c>
      <c r="O658" s="16">
        <v>31</v>
      </c>
      <c r="P658" s="16">
        <v>30</v>
      </c>
      <c r="Q658" s="16">
        <v>31</v>
      </c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  <c r="AK658" s="54"/>
      <c r="AL658" s="54"/>
      <c r="AM658" s="54"/>
      <c r="AN658" s="54"/>
      <c r="AO658" s="54"/>
      <c r="AP658" s="54"/>
      <c r="AQ658" s="54"/>
      <c r="AR658" s="54"/>
      <c r="AS658" s="54"/>
      <c r="AT658" s="54"/>
      <c r="AU658" s="54"/>
      <c r="AV658" s="54"/>
      <c r="AW658" s="54"/>
      <c r="AX658" s="54"/>
      <c r="AY658" s="54"/>
      <c r="AZ658" s="54"/>
      <c r="BA658" s="54"/>
      <c r="BB658" s="54"/>
      <c r="BC658" s="54"/>
      <c r="BD658" s="54"/>
      <c r="BE658" s="54"/>
      <c r="BF658" s="54"/>
      <c r="BG658" s="54"/>
      <c r="BH658" s="54"/>
      <c r="BI658" s="54"/>
      <c r="BJ658" s="54"/>
      <c r="BK658" s="54"/>
      <c r="BL658" s="54"/>
      <c r="BM658" s="54"/>
      <c r="BN658" s="54"/>
      <c r="BO658" s="54"/>
      <c r="BP658" s="54"/>
      <c r="BQ658" s="54"/>
      <c r="BR658" s="54"/>
      <c r="BS658" s="54"/>
      <c r="BT658" s="54"/>
      <c r="BU658" s="54"/>
      <c r="BV658" s="54"/>
      <c r="BW658" s="54"/>
      <c r="BX658" s="54"/>
      <c r="BY658" s="54"/>
      <c r="BZ658" s="54"/>
      <c r="CA658" s="54"/>
      <c r="CB658" s="54"/>
      <c r="CC658" s="54"/>
      <c r="CD658" s="54"/>
      <c r="CE658" s="54"/>
      <c r="CF658" s="54"/>
      <c r="CG658" s="54"/>
      <c r="CH658" s="54"/>
      <c r="CI658" s="54"/>
      <c r="CJ658" s="54"/>
      <c r="CK658" s="54"/>
      <c r="CL658" s="54"/>
      <c r="CM658" s="54"/>
      <c r="CN658" s="54"/>
      <c r="CO658" s="54"/>
      <c r="CP658" s="54"/>
      <c r="CQ658" s="54"/>
      <c r="CR658" s="54"/>
      <c r="CS658" s="54"/>
      <c r="CT658" s="54"/>
      <c r="CU658" s="54"/>
      <c r="CV658" s="54"/>
      <c r="CW658" s="54"/>
      <c r="CX658" s="54"/>
      <c r="CY658" s="54"/>
      <c r="CZ658" s="54"/>
      <c r="DA658" s="54"/>
      <c r="DB658" s="54"/>
      <c r="DC658" s="54"/>
      <c r="DD658" s="54"/>
      <c r="DE658" s="54"/>
      <c r="DF658" s="54"/>
      <c r="DG658" s="54"/>
      <c r="DH658" s="54"/>
      <c r="DI658" s="54"/>
      <c r="DJ658" s="54"/>
      <c r="DK658" s="54"/>
      <c r="DL658" s="54"/>
      <c r="DM658" s="54"/>
      <c r="DN658" s="54"/>
      <c r="DO658" s="54"/>
      <c r="DP658" s="54"/>
      <c r="DQ658" s="54"/>
      <c r="DR658" s="54"/>
      <c r="DS658" s="54"/>
      <c r="DT658" s="54"/>
      <c r="DU658" s="54"/>
      <c r="DV658" s="54"/>
      <c r="DW658" s="54"/>
      <c r="DX658" s="54"/>
      <c r="DY658" s="54"/>
      <c r="DZ658" s="54"/>
      <c r="EA658" s="54"/>
      <c r="EB658" s="54"/>
      <c r="EC658" s="54"/>
    </row>
    <row r="659" spans="1:133" ht="46.8" x14ac:dyDescent="0.25">
      <c r="A659" s="59" t="s">
        <v>27</v>
      </c>
      <c r="B659" s="60" t="s">
        <v>28</v>
      </c>
      <c r="C659" s="53" t="s">
        <v>29</v>
      </c>
      <c r="D659" s="53" t="s">
        <v>340</v>
      </c>
      <c r="E659" s="61">
        <f>SUM(F659:Q659)</f>
        <v>5399.2474111838037</v>
      </c>
      <c r="F659" s="62">
        <f>$E$6*$E$7*F662*$E$19</f>
        <v>458.5662184841039</v>
      </c>
      <c r="G659" s="62">
        <f t="shared" ref="G659:Q659" si="96">$E$6*$E$7*G662*$E$19</f>
        <v>414.18884250177126</v>
      </c>
      <c r="H659" s="62">
        <f t="shared" si="96"/>
        <v>458.5662184841039</v>
      </c>
      <c r="I659" s="62">
        <f t="shared" si="96"/>
        <v>443.77375982332637</v>
      </c>
      <c r="J659" s="62">
        <f t="shared" si="96"/>
        <v>458.5662184841039</v>
      </c>
      <c r="K659" s="62">
        <f t="shared" si="96"/>
        <v>443.77375982332637</v>
      </c>
      <c r="L659" s="62">
        <f t="shared" si="96"/>
        <v>458.5662184841039</v>
      </c>
      <c r="M659" s="62">
        <f t="shared" si="96"/>
        <v>458.5662184841039</v>
      </c>
      <c r="N659" s="62">
        <f t="shared" si="96"/>
        <v>443.77375982332637</v>
      </c>
      <c r="O659" s="62">
        <f t="shared" si="96"/>
        <v>458.5662184841039</v>
      </c>
      <c r="P659" s="62">
        <f t="shared" si="96"/>
        <v>443.77375982332637</v>
      </c>
      <c r="Q659" s="62">
        <f t="shared" si="96"/>
        <v>458.5662184841039</v>
      </c>
    </row>
    <row r="660" spans="1:133" ht="31.2" x14ac:dyDescent="0.25">
      <c r="A660" s="63" t="s">
        <v>30</v>
      </c>
      <c r="B660" s="60" t="s">
        <v>208</v>
      </c>
      <c r="C660" s="35" t="s">
        <v>31</v>
      </c>
      <c r="D660" s="35" t="s">
        <v>220</v>
      </c>
      <c r="E660" s="25">
        <v>28</v>
      </c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</row>
    <row r="661" spans="1:133" ht="64.8" x14ac:dyDescent="0.25">
      <c r="A661" s="63" t="s">
        <v>32</v>
      </c>
      <c r="B661" s="25" t="s">
        <v>209</v>
      </c>
      <c r="C661" s="35" t="s">
        <v>34</v>
      </c>
      <c r="D661" s="35" t="s">
        <v>373</v>
      </c>
      <c r="E661" s="25">
        <v>0.21</v>
      </c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</row>
    <row r="662" spans="1:133" ht="46.8" x14ac:dyDescent="0.25">
      <c r="A662" s="35" t="s">
        <v>35</v>
      </c>
      <c r="B662" s="25" t="s">
        <v>210</v>
      </c>
      <c r="C662" s="53" t="s">
        <v>36</v>
      </c>
      <c r="D662" s="53" t="s">
        <v>341</v>
      </c>
      <c r="E662" s="64">
        <f t="shared" ref="E662:Q662" si="97">E670*E663</f>
        <v>1700.8263181447546</v>
      </c>
      <c r="F662" s="64">
        <f t="shared" si="97"/>
        <v>144.45374208900657</v>
      </c>
      <c r="G662" s="64">
        <f t="shared" si="97"/>
        <v>130.47434769329627</v>
      </c>
      <c r="H662" s="64">
        <f t="shared" si="97"/>
        <v>144.45374208900657</v>
      </c>
      <c r="I662" s="64">
        <f t="shared" si="97"/>
        <v>139.79394395710312</v>
      </c>
      <c r="J662" s="64">
        <f t="shared" si="97"/>
        <v>144.45374208900657</v>
      </c>
      <c r="K662" s="64">
        <f t="shared" si="97"/>
        <v>139.79394395710312</v>
      </c>
      <c r="L662" s="64">
        <f t="shared" si="97"/>
        <v>144.45374208900657</v>
      </c>
      <c r="M662" s="64">
        <f t="shared" si="97"/>
        <v>144.45374208900657</v>
      </c>
      <c r="N662" s="64">
        <f t="shared" si="97"/>
        <v>139.79394395710312</v>
      </c>
      <c r="O662" s="64">
        <f t="shared" si="97"/>
        <v>144.45374208900657</v>
      </c>
      <c r="P662" s="64">
        <f t="shared" si="97"/>
        <v>139.79394395710312</v>
      </c>
      <c r="Q662" s="64">
        <f t="shared" si="97"/>
        <v>144.45374208900657</v>
      </c>
    </row>
    <row r="663" spans="1:133" ht="46.8" x14ac:dyDescent="0.25">
      <c r="A663" s="35" t="s">
        <v>37</v>
      </c>
      <c r="B663" s="25" t="s">
        <v>212</v>
      </c>
      <c r="C663" s="35" t="s">
        <v>206</v>
      </c>
      <c r="D663" s="35" t="s">
        <v>342</v>
      </c>
      <c r="E663" s="20">
        <f>SUM(F663:Q663)</f>
        <v>1776.6375</v>
      </c>
      <c r="F663" s="20">
        <f>F665*F668</f>
        <v>150.89250000000001</v>
      </c>
      <c r="G663" s="20">
        <f t="shared" ref="G663:Q663" si="98">G665*G668</f>
        <v>136.29000000000002</v>
      </c>
      <c r="H663" s="20">
        <f t="shared" si="98"/>
        <v>150.89250000000001</v>
      </c>
      <c r="I663" s="20">
        <f t="shared" si="98"/>
        <v>146.02500000000001</v>
      </c>
      <c r="J663" s="20">
        <f t="shared" si="98"/>
        <v>150.89250000000001</v>
      </c>
      <c r="K663" s="20">
        <f t="shared" si="98"/>
        <v>146.02500000000001</v>
      </c>
      <c r="L663" s="20">
        <f t="shared" si="98"/>
        <v>150.89250000000001</v>
      </c>
      <c r="M663" s="20">
        <f t="shared" si="98"/>
        <v>150.89250000000001</v>
      </c>
      <c r="N663" s="20">
        <f t="shared" si="98"/>
        <v>146.02500000000001</v>
      </c>
      <c r="O663" s="20">
        <f t="shared" si="98"/>
        <v>150.89250000000001</v>
      </c>
      <c r="P663" s="20">
        <f t="shared" si="98"/>
        <v>146.02500000000001</v>
      </c>
      <c r="Q663" s="20">
        <f t="shared" si="98"/>
        <v>150.89250000000001</v>
      </c>
    </row>
    <row r="664" spans="1:133" ht="46.8" x14ac:dyDescent="0.3">
      <c r="A664" s="51" t="s">
        <v>221</v>
      </c>
      <c r="B664" s="60" t="s">
        <v>207</v>
      </c>
      <c r="C664" s="35" t="s">
        <v>39</v>
      </c>
      <c r="D664" s="35" t="s">
        <v>222</v>
      </c>
      <c r="E664" s="20">
        <v>8850</v>
      </c>
      <c r="F664" s="20">
        <v>8850</v>
      </c>
      <c r="G664" s="20">
        <v>8850</v>
      </c>
      <c r="H664" s="20">
        <v>8850</v>
      </c>
      <c r="I664" s="20">
        <v>8850</v>
      </c>
      <c r="J664" s="20">
        <v>8850</v>
      </c>
      <c r="K664" s="20">
        <v>8850</v>
      </c>
      <c r="L664" s="20">
        <v>8850</v>
      </c>
      <c r="M664" s="20">
        <v>8850</v>
      </c>
      <c r="N664" s="20">
        <v>8850</v>
      </c>
      <c r="O664" s="20">
        <v>8850</v>
      </c>
      <c r="P664" s="20">
        <v>8850</v>
      </c>
      <c r="Q664" s="20">
        <v>8850</v>
      </c>
    </row>
    <row r="665" spans="1:133" ht="46.8" x14ac:dyDescent="0.25">
      <c r="A665" s="35" t="s">
        <v>41</v>
      </c>
      <c r="B665" s="60" t="s">
        <v>213</v>
      </c>
      <c r="C665" s="35" t="s">
        <v>42</v>
      </c>
      <c r="D665" s="35" t="s">
        <v>326</v>
      </c>
      <c r="E665" s="65">
        <f>SUM(F665:Q665)</f>
        <v>3230250</v>
      </c>
      <c r="F665" s="65">
        <f>F664*F658</f>
        <v>274350</v>
      </c>
      <c r="G665" s="65">
        <f t="shared" ref="G665:Q665" si="99">G664*G658</f>
        <v>247800</v>
      </c>
      <c r="H665" s="65">
        <f t="shared" si="99"/>
        <v>274350</v>
      </c>
      <c r="I665" s="65">
        <f t="shared" si="99"/>
        <v>265500</v>
      </c>
      <c r="J665" s="65">
        <f t="shared" si="99"/>
        <v>274350</v>
      </c>
      <c r="K665" s="65">
        <f t="shared" si="99"/>
        <v>265500</v>
      </c>
      <c r="L665" s="65">
        <f t="shared" si="99"/>
        <v>274350</v>
      </c>
      <c r="M665" s="65">
        <f t="shared" si="99"/>
        <v>274350</v>
      </c>
      <c r="N665" s="65">
        <f t="shared" si="99"/>
        <v>265500</v>
      </c>
      <c r="O665" s="65">
        <f t="shared" si="99"/>
        <v>274350</v>
      </c>
      <c r="P665" s="65">
        <f t="shared" si="99"/>
        <v>265500</v>
      </c>
      <c r="Q665" s="65">
        <f t="shared" si="99"/>
        <v>274350</v>
      </c>
    </row>
    <row r="666" spans="1:133" ht="62.4" x14ac:dyDescent="0.25">
      <c r="A666" s="35" t="s">
        <v>43</v>
      </c>
      <c r="B666" s="60" t="s">
        <v>214</v>
      </c>
      <c r="C666" s="35" t="s">
        <v>44</v>
      </c>
      <c r="D666" s="35" t="s">
        <v>40</v>
      </c>
      <c r="E666" s="66">
        <v>550</v>
      </c>
      <c r="F666" s="66">
        <v>550</v>
      </c>
      <c r="G666" s="66">
        <v>550</v>
      </c>
      <c r="H666" s="66">
        <v>550</v>
      </c>
      <c r="I666" s="66">
        <v>550</v>
      </c>
      <c r="J666" s="66">
        <v>550</v>
      </c>
      <c r="K666" s="66">
        <v>550</v>
      </c>
      <c r="L666" s="66">
        <v>550</v>
      </c>
      <c r="M666" s="66">
        <v>550</v>
      </c>
      <c r="N666" s="66">
        <v>550</v>
      </c>
      <c r="O666" s="66">
        <v>550</v>
      </c>
      <c r="P666" s="66">
        <v>550</v>
      </c>
      <c r="Q666" s="66">
        <v>550</v>
      </c>
    </row>
    <row r="667" spans="1:133" ht="62.4" x14ac:dyDescent="0.25">
      <c r="A667" s="35" t="s">
        <v>45</v>
      </c>
      <c r="B667" s="60" t="s">
        <v>214</v>
      </c>
      <c r="C667" s="35" t="s">
        <v>46</v>
      </c>
      <c r="D667" s="35" t="s">
        <v>40</v>
      </c>
      <c r="E667" s="65">
        <v>40</v>
      </c>
      <c r="F667" s="65">
        <v>40</v>
      </c>
      <c r="G667" s="65">
        <v>40</v>
      </c>
      <c r="H667" s="65">
        <v>40</v>
      </c>
      <c r="I667" s="65">
        <v>40</v>
      </c>
      <c r="J667" s="65">
        <v>40</v>
      </c>
      <c r="K667" s="65">
        <v>40</v>
      </c>
      <c r="L667" s="65">
        <v>40</v>
      </c>
      <c r="M667" s="65">
        <v>40</v>
      </c>
      <c r="N667" s="65">
        <v>40</v>
      </c>
      <c r="O667" s="65">
        <v>40</v>
      </c>
      <c r="P667" s="65">
        <v>40</v>
      </c>
      <c r="Q667" s="65">
        <v>40</v>
      </c>
    </row>
    <row r="668" spans="1:133" ht="62.4" x14ac:dyDescent="0.25">
      <c r="A668" s="35" t="s">
        <v>47</v>
      </c>
      <c r="B668" s="60" t="s">
        <v>215</v>
      </c>
      <c r="C668" s="35" t="s">
        <v>49</v>
      </c>
      <c r="D668" s="35" t="s">
        <v>324</v>
      </c>
      <c r="E668" s="67">
        <f>E666/1000000</f>
        <v>5.5000000000000003E-4</v>
      </c>
      <c r="F668" s="22">
        <f>F666/1000000</f>
        <v>5.5000000000000003E-4</v>
      </c>
      <c r="G668" s="22">
        <f t="shared" ref="G668:Q668" si="100">G666/1000000</f>
        <v>5.5000000000000003E-4</v>
      </c>
      <c r="H668" s="22">
        <f t="shared" si="100"/>
        <v>5.5000000000000003E-4</v>
      </c>
      <c r="I668" s="22">
        <f t="shared" si="100"/>
        <v>5.5000000000000003E-4</v>
      </c>
      <c r="J668" s="22">
        <f t="shared" si="100"/>
        <v>5.5000000000000003E-4</v>
      </c>
      <c r="K668" s="22">
        <f t="shared" si="100"/>
        <v>5.5000000000000003E-4</v>
      </c>
      <c r="L668" s="22">
        <f t="shared" si="100"/>
        <v>5.5000000000000003E-4</v>
      </c>
      <c r="M668" s="22">
        <f t="shared" si="100"/>
        <v>5.5000000000000003E-4</v>
      </c>
      <c r="N668" s="22">
        <f t="shared" si="100"/>
        <v>5.5000000000000003E-4</v>
      </c>
      <c r="O668" s="22">
        <f t="shared" si="100"/>
        <v>5.5000000000000003E-4</v>
      </c>
      <c r="P668" s="22">
        <f t="shared" si="100"/>
        <v>5.5000000000000003E-4</v>
      </c>
      <c r="Q668" s="22">
        <f t="shared" si="100"/>
        <v>5.5000000000000003E-4</v>
      </c>
    </row>
    <row r="669" spans="1:133" ht="62.4" x14ac:dyDescent="0.25">
      <c r="A669" s="35" t="s">
        <v>45</v>
      </c>
      <c r="B669" s="60" t="s">
        <v>48</v>
      </c>
      <c r="C669" s="35" t="s">
        <v>50</v>
      </c>
      <c r="D669" s="35" t="s">
        <v>325</v>
      </c>
      <c r="E669" s="67">
        <f>E667/1000000</f>
        <v>4.0000000000000003E-5</v>
      </c>
      <c r="F669" s="22">
        <f>F667/1000000</f>
        <v>4.0000000000000003E-5</v>
      </c>
      <c r="G669" s="22">
        <f t="shared" ref="G669:Q669" si="101">G667/1000000</f>
        <v>4.0000000000000003E-5</v>
      </c>
      <c r="H669" s="22">
        <f t="shared" si="101"/>
        <v>4.0000000000000003E-5</v>
      </c>
      <c r="I669" s="22">
        <f t="shared" si="101"/>
        <v>4.0000000000000003E-5</v>
      </c>
      <c r="J669" s="22">
        <f t="shared" si="101"/>
        <v>4.0000000000000003E-5</v>
      </c>
      <c r="K669" s="22">
        <f t="shared" si="101"/>
        <v>4.0000000000000003E-5</v>
      </c>
      <c r="L669" s="22">
        <f t="shared" si="101"/>
        <v>4.0000000000000003E-5</v>
      </c>
      <c r="M669" s="22">
        <f t="shared" si="101"/>
        <v>4.0000000000000003E-5</v>
      </c>
      <c r="N669" s="22">
        <f t="shared" si="101"/>
        <v>4.0000000000000003E-5</v>
      </c>
      <c r="O669" s="22">
        <f t="shared" si="101"/>
        <v>4.0000000000000003E-5</v>
      </c>
      <c r="P669" s="22">
        <f t="shared" si="101"/>
        <v>4.0000000000000003E-5</v>
      </c>
      <c r="Q669" s="22">
        <f t="shared" si="101"/>
        <v>4.0000000000000003E-5</v>
      </c>
    </row>
    <row r="670" spans="1:133" ht="46.8" x14ac:dyDescent="0.25">
      <c r="A670" s="63" t="s">
        <v>51</v>
      </c>
      <c r="B670" s="25" t="s">
        <v>216</v>
      </c>
      <c r="C670" s="35" t="s">
        <v>53</v>
      </c>
      <c r="D670" s="35" t="s">
        <v>343</v>
      </c>
      <c r="E670" s="68">
        <f>(1-(E671/E672))</f>
        <v>0.95732884065812784</v>
      </c>
      <c r="F670" s="68">
        <f>E670</f>
        <v>0.95732884065812784</v>
      </c>
      <c r="G670" s="68">
        <f>E670</f>
        <v>0.95732884065812784</v>
      </c>
      <c r="H670" s="68">
        <f>E670</f>
        <v>0.95732884065812784</v>
      </c>
      <c r="I670" s="68">
        <f>E670</f>
        <v>0.95732884065812784</v>
      </c>
      <c r="J670" s="68">
        <f>E670</f>
        <v>0.95732884065812784</v>
      </c>
      <c r="K670" s="68">
        <f>E670</f>
        <v>0.95732884065812784</v>
      </c>
      <c r="L670" s="68">
        <f>E670</f>
        <v>0.95732884065812784</v>
      </c>
      <c r="M670" s="68">
        <f>E670</f>
        <v>0.95732884065812784</v>
      </c>
      <c r="N670" s="68">
        <f>E670</f>
        <v>0.95732884065812784</v>
      </c>
      <c r="O670" s="68">
        <f>E670</f>
        <v>0.95732884065812784</v>
      </c>
      <c r="P670" s="68">
        <f>E670</f>
        <v>0.95732884065812784</v>
      </c>
      <c r="Q670" s="68">
        <f>E670</f>
        <v>0.95732884065812784</v>
      </c>
    </row>
    <row r="671" spans="1:133" ht="31.2" x14ac:dyDescent="0.25">
      <c r="A671" s="35" t="s">
        <v>54</v>
      </c>
      <c r="B671" s="25" t="s">
        <v>211</v>
      </c>
      <c r="C671" s="35" t="s">
        <v>55</v>
      </c>
      <c r="D671" s="35" t="s">
        <v>323</v>
      </c>
      <c r="E671" s="52">
        <f>SUM(F671:Q671)</f>
        <v>47.169475782499994</v>
      </c>
      <c r="F671" s="52">
        <v>4.0061746554999997</v>
      </c>
      <c r="G671" s="52">
        <v>3.6184803340000005</v>
      </c>
      <c r="H671" s="52">
        <v>4.0061746554999997</v>
      </c>
      <c r="I671" s="52">
        <v>3.8769432150000003</v>
      </c>
      <c r="J671" s="52">
        <v>4.0061746554999997</v>
      </c>
      <c r="K671" s="52">
        <v>3.8769432150000003</v>
      </c>
      <c r="L671" s="52">
        <v>4.0061746554999997</v>
      </c>
      <c r="M671" s="52">
        <v>4.0061746554999997</v>
      </c>
      <c r="N671" s="52">
        <v>3.8769432150000003</v>
      </c>
      <c r="O671" s="52">
        <v>4.0061746554999997</v>
      </c>
      <c r="P671" s="52">
        <v>3.8769432150000003</v>
      </c>
      <c r="Q671" s="52">
        <v>4.0061746554999997</v>
      </c>
    </row>
    <row r="672" spans="1:133" ht="31.2" x14ac:dyDescent="0.25">
      <c r="A672" s="63" t="s">
        <v>56</v>
      </c>
      <c r="B672" s="25" t="s">
        <v>38</v>
      </c>
      <c r="C672" s="35" t="s">
        <v>57</v>
      </c>
      <c r="D672" s="35" t="s">
        <v>323</v>
      </c>
      <c r="E672" s="52">
        <f>SUM(F672:Q672)</f>
        <v>1105.4181913500001</v>
      </c>
      <c r="F672" s="52">
        <v>93.884832689999996</v>
      </c>
      <c r="G672" s="52">
        <v>84.799203720000008</v>
      </c>
      <c r="H672" s="52">
        <v>93.884832689999996</v>
      </c>
      <c r="I672" s="52">
        <v>90.856289700000005</v>
      </c>
      <c r="J672" s="52">
        <v>93.884832689999996</v>
      </c>
      <c r="K672" s="52">
        <v>90.856289700000005</v>
      </c>
      <c r="L672" s="52">
        <v>93.884832689999996</v>
      </c>
      <c r="M672" s="52">
        <v>93.884832689999996</v>
      </c>
      <c r="N672" s="52">
        <v>90.856289700000005</v>
      </c>
      <c r="O672" s="52">
        <v>93.884832689999996</v>
      </c>
      <c r="P672" s="52">
        <v>90.856289700000005</v>
      </c>
      <c r="Q672" s="52">
        <v>93.884832689999996</v>
      </c>
    </row>
    <row r="673" spans="1:133" ht="31.2" x14ac:dyDescent="0.25">
      <c r="A673" s="53" t="s">
        <v>58</v>
      </c>
      <c r="B673" s="25" t="s">
        <v>216</v>
      </c>
      <c r="C673" s="53" t="s">
        <v>59</v>
      </c>
      <c r="D673" s="35" t="s">
        <v>344</v>
      </c>
      <c r="E673" s="116">
        <f>E674*E675*0.89</f>
        <v>0.50805446708058999</v>
      </c>
      <c r="F673" s="117"/>
      <c r="G673" s="117"/>
      <c r="H673" s="117"/>
      <c r="I673" s="117"/>
      <c r="J673" s="117"/>
      <c r="K673" s="117"/>
      <c r="L673" s="117"/>
      <c r="M673" s="117"/>
      <c r="N673" s="117"/>
      <c r="O673" s="117"/>
      <c r="P673" s="117"/>
      <c r="Q673" s="118"/>
    </row>
    <row r="674" spans="1:133" ht="31.2" x14ac:dyDescent="0.25">
      <c r="A674" s="70" t="s">
        <v>60</v>
      </c>
      <c r="B674" s="25" t="s">
        <v>216</v>
      </c>
      <c r="C674" s="53" t="s">
        <v>61</v>
      </c>
      <c r="D674" s="35" t="s">
        <v>345</v>
      </c>
      <c r="E674" s="119">
        <v>0.7</v>
      </c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1"/>
    </row>
    <row r="675" spans="1:133" ht="36" customHeight="1" x14ac:dyDescent="0.25">
      <c r="A675" s="70" t="s">
        <v>62</v>
      </c>
      <c r="B675" s="25" t="s">
        <v>52</v>
      </c>
      <c r="C675" s="53" t="s">
        <v>63</v>
      </c>
      <c r="D675" s="35" t="s">
        <v>346</v>
      </c>
      <c r="E675" s="122">
        <f>(F676*F681+G676*G681+H676*H681+I676*I681+J676*J681+K676*K681+L676*L681+M676*M681+N676*N681+O676*O681+P676*P681+Q676*Q681)/(F670*F665*F668+G670*G668*G665+H670*H665*H668+I670*I668*I665+J670*J668*J665+K670*K668*K665+L670*L668*L665+M670*M668*M665+N670*N668*N665+O670*O665*O668+P670*P668*P665+Q670*Q668*Q665)</f>
        <v>0.81549673688698221</v>
      </c>
      <c r="F675" s="123"/>
      <c r="G675" s="123"/>
      <c r="H675" s="123"/>
      <c r="I675" s="123"/>
      <c r="J675" s="123"/>
      <c r="K675" s="123"/>
      <c r="L675" s="123"/>
      <c r="M675" s="123"/>
      <c r="N675" s="123"/>
      <c r="O675" s="123"/>
      <c r="P675" s="123"/>
      <c r="Q675" s="124"/>
    </row>
    <row r="676" spans="1:133" s="9" customFormat="1" ht="46.8" x14ac:dyDescent="0.4">
      <c r="A676" s="71" t="s">
        <v>64</v>
      </c>
      <c r="B676" s="25" t="s">
        <v>52</v>
      </c>
      <c r="C676" s="53" t="s">
        <v>65</v>
      </c>
      <c r="D676" s="53" t="s">
        <v>347</v>
      </c>
      <c r="E676" s="72">
        <f>AVERAGE(F676:Q676)</f>
        <v>0.59801195869818824</v>
      </c>
      <c r="F676" s="72">
        <f t="shared" ref="F676:Q676" si="102">IF(F680&lt;283,0,IF(F680&gt;303,1,EXP(($E$23*(F680-$E$24))/($E$25*$E$24*F680))))</f>
        <v>0.22368662668957603</v>
      </c>
      <c r="G676" s="72">
        <f t="shared" si="102"/>
        <v>0.24547412919519337</v>
      </c>
      <c r="H676" s="72">
        <f t="shared" si="102"/>
        <v>0.35374940126825682</v>
      </c>
      <c r="I676" s="72">
        <f t="shared" si="102"/>
        <v>0.50475941545474445</v>
      </c>
      <c r="J676" s="72">
        <f t="shared" si="102"/>
        <v>0.77675425208684001</v>
      </c>
      <c r="K676" s="72">
        <f t="shared" si="102"/>
        <v>0.91923925774048054</v>
      </c>
      <c r="L676" s="72">
        <f t="shared" si="102"/>
        <v>1</v>
      </c>
      <c r="M676" s="72">
        <f t="shared" si="102"/>
        <v>1</v>
      </c>
      <c r="N676" s="72">
        <f t="shared" si="102"/>
        <v>0.91923925774048054</v>
      </c>
      <c r="O676" s="72">
        <f t="shared" si="102"/>
        <v>0.60078639810878987</v>
      </c>
      <c r="P676" s="72">
        <f t="shared" si="102"/>
        <v>0.38698063689870399</v>
      </c>
      <c r="Q676" s="72">
        <f t="shared" si="102"/>
        <v>0.24547412919519337</v>
      </c>
      <c r="R676" s="78"/>
      <c r="S676" s="78"/>
      <c r="T676" s="78"/>
      <c r="U676" s="78"/>
      <c r="V676" s="78"/>
      <c r="W676" s="78"/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  <c r="AN676" s="78"/>
      <c r="AO676" s="78"/>
      <c r="AP676" s="78"/>
      <c r="AQ676" s="78"/>
      <c r="AR676" s="78"/>
      <c r="AS676" s="78"/>
      <c r="AT676" s="78"/>
      <c r="AU676" s="78"/>
      <c r="AV676" s="78"/>
      <c r="AW676" s="78"/>
      <c r="AX676" s="78"/>
      <c r="AY676" s="78"/>
      <c r="AZ676" s="78"/>
      <c r="BA676" s="78"/>
      <c r="BB676" s="78"/>
      <c r="BC676" s="78"/>
      <c r="BD676" s="78"/>
      <c r="BE676" s="78"/>
      <c r="BF676" s="78"/>
      <c r="BG676" s="78"/>
      <c r="BH676" s="78"/>
      <c r="BI676" s="78"/>
      <c r="BJ676" s="78"/>
      <c r="BK676" s="78"/>
      <c r="BL676" s="78"/>
      <c r="BM676" s="78"/>
      <c r="BN676" s="78"/>
      <c r="BO676" s="78"/>
      <c r="BP676" s="78"/>
      <c r="BQ676" s="78"/>
      <c r="BR676" s="78"/>
      <c r="BS676" s="78"/>
      <c r="BT676" s="78"/>
      <c r="BU676" s="78"/>
      <c r="BV676" s="78"/>
      <c r="BW676" s="78"/>
      <c r="BX676" s="78"/>
      <c r="BY676" s="78"/>
      <c r="BZ676" s="78"/>
      <c r="CA676" s="78"/>
      <c r="CB676" s="78"/>
      <c r="CC676" s="78"/>
      <c r="CD676" s="78"/>
      <c r="CE676" s="78"/>
      <c r="CF676" s="78"/>
      <c r="CG676" s="78"/>
      <c r="CH676" s="78"/>
      <c r="CI676" s="78"/>
      <c r="CJ676" s="78"/>
      <c r="CK676" s="78"/>
      <c r="CL676" s="78"/>
      <c r="CM676" s="78"/>
      <c r="CN676" s="78"/>
      <c r="CO676" s="78"/>
      <c r="CP676" s="78"/>
      <c r="CQ676" s="78"/>
      <c r="CR676" s="78"/>
      <c r="CS676" s="78"/>
      <c r="CT676" s="78"/>
      <c r="CU676" s="78"/>
      <c r="CV676" s="78"/>
      <c r="CW676" s="78"/>
      <c r="CX676" s="78"/>
      <c r="CY676" s="78"/>
      <c r="CZ676" s="78"/>
      <c r="DA676" s="78"/>
      <c r="DB676" s="78"/>
      <c r="DC676" s="78"/>
      <c r="DD676" s="78"/>
      <c r="DE676" s="78"/>
      <c r="DF676" s="78"/>
      <c r="DG676" s="78"/>
      <c r="DH676" s="78"/>
      <c r="DI676" s="78"/>
      <c r="DJ676" s="78"/>
      <c r="DK676" s="78"/>
      <c r="DL676" s="78"/>
      <c r="DM676" s="78"/>
      <c r="DN676" s="78"/>
      <c r="DO676" s="78"/>
      <c r="DP676" s="78"/>
      <c r="DQ676" s="78"/>
      <c r="DR676" s="78"/>
      <c r="DS676" s="78"/>
      <c r="DT676" s="78"/>
      <c r="DU676" s="78"/>
      <c r="DV676" s="78"/>
      <c r="DW676" s="78"/>
      <c r="DX676" s="78"/>
      <c r="DY676" s="78"/>
      <c r="DZ676" s="78"/>
      <c r="EA676" s="78"/>
      <c r="EB676" s="78"/>
      <c r="EC676" s="78"/>
    </row>
    <row r="677" spans="1:133" s="9" customFormat="1" x14ac:dyDescent="0.25">
      <c r="A677" s="73" t="s">
        <v>66</v>
      </c>
      <c r="B677" s="60" t="s">
        <v>217</v>
      </c>
      <c r="C677" s="53" t="s">
        <v>68</v>
      </c>
      <c r="D677" s="53" t="s">
        <v>348</v>
      </c>
      <c r="E677" s="119">
        <v>15175</v>
      </c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1"/>
      <c r="R677" s="78"/>
      <c r="S677" s="78"/>
      <c r="T677" s="78"/>
      <c r="U677" s="78"/>
      <c r="V677" s="78"/>
      <c r="W677" s="78"/>
      <c r="X677" s="78"/>
      <c r="Y677" s="78"/>
      <c r="Z677" s="78"/>
      <c r="AA677" s="78"/>
      <c r="AB677" s="78"/>
      <c r="AC677" s="78"/>
      <c r="AD677" s="78"/>
      <c r="AE677" s="78"/>
      <c r="AF677" s="78"/>
      <c r="AG677" s="78"/>
      <c r="AH677" s="78"/>
      <c r="AI677" s="78"/>
      <c r="AJ677" s="78"/>
      <c r="AK677" s="78"/>
      <c r="AL677" s="78"/>
      <c r="AM677" s="78"/>
      <c r="AN677" s="78"/>
      <c r="AO677" s="78"/>
      <c r="AP677" s="78"/>
      <c r="AQ677" s="78"/>
      <c r="AR677" s="78"/>
      <c r="AS677" s="78"/>
      <c r="AT677" s="78"/>
      <c r="AU677" s="78"/>
      <c r="AV677" s="78"/>
      <c r="AW677" s="78"/>
      <c r="AX677" s="78"/>
      <c r="AY677" s="78"/>
      <c r="AZ677" s="78"/>
      <c r="BA677" s="78"/>
      <c r="BB677" s="78"/>
      <c r="BC677" s="78"/>
      <c r="BD677" s="78"/>
      <c r="BE677" s="78"/>
      <c r="BF677" s="78"/>
      <c r="BG677" s="78"/>
      <c r="BH677" s="78"/>
      <c r="BI677" s="78"/>
      <c r="BJ677" s="78"/>
      <c r="BK677" s="78"/>
      <c r="BL677" s="78"/>
      <c r="BM677" s="78"/>
      <c r="BN677" s="78"/>
      <c r="BO677" s="78"/>
      <c r="BP677" s="78"/>
      <c r="BQ677" s="78"/>
      <c r="BR677" s="78"/>
      <c r="BS677" s="78"/>
      <c r="BT677" s="78"/>
      <c r="BU677" s="78"/>
      <c r="BV677" s="78"/>
      <c r="BW677" s="78"/>
      <c r="BX677" s="78"/>
      <c r="BY677" s="78"/>
      <c r="BZ677" s="78"/>
      <c r="CA677" s="78"/>
      <c r="CB677" s="78"/>
      <c r="CC677" s="78"/>
      <c r="CD677" s="78"/>
      <c r="CE677" s="78"/>
      <c r="CF677" s="78"/>
      <c r="CG677" s="78"/>
      <c r="CH677" s="78"/>
      <c r="CI677" s="78"/>
      <c r="CJ677" s="78"/>
      <c r="CK677" s="78"/>
      <c r="CL677" s="78"/>
      <c r="CM677" s="78"/>
      <c r="CN677" s="78"/>
      <c r="CO677" s="78"/>
      <c r="CP677" s="78"/>
      <c r="CQ677" s="78"/>
      <c r="CR677" s="78"/>
      <c r="CS677" s="78"/>
      <c r="CT677" s="78"/>
      <c r="CU677" s="78"/>
      <c r="CV677" s="78"/>
      <c r="CW677" s="78"/>
      <c r="CX677" s="78"/>
      <c r="CY677" s="78"/>
      <c r="CZ677" s="78"/>
      <c r="DA677" s="78"/>
      <c r="DB677" s="78"/>
      <c r="DC677" s="78"/>
      <c r="DD677" s="78"/>
      <c r="DE677" s="78"/>
      <c r="DF677" s="78"/>
      <c r="DG677" s="78"/>
      <c r="DH677" s="78"/>
      <c r="DI677" s="78"/>
      <c r="DJ677" s="78"/>
      <c r="DK677" s="78"/>
      <c r="DL677" s="78"/>
      <c r="DM677" s="78"/>
      <c r="DN677" s="78"/>
      <c r="DO677" s="78"/>
      <c r="DP677" s="78"/>
      <c r="DQ677" s="78"/>
      <c r="DR677" s="78"/>
      <c r="DS677" s="78"/>
      <c r="DT677" s="78"/>
      <c r="DU677" s="78"/>
      <c r="DV677" s="78"/>
      <c r="DW677" s="78"/>
      <c r="DX677" s="78"/>
      <c r="DY677" s="78"/>
      <c r="DZ677" s="78"/>
      <c r="EA677" s="78"/>
      <c r="EB677" s="78"/>
      <c r="EC677" s="78"/>
    </row>
    <row r="678" spans="1:133" s="9" customFormat="1" ht="18" x14ac:dyDescent="0.25">
      <c r="A678" s="73" t="s">
        <v>69</v>
      </c>
      <c r="B678" s="60" t="s">
        <v>218</v>
      </c>
      <c r="C678" s="53" t="s">
        <v>71</v>
      </c>
      <c r="D678" s="53" t="s">
        <v>348</v>
      </c>
      <c r="E678" s="119">
        <v>303.16000000000003</v>
      </c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1"/>
      <c r="R678" s="78"/>
      <c r="S678" s="78"/>
      <c r="T678" s="78"/>
      <c r="U678" s="78"/>
      <c r="V678" s="78"/>
      <c r="W678" s="78"/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  <c r="AN678" s="78"/>
      <c r="AO678" s="78"/>
      <c r="AP678" s="78"/>
      <c r="AQ678" s="78"/>
      <c r="AR678" s="78"/>
      <c r="AS678" s="78"/>
      <c r="AT678" s="78"/>
      <c r="AU678" s="78"/>
      <c r="AV678" s="78"/>
      <c r="AW678" s="78"/>
      <c r="AX678" s="78"/>
      <c r="AY678" s="78"/>
      <c r="AZ678" s="78"/>
      <c r="BA678" s="78"/>
      <c r="BB678" s="78"/>
      <c r="BC678" s="78"/>
      <c r="BD678" s="78"/>
      <c r="BE678" s="78"/>
      <c r="BF678" s="78"/>
      <c r="BG678" s="78"/>
      <c r="BH678" s="78"/>
      <c r="BI678" s="78"/>
      <c r="BJ678" s="78"/>
      <c r="BK678" s="78"/>
      <c r="BL678" s="78"/>
      <c r="BM678" s="78"/>
      <c r="BN678" s="78"/>
      <c r="BO678" s="78"/>
      <c r="BP678" s="78"/>
      <c r="BQ678" s="78"/>
      <c r="BR678" s="78"/>
      <c r="BS678" s="78"/>
      <c r="BT678" s="78"/>
      <c r="BU678" s="78"/>
      <c r="BV678" s="78"/>
      <c r="BW678" s="78"/>
      <c r="BX678" s="78"/>
      <c r="BY678" s="78"/>
      <c r="BZ678" s="78"/>
      <c r="CA678" s="78"/>
      <c r="CB678" s="78"/>
      <c r="CC678" s="78"/>
      <c r="CD678" s="78"/>
      <c r="CE678" s="78"/>
      <c r="CF678" s="78"/>
      <c r="CG678" s="78"/>
      <c r="CH678" s="78"/>
      <c r="CI678" s="78"/>
      <c r="CJ678" s="78"/>
      <c r="CK678" s="78"/>
      <c r="CL678" s="78"/>
      <c r="CM678" s="78"/>
      <c r="CN678" s="78"/>
      <c r="CO678" s="78"/>
      <c r="CP678" s="78"/>
      <c r="CQ678" s="78"/>
      <c r="CR678" s="78"/>
      <c r="CS678" s="78"/>
      <c r="CT678" s="78"/>
      <c r="CU678" s="78"/>
      <c r="CV678" s="78"/>
      <c r="CW678" s="78"/>
      <c r="CX678" s="78"/>
      <c r="CY678" s="78"/>
      <c r="CZ678" s="78"/>
      <c r="DA678" s="78"/>
      <c r="DB678" s="78"/>
      <c r="DC678" s="78"/>
      <c r="DD678" s="78"/>
      <c r="DE678" s="78"/>
      <c r="DF678" s="78"/>
      <c r="DG678" s="78"/>
      <c r="DH678" s="78"/>
      <c r="DI678" s="78"/>
      <c r="DJ678" s="78"/>
      <c r="DK678" s="78"/>
      <c r="DL678" s="78"/>
      <c r="DM678" s="78"/>
      <c r="DN678" s="78"/>
      <c r="DO678" s="78"/>
      <c r="DP678" s="78"/>
      <c r="DQ678" s="78"/>
      <c r="DR678" s="78"/>
      <c r="DS678" s="78"/>
      <c r="DT678" s="78"/>
      <c r="DU678" s="78"/>
      <c r="DV678" s="78"/>
      <c r="DW678" s="78"/>
      <c r="DX678" s="78"/>
      <c r="DY678" s="78"/>
      <c r="DZ678" s="78"/>
      <c r="EA678" s="78"/>
      <c r="EB678" s="78"/>
      <c r="EC678" s="78"/>
    </row>
    <row r="679" spans="1:133" s="9" customFormat="1" x14ac:dyDescent="0.25">
      <c r="A679" s="73" t="s">
        <v>72</v>
      </c>
      <c r="B679" s="60" t="s">
        <v>219</v>
      </c>
      <c r="C679" s="53" t="s">
        <v>74</v>
      </c>
      <c r="D679" s="53" t="s">
        <v>348</v>
      </c>
      <c r="E679" s="119">
        <v>1.9870000000000001</v>
      </c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1"/>
      <c r="R679" s="78"/>
      <c r="S679" s="78"/>
      <c r="T679" s="78"/>
      <c r="U679" s="78"/>
      <c r="V679" s="78"/>
      <c r="W679" s="78"/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  <c r="AN679" s="78"/>
      <c r="AO679" s="78"/>
      <c r="AP679" s="78"/>
      <c r="AQ679" s="78"/>
      <c r="AR679" s="78"/>
      <c r="AS679" s="78"/>
      <c r="AT679" s="78"/>
      <c r="AU679" s="78"/>
      <c r="AV679" s="78"/>
      <c r="AW679" s="78"/>
      <c r="AX679" s="78"/>
      <c r="AY679" s="78"/>
      <c r="AZ679" s="78"/>
      <c r="BA679" s="78"/>
      <c r="BB679" s="78"/>
      <c r="BC679" s="78"/>
      <c r="BD679" s="78"/>
      <c r="BE679" s="78"/>
      <c r="BF679" s="78"/>
      <c r="BG679" s="78"/>
      <c r="BH679" s="78"/>
      <c r="BI679" s="78"/>
      <c r="BJ679" s="78"/>
      <c r="BK679" s="78"/>
      <c r="BL679" s="78"/>
      <c r="BM679" s="78"/>
      <c r="BN679" s="78"/>
      <c r="BO679" s="78"/>
      <c r="BP679" s="78"/>
      <c r="BQ679" s="78"/>
      <c r="BR679" s="78"/>
      <c r="BS679" s="78"/>
      <c r="BT679" s="78"/>
      <c r="BU679" s="78"/>
      <c r="BV679" s="78"/>
      <c r="BW679" s="78"/>
      <c r="BX679" s="78"/>
      <c r="BY679" s="78"/>
      <c r="BZ679" s="78"/>
      <c r="CA679" s="78"/>
      <c r="CB679" s="78"/>
      <c r="CC679" s="78"/>
      <c r="CD679" s="78"/>
      <c r="CE679" s="78"/>
      <c r="CF679" s="78"/>
      <c r="CG679" s="78"/>
      <c r="CH679" s="78"/>
      <c r="CI679" s="78"/>
      <c r="CJ679" s="78"/>
      <c r="CK679" s="78"/>
      <c r="CL679" s="78"/>
      <c r="CM679" s="78"/>
      <c r="CN679" s="78"/>
      <c r="CO679" s="78"/>
      <c r="CP679" s="78"/>
      <c r="CQ679" s="78"/>
      <c r="CR679" s="78"/>
      <c r="CS679" s="78"/>
      <c r="CT679" s="78"/>
      <c r="CU679" s="78"/>
      <c r="CV679" s="78"/>
      <c r="CW679" s="78"/>
      <c r="CX679" s="78"/>
      <c r="CY679" s="78"/>
      <c r="CZ679" s="78"/>
      <c r="DA679" s="78"/>
      <c r="DB679" s="78"/>
      <c r="DC679" s="78"/>
      <c r="DD679" s="78"/>
      <c r="DE679" s="78"/>
      <c r="DF679" s="78"/>
      <c r="DG679" s="78"/>
      <c r="DH679" s="78"/>
      <c r="DI679" s="78"/>
      <c r="DJ679" s="78"/>
      <c r="DK679" s="78"/>
      <c r="DL679" s="78"/>
      <c r="DM679" s="78"/>
      <c r="DN679" s="78"/>
      <c r="DO679" s="78"/>
      <c r="DP679" s="78"/>
      <c r="DQ679" s="78"/>
      <c r="DR679" s="78"/>
      <c r="DS679" s="78"/>
      <c r="DT679" s="78"/>
      <c r="DU679" s="78"/>
      <c r="DV679" s="78"/>
      <c r="DW679" s="78"/>
      <c r="DX679" s="78"/>
      <c r="DY679" s="78"/>
      <c r="DZ679" s="78"/>
      <c r="EA679" s="78"/>
      <c r="EB679" s="78"/>
      <c r="EC679" s="78"/>
    </row>
    <row r="680" spans="1:133" s="9" customFormat="1" ht="31.2" x14ac:dyDescent="0.25">
      <c r="A680" s="73" t="s">
        <v>75</v>
      </c>
      <c r="B680" s="60" t="s">
        <v>218</v>
      </c>
      <c r="C680" s="53" t="s">
        <v>76</v>
      </c>
      <c r="D680" s="53" t="s">
        <v>270</v>
      </c>
      <c r="E680" s="111">
        <f>AVERAGE(F680:Q680)</f>
        <v>295.56666666666672</v>
      </c>
      <c r="F680" s="60">
        <v>286.14999999999998</v>
      </c>
      <c r="G680" s="60">
        <v>287.14999999999998</v>
      </c>
      <c r="H680" s="60">
        <v>291.14999999999998</v>
      </c>
      <c r="I680" s="60">
        <v>295.14999999999998</v>
      </c>
      <c r="J680" s="60">
        <v>300.14999999999998</v>
      </c>
      <c r="K680" s="60">
        <v>302.14999999999998</v>
      </c>
      <c r="L680" s="60">
        <v>303.14999999999998</v>
      </c>
      <c r="M680" s="60">
        <v>303.14999999999998</v>
      </c>
      <c r="N680" s="60">
        <v>302.14999999999998</v>
      </c>
      <c r="O680" s="60">
        <v>297.14999999999998</v>
      </c>
      <c r="P680" s="60">
        <v>292.14999999999998</v>
      </c>
      <c r="Q680" s="60">
        <v>287.14999999999998</v>
      </c>
      <c r="R680" s="78"/>
      <c r="S680" s="78"/>
      <c r="T680" s="78"/>
      <c r="U680" s="78"/>
      <c r="V680" s="78"/>
      <c r="W680" s="78"/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  <c r="AN680" s="78"/>
      <c r="AO680" s="78"/>
      <c r="AP680" s="78"/>
      <c r="AQ680" s="78"/>
      <c r="AR680" s="78"/>
      <c r="AS680" s="78"/>
      <c r="AT680" s="78"/>
      <c r="AU680" s="78"/>
      <c r="AV680" s="78"/>
      <c r="AW680" s="78"/>
      <c r="AX680" s="78"/>
      <c r="AY680" s="78"/>
      <c r="AZ680" s="78"/>
      <c r="BA680" s="78"/>
      <c r="BB680" s="78"/>
      <c r="BC680" s="78"/>
      <c r="BD680" s="78"/>
      <c r="BE680" s="78"/>
      <c r="BF680" s="78"/>
      <c r="BG680" s="78"/>
      <c r="BH680" s="78"/>
      <c r="BI680" s="78"/>
      <c r="BJ680" s="78"/>
      <c r="BK680" s="78"/>
      <c r="BL680" s="78"/>
      <c r="BM680" s="78"/>
      <c r="BN680" s="78"/>
      <c r="BO680" s="78"/>
      <c r="BP680" s="78"/>
      <c r="BQ680" s="78"/>
      <c r="BR680" s="78"/>
      <c r="BS680" s="78"/>
      <c r="BT680" s="78"/>
      <c r="BU680" s="78"/>
      <c r="BV680" s="78"/>
      <c r="BW680" s="78"/>
      <c r="BX680" s="78"/>
      <c r="BY680" s="78"/>
      <c r="BZ680" s="78"/>
      <c r="CA680" s="78"/>
      <c r="CB680" s="78"/>
      <c r="CC680" s="78"/>
      <c r="CD680" s="78"/>
      <c r="CE680" s="78"/>
      <c r="CF680" s="78"/>
      <c r="CG680" s="78"/>
      <c r="CH680" s="78"/>
      <c r="CI680" s="78"/>
      <c r="CJ680" s="78"/>
      <c r="CK680" s="78"/>
      <c r="CL680" s="78"/>
      <c r="CM680" s="78"/>
      <c r="CN680" s="78"/>
      <c r="CO680" s="78"/>
      <c r="CP680" s="78"/>
      <c r="CQ680" s="78"/>
      <c r="CR680" s="78"/>
      <c r="CS680" s="78"/>
      <c r="CT680" s="78"/>
      <c r="CU680" s="78"/>
      <c r="CV680" s="78"/>
      <c r="CW680" s="78"/>
      <c r="CX680" s="78"/>
      <c r="CY680" s="78"/>
      <c r="CZ680" s="78"/>
      <c r="DA680" s="78"/>
      <c r="DB680" s="78"/>
      <c r="DC680" s="78"/>
      <c r="DD680" s="78"/>
      <c r="DE680" s="78"/>
      <c r="DF680" s="78"/>
      <c r="DG680" s="78"/>
      <c r="DH680" s="78"/>
      <c r="DI680" s="78"/>
      <c r="DJ680" s="78"/>
      <c r="DK680" s="78"/>
      <c r="DL680" s="78"/>
      <c r="DM680" s="78"/>
      <c r="DN680" s="78"/>
      <c r="DO680" s="78"/>
      <c r="DP680" s="78"/>
      <c r="DQ680" s="78"/>
      <c r="DR680" s="78"/>
      <c r="DS680" s="78"/>
      <c r="DT680" s="78"/>
      <c r="DU680" s="78"/>
      <c r="DV680" s="78"/>
      <c r="DW680" s="78"/>
      <c r="DX680" s="78"/>
      <c r="DY680" s="78"/>
      <c r="DZ680" s="78"/>
      <c r="EA680" s="78"/>
      <c r="EB680" s="78"/>
      <c r="EC680" s="78"/>
    </row>
    <row r="681" spans="1:133" s="9" customFormat="1" ht="31.2" x14ac:dyDescent="0.4">
      <c r="A681" s="71" t="s">
        <v>77</v>
      </c>
      <c r="B681" s="60" t="s">
        <v>211</v>
      </c>
      <c r="C681" s="53" t="s">
        <v>78</v>
      </c>
      <c r="D681" s="53" t="s">
        <v>349</v>
      </c>
      <c r="E681" s="74">
        <f>SUM(F681:Q681)</f>
        <v>2591.9168659803313</v>
      </c>
      <c r="F681" s="74">
        <f>F670*F665*F668+(1-F676)*0</f>
        <v>144.45374208900657</v>
      </c>
      <c r="G681" s="74">
        <f t="shared" ref="G681:Q681" si="103">G670*G665*G668+(1-G676)*F681</f>
        <v>239.46843323401689</v>
      </c>
      <c r="H681" s="74">
        <f t="shared" si="103"/>
        <v>299.21036044384243</v>
      </c>
      <c r="I681" s="74">
        <f t="shared" si="103"/>
        <v>287.97505776530829</v>
      </c>
      <c r="J681" s="74">
        <f t="shared" si="103"/>
        <v>208.74294924015828</v>
      </c>
      <c r="K681" s="74">
        <f t="shared" si="103"/>
        <v>156.65217947917949</v>
      </c>
      <c r="L681" s="74">
        <f t="shared" si="103"/>
        <v>144.45374208900657</v>
      </c>
      <c r="M681" s="74">
        <f t="shared" si="103"/>
        <v>144.45374208900657</v>
      </c>
      <c r="N681" s="74">
        <f t="shared" si="103"/>
        <v>151.46013539037648</v>
      </c>
      <c r="O681" s="74">
        <f t="shared" si="103"/>
        <v>204.91868828112911</v>
      </c>
      <c r="P681" s="74">
        <f t="shared" si="103"/>
        <v>265.41306773475389</v>
      </c>
      <c r="Q681" s="74">
        <f t="shared" si="103"/>
        <v>344.71476814454684</v>
      </c>
      <c r="R681" s="78"/>
      <c r="S681" s="78"/>
      <c r="T681" s="78"/>
      <c r="U681" s="78"/>
      <c r="V681" s="78"/>
      <c r="W681" s="78"/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  <c r="AN681" s="78"/>
      <c r="AO681" s="78"/>
      <c r="AP681" s="78"/>
      <c r="AQ681" s="78"/>
      <c r="AR681" s="78"/>
      <c r="AS681" s="78"/>
      <c r="AT681" s="78"/>
      <c r="AU681" s="78"/>
      <c r="AV681" s="78"/>
      <c r="AW681" s="78"/>
      <c r="AX681" s="78"/>
      <c r="AY681" s="78"/>
      <c r="AZ681" s="78"/>
      <c r="BA681" s="78"/>
      <c r="BB681" s="78"/>
      <c r="BC681" s="78"/>
      <c r="BD681" s="78"/>
      <c r="BE681" s="78"/>
      <c r="BF681" s="78"/>
      <c r="BG681" s="78"/>
      <c r="BH681" s="78"/>
      <c r="BI681" s="78"/>
      <c r="BJ681" s="78"/>
      <c r="BK681" s="78"/>
      <c r="BL681" s="78"/>
      <c r="BM681" s="78"/>
      <c r="BN681" s="78"/>
      <c r="BO681" s="78"/>
      <c r="BP681" s="78"/>
      <c r="BQ681" s="78"/>
      <c r="BR681" s="78"/>
      <c r="BS681" s="78"/>
      <c r="BT681" s="78"/>
      <c r="BU681" s="78"/>
      <c r="BV681" s="78"/>
      <c r="BW681" s="78"/>
      <c r="BX681" s="78"/>
      <c r="BY681" s="78"/>
      <c r="BZ681" s="78"/>
      <c r="CA681" s="78"/>
      <c r="CB681" s="78"/>
      <c r="CC681" s="78"/>
      <c r="CD681" s="78"/>
      <c r="CE681" s="78"/>
      <c r="CF681" s="78"/>
      <c r="CG681" s="78"/>
      <c r="CH681" s="78"/>
      <c r="CI681" s="78"/>
      <c r="CJ681" s="78"/>
      <c r="CK681" s="78"/>
      <c r="CL681" s="78"/>
      <c r="CM681" s="78"/>
      <c r="CN681" s="78"/>
      <c r="CO681" s="78"/>
      <c r="CP681" s="78"/>
      <c r="CQ681" s="78"/>
      <c r="CR681" s="78"/>
      <c r="CS681" s="78"/>
      <c r="CT681" s="78"/>
      <c r="CU681" s="78"/>
      <c r="CV681" s="78"/>
      <c r="CW681" s="78"/>
      <c r="CX681" s="78"/>
      <c r="CY681" s="78"/>
      <c r="CZ681" s="78"/>
      <c r="DA681" s="78"/>
      <c r="DB681" s="78"/>
      <c r="DC681" s="78"/>
      <c r="DD681" s="78"/>
      <c r="DE681" s="78"/>
      <c r="DF681" s="78"/>
      <c r="DG681" s="78"/>
      <c r="DH681" s="78"/>
      <c r="DI681" s="78"/>
      <c r="DJ681" s="78"/>
      <c r="DK681" s="78"/>
      <c r="DL681" s="78"/>
      <c r="DM681" s="78"/>
      <c r="DN681" s="78"/>
      <c r="DO681" s="78"/>
      <c r="DP681" s="78"/>
      <c r="DQ681" s="78"/>
      <c r="DR681" s="78"/>
      <c r="DS681" s="78"/>
      <c r="DT681" s="78"/>
      <c r="DU681" s="78"/>
      <c r="DV681" s="78"/>
      <c r="DW681" s="78"/>
      <c r="DX681" s="78"/>
      <c r="DY681" s="78"/>
      <c r="DZ681" s="78"/>
      <c r="EA681" s="78"/>
      <c r="EB681" s="78"/>
      <c r="EC681" s="78"/>
    </row>
    <row r="683" spans="1:133" ht="15.6" customHeight="1" x14ac:dyDescent="0.25">
      <c r="A683" s="36" t="s">
        <v>79</v>
      </c>
      <c r="B683" s="36"/>
      <c r="C683" s="36"/>
      <c r="D683" s="36"/>
      <c r="E683" s="36"/>
    </row>
    <row r="684" spans="1:133" x14ac:dyDescent="0.25">
      <c r="A684" s="57" t="s">
        <v>9</v>
      </c>
      <c r="B684" s="58" t="s">
        <v>10</v>
      </c>
      <c r="C684" s="34" t="s">
        <v>11</v>
      </c>
      <c r="D684" s="34" t="s">
        <v>12</v>
      </c>
      <c r="E684" s="16" t="s">
        <v>80</v>
      </c>
    </row>
    <row r="685" spans="1:133" ht="46.8" x14ac:dyDescent="0.25">
      <c r="A685" s="59" t="s">
        <v>81</v>
      </c>
      <c r="B685" s="60" t="s">
        <v>28</v>
      </c>
      <c r="C685" s="53" t="s">
        <v>82</v>
      </c>
      <c r="D685" s="53" t="s">
        <v>83</v>
      </c>
      <c r="E685" s="75">
        <v>0</v>
      </c>
    </row>
    <row r="686" spans="1:133" ht="46.8" x14ac:dyDescent="0.25">
      <c r="A686" s="63" t="s">
        <v>84</v>
      </c>
      <c r="B686" s="25" t="s">
        <v>85</v>
      </c>
      <c r="C686" s="35" t="s">
        <v>86</v>
      </c>
      <c r="D686" s="35" t="str">
        <f>D692</f>
        <v>Historical data on site in the FSR (It was calculated with conservative value)</v>
      </c>
      <c r="E686" s="74">
        <f>E692</f>
        <v>399.26290322580633</v>
      </c>
    </row>
    <row r="688" spans="1:133" ht="15.6" customHeight="1" x14ac:dyDescent="0.25">
      <c r="A688" s="91" t="s">
        <v>87</v>
      </c>
      <c r="B688" s="91"/>
      <c r="C688" s="92"/>
      <c r="D688" s="92"/>
      <c r="E688" s="91"/>
    </row>
    <row r="689" spans="1:5" x14ac:dyDescent="0.25">
      <c r="A689" s="59" t="s">
        <v>9</v>
      </c>
      <c r="B689" s="16" t="s">
        <v>10</v>
      </c>
      <c r="C689" s="38" t="s">
        <v>11</v>
      </c>
      <c r="D689" s="38" t="s">
        <v>12</v>
      </c>
      <c r="E689" s="16" t="s">
        <v>80</v>
      </c>
    </row>
    <row r="690" spans="1:5" ht="33.6" x14ac:dyDescent="0.4">
      <c r="A690" s="76" t="s">
        <v>88</v>
      </c>
      <c r="B690" s="25" t="s">
        <v>89</v>
      </c>
      <c r="C690" s="35" t="s">
        <v>90</v>
      </c>
      <c r="D690" s="35" t="s">
        <v>350</v>
      </c>
      <c r="E690" s="50">
        <f>E691*E694*E695*E696*E697*E698</f>
        <v>3.9785669897298894</v>
      </c>
    </row>
    <row r="691" spans="1:5" ht="46.8" x14ac:dyDescent="0.4">
      <c r="A691" s="77" t="s">
        <v>223</v>
      </c>
      <c r="B691" s="25" t="s">
        <v>91</v>
      </c>
      <c r="C691" s="35" t="s">
        <v>92</v>
      </c>
      <c r="D691" s="35" t="s">
        <v>351</v>
      </c>
      <c r="E691" s="52">
        <f>E692/E693</f>
        <v>79.852580645161268</v>
      </c>
    </row>
    <row r="692" spans="1:5" ht="46.8" x14ac:dyDescent="0.25">
      <c r="A692" s="63" t="s">
        <v>224</v>
      </c>
      <c r="B692" s="25" t="s">
        <v>93</v>
      </c>
      <c r="C692" s="35" t="s">
        <v>94</v>
      </c>
      <c r="D692" s="53" t="s">
        <v>322</v>
      </c>
      <c r="E692" s="52">
        <v>399.26290322580633</v>
      </c>
    </row>
    <row r="693" spans="1:5" ht="31.2" x14ac:dyDescent="0.25">
      <c r="A693" s="63" t="s">
        <v>225</v>
      </c>
      <c r="B693" s="25" t="s">
        <v>95</v>
      </c>
      <c r="C693" s="35" t="s">
        <v>96</v>
      </c>
      <c r="D693" s="35" t="s">
        <v>327</v>
      </c>
      <c r="E693" s="25">
        <f>5</f>
        <v>5</v>
      </c>
    </row>
    <row r="694" spans="1:5" ht="62.4" x14ac:dyDescent="0.25">
      <c r="A694" s="63" t="s">
        <v>226</v>
      </c>
      <c r="B694" s="25" t="s">
        <v>97</v>
      </c>
      <c r="C694" s="35" t="s">
        <v>98</v>
      </c>
      <c r="D694" s="53" t="s">
        <v>327</v>
      </c>
      <c r="E694" s="25">
        <f>36.8*2</f>
        <v>73.599999999999994</v>
      </c>
    </row>
    <row r="695" spans="1:5" ht="171.6" x14ac:dyDescent="0.25">
      <c r="A695" s="63" t="s">
        <v>227</v>
      </c>
      <c r="B695" s="25" t="s">
        <v>99</v>
      </c>
      <c r="C695" s="35" t="s">
        <v>100</v>
      </c>
      <c r="D695" s="35" t="s">
        <v>339</v>
      </c>
      <c r="E695" s="25">
        <f>25.1/100</f>
        <v>0.251</v>
      </c>
    </row>
    <row r="696" spans="1:5" ht="140.4" x14ac:dyDescent="0.25">
      <c r="A696" s="63" t="s">
        <v>228</v>
      </c>
      <c r="B696" s="25" t="s">
        <v>102</v>
      </c>
      <c r="C696" s="35" t="s">
        <v>101</v>
      </c>
      <c r="D696" s="35" t="s">
        <v>336</v>
      </c>
      <c r="E696" s="25">
        <f>0.84/1000</f>
        <v>8.3999999999999993E-4</v>
      </c>
    </row>
    <row r="697" spans="1:5" ht="140.4" x14ac:dyDescent="0.25">
      <c r="A697" s="63" t="s">
        <v>229</v>
      </c>
      <c r="B697" s="25" t="s">
        <v>103</v>
      </c>
      <c r="C697" s="35" t="s">
        <v>104</v>
      </c>
      <c r="D697" s="35" t="s">
        <v>334</v>
      </c>
      <c r="E697" s="25">
        <f>43.33/1000</f>
        <v>4.333E-2</v>
      </c>
    </row>
    <row r="698" spans="1:5" ht="62.4" x14ac:dyDescent="0.25">
      <c r="A698" s="63" t="s">
        <v>230</v>
      </c>
      <c r="B698" s="25" t="s">
        <v>105</v>
      </c>
      <c r="C698" s="35" t="s">
        <v>106</v>
      </c>
      <c r="D698" s="35" t="s">
        <v>332</v>
      </c>
      <c r="E698" s="25">
        <v>74.099999999999994</v>
      </c>
    </row>
    <row r="700" spans="1:5" ht="15.6" customHeight="1" x14ac:dyDescent="0.25">
      <c r="A700" s="36" t="s">
        <v>108</v>
      </c>
      <c r="B700" s="36"/>
      <c r="C700" s="36"/>
      <c r="D700" s="36"/>
      <c r="E700" s="36"/>
    </row>
    <row r="701" spans="1:5" x14ac:dyDescent="0.25">
      <c r="A701" s="57" t="s">
        <v>9</v>
      </c>
      <c r="B701" s="58" t="s">
        <v>10</v>
      </c>
      <c r="C701" s="34" t="s">
        <v>11</v>
      </c>
      <c r="D701" s="34" t="s">
        <v>12</v>
      </c>
      <c r="E701" s="16" t="s">
        <v>80</v>
      </c>
    </row>
    <row r="702" spans="1:5" ht="64.8" x14ac:dyDescent="0.25">
      <c r="A702" s="15" t="s">
        <v>109</v>
      </c>
      <c r="B702" s="25" t="s">
        <v>110</v>
      </c>
      <c r="C702" s="35" t="s">
        <v>111</v>
      </c>
      <c r="D702" s="35" t="s">
        <v>112</v>
      </c>
      <c r="E702" s="16">
        <v>0</v>
      </c>
    </row>
    <row r="704" spans="1:5" ht="15.6" customHeight="1" x14ac:dyDescent="0.25">
      <c r="A704" s="36" t="s">
        <v>113</v>
      </c>
      <c r="B704" s="36"/>
      <c r="C704" s="36"/>
      <c r="D704" s="36"/>
      <c r="E704" s="36"/>
    </row>
    <row r="705" spans="1:133" x14ac:dyDescent="0.25">
      <c r="A705" s="57" t="s">
        <v>9</v>
      </c>
      <c r="B705" s="58" t="s">
        <v>10</v>
      </c>
      <c r="C705" s="34" t="s">
        <v>11</v>
      </c>
      <c r="D705" s="34" t="s">
        <v>12</v>
      </c>
      <c r="E705" s="16" t="s">
        <v>80</v>
      </c>
    </row>
    <row r="706" spans="1:133" ht="49.2" x14ac:dyDescent="0.25">
      <c r="A706" s="15" t="s">
        <v>114</v>
      </c>
      <c r="B706" s="25" t="s">
        <v>110</v>
      </c>
      <c r="C706" s="35" t="s">
        <v>115</v>
      </c>
      <c r="D706" s="35" t="s">
        <v>116</v>
      </c>
      <c r="E706" s="16">
        <v>0</v>
      </c>
    </row>
    <row r="708" spans="1:133" x14ac:dyDescent="0.25">
      <c r="A708" s="57" t="s">
        <v>9</v>
      </c>
      <c r="B708" s="58" t="s">
        <v>10</v>
      </c>
      <c r="C708" s="34" t="s">
        <v>11</v>
      </c>
      <c r="D708" s="34" t="s">
        <v>12</v>
      </c>
      <c r="E708" s="16" t="s">
        <v>80</v>
      </c>
    </row>
    <row r="709" spans="1:133" ht="18" x14ac:dyDescent="0.25">
      <c r="A709" s="59" t="s">
        <v>117</v>
      </c>
      <c r="B709" s="25" t="s">
        <v>118</v>
      </c>
      <c r="C709" s="35" t="s">
        <v>119</v>
      </c>
      <c r="D709" s="53" t="s">
        <v>352</v>
      </c>
      <c r="E709" s="18">
        <f>ROUNDDOWN(E659+E690+E685+E702+E706,0)</f>
        <v>5403</v>
      </c>
    </row>
    <row r="710" spans="1:133" s="136" customFormat="1" ht="38.4" customHeight="1" x14ac:dyDescent="0.25">
      <c r="A710" s="143" t="s">
        <v>257</v>
      </c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  <c r="BA710" s="144"/>
      <c r="BB710" s="144"/>
      <c r="BC710" s="144"/>
      <c r="BD710" s="144"/>
      <c r="BE710" s="144"/>
      <c r="BF710" s="144"/>
      <c r="BG710" s="144"/>
      <c r="BH710" s="144"/>
      <c r="BI710" s="144"/>
      <c r="BJ710" s="144"/>
      <c r="BK710" s="144"/>
      <c r="BL710" s="144"/>
      <c r="BM710" s="144"/>
      <c r="BN710" s="144"/>
      <c r="BO710" s="144"/>
      <c r="BP710" s="144"/>
      <c r="BQ710" s="144"/>
      <c r="BR710" s="144"/>
      <c r="BS710" s="144"/>
      <c r="BT710" s="144"/>
      <c r="BU710" s="144"/>
      <c r="BV710" s="144"/>
      <c r="BW710" s="144"/>
      <c r="BX710" s="144"/>
      <c r="BY710" s="144"/>
      <c r="BZ710" s="144"/>
      <c r="CA710" s="144"/>
      <c r="CB710" s="144"/>
      <c r="CC710" s="144"/>
      <c r="CD710" s="144"/>
      <c r="CE710" s="144"/>
      <c r="CF710" s="144"/>
      <c r="CG710" s="144"/>
      <c r="CH710" s="144"/>
      <c r="CI710" s="144"/>
      <c r="CJ710" s="144"/>
      <c r="CK710" s="144"/>
      <c r="CL710" s="144"/>
      <c r="CM710" s="144"/>
      <c r="CN710" s="144"/>
      <c r="CO710" s="144"/>
      <c r="CP710" s="144"/>
      <c r="CQ710" s="144"/>
      <c r="CR710" s="144"/>
      <c r="CS710" s="144"/>
      <c r="CT710" s="144"/>
      <c r="CU710" s="144"/>
      <c r="CV710" s="144"/>
      <c r="CW710" s="144"/>
      <c r="CX710" s="144"/>
      <c r="CY710" s="144"/>
      <c r="CZ710" s="144"/>
      <c r="DA710" s="144"/>
      <c r="DB710" s="144"/>
      <c r="DC710" s="144"/>
      <c r="DD710" s="144"/>
      <c r="DE710" s="144"/>
      <c r="DF710" s="144"/>
      <c r="DG710" s="144"/>
      <c r="DH710" s="144"/>
      <c r="DI710" s="144"/>
      <c r="DJ710" s="144"/>
      <c r="DK710" s="144"/>
      <c r="DL710" s="144"/>
      <c r="DM710" s="144"/>
      <c r="DN710" s="144"/>
      <c r="DO710" s="144"/>
      <c r="DP710" s="144"/>
      <c r="DQ710" s="144"/>
      <c r="DR710" s="144"/>
      <c r="DS710" s="144"/>
      <c r="DT710" s="144"/>
      <c r="DU710" s="144"/>
      <c r="DV710" s="144"/>
      <c r="DW710" s="144"/>
      <c r="DX710" s="144"/>
      <c r="DY710" s="144"/>
      <c r="DZ710" s="144"/>
      <c r="EA710" s="144"/>
      <c r="EB710" s="144"/>
      <c r="EC710" s="145"/>
    </row>
    <row r="711" spans="1:133" s="138" customFormat="1" ht="43.2" customHeight="1" x14ac:dyDescent="0.25">
      <c r="A711" s="140" t="s">
        <v>258</v>
      </c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  <c r="BA711" s="141"/>
      <c r="BB711" s="141"/>
      <c r="BC711" s="141"/>
      <c r="BD711" s="141"/>
      <c r="BE711" s="141"/>
      <c r="BF711" s="141"/>
      <c r="BG711" s="141"/>
      <c r="BH711" s="141"/>
      <c r="BI711" s="141"/>
      <c r="BJ711" s="141"/>
      <c r="BK711" s="141"/>
      <c r="BL711" s="141"/>
      <c r="BM711" s="141"/>
      <c r="BN711" s="141"/>
      <c r="BO711" s="141"/>
      <c r="BP711" s="141"/>
      <c r="BQ711" s="141"/>
      <c r="BR711" s="141"/>
      <c r="BS711" s="141"/>
      <c r="BT711" s="141"/>
      <c r="BU711" s="141"/>
      <c r="BV711" s="141"/>
      <c r="BW711" s="141"/>
      <c r="BX711" s="141"/>
      <c r="BY711" s="141"/>
      <c r="BZ711" s="141"/>
      <c r="CA711" s="141"/>
      <c r="CB711" s="141"/>
      <c r="CC711" s="141"/>
      <c r="CD711" s="141"/>
      <c r="CE711" s="141"/>
      <c r="CF711" s="141"/>
      <c r="CG711" s="141"/>
      <c r="CH711" s="141"/>
      <c r="CI711" s="141"/>
      <c r="CJ711" s="141"/>
      <c r="CK711" s="141"/>
      <c r="CL711" s="141"/>
      <c r="CM711" s="141"/>
      <c r="CN711" s="141"/>
      <c r="CO711" s="141"/>
      <c r="CP711" s="141"/>
      <c r="CQ711" s="141"/>
      <c r="CR711" s="141"/>
      <c r="CS711" s="141"/>
      <c r="CT711" s="141"/>
      <c r="CU711" s="141"/>
      <c r="CV711" s="141"/>
      <c r="CW711" s="141"/>
      <c r="CX711" s="141"/>
      <c r="CY711" s="141"/>
      <c r="CZ711" s="141"/>
      <c r="DA711" s="141"/>
      <c r="DB711" s="141"/>
      <c r="DC711" s="141"/>
      <c r="DD711" s="141"/>
      <c r="DE711" s="141"/>
      <c r="DF711" s="141"/>
      <c r="DG711" s="141"/>
      <c r="DH711" s="141"/>
      <c r="DI711" s="141"/>
      <c r="DJ711" s="141"/>
      <c r="DK711" s="141"/>
      <c r="DL711" s="141"/>
      <c r="DM711" s="141"/>
      <c r="DN711" s="141"/>
      <c r="DO711" s="141"/>
      <c r="DP711" s="141"/>
      <c r="DQ711" s="141"/>
      <c r="DR711" s="141"/>
      <c r="DS711" s="141"/>
      <c r="DT711" s="141"/>
      <c r="DU711" s="141"/>
      <c r="DV711" s="141"/>
      <c r="DW711" s="141"/>
      <c r="DX711" s="141"/>
      <c r="DY711" s="141"/>
      <c r="DZ711" s="141"/>
      <c r="EA711" s="141"/>
      <c r="EB711" s="141"/>
      <c r="EC711" s="142"/>
    </row>
    <row r="712" spans="1:133" s="56" customFormat="1" x14ac:dyDescent="0.25">
      <c r="A712" s="93" t="s">
        <v>9</v>
      </c>
      <c r="B712" s="94" t="s">
        <v>10</v>
      </c>
      <c r="C712" s="95" t="s">
        <v>11</v>
      </c>
      <c r="D712" s="95" t="s">
        <v>12</v>
      </c>
      <c r="E712" s="94" t="s">
        <v>13</v>
      </c>
      <c r="F712" s="96" t="s">
        <v>14</v>
      </c>
      <c r="G712" s="96" t="s">
        <v>15</v>
      </c>
      <c r="H712" s="96" t="s">
        <v>16</v>
      </c>
      <c r="I712" s="96" t="s">
        <v>17</v>
      </c>
      <c r="J712" s="96" t="s">
        <v>18</v>
      </c>
      <c r="K712" s="96" t="s">
        <v>19</v>
      </c>
      <c r="L712" s="96" t="s">
        <v>20</v>
      </c>
      <c r="M712" s="96" t="s">
        <v>21</v>
      </c>
      <c r="N712" s="96" t="s">
        <v>22</v>
      </c>
      <c r="O712" s="96" t="s">
        <v>23</v>
      </c>
      <c r="P712" s="96" t="s">
        <v>24</v>
      </c>
      <c r="Q712" s="96" t="s">
        <v>25</v>
      </c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  <c r="AK712" s="54"/>
      <c r="AL712" s="54"/>
      <c r="AM712" s="54"/>
      <c r="AN712" s="54"/>
      <c r="AO712" s="54"/>
      <c r="AP712" s="54"/>
      <c r="AQ712" s="54"/>
      <c r="AR712" s="54"/>
      <c r="AS712" s="54"/>
      <c r="AT712" s="54"/>
      <c r="AU712" s="54"/>
      <c r="AV712" s="54"/>
      <c r="AW712" s="54"/>
      <c r="AX712" s="54"/>
      <c r="AY712" s="54"/>
      <c r="AZ712" s="54"/>
      <c r="BA712" s="54"/>
      <c r="BB712" s="54"/>
      <c r="BC712" s="54"/>
      <c r="BD712" s="54"/>
      <c r="BE712" s="54"/>
      <c r="BF712" s="54"/>
      <c r="BG712" s="54"/>
      <c r="BH712" s="54"/>
      <c r="BI712" s="54"/>
      <c r="BJ712" s="54"/>
      <c r="BK712" s="54"/>
      <c r="BL712" s="54"/>
      <c r="BM712" s="54"/>
      <c r="BN712" s="54"/>
      <c r="BO712" s="54"/>
      <c r="BP712" s="54"/>
      <c r="BQ712" s="54"/>
      <c r="BR712" s="54"/>
      <c r="BS712" s="54"/>
      <c r="BT712" s="54"/>
      <c r="BU712" s="54"/>
      <c r="BV712" s="54"/>
      <c r="BW712" s="54"/>
      <c r="BX712" s="54"/>
      <c r="BY712" s="54"/>
      <c r="BZ712" s="54"/>
      <c r="CA712" s="54"/>
      <c r="CB712" s="54"/>
      <c r="CC712" s="54"/>
      <c r="CD712" s="54"/>
      <c r="CE712" s="54"/>
      <c r="CF712" s="54"/>
      <c r="CG712" s="54"/>
      <c r="CH712" s="54"/>
      <c r="CI712" s="54"/>
      <c r="CJ712" s="54"/>
      <c r="CK712" s="54"/>
      <c r="CL712" s="54"/>
      <c r="CM712" s="54"/>
      <c r="CN712" s="54"/>
      <c r="CO712" s="54"/>
      <c r="CP712" s="54"/>
      <c r="CQ712" s="54"/>
      <c r="CR712" s="54"/>
      <c r="CS712" s="54"/>
      <c r="CT712" s="54"/>
      <c r="CU712" s="54"/>
      <c r="CV712" s="54"/>
      <c r="CW712" s="54"/>
      <c r="CX712" s="54"/>
      <c r="CY712" s="54"/>
      <c r="CZ712" s="54"/>
      <c r="DA712" s="54"/>
      <c r="DB712" s="54"/>
      <c r="DC712" s="54"/>
      <c r="DD712" s="54"/>
      <c r="DE712" s="54"/>
      <c r="DF712" s="54"/>
      <c r="DG712" s="54"/>
      <c r="DH712" s="54"/>
      <c r="DI712" s="54"/>
      <c r="DJ712" s="54"/>
      <c r="DK712" s="54"/>
      <c r="DL712" s="54"/>
      <c r="DM712" s="54"/>
      <c r="DN712" s="54"/>
      <c r="DO712" s="54"/>
      <c r="DP712" s="54"/>
      <c r="DQ712" s="54"/>
      <c r="DR712" s="54"/>
      <c r="DS712" s="54"/>
      <c r="DT712" s="54"/>
      <c r="DU712" s="54"/>
      <c r="DV712" s="54"/>
      <c r="DW712" s="54"/>
      <c r="DX712" s="54"/>
      <c r="DY712" s="54"/>
      <c r="DZ712" s="54"/>
      <c r="EA712" s="54"/>
      <c r="EB712" s="54"/>
      <c r="EC712" s="54"/>
    </row>
    <row r="713" spans="1:133" s="56" customFormat="1" x14ac:dyDescent="0.25">
      <c r="A713" s="58" t="s">
        <v>26</v>
      </c>
      <c r="B713" s="58"/>
      <c r="C713" s="34"/>
      <c r="D713" s="34"/>
      <c r="E713" s="58"/>
      <c r="F713" s="16">
        <v>31</v>
      </c>
      <c r="G713" s="16">
        <v>28</v>
      </c>
      <c r="H713" s="16">
        <v>31</v>
      </c>
      <c r="I713" s="16">
        <v>30</v>
      </c>
      <c r="J713" s="16">
        <v>31</v>
      </c>
      <c r="K713" s="16">
        <v>30</v>
      </c>
      <c r="L713" s="16">
        <v>31</v>
      </c>
      <c r="M713" s="16">
        <v>31</v>
      </c>
      <c r="N713" s="16">
        <v>30</v>
      </c>
      <c r="O713" s="16">
        <v>31</v>
      </c>
      <c r="P713" s="16">
        <v>30</v>
      </c>
      <c r="Q713" s="16">
        <v>31</v>
      </c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  <c r="AK713" s="54"/>
      <c r="AL713" s="54"/>
      <c r="AM713" s="54"/>
      <c r="AN713" s="54"/>
      <c r="AO713" s="54"/>
      <c r="AP713" s="54"/>
      <c r="AQ713" s="54"/>
      <c r="AR713" s="54"/>
      <c r="AS713" s="54"/>
      <c r="AT713" s="54"/>
      <c r="AU713" s="54"/>
      <c r="AV713" s="54"/>
      <c r="AW713" s="54"/>
      <c r="AX713" s="54"/>
      <c r="AY713" s="54"/>
      <c r="AZ713" s="54"/>
      <c r="BA713" s="54"/>
      <c r="BB713" s="54"/>
      <c r="BC713" s="54"/>
      <c r="BD713" s="54"/>
      <c r="BE713" s="54"/>
      <c r="BF713" s="54"/>
      <c r="BG713" s="54"/>
      <c r="BH713" s="54"/>
      <c r="BI713" s="54"/>
      <c r="BJ713" s="54"/>
      <c r="BK713" s="54"/>
      <c r="BL713" s="54"/>
      <c r="BM713" s="54"/>
      <c r="BN713" s="54"/>
      <c r="BO713" s="54"/>
      <c r="BP713" s="54"/>
      <c r="BQ713" s="54"/>
      <c r="BR713" s="54"/>
      <c r="BS713" s="54"/>
      <c r="BT713" s="54"/>
      <c r="BU713" s="54"/>
      <c r="BV713" s="54"/>
      <c r="BW713" s="54"/>
      <c r="BX713" s="54"/>
      <c r="BY713" s="54"/>
      <c r="BZ713" s="54"/>
      <c r="CA713" s="54"/>
      <c r="CB713" s="54"/>
      <c r="CC713" s="54"/>
      <c r="CD713" s="54"/>
      <c r="CE713" s="54"/>
      <c r="CF713" s="54"/>
      <c r="CG713" s="54"/>
      <c r="CH713" s="54"/>
      <c r="CI713" s="54"/>
      <c r="CJ713" s="54"/>
      <c r="CK713" s="54"/>
      <c r="CL713" s="54"/>
      <c r="CM713" s="54"/>
      <c r="CN713" s="54"/>
      <c r="CO713" s="54"/>
      <c r="CP713" s="54"/>
      <c r="CQ713" s="54"/>
      <c r="CR713" s="54"/>
      <c r="CS713" s="54"/>
      <c r="CT713" s="54"/>
      <c r="CU713" s="54"/>
      <c r="CV713" s="54"/>
      <c r="CW713" s="54"/>
      <c r="CX713" s="54"/>
      <c r="CY713" s="54"/>
      <c r="CZ713" s="54"/>
      <c r="DA713" s="54"/>
      <c r="DB713" s="54"/>
      <c r="DC713" s="54"/>
      <c r="DD713" s="54"/>
      <c r="DE713" s="54"/>
      <c r="DF713" s="54"/>
      <c r="DG713" s="54"/>
      <c r="DH713" s="54"/>
      <c r="DI713" s="54"/>
      <c r="DJ713" s="54"/>
      <c r="DK713" s="54"/>
      <c r="DL713" s="54"/>
      <c r="DM713" s="54"/>
      <c r="DN713" s="54"/>
      <c r="DO713" s="54"/>
      <c r="DP713" s="54"/>
      <c r="DQ713" s="54"/>
      <c r="DR713" s="54"/>
      <c r="DS713" s="54"/>
      <c r="DT713" s="54"/>
      <c r="DU713" s="54"/>
      <c r="DV713" s="54"/>
      <c r="DW713" s="54"/>
      <c r="DX713" s="54"/>
      <c r="DY713" s="54"/>
      <c r="DZ713" s="54"/>
      <c r="EA713" s="54"/>
      <c r="EB713" s="54"/>
      <c r="EC713" s="54"/>
    </row>
    <row r="714" spans="1:133" ht="46.8" x14ac:dyDescent="0.25">
      <c r="A714" s="59" t="s">
        <v>27</v>
      </c>
      <c r="B714" s="60" t="s">
        <v>28</v>
      </c>
      <c r="C714" s="53" t="s">
        <v>29</v>
      </c>
      <c r="D714" s="53" t="s">
        <v>340</v>
      </c>
      <c r="E714" s="61">
        <f>SUM(F714:Q714)</f>
        <v>17604.986508703925</v>
      </c>
      <c r="F714" s="62">
        <f>$E$6*$E$7*F717*$E$19</f>
        <v>1495.2180322460868</v>
      </c>
      <c r="G714" s="62">
        <f t="shared" ref="G714:Q714" si="104">$E$6*$E$7*G717*$E$19</f>
        <v>1350.5195129964657</v>
      </c>
      <c r="H714" s="62">
        <f t="shared" si="104"/>
        <v>1495.2180322460868</v>
      </c>
      <c r="I714" s="62">
        <f t="shared" si="104"/>
        <v>1446.9851924962129</v>
      </c>
      <c r="J714" s="62">
        <f t="shared" si="104"/>
        <v>1495.2180322460868</v>
      </c>
      <c r="K714" s="62">
        <f t="shared" si="104"/>
        <v>1446.9851924962129</v>
      </c>
      <c r="L714" s="62">
        <f t="shared" si="104"/>
        <v>1495.2180322460868</v>
      </c>
      <c r="M714" s="62">
        <f t="shared" si="104"/>
        <v>1495.2180322460868</v>
      </c>
      <c r="N714" s="62">
        <f t="shared" si="104"/>
        <v>1446.9851924962129</v>
      </c>
      <c r="O714" s="62">
        <f t="shared" si="104"/>
        <v>1495.2180322460868</v>
      </c>
      <c r="P714" s="62">
        <f t="shared" si="104"/>
        <v>1446.9851924962129</v>
      </c>
      <c r="Q714" s="62">
        <f t="shared" si="104"/>
        <v>1495.2180322460868</v>
      </c>
    </row>
    <row r="715" spans="1:133" ht="31.2" x14ac:dyDescent="0.25">
      <c r="A715" s="63" t="s">
        <v>30</v>
      </c>
      <c r="B715" s="60" t="s">
        <v>208</v>
      </c>
      <c r="C715" s="35" t="s">
        <v>31</v>
      </c>
      <c r="D715" s="35" t="s">
        <v>220</v>
      </c>
      <c r="E715" s="113">
        <v>28</v>
      </c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5"/>
    </row>
    <row r="716" spans="1:133" ht="64.8" x14ac:dyDescent="0.25">
      <c r="A716" s="63" t="s">
        <v>32</v>
      </c>
      <c r="B716" s="25" t="s">
        <v>209</v>
      </c>
      <c r="C716" s="35" t="s">
        <v>34</v>
      </c>
      <c r="D716" s="35" t="s">
        <v>373</v>
      </c>
      <c r="E716" s="113">
        <v>0.21</v>
      </c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5"/>
    </row>
    <row r="717" spans="1:133" ht="46.8" x14ac:dyDescent="0.25">
      <c r="A717" s="35" t="s">
        <v>35</v>
      </c>
      <c r="B717" s="25" t="s">
        <v>210</v>
      </c>
      <c r="C717" s="53" t="s">
        <v>36</v>
      </c>
      <c r="D717" s="53" t="s">
        <v>341</v>
      </c>
      <c r="E717" s="64">
        <f t="shared" ref="E717:Q717" si="105">E725*E718</f>
        <v>5545.7774212317236</v>
      </c>
      <c r="F717" s="64">
        <f t="shared" si="105"/>
        <v>471.01123303611899</v>
      </c>
      <c r="G717" s="64">
        <f t="shared" si="105"/>
        <v>425.4295008068172</v>
      </c>
      <c r="H717" s="64">
        <f t="shared" si="105"/>
        <v>471.01123303611899</v>
      </c>
      <c r="I717" s="64">
        <f t="shared" si="105"/>
        <v>455.81732229301838</v>
      </c>
      <c r="J717" s="64">
        <f t="shared" si="105"/>
        <v>471.01123303611899</v>
      </c>
      <c r="K717" s="64">
        <f t="shared" si="105"/>
        <v>455.81732229301838</v>
      </c>
      <c r="L717" s="64">
        <f t="shared" si="105"/>
        <v>471.01123303611899</v>
      </c>
      <c r="M717" s="64">
        <f t="shared" si="105"/>
        <v>471.01123303611899</v>
      </c>
      <c r="N717" s="64">
        <f t="shared" si="105"/>
        <v>455.81732229301838</v>
      </c>
      <c r="O717" s="64">
        <f t="shared" si="105"/>
        <v>471.01123303611899</v>
      </c>
      <c r="P717" s="64">
        <f t="shared" si="105"/>
        <v>455.81732229301838</v>
      </c>
      <c r="Q717" s="64">
        <f t="shared" si="105"/>
        <v>471.01123303611899</v>
      </c>
    </row>
    <row r="718" spans="1:133" ht="46.8" x14ac:dyDescent="0.25">
      <c r="A718" s="35" t="s">
        <v>37</v>
      </c>
      <c r="B718" s="25" t="s">
        <v>212</v>
      </c>
      <c r="C718" s="35" t="s">
        <v>206</v>
      </c>
      <c r="D718" s="35" t="s">
        <v>342</v>
      </c>
      <c r="E718" s="20">
        <f>SUM(F718:Q718)</f>
        <v>5621</v>
      </c>
      <c r="F718" s="20">
        <f>F720*F723</f>
        <v>477.40000000000003</v>
      </c>
      <c r="G718" s="20">
        <f t="shared" ref="G718:Q718" si="106">G720*G723</f>
        <v>431.20000000000005</v>
      </c>
      <c r="H718" s="20">
        <f t="shared" si="106"/>
        <v>477.40000000000003</v>
      </c>
      <c r="I718" s="20">
        <f t="shared" si="106"/>
        <v>462</v>
      </c>
      <c r="J718" s="20">
        <f t="shared" si="106"/>
        <v>477.40000000000003</v>
      </c>
      <c r="K718" s="20">
        <f t="shared" si="106"/>
        <v>462</v>
      </c>
      <c r="L718" s="20">
        <f t="shared" si="106"/>
        <v>477.40000000000003</v>
      </c>
      <c r="M718" s="20">
        <f t="shared" si="106"/>
        <v>477.40000000000003</v>
      </c>
      <c r="N718" s="20">
        <f t="shared" si="106"/>
        <v>462</v>
      </c>
      <c r="O718" s="20">
        <f t="shared" si="106"/>
        <v>477.40000000000003</v>
      </c>
      <c r="P718" s="20">
        <f t="shared" si="106"/>
        <v>462</v>
      </c>
      <c r="Q718" s="20">
        <f t="shared" si="106"/>
        <v>477.40000000000003</v>
      </c>
    </row>
    <row r="719" spans="1:133" ht="46.8" x14ac:dyDescent="0.3">
      <c r="A719" s="51" t="s">
        <v>221</v>
      </c>
      <c r="B719" s="60" t="s">
        <v>207</v>
      </c>
      <c r="C719" s="35" t="s">
        <v>39</v>
      </c>
      <c r="D719" s="35" t="s">
        <v>222</v>
      </c>
      <c r="E719" s="20">
        <v>28000</v>
      </c>
      <c r="F719" s="20">
        <v>28000</v>
      </c>
      <c r="G719" s="20">
        <v>28000</v>
      </c>
      <c r="H719" s="20">
        <v>28000</v>
      </c>
      <c r="I719" s="20">
        <v>28000</v>
      </c>
      <c r="J719" s="20">
        <v>28000</v>
      </c>
      <c r="K719" s="20">
        <v>28000</v>
      </c>
      <c r="L719" s="20">
        <v>28000</v>
      </c>
      <c r="M719" s="20">
        <v>28000</v>
      </c>
      <c r="N719" s="20">
        <v>28000</v>
      </c>
      <c r="O719" s="20">
        <v>28000</v>
      </c>
      <c r="P719" s="20">
        <v>28000</v>
      </c>
      <c r="Q719" s="20">
        <v>28000</v>
      </c>
    </row>
    <row r="720" spans="1:133" ht="46.8" x14ac:dyDescent="0.25">
      <c r="A720" s="35" t="s">
        <v>41</v>
      </c>
      <c r="B720" s="60" t="s">
        <v>213</v>
      </c>
      <c r="C720" s="35" t="s">
        <v>42</v>
      </c>
      <c r="D720" s="35" t="s">
        <v>326</v>
      </c>
      <c r="E720" s="65">
        <f>SUM(F720:Q720)</f>
        <v>10220000</v>
      </c>
      <c r="F720" s="65">
        <f>F719*F713</f>
        <v>868000</v>
      </c>
      <c r="G720" s="65">
        <f t="shared" ref="G720:Q720" si="107">G719*G713</f>
        <v>784000</v>
      </c>
      <c r="H720" s="65">
        <f t="shared" si="107"/>
        <v>868000</v>
      </c>
      <c r="I720" s="65">
        <f t="shared" si="107"/>
        <v>840000</v>
      </c>
      <c r="J720" s="65">
        <f t="shared" si="107"/>
        <v>868000</v>
      </c>
      <c r="K720" s="65">
        <f t="shared" si="107"/>
        <v>840000</v>
      </c>
      <c r="L720" s="65">
        <f t="shared" si="107"/>
        <v>868000</v>
      </c>
      <c r="M720" s="65">
        <f t="shared" si="107"/>
        <v>868000</v>
      </c>
      <c r="N720" s="65">
        <f t="shared" si="107"/>
        <v>840000</v>
      </c>
      <c r="O720" s="65">
        <f t="shared" si="107"/>
        <v>868000</v>
      </c>
      <c r="P720" s="65">
        <f t="shared" si="107"/>
        <v>840000</v>
      </c>
      <c r="Q720" s="65">
        <f t="shared" si="107"/>
        <v>868000</v>
      </c>
    </row>
    <row r="721" spans="1:133" ht="62.4" x14ac:dyDescent="0.25">
      <c r="A721" s="35" t="s">
        <v>43</v>
      </c>
      <c r="B721" s="60" t="s">
        <v>214</v>
      </c>
      <c r="C721" s="35" t="s">
        <v>44</v>
      </c>
      <c r="D721" s="35" t="s">
        <v>40</v>
      </c>
      <c r="E721" s="66">
        <v>550</v>
      </c>
      <c r="F721" s="66">
        <v>550</v>
      </c>
      <c r="G721" s="66">
        <v>550</v>
      </c>
      <c r="H721" s="66">
        <v>550</v>
      </c>
      <c r="I721" s="66">
        <v>550</v>
      </c>
      <c r="J721" s="66">
        <v>550</v>
      </c>
      <c r="K721" s="66">
        <v>550</v>
      </c>
      <c r="L721" s="66">
        <v>550</v>
      </c>
      <c r="M721" s="66">
        <v>550</v>
      </c>
      <c r="N721" s="66">
        <v>550</v>
      </c>
      <c r="O721" s="66">
        <v>550</v>
      </c>
      <c r="P721" s="66">
        <v>550</v>
      </c>
      <c r="Q721" s="66">
        <v>550</v>
      </c>
    </row>
    <row r="722" spans="1:133" ht="62.4" x14ac:dyDescent="0.25">
      <c r="A722" s="35" t="s">
        <v>45</v>
      </c>
      <c r="B722" s="60" t="s">
        <v>214</v>
      </c>
      <c r="C722" s="35" t="s">
        <v>46</v>
      </c>
      <c r="D722" s="35" t="s">
        <v>40</v>
      </c>
      <c r="E722" s="65">
        <v>40</v>
      </c>
      <c r="F722" s="65">
        <v>40</v>
      </c>
      <c r="G722" s="65">
        <v>40</v>
      </c>
      <c r="H722" s="65">
        <v>40</v>
      </c>
      <c r="I722" s="65">
        <v>40</v>
      </c>
      <c r="J722" s="65">
        <v>40</v>
      </c>
      <c r="K722" s="65">
        <v>40</v>
      </c>
      <c r="L722" s="65">
        <v>40</v>
      </c>
      <c r="M722" s="65">
        <v>40</v>
      </c>
      <c r="N722" s="65">
        <v>40</v>
      </c>
      <c r="O722" s="65">
        <v>40</v>
      </c>
      <c r="P722" s="65">
        <v>40</v>
      </c>
      <c r="Q722" s="65">
        <v>40</v>
      </c>
    </row>
    <row r="723" spans="1:133" ht="62.4" x14ac:dyDescent="0.25">
      <c r="A723" s="35" t="s">
        <v>47</v>
      </c>
      <c r="B723" s="60" t="s">
        <v>215</v>
      </c>
      <c r="C723" s="35" t="s">
        <v>49</v>
      </c>
      <c r="D723" s="35" t="s">
        <v>324</v>
      </c>
      <c r="E723" s="67">
        <f>E721/1000000</f>
        <v>5.5000000000000003E-4</v>
      </c>
      <c r="F723" s="22">
        <f>F721/1000000</f>
        <v>5.5000000000000003E-4</v>
      </c>
      <c r="G723" s="22">
        <f t="shared" ref="G723:Q723" si="108">G721/1000000</f>
        <v>5.5000000000000003E-4</v>
      </c>
      <c r="H723" s="22">
        <f t="shared" si="108"/>
        <v>5.5000000000000003E-4</v>
      </c>
      <c r="I723" s="22">
        <f t="shared" si="108"/>
        <v>5.5000000000000003E-4</v>
      </c>
      <c r="J723" s="22">
        <f t="shared" si="108"/>
        <v>5.5000000000000003E-4</v>
      </c>
      <c r="K723" s="22">
        <f t="shared" si="108"/>
        <v>5.5000000000000003E-4</v>
      </c>
      <c r="L723" s="22">
        <f t="shared" si="108"/>
        <v>5.5000000000000003E-4</v>
      </c>
      <c r="M723" s="22">
        <f t="shared" si="108"/>
        <v>5.5000000000000003E-4</v>
      </c>
      <c r="N723" s="22">
        <f t="shared" si="108"/>
        <v>5.5000000000000003E-4</v>
      </c>
      <c r="O723" s="22">
        <f t="shared" si="108"/>
        <v>5.5000000000000003E-4</v>
      </c>
      <c r="P723" s="22">
        <f t="shared" si="108"/>
        <v>5.5000000000000003E-4</v>
      </c>
      <c r="Q723" s="22">
        <f t="shared" si="108"/>
        <v>5.5000000000000003E-4</v>
      </c>
    </row>
    <row r="724" spans="1:133" ht="62.4" x14ac:dyDescent="0.25">
      <c r="A724" s="35" t="s">
        <v>45</v>
      </c>
      <c r="B724" s="60" t="s">
        <v>48</v>
      </c>
      <c r="C724" s="35" t="s">
        <v>50</v>
      </c>
      <c r="D724" s="35" t="s">
        <v>325</v>
      </c>
      <c r="E724" s="67">
        <f>E722/1000000</f>
        <v>4.0000000000000003E-5</v>
      </c>
      <c r="F724" s="22">
        <f>F722/1000000</f>
        <v>4.0000000000000003E-5</v>
      </c>
      <c r="G724" s="22">
        <f t="shared" ref="G724:Q724" si="109">G722/1000000</f>
        <v>4.0000000000000003E-5</v>
      </c>
      <c r="H724" s="22">
        <f t="shared" si="109"/>
        <v>4.0000000000000003E-5</v>
      </c>
      <c r="I724" s="22">
        <f t="shared" si="109"/>
        <v>4.0000000000000003E-5</v>
      </c>
      <c r="J724" s="22">
        <f t="shared" si="109"/>
        <v>4.0000000000000003E-5</v>
      </c>
      <c r="K724" s="22">
        <f t="shared" si="109"/>
        <v>4.0000000000000003E-5</v>
      </c>
      <c r="L724" s="22">
        <f t="shared" si="109"/>
        <v>4.0000000000000003E-5</v>
      </c>
      <c r="M724" s="22">
        <f t="shared" si="109"/>
        <v>4.0000000000000003E-5</v>
      </c>
      <c r="N724" s="22">
        <f t="shared" si="109"/>
        <v>4.0000000000000003E-5</v>
      </c>
      <c r="O724" s="22">
        <f t="shared" si="109"/>
        <v>4.0000000000000003E-5</v>
      </c>
      <c r="P724" s="22">
        <f t="shared" si="109"/>
        <v>4.0000000000000003E-5</v>
      </c>
      <c r="Q724" s="22">
        <f t="shared" si="109"/>
        <v>4.0000000000000003E-5</v>
      </c>
    </row>
    <row r="725" spans="1:133" ht="46.8" x14ac:dyDescent="0.25">
      <c r="A725" s="63" t="s">
        <v>51</v>
      </c>
      <c r="B725" s="25" t="s">
        <v>216</v>
      </c>
      <c r="C725" s="35" t="s">
        <v>53</v>
      </c>
      <c r="D725" s="35" t="s">
        <v>343</v>
      </c>
      <c r="E725" s="68">
        <f>(1-(E726/E727))</f>
        <v>0.98661758072081895</v>
      </c>
      <c r="F725" s="68">
        <f>E725</f>
        <v>0.98661758072081895</v>
      </c>
      <c r="G725" s="68">
        <f>E725</f>
        <v>0.98661758072081895</v>
      </c>
      <c r="H725" s="68">
        <f>E725</f>
        <v>0.98661758072081895</v>
      </c>
      <c r="I725" s="68">
        <f>E725</f>
        <v>0.98661758072081895</v>
      </c>
      <c r="J725" s="68">
        <f>E725</f>
        <v>0.98661758072081895</v>
      </c>
      <c r="K725" s="68">
        <f>E725</f>
        <v>0.98661758072081895</v>
      </c>
      <c r="L725" s="68">
        <f>E725</f>
        <v>0.98661758072081895</v>
      </c>
      <c r="M725" s="68">
        <f>E725</f>
        <v>0.98661758072081895</v>
      </c>
      <c r="N725" s="68">
        <f>E725</f>
        <v>0.98661758072081895</v>
      </c>
      <c r="O725" s="68">
        <f>E725</f>
        <v>0.98661758072081895</v>
      </c>
      <c r="P725" s="68">
        <f>E725</f>
        <v>0.98661758072081895</v>
      </c>
      <c r="Q725" s="68">
        <f>E725</f>
        <v>0.98661758072081895</v>
      </c>
    </row>
    <row r="726" spans="1:133" ht="31.2" x14ac:dyDescent="0.25">
      <c r="A726" s="35" t="s">
        <v>54</v>
      </c>
      <c r="B726" s="25" t="s">
        <v>211</v>
      </c>
      <c r="C726" s="35" t="s">
        <v>55</v>
      </c>
      <c r="D726" s="35" t="s">
        <v>323</v>
      </c>
      <c r="E726" s="52">
        <f>SUM(F726:Q726)</f>
        <v>47.169475782499994</v>
      </c>
      <c r="F726" s="52">
        <v>4.0061746554999997</v>
      </c>
      <c r="G726" s="52">
        <v>3.6184803340000005</v>
      </c>
      <c r="H726" s="52">
        <v>4.0061746554999997</v>
      </c>
      <c r="I726" s="52">
        <v>3.8769432150000003</v>
      </c>
      <c r="J726" s="52">
        <v>4.0061746554999997</v>
      </c>
      <c r="K726" s="52">
        <v>3.8769432150000003</v>
      </c>
      <c r="L726" s="52">
        <v>4.0061746554999997</v>
      </c>
      <c r="M726" s="52">
        <v>4.0061746554999997</v>
      </c>
      <c r="N726" s="52">
        <v>3.8769432150000003</v>
      </c>
      <c r="O726" s="52">
        <v>4.0061746554999997</v>
      </c>
      <c r="P726" s="52">
        <v>3.8769432150000003</v>
      </c>
      <c r="Q726" s="52">
        <v>4.0061746554999997</v>
      </c>
    </row>
    <row r="727" spans="1:133" ht="31.2" x14ac:dyDescent="0.25">
      <c r="A727" s="63" t="s">
        <v>56</v>
      </c>
      <c r="B727" s="25" t="s">
        <v>38</v>
      </c>
      <c r="C727" s="35" t="s">
        <v>57</v>
      </c>
      <c r="D727" s="35" t="s">
        <v>323</v>
      </c>
      <c r="E727" s="52">
        <f>SUM(F727:Q727)</f>
        <v>3524.7345639424998</v>
      </c>
      <c r="F727" s="52">
        <v>299.36101775949999</v>
      </c>
      <c r="G727" s="52">
        <v>270.39059668599998</v>
      </c>
      <c r="H727" s="52">
        <v>299.36101775949999</v>
      </c>
      <c r="I727" s="52">
        <v>289.704210735</v>
      </c>
      <c r="J727" s="52">
        <v>299.36101775949999</v>
      </c>
      <c r="K727" s="52">
        <v>289.704210735</v>
      </c>
      <c r="L727" s="52">
        <v>299.36101775949999</v>
      </c>
      <c r="M727" s="52">
        <v>299.36101775949999</v>
      </c>
      <c r="N727" s="52">
        <v>289.704210735</v>
      </c>
      <c r="O727" s="52">
        <v>299.36101775949999</v>
      </c>
      <c r="P727" s="52">
        <v>289.704210735</v>
      </c>
      <c r="Q727" s="52">
        <v>299.36101775949999</v>
      </c>
    </row>
    <row r="728" spans="1:133" ht="31.2" x14ac:dyDescent="0.25">
      <c r="A728" s="53" t="s">
        <v>58</v>
      </c>
      <c r="B728" s="25" t="s">
        <v>216</v>
      </c>
      <c r="C728" s="53" t="s">
        <v>59</v>
      </c>
      <c r="D728" s="35" t="s">
        <v>344</v>
      </c>
      <c r="E728" s="116">
        <f>E729*E730*0.89</f>
        <v>0.53574843703498942</v>
      </c>
      <c r="F728" s="117"/>
      <c r="G728" s="117"/>
      <c r="H728" s="117"/>
      <c r="I728" s="117"/>
      <c r="J728" s="117"/>
      <c r="K728" s="117"/>
      <c r="L728" s="117"/>
      <c r="M728" s="117"/>
      <c r="N728" s="117"/>
      <c r="O728" s="117"/>
      <c r="P728" s="117"/>
      <c r="Q728" s="118"/>
    </row>
    <row r="729" spans="1:133" ht="31.2" x14ac:dyDescent="0.25">
      <c r="A729" s="70" t="s">
        <v>60</v>
      </c>
      <c r="B729" s="25" t="s">
        <v>216</v>
      </c>
      <c r="C729" s="53" t="s">
        <v>61</v>
      </c>
      <c r="D729" s="35" t="s">
        <v>345</v>
      </c>
      <c r="E729" s="119">
        <v>0.7</v>
      </c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1"/>
    </row>
    <row r="730" spans="1:133" ht="36" customHeight="1" x14ac:dyDescent="0.25">
      <c r="A730" s="70" t="s">
        <v>62</v>
      </c>
      <c r="B730" s="25" t="s">
        <v>52</v>
      </c>
      <c r="C730" s="53" t="s">
        <v>63</v>
      </c>
      <c r="D730" s="35" t="s">
        <v>346</v>
      </c>
      <c r="E730" s="122">
        <f>(F731*F736+G731*G736+H731*H736+I731*I736+J731*J736+K731*K736+L731*L736+M731*M736+N731*N736+O731*O736+P731*P736+Q731*Q736)/(F725*F720*F723+G725*G723*G720+H725*H720*H723+I725*I723*I720+J725*J723*J720+K725*K723*K720+L725*L723*L720+M725*M723*M720+N725*N723*N720+O725*O720*O723+P725*P723*P720+Q725*Q723*Q720)</f>
        <v>0.85994933713481458</v>
      </c>
      <c r="F730" s="123"/>
      <c r="G730" s="123"/>
      <c r="H730" s="123"/>
      <c r="I730" s="123"/>
      <c r="J730" s="123"/>
      <c r="K730" s="123"/>
      <c r="L730" s="123"/>
      <c r="M730" s="123"/>
      <c r="N730" s="123"/>
      <c r="O730" s="123"/>
      <c r="P730" s="123"/>
      <c r="Q730" s="124"/>
    </row>
    <row r="731" spans="1:133" s="9" customFormat="1" ht="46.8" x14ac:dyDescent="0.4">
      <c r="A731" s="71" t="s">
        <v>64</v>
      </c>
      <c r="B731" s="25" t="s">
        <v>52</v>
      </c>
      <c r="C731" s="53" t="s">
        <v>65</v>
      </c>
      <c r="D731" s="53" t="s">
        <v>347</v>
      </c>
      <c r="E731" s="72">
        <f>AVERAGE(F731:Q731)</f>
        <v>0.63610765135267333</v>
      </c>
      <c r="F731" s="72">
        <f t="shared" ref="F731:Q731" si="110">IF(F735&lt;283,0,IF(F735&gt;303,1,EXP(($E$23*(F735-$E$24))/($E$25*$E$24*F735))))</f>
        <v>0.29505266129807517</v>
      </c>
      <c r="G731" s="72">
        <f t="shared" si="110"/>
        <v>0.32317176495848171</v>
      </c>
      <c r="H731" s="72">
        <f t="shared" si="110"/>
        <v>0.42307437878932203</v>
      </c>
      <c r="I731" s="72">
        <f t="shared" si="110"/>
        <v>0.55084569341606926</v>
      </c>
      <c r="J731" s="72">
        <f t="shared" si="110"/>
        <v>0.77675425208684001</v>
      </c>
      <c r="K731" s="72">
        <f t="shared" si="110"/>
        <v>0.91923925774048054</v>
      </c>
      <c r="L731" s="72">
        <f t="shared" si="110"/>
        <v>0.91923925774048054</v>
      </c>
      <c r="M731" s="72">
        <f t="shared" si="110"/>
        <v>0.91923925774048054</v>
      </c>
      <c r="N731" s="72">
        <f t="shared" si="110"/>
        <v>0.91923925774048054</v>
      </c>
      <c r="O731" s="72">
        <f t="shared" si="110"/>
        <v>0.71341857634681827</v>
      </c>
      <c r="P731" s="72">
        <f t="shared" si="110"/>
        <v>0.55084569341606926</v>
      </c>
      <c r="Q731" s="72">
        <f t="shared" si="110"/>
        <v>0.32317176495848171</v>
      </c>
      <c r="R731" s="78"/>
      <c r="S731" s="78"/>
      <c r="T731" s="78"/>
      <c r="U731" s="78"/>
      <c r="V731" s="78"/>
      <c r="W731" s="78"/>
      <c r="X731" s="78"/>
      <c r="Y731" s="78"/>
      <c r="Z731" s="78"/>
      <c r="AA731" s="78"/>
      <c r="AB731" s="78"/>
      <c r="AC731" s="78"/>
      <c r="AD731" s="78"/>
      <c r="AE731" s="78"/>
      <c r="AF731" s="78"/>
      <c r="AG731" s="78"/>
      <c r="AH731" s="78"/>
      <c r="AI731" s="78"/>
      <c r="AJ731" s="78"/>
      <c r="AK731" s="78"/>
      <c r="AL731" s="78"/>
      <c r="AM731" s="78"/>
      <c r="AN731" s="78"/>
      <c r="AO731" s="78"/>
      <c r="AP731" s="78"/>
      <c r="AQ731" s="78"/>
      <c r="AR731" s="78"/>
      <c r="AS731" s="78"/>
      <c r="AT731" s="78"/>
      <c r="AU731" s="78"/>
      <c r="AV731" s="78"/>
      <c r="AW731" s="78"/>
      <c r="AX731" s="78"/>
      <c r="AY731" s="78"/>
      <c r="AZ731" s="78"/>
      <c r="BA731" s="78"/>
      <c r="BB731" s="78"/>
      <c r="BC731" s="78"/>
      <c r="BD731" s="78"/>
      <c r="BE731" s="78"/>
      <c r="BF731" s="78"/>
      <c r="BG731" s="78"/>
      <c r="BH731" s="78"/>
      <c r="BI731" s="78"/>
      <c r="BJ731" s="78"/>
      <c r="BK731" s="78"/>
      <c r="BL731" s="78"/>
      <c r="BM731" s="78"/>
      <c r="BN731" s="78"/>
      <c r="BO731" s="78"/>
      <c r="BP731" s="78"/>
      <c r="BQ731" s="78"/>
      <c r="BR731" s="78"/>
      <c r="BS731" s="78"/>
      <c r="BT731" s="78"/>
      <c r="BU731" s="78"/>
      <c r="BV731" s="78"/>
      <c r="BW731" s="78"/>
      <c r="BX731" s="78"/>
      <c r="BY731" s="78"/>
      <c r="BZ731" s="78"/>
      <c r="CA731" s="78"/>
      <c r="CB731" s="78"/>
      <c r="CC731" s="78"/>
      <c r="CD731" s="78"/>
      <c r="CE731" s="78"/>
      <c r="CF731" s="78"/>
      <c r="CG731" s="78"/>
      <c r="CH731" s="78"/>
      <c r="CI731" s="78"/>
      <c r="CJ731" s="78"/>
      <c r="CK731" s="78"/>
      <c r="CL731" s="78"/>
      <c r="CM731" s="78"/>
      <c r="CN731" s="78"/>
      <c r="CO731" s="78"/>
      <c r="CP731" s="78"/>
      <c r="CQ731" s="78"/>
      <c r="CR731" s="78"/>
      <c r="CS731" s="78"/>
      <c r="CT731" s="78"/>
      <c r="CU731" s="78"/>
      <c r="CV731" s="78"/>
      <c r="CW731" s="78"/>
      <c r="CX731" s="78"/>
      <c r="CY731" s="78"/>
      <c r="CZ731" s="78"/>
      <c r="DA731" s="78"/>
      <c r="DB731" s="78"/>
      <c r="DC731" s="78"/>
      <c r="DD731" s="78"/>
      <c r="DE731" s="78"/>
      <c r="DF731" s="78"/>
      <c r="DG731" s="78"/>
      <c r="DH731" s="78"/>
      <c r="DI731" s="78"/>
      <c r="DJ731" s="78"/>
      <c r="DK731" s="78"/>
      <c r="DL731" s="78"/>
      <c r="DM731" s="78"/>
      <c r="DN731" s="78"/>
      <c r="DO731" s="78"/>
      <c r="DP731" s="78"/>
      <c r="DQ731" s="78"/>
      <c r="DR731" s="78"/>
      <c r="DS731" s="78"/>
      <c r="DT731" s="78"/>
      <c r="DU731" s="78"/>
      <c r="DV731" s="78"/>
      <c r="DW731" s="78"/>
      <c r="DX731" s="78"/>
      <c r="DY731" s="78"/>
      <c r="DZ731" s="78"/>
      <c r="EA731" s="78"/>
      <c r="EB731" s="78"/>
      <c r="EC731" s="78"/>
    </row>
    <row r="732" spans="1:133" s="9" customFormat="1" x14ac:dyDescent="0.25">
      <c r="A732" s="73" t="s">
        <v>66</v>
      </c>
      <c r="B732" s="60" t="s">
        <v>217</v>
      </c>
      <c r="C732" s="53" t="s">
        <v>68</v>
      </c>
      <c r="D732" s="53" t="s">
        <v>348</v>
      </c>
      <c r="E732" s="119">
        <v>15175</v>
      </c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1"/>
      <c r="R732" s="78"/>
      <c r="S732" s="78"/>
      <c r="T732" s="78"/>
      <c r="U732" s="78"/>
      <c r="V732" s="78"/>
      <c r="W732" s="78"/>
      <c r="X732" s="78"/>
      <c r="Y732" s="78"/>
      <c r="Z732" s="78"/>
      <c r="AA732" s="78"/>
      <c r="AB732" s="78"/>
      <c r="AC732" s="78"/>
      <c r="AD732" s="78"/>
      <c r="AE732" s="78"/>
      <c r="AF732" s="78"/>
      <c r="AG732" s="78"/>
      <c r="AH732" s="78"/>
      <c r="AI732" s="78"/>
      <c r="AJ732" s="78"/>
      <c r="AK732" s="78"/>
      <c r="AL732" s="78"/>
      <c r="AM732" s="78"/>
      <c r="AN732" s="78"/>
      <c r="AO732" s="78"/>
      <c r="AP732" s="78"/>
      <c r="AQ732" s="78"/>
      <c r="AR732" s="78"/>
      <c r="AS732" s="78"/>
      <c r="AT732" s="78"/>
      <c r="AU732" s="78"/>
      <c r="AV732" s="78"/>
      <c r="AW732" s="78"/>
      <c r="AX732" s="78"/>
      <c r="AY732" s="78"/>
      <c r="AZ732" s="78"/>
      <c r="BA732" s="78"/>
      <c r="BB732" s="78"/>
      <c r="BC732" s="78"/>
      <c r="BD732" s="78"/>
      <c r="BE732" s="78"/>
      <c r="BF732" s="78"/>
      <c r="BG732" s="78"/>
      <c r="BH732" s="78"/>
      <c r="BI732" s="78"/>
      <c r="BJ732" s="78"/>
      <c r="BK732" s="78"/>
      <c r="BL732" s="78"/>
      <c r="BM732" s="78"/>
      <c r="BN732" s="78"/>
      <c r="BO732" s="78"/>
      <c r="BP732" s="78"/>
      <c r="BQ732" s="78"/>
      <c r="BR732" s="78"/>
      <c r="BS732" s="78"/>
      <c r="BT732" s="78"/>
      <c r="BU732" s="78"/>
      <c r="BV732" s="78"/>
      <c r="BW732" s="78"/>
      <c r="BX732" s="78"/>
      <c r="BY732" s="78"/>
      <c r="BZ732" s="78"/>
      <c r="CA732" s="78"/>
      <c r="CB732" s="78"/>
      <c r="CC732" s="78"/>
      <c r="CD732" s="78"/>
      <c r="CE732" s="78"/>
      <c r="CF732" s="78"/>
      <c r="CG732" s="78"/>
      <c r="CH732" s="78"/>
      <c r="CI732" s="78"/>
      <c r="CJ732" s="78"/>
      <c r="CK732" s="78"/>
      <c r="CL732" s="78"/>
      <c r="CM732" s="78"/>
      <c r="CN732" s="78"/>
      <c r="CO732" s="78"/>
      <c r="CP732" s="78"/>
      <c r="CQ732" s="78"/>
      <c r="CR732" s="78"/>
      <c r="CS732" s="78"/>
      <c r="CT732" s="78"/>
      <c r="CU732" s="78"/>
      <c r="CV732" s="78"/>
      <c r="CW732" s="78"/>
      <c r="CX732" s="78"/>
      <c r="CY732" s="78"/>
      <c r="CZ732" s="78"/>
      <c r="DA732" s="78"/>
      <c r="DB732" s="78"/>
      <c r="DC732" s="78"/>
      <c r="DD732" s="78"/>
      <c r="DE732" s="78"/>
      <c r="DF732" s="78"/>
      <c r="DG732" s="78"/>
      <c r="DH732" s="78"/>
      <c r="DI732" s="78"/>
      <c r="DJ732" s="78"/>
      <c r="DK732" s="78"/>
      <c r="DL732" s="78"/>
      <c r="DM732" s="78"/>
      <c r="DN732" s="78"/>
      <c r="DO732" s="78"/>
      <c r="DP732" s="78"/>
      <c r="DQ732" s="78"/>
      <c r="DR732" s="78"/>
      <c r="DS732" s="78"/>
      <c r="DT732" s="78"/>
      <c r="DU732" s="78"/>
      <c r="DV732" s="78"/>
      <c r="DW732" s="78"/>
      <c r="DX732" s="78"/>
      <c r="DY732" s="78"/>
      <c r="DZ732" s="78"/>
      <c r="EA732" s="78"/>
      <c r="EB732" s="78"/>
      <c r="EC732" s="78"/>
    </row>
    <row r="733" spans="1:133" s="9" customFormat="1" ht="18" x14ac:dyDescent="0.25">
      <c r="A733" s="73" t="s">
        <v>69</v>
      </c>
      <c r="B733" s="60" t="s">
        <v>218</v>
      </c>
      <c r="C733" s="53" t="s">
        <v>71</v>
      </c>
      <c r="D733" s="53" t="s">
        <v>348</v>
      </c>
      <c r="E733" s="119">
        <v>303.16000000000003</v>
      </c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1"/>
      <c r="R733" s="78"/>
      <c r="S733" s="78"/>
      <c r="T733" s="78"/>
      <c r="U733" s="78"/>
      <c r="V733" s="78"/>
      <c r="W733" s="78"/>
      <c r="X733" s="78"/>
      <c r="Y733" s="78"/>
      <c r="Z733" s="78"/>
      <c r="AA733" s="78"/>
      <c r="AB733" s="78"/>
      <c r="AC733" s="78"/>
      <c r="AD733" s="78"/>
      <c r="AE733" s="78"/>
      <c r="AF733" s="78"/>
      <c r="AG733" s="78"/>
      <c r="AH733" s="78"/>
      <c r="AI733" s="78"/>
      <c r="AJ733" s="78"/>
      <c r="AK733" s="78"/>
      <c r="AL733" s="78"/>
      <c r="AM733" s="78"/>
      <c r="AN733" s="78"/>
      <c r="AO733" s="78"/>
      <c r="AP733" s="78"/>
      <c r="AQ733" s="78"/>
      <c r="AR733" s="78"/>
      <c r="AS733" s="78"/>
      <c r="AT733" s="78"/>
      <c r="AU733" s="78"/>
      <c r="AV733" s="78"/>
      <c r="AW733" s="78"/>
      <c r="AX733" s="78"/>
      <c r="AY733" s="78"/>
      <c r="AZ733" s="78"/>
      <c r="BA733" s="78"/>
      <c r="BB733" s="78"/>
      <c r="BC733" s="78"/>
      <c r="BD733" s="78"/>
      <c r="BE733" s="78"/>
      <c r="BF733" s="78"/>
      <c r="BG733" s="78"/>
      <c r="BH733" s="78"/>
      <c r="BI733" s="78"/>
      <c r="BJ733" s="78"/>
      <c r="BK733" s="78"/>
      <c r="BL733" s="78"/>
      <c r="BM733" s="78"/>
      <c r="BN733" s="78"/>
      <c r="BO733" s="78"/>
      <c r="BP733" s="78"/>
      <c r="BQ733" s="78"/>
      <c r="BR733" s="78"/>
      <c r="BS733" s="78"/>
      <c r="BT733" s="78"/>
      <c r="BU733" s="78"/>
      <c r="BV733" s="78"/>
      <c r="BW733" s="78"/>
      <c r="BX733" s="78"/>
      <c r="BY733" s="78"/>
      <c r="BZ733" s="78"/>
      <c r="CA733" s="78"/>
      <c r="CB733" s="78"/>
      <c r="CC733" s="78"/>
      <c r="CD733" s="78"/>
      <c r="CE733" s="78"/>
      <c r="CF733" s="78"/>
      <c r="CG733" s="78"/>
      <c r="CH733" s="78"/>
      <c r="CI733" s="78"/>
      <c r="CJ733" s="78"/>
      <c r="CK733" s="78"/>
      <c r="CL733" s="78"/>
      <c r="CM733" s="78"/>
      <c r="CN733" s="78"/>
      <c r="CO733" s="78"/>
      <c r="CP733" s="78"/>
      <c r="CQ733" s="78"/>
      <c r="CR733" s="78"/>
      <c r="CS733" s="78"/>
      <c r="CT733" s="78"/>
      <c r="CU733" s="78"/>
      <c r="CV733" s="78"/>
      <c r="CW733" s="78"/>
      <c r="CX733" s="78"/>
      <c r="CY733" s="78"/>
      <c r="CZ733" s="78"/>
      <c r="DA733" s="78"/>
      <c r="DB733" s="78"/>
      <c r="DC733" s="78"/>
      <c r="DD733" s="78"/>
      <c r="DE733" s="78"/>
      <c r="DF733" s="78"/>
      <c r="DG733" s="78"/>
      <c r="DH733" s="78"/>
      <c r="DI733" s="78"/>
      <c r="DJ733" s="78"/>
      <c r="DK733" s="78"/>
      <c r="DL733" s="78"/>
      <c r="DM733" s="78"/>
      <c r="DN733" s="78"/>
      <c r="DO733" s="78"/>
      <c r="DP733" s="78"/>
      <c r="DQ733" s="78"/>
      <c r="DR733" s="78"/>
      <c r="DS733" s="78"/>
      <c r="DT733" s="78"/>
      <c r="DU733" s="78"/>
      <c r="DV733" s="78"/>
      <c r="DW733" s="78"/>
      <c r="DX733" s="78"/>
      <c r="DY733" s="78"/>
      <c r="DZ733" s="78"/>
      <c r="EA733" s="78"/>
      <c r="EB733" s="78"/>
      <c r="EC733" s="78"/>
    </row>
    <row r="734" spans="1:133" s="9" customFormat="1" x14ac:dyDescent="0.25">
      <c r="A734" s="73" t="s">
        <v>72</v>
      </c>
      <c r="B734" s="60" t="s">
        <v>219</v>
      </c>
      <c r="C734" s="53" t="s">
        <v>74</v>
      </c>
      <c r="D734" s="53" t="s">
        <v>348</v>
      </c>
      <c r="E734" s="119">
        <v>1.9870000000000001</v>
      </c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1"/>
      <c r="R734" s="78"/>
      <c r="S734" s="78"/>
      <c r="T734" s="78"/>
      <c r="U734" s="78"/>
      <c r="V734" s="78"/>
      <c r="W734" s="78"/>
      <c r="X734" s="78"/>
      <c r="Y734" s="78"/>
      <c r="Z734" s="78"/>
      <c r="AA734" s="78"/>
      <c r="AB734" s="78"/>
      <c r="AC734" s="78"/>
      <c r="AD734" s="78"/>
      <c r="AE734" s="78"/>
      <c r="AF734" s="78"/>
      <c r="AG734" s="78"/>
      <c r="AH734" s="78"/>
      <c r="AI734" s="78"/>
      <c r="AJ734" s="78"/>
      <c r="AK734" s="78"/>
      <c r="AL734" s="78"/>
      <c r="AM734" s="78"/>
      <c r="AN734" s="78"/>
      <c r="AO734" s="78"/>
      <c r="AP734" s="78"/>
      <c r="AQ734" s="78"/>
      <c r="AR734" s="78"/>
      <c r="AS734" s="78"/>
      <c r="AT734" s="78"/>
      <c r="AU734" s="78"/>
      <c r="AV734" s="78"/>
      <c r="AW734" s="78"/>
      <c r="AX734" s="78"/>
      <c r="AY734" s="78"/>
      <c r="AZ734" s="78"/>
      <c r="BA734" s="78"/>
      <c r="BB734" s="78"/>
      <c r="BC734" s="78"/>
      <c r="BD734" s="78"/>
      <c r="BE734" s="78"/>
      <c r="BF734" s="78"/>
      <c r="BG734" s="78"/>
      <c r="BH734" s="78"/>
      <c r="BI734" s="78"/>
      <c r="BJ734" s="78"/>
      <c r="BK734" s="78"/>
      <c r="BL734" s="78"/>
      <c r="BM734" s="78"/>
      <c r="BN734" s="78"/>
      <c r="BO734" s="78"/>
      <c r="BP734" s="78"/>
      <c r="BQ734" s="78"/>
      <c r="BR734" s="78"/>
      <c r="BS734" s="78"/>
      <c r="BT734" s="78"/>
      <c r="BU734" s="78"/>
      <c r="BV734" s="78"/>
      <c r="BW734" s="78"/>
      <c r="BX734" s="78"/>
      <c r="BY734" s="78"/>
      <c r="BZ734" s="78"/>
      <c r="CA734" s="78"/>
      <c r="CB734" s="78"/>
      <c r="CC734" s="78"/>
      <c r="CD734" s="78"/>
      <c r="CE734" s="78"/>
      <c r="CF734" s="78"/>
      <c r="CG734" s="78"/>
      <c r="CH734" s="78"/>
      <c r="CI734" s="78"/>
      <c r="CJ734" s="78"/>
      <c r="CK734" s="78"/>
      <c r="CL734" s="78"/>
      <c r="CM734" s="78"/>
      <c r="CN734" s="78"/>
      <c r="CO734" s="78"/>
      <c r="CP734" s="78"/>
      <c r="CQ734" s="78"/>
      <c r="CR734" s="78"/>
      <c r="CS734" s="78"/>
      <c r="CT734" s="78"/>
      <c r="CU734" s="78"/>
      <c r="CV734" s="78"/>
      <c r="CW734" s="78"/>
      <c r="CX734" s="78"/>
      <c r="CY734" s="78"/>
      <c r="CZ734" s="78"/>
      <c r="DA734" s="78"/>
      <c r="DB734" s="78"/>
      <c r="DC734" s="78"/>
      <c r="DD734" s="78"/>
      <c r="DE734" s="78"/>
      <c r="DF734" s="78"/>
      <c r="DG734" s="78"/>
      <c r="DH734" s="78"/>
      <c r="DI734" s="78"/>
      <c r="DJ734" s="78"/>
      <c r="DK734" s="78"/>
      <c r="DL734" s="78"/>
      <c r="DM734" s="78"/>
      <c r="DN734" s="78"/>
      <c r="DO734" s="78"/>
      <c r="DP734" s="78"/>
      <c r="DQ734" s="78"/>
      <c r="DR734" s="78"/>
      <c r="DS734" s="78"/>
      <c r="DT734" s="78"/>
      <c r="DU734" s="78"/>
      <c r="DV734" s="78"/>
      <c r="DW734" s="78"/>
      <c r="DX734" s="78"/>
      <c r="DY734" s="78"/>
      <c r="DZ734" s="78"/>
      <c r="EA734" s="78"/>
      <c r="EB734" s="78"/>
      <c r="EC734" s="78"/>
    </row>
    <row r="735" spans="1:133" s="9" customFormat="1" ht="31.2" x14ac:dyDescent="0.25">
      <c r="A735" s="73" t="s">
        <v>75</v>
      </c>
      <c r="B735" s="60" t="s">
        <v>218</v>
      </c>
      <c r="C735" s="53" t="s">
        <v>76</v>
      </c>
      <c r="D735" s="53" t="s">
        <v>271</v>
      </c>
      <c r="E735" s="111">
        <f>AVERAGE(F735:Q735)</f>
        <v>296.90000000000003</v>
      </c>
      <c r="F735" s="60">
        <v>289.14999999999998</v>
      </c>
      <c r="G735" s="60">
        <v>290.14999999999998</v>
      </c>
      <c r="H735" s="60">
        <v>293.14999999999998</v>
      </c>
      <c r="I735" s="60">
        <v>296.14999999999998</v>
      </c>
      <c r="J735" s="60">
        <v>300.14999999999998</v>
      </c>
      <c r="K735" s="60">
        <v>302.14999999999998</v>
      </c>
      <c r="L735" s="60">
        <v>302.14999999999998</v>
      </c>
      <c r="M735" s="60">
        <v>302.14999999999998</v>
      </c>
      <c r="N735" s="60">
        <v>302.14999999999998</v>
      </c>
      <c r="O735" s="60">
        <v>299.14999999999998</v>
      </c>
      <c r="P735" s="60">
        <v>296.14999999999998</v>
      </c>
      <c r="Q735" s="60">
        <v>290.14999999999998</v>
      </c>
      <c r="R735" s="78"/>
      <c r="S735" s="78"/>
      <c r="T735" s="78"/>
      <c r="U735" s="78"/>
      <c r="V735" s="78"/>
      <c r="W735" s="78"/>
      <c r="X735" s="78"/>
      <c r="Y735" s="78"/>
      <c r="Z735" s="78"/>
      <c r="AA735" s="78"/>
      <c r="AB735" s="78"/>
      <c r="AC735" s="78"/>
      <c r="AD735" s="78"/>
      <c r="AE735" s="78"/>
      <c r="AF735" s="78"/>
      <c r="AG735" s="78"/>
      <c r="AH735" s="78"/>
      <c r="AI735" s="78"/>
      <c r="AJ735" s="78"/>
      <c r="AK735" s="78"/>
      <c r="AL735" s="78"/>
      <c r="AM735" s="78"/>
      <c r="AN735" s="78"/>
      <c r="AO735" s="78"/>
      <c r="AP735" s="78"/>
      <c r="AQ735" s="78"/>
      <c r="AR735" s="78"/>
      <c r="AS735" s="78"/>
      <c r="AT735" s="78"/>
      <c r="AU735" s="78"/>
      <c r="AV735" s="78"/>
      <c r="AW735" s="78"/>
      <c r="AX735" s="78"/>
      <c r="AY735" s="78"/>
      <c r="AZ735" s="78"/>
      <c r="BA735" s="78"/>
      <c r="BB735" s="78"/>
      <c r="BC735" s="78"/>
      <c r="BD735" s="78"/>
      <c r="BE735" s="78"/>
      <c r="BF735" s="78"/>
      <c r="BG735" s="78"/>
      <c r="BH735" s="78"/>
      <c r="BI735" s="78"/>
      <c r="BJ735" s="78"/>
      <c r="BK735" s="78"/>
      <c r="BL735" s="78"/>
      <c r="BM735" s="78"/>
      <c r="BN735" s="78"/>
      <c r="BO735" s="78"/>
      <c r="BP735" s="78"/>
      <c r="BQ735" s="78"/>
      <c r="BR735" s="78"/>
      <c r="BS735" s="78"/>
      <c r="BT735" s="78"/>
      <c r="BU735" s="78"/>
      <c r="BV735" s="78"/>
      <c r="BW735" s="78"/>
      <c r="BX735" s="78"/>
      <c r="BY735" s="78"/>
      <c r="BZ735" s="78"/>
      <c r="CA735" s="78"/>
      <c r="CB735" s="78"/>
      <c r="CC735" s="78"/>
      <c r="CD735" s="78"/>
      <c r="CE735" s="78"/>
      <c r="CF735" s="78"/>
      <c r="CG735" s="78"/>
      <c r="CH735" s="78"/>
      <c r="CI735" s="78"/>
      <c r="CJ735" s="78"/>
      <c r="CK735" s="78"/>
      <c r="CL735" s="78"/>
      <c r="CM735" s="78"/>
      <c r="CN735" s="78"/>
      <c r="CO735" s="78"/>
      <c r="CP735" s="78"/>
      <c r="CQ735" s="78"/>
      <c r="CR735" s="78"/>
      <c r="CS735" s="78"/>
      <c r="CT735" s="78"/>
      <c r="CU735" s="78"/>
      <c r="CV735" s="78"/>
      <c r="CW735" s="78"/>
      <c r="CX735" s="78"/>
      <c r="CY735" s="78"/>
      <c r="CZ735" s="78"/>
      <c r="DA735" s="78"/>
      <c r="DB735" s="78"/>
      <c r="DC735" s="78"/>
      <c r="DD735" s="78"/>
      <c r="DE735" s="78"/>
      <c r="DF735" s="78"/>
      <c r="DG735" s="78"/>
      <c r="DH735" s="78"/>
      <c r="DI735" s="78"/>
      <c r="DJ735" s="78"/>
      <c r="DK735" s="78"/>
      <c r="DL735" s="78"/>
      <c r="DM735" s="78"/>
      <c r="DN735" s="78"/>
      <c r="DO735" s="78"/>
      <c r="DP735" s="78"/>
      <c r="DQ735" s="78"/>
      <c r="DR735" s="78"/>
      <c r="DS735" s="78"/>
      <c r="DT735" s="78"/>
      <c r="DU735" s="78"/>
      <c r="DV735" s="78"/>
      <c r="DW735" s="78"/>
      <c r="DX735" s="78"/>
      <c r="DY735" s="78"/>
      <c r="DZ735" s="78"/>
      <c r="EA735" s="78"/>
      <c r="EB735" s="78"/>
      <c r="EC735" s="78"/>
    </row>
    <row r="736" spans="1:133" s="9" customFormat="1" ht="31.2" x14ac:dyDescent="0.4">
      <c r="A736" s="71" t="s">
        <v>77</v>
      </c>
      <c r="B736" s="60" t="s">
        <v>211</v>
      </c>
      <c r="C736" s="53" t="s">
        <v>78</v>
      </c>
      <c r="D736" s="53" t="s">
        <v>349</v>
      </c>
      <c r="E736" s="74">
        <f>SUM(F736:Q736)</f>
        <v>7980.8632753382017</v>
      </c>
      <c r="F736" s="74">
        <f>F725*F720*F723+(1-F731)*0</f>
        <v>471.01123303611899</v>
      </c>
      <c r="G736" s="74">
        <f t="shared" ref="G736:Q736" si="111">G725*G720*G723+(1-G731)*F736</f>
        <v>744.22320234738277</v>
      </c>
      <c r="H736" s="74">
        <f t="shared" si="111"/>
        <v>900.37266636978279</v>
      </c>
      <c r="I736" s="74">
        <f t="shared" si="111"/>
        <v>860.22358292346303</v>
      </c>
      <c r="J736" s="74">
        <f t="shared" si="111"/>
        <v>663.05249017840572</v>
      </c>
      <c r="K736" s="74">
        <f t="shared" si="111"/>
        <v>509.3659335568492</v>
      </c>
      <c r="L736" s="74">
        <f t="shared" si="111"/>
        <v>512.14800391188317</v>
      </c>
      <c r="M736" s="74">
        <f t="shared" si="111"/>
        <v>512.37268597877392</v>
      </c>
      <c r="N736" s="74">
        <f t="shared" si="111"/>
        <v>497.19692072616789</v>
      </c>
      <c r="O736" s="74">
        <f t="shared" si="111"/>
        <v>613.49863441380239</v>
      </c>
      <c r="P736" s="74">
        <f t="shared" si="111"/>
        <v>731.37287602333822</v>
      </c>
      <c r="Q736" s="74">
        <f t="shared" si="111"/>
        <v>966.02504587223416</v>
      </c>
      <c r="R736" s="78"/>
      <c r="S736" s="78"/>
      <c r="T736" s="78"/>
      <c r="U736" s="78"/>
      <c r="V736" s="78"/>
      <c r="W736" s="78"/>
      <c r="X736" s="78"/>
      <c r="Y736" s="78"/>
      <c r="Z736" s="78"/>
      <c r="AA736" s="78"/>
      <c r="AB736" s="78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  <c r="AN736" s="78"/>
      <c r="AO736" s="78"/>
      <c r="AP736" s="78"/>
      <c r="AQ736" s="78"/>
      <c r="AR736" s="78"/>
      <c r="AS736" s="78"/>
      <c r="AT736" s="78"/>
      <c r="AU736" s="78"/>
      <c r="AV736" s="78"/>
      <c r="AW736" s="78"/>
      <c r="AX736" s="78"/>
      <c r="AY736" s="78"/>
      <c r="AZ736" s="78"/>
      <c r="BA736" s="78"/>
      <c r="BB736" s="78"/>
      <c r="BC736" s="78"/>
      <c r="BD736" s="78"/>
      <c r="BE736" s="78"/>
      <c r="BF736" s="78"/>
      <c r="BG736" s="78"/>
      <c r="BH736" s="78"/>
      <c r="BI736" s="78"/>
      <c r="BJ736" s="78"/>
      <c r="BK736" s="78"/>
      <c r="BL736" s="78"/>
      <c r="BM736" s="78"/>
      <c r="BN736" s="78"/>
      <c r="BO736" s="78"/>
      <c r="BP736" s="78"/>
      <c r="BQ736" s="78"/>
      <c r="BR736" s="78"/>
      <c r="BS736" s="78"/>
      <c r="BT736" s="78"/>
      <c r="BU736" s="78"/>
      <c r="BV736" s="78"/>
      <c r="BW736" s="78"/>
      <c r="BX736" s="78"/>
      <c r="BY736" s="78"/>
      <c r="BZ736" s="78"/>
      <c r="CA736" s="78"/>
      <c r="CB736" s="78"/>
      <c r="CC736" s="78"/>
      <c r="CD736" s="78"/>
      <c r="CE736" s="78"/>
      <c r="CF736" s="78"/>
      <c r="CG736" s="78"/>
      <c r="CH736" s="78"/>
      <c r="CI736" s="78"/>
      <c r="CJ736" s="78"/>
      <c r="CK736" s="78"/>
      <c r="CL736" s="78"/>
      <c r="CM736" s="78"/>
      <c r="CN736" s="78"/>
      <c r="CO736" s="78"/>
      <c r="CP736" s="78"/>
      <c r="CQ736" s="78"/>
      <c r="CR736" s="78"/>
      <c r="CS736" s="78"/>
      <c r="CT736" s="78"/>
      <c r="CU736" s="78"/>
      <c r="CV736" s="78"/>
      <c r="CW736" s="78"/>
      <c r="CX736" s="78"/>
      <c r="CY736" s="78"/>
      <c r="CZ736" s="78"/>
      <c r="DA736" s="78"/>
      <c r="DB736" s="78"/>
      <c r="DC736" s="78"/>
      <c r="DD736" s="78"/>
      <c r="DE736" s="78"/>
      <c r="DF736" s="78"/>
      <c r="DG736" s="78"/>
      <c r="DH736" s="78"/>
      <c r="DI736" s="78"/>
      <c r="DJ736" s="78"/>
      <c r="DK736" s="78"/>
      <c r="DL736" s="78"/>
      <c r="DM736" s="78"/>
      <c r="DN736" s="78"/>
      <c r="DO736" s="78"/>
      <c r="DP736" s="78"/>
      <c r="DQ736" s="78"/>
      <c r="DR736" s="78"/>
      <c r="DS736" s="78"/>
      <c r="DT736" s="78"/>
      <c r="DU736" s="78"/>
      <c r="DV736" s="78"/>
      <c r="DW736" s="78"/>
      <c r="DX736" s="78"/>
      <c r="DY736" s="78"/>
      <c r="DZ736" s="78"/>
      <c r="EA736" s="78"/>
      <c r="EB736" s="78"/>
      <c r="EC736" s="78"/>
    </row>
    <row r="738" spans="1:5" ht="15.6" customHeight="1" x14ac:dyDescent="0.25">
      <c r="A738" s="36" t="s">
        <v>79</v>
      </c>
      <c r="B738" s="36"/>
      <c r="C738" s="36"/>
      <c r="D738" s="36"/>
      <c r="E738" s="36"/>
    </row>
    <row r="739" spans="1:5" x14ac:dyDescent="0.25">
      <c r="A739" s="57" t="s">
        <v>9</v>
      </c>
      <c r="B739" s="58" t="s">
        <v>10</v>
      </c>
      <c r="C739" s="34" t="s">
        <v>11</v>
      </c>
      <c r="D739" s="34" t="s">
        <v>12</v>
      </c>
      <c r="E739" s="16" t="s">
        <v>80</v>
      </c>
    </row>
    <row r="740" spans="1:5" ht="46.8" x14ac:dyDescent="0.25">
      <c r="A740" s="59" t="s">
        <v>81</v>
      </c>
      <c r="B740" s="60" t="s">
        <v>28</v>
      </c>
      <c r="C740" s="53" t="s">
        <v>82</v>
      </c>
      <c r="D740" s="53" t="s">
        <v>83</v>
      </c>
      <c r="E740" s="75">
        <v>0</v>
      </c>
    </row>
    <row r="741" spans="1:5" ht="46.8" x14ac:dyDescent="0.25">
      <c r="A741" s="63" t="s">
        <v>84</v>
      </c>
      <c r="B741" s="25" t="s">
        <v>85</v>
      </c>
      <c r="C741" s="35" t="s">
        <v>86</v>
      </c>
      <c r="D741" s="35" t="str">
        <f>D747</f>
        <v>Historical data on site in the FSR (It was calculated with conservative value)</v>
      </c>
      <c r="E741" s="74">
        <f>E747</f>
        <v>1273.2612903225811</v>
      </c>
    </row>
    <row r="743" spans="1:5" ht="15.6" customHeight="1" x14ac:dyDescent="0.25">
      <c r="A743" s="91" t="s">
        <v>87</v>
      </c>
      <c r="B743" s="91"/>
      <c r="C743" s="92"/>
      <c r="D743" s="92"/>
      <c r="E743" s="91"/>
    </row>
    <row r="744" spans="1:5" x14ac:dyDescent="0.25">
      <c r="A744" s="59" t="s">
        <v>9</v>
      </c>
      <c r="B744" s="16" t="s">
        <v>10</v>
      </c>
      <c r="C744" s="38" t="s">
        <v>11</v>
      </c>
      <c r="D744" s="38" t="s">
        <v>12</v>
      </c>
      <c r="E744" s="16" t="s">
        <v>80</v>
      </c>
    </row>
    <row r="745" spans="1:5" ht="33.6" x14ac:dyDescent="0.4">
      <c r="A745" s="76" t="s">
        <v>88</v>
      </c>
      <c r="B745" s="25" t="s">
        <v>89</v>
      </c>
      <c r="C745" s="35" t="s">
        <v>90</v>
      </c>
      <c r="D745" s="35" t="s">
        <v>350</v>
      </c>
      <c r="E745" s="50">
        <f>E746*E749*E750*E751*E752*E753</f>
        <v>9.4123935766305653</v>
      </c>
    </row>
    <row r="746" spans="1:5" ht="46.8" x14ac:dyDescent="0.4">
      <c r="A746" s="77" t="s">
        <v>223</v>
      </c>
      <c r="B746" s="25" t="s">
        <v>91</v>
      </c>
      <c r="C746" s="35" t="s">
        <v>92</v>
      </c>
      <c r="D746" s="35" t="s">
        <v>351</v>
      </c>
      <c r="E746" s="52">
        <f>E747/E748</f>
        <v>254.65225806451622</v>
      </c>
    </row>
    <row r="747" spans="1:5" ht="46.8" x14ac:dyDescent="0.25">
      <c r="A747" s="63" t="s">
        <v>224</v>
      </c>
      <c r="B747" s="25" t="s">
        <v>93</v>
      </c>
      <c r="C747" s="35" t="s">
        <v>94</v>
      </c>
      <c r="D747" s="53" t="s">
        <v>322</v>
      </c>
      <c r="E747" s="52">
        <v>1273.2612903225811</v>
      </c>
    </row>
    <row r="748" spans="1:5" ht="31.2" x14ac:dyDescent="0.25">
      <c r="A748" s="63" t="s">
        <v>225</v>
      </c>
      <c r="B748" s="25" t="s">
        <v>95</v>
      </c>
      <c r="C748" s="35" t="s">
        <v>96</v>
      </c>
      <c r="D748" s="35" t="s">
        <v>327</v>
      </c>
      <c r="E748" s="25">
        <f>5</f>
        <v>5</v>
      </c>
    </row>
    <row r="749" spans="1:5" ht="62.4" x14ac:dyDescent="0.25">
      <c r="A749" s="63" t="s">
        <v>226</v>
      </c>
      <c r="B749" s="25" t="s">
        <v>97</v>
      </c>
      <c r="C749" s="35" t="s">
        <v>98</v>
      </c>
      <c r="D749" s="53" t="s">
        <v>327</v>
      </c>
      <c r="E749" s="25">
        <f>27.3*2</f>
        <v>54.6</v>
      </c>
    </row>
    <row r="750" spans="1:5" ht="172.2" x14ac:dyDescent="0.25">
      <c r="A750" s="63" t="s">
        <v>227</v>
      </c>
      <c r="B750" s="25" t="s">
        <v>99</v>
      </c>
      <c r="C750" s="35" t="s">
        <v>100</v>
      </c>
      <c r="D750" s="35" t="s">
        <v>338</v>
      </c>
      <c r="E750" s="25">
        <f>25.1/100</f>
        <v>0.251</v>
      </c>
    </row>
    <row r="751" spans="1:5" ht="140.4" x14ac:dyDescent="0.25">
      <c r="A751" s="63" t="s">
        <v>228</v>
      </c>
      <c r="B751" s="25" t="s">
        <v>102</v>
      </c>
      <c r="C751" s="35" t="s">
        <v>101</v>
      </c>
      <c r="D751" s="35" t="s">
        <v>337</v>
      </c>
      <c r="E751" s="25">
        <f>0.84/1000</f>
        <v>8.3999999999999993E-4</v>
      </c>
    </row>
    <row r="752" spans="1:5" ht="140.4" x14ac:dyDescent="0.25">
      <c r="A752" s="63" t="s">
        <v>229</v>
      </c>
      <c r="B752" s="25" t="s">
        <v>103</v>
      </c>
      <c r="C752" s="35" t="s">
        <v>104</v>
      </c>
      <c r="D752" s="35" t="s">
        <v>335</v>
      </c>
      <c r="E752" s="25">
        <f>43.33/1000</f>
        <v>4.333E-2</v>
      </c>
    </row>
    <row r="753" spans="1:133" ht="62.4" x14ac:dyDescent="0.25">
      <c r="A753" s="63" t="s">
        <v>230</v>
      </c>
      <c r="B753" s="25" t="s">
        <v>105</v>
      </c>
      <c r="C753" s="35" t="s">
        <v>106</v>
      </c>
      <c r="D753" s="35" t="s">
        <v>333</v>
      </c>
      <c r="E753" s="25">
        <v>74.099999999999994</v>
      </c>
    </row>
    <row r="755" spans="1:133" ht="15.6" customHeight="1" x14ac:dyDescent="0.25">
      <c r="A755" s="36" t="s">
        <v>108</v>
      </c>
      <c r="B755" s="36"/>
      <c r="C755" s="36"/>
      <c r="D755" s="36"/>
      <c r="E755" s="36"/>
    </row>
    <row r="756" spans="1:133" x14ac:dyDescent="0.25">
      <c r="A756" s="57" t="s">
        <v>9</v>
      </c>
      <c r="B756" s="58" t="s">
        <v>10</v>
      </c>
      <c r="C756" s="34" t="s">
        <v>11</v>
      </c>
      <c r="D756" s="34" t="s">
        <v>12</v>
      </c>
      <c r="E756" s="16" t="s">
        <v>80</v>
      </c>
    </row>
    <row r="757" spans="1:133" ht="64.8" x14ac:dyDescent="0.25">
      <c r="A757" s="15" t="s">
        <v>109</v>
      </c>
      <c r="B757" s="25" t="s">
        <v>110</v>
      </c>
      <c r="C757" s="35" t="s">
        <v>111</v>
      </c>
      <c r="D757" s="35" t="s">
        <v>112</v>
      </c>
      <c r="E757" s="16">
        <v>0</v>
      </c>
    </row>
    <row r="759" spans="1:133" ht="15.6" customHeight="1" x14ac:dyDescent="0.25">
      <c r="A759" s="36" t="s">
        <v>113</v>
      </c>
      <c r="B759" s="36"/>
      <c r="C759" s="36"/>
      <c r="D759" s="36"/>
      <c r="E759" s="36"/>
    </row>
    <row r="760" spans="1:133" x14ac:dyDescent="0.25">
      <c r="A760" s="57" t="s">
        <v>9</v>
      </c>
      <c r="B760" s="58" t="s">
        <v>10</v>
      </c>
      <c r="C760" s="34" t="s">
        <v>11</v>
      </c>
      <c r="D760" s="34" t="s">
        <v>12</v>
      </c>
      <c r="E760" s="16" t="s">
        <v>80</v>
      </c>
    </row>
    <row r="761" spans="1:133" ht="49.2" x14ac:dyDescent="0.25">
      <c r="A761" s="15" t="s">
        <v>114</v>
      </c>
      <c r="B761" s="25" t="s">
        <v>110</v>
      </c>
      <c r="C761" s="35" t="s">
        <v>115</v>
      </c>
      <c r="D761" s="35" t="s">
        <v>116</v>
      </c>
      <c r="E761" s="16">
        <v>0</v>
      </c>
    </row>
    <row r="763" spans="1:133" x14ac:dyDescent="0.25">
      <c r="A763" s="57" t="s">
        <v>9</v>
      </c>
      <c r="B763" s="58" t="s">
        <v>10</v>
      </c>
      <c r="C763" s="34" t="s">
        <v>11</v>
      </c>
      <c r="D763" s="34" t="s">
        <v>12</v>
      </c>
      <c r="E763" s="16" t="s">
        <v>80</v>
      </c>
    </row>
    <row r="764" spans="1:133" ht="18" x14ac:dyDescent="0.25">
      <c r="A764" s="59" t="s">
        <v>117</v>
      </c>
      <c r="B764" s="25" t="s">
        <v>118</v>
      </c>
      <c r="C764" s="35" t="s">
        <v>119</v>
      </c>
      <c r="D764" s="53" t="s">
        <v>352</v>
      </c>
      <c r="E764" s="18">
        <f>ROUNDDOWN(E714+E745+E740+E757+E761,0)</f>
        <v>17614</v>
      </c>
    </row>
    <row r="765" spans="1:133" s="138" customFormat="1" ht="43.2" customHeight="1" x14ac:dyDescent="0.25">
      <c r="A765" s="140" t="s">
        <v>316</v>
      </c>
      <c r="B765" s="141"/>
      <c r="C765" s="141"/>
      <c r="D765" s="141"/>
      <c r="E765" s="141"/>
      <c r="F765" s="141"/>
      <c r="G765" s="141"/>
      <c r="H765" s="141"/>
      <c r="I765" s="141"/>
      <c r="J765" s="141"/>
      <c r="K765" s="141"/>
      <c r="L765" s="141"/>
      <c r="M765" s="141"/>
      <c r="N765" s="141"/>
      <c r="O765" s="141"/>
      <c r="P765" s="141"/>
      <c r="Q765" s="141"/>
      <c r="R765" s="141"/>
      <c r="S765" s="141"/>
      <c r="T765" s="141"/>
      <c r="U765" s="141"/>
      <c r="V765" s="141"/>
      <c r="W765" s="141"/>
      <c r="X765" s="141"/>
      <c r="Y765" s="141"/>
      <c r="Z765" s="141"/>
      <c r="AA765" s="141"/>
      <c r="AB765" s="141"/>
      <c r="AC765" s="141"/>
      <c r="AD765" s="141"/>
      <c r="AE765" s="141"/>
      <c r="AF765" s="141"/>
      <c r="AG765" s="141"/>
      <c r="AH765" s="141"/>
      <c r="AI765" s="141"/>
      <c r="AJ765" s="141"/>
      <c r="AK765" s="141"/>
      <c r="AL765" s="141"/>
      <c r="AM765" s="141"/>
      <c r="AN765" s="141"/>
      <c r="AO765" s="141"/>
      <c r="AP765" s="141"/>
      <c r="AQ765" s="141"/>
      <c r="AR765" s="141"/>
      <c r="AS765" s="141"/>
      <c r="AT765" s="141"/>
      <c r="AU765" s="141"/>
      <c r="AV765" s="141"/>
      <c r="AW765" s="141"/>
      <c r="AX765" s="141"/>
      <c r="AY765" s="141"/>
      <c r="AZ765" s="141"/>
      <c r="BA765" s="141"/>
      <c r="BB765" s="141"/>
      <c r="BC765" s="141"/>
      <c r="BD765" s="141"/>
      <c r="BE765" s="141"/>
      <c r="BF765" s="141"/>
      <c r="BG765" s="141"/>
      <c r="BH765" s="141"/>
      <c r="BI765" s="141"/>
      <c r="BJ765" s="141"/>
      <c r="BK765" s="141"/>
      <c r="BL765" s="141"/>
      <c r="BM765" s="141"/>
      <c r="BN765" s="141"/>
      <c r="BO765" s="141"/>
      <c r="BP765" s="141"/>
      <c r="BQ765" s="141"/>
      <c r="BR765" s="141"/>
      <c r="BS765" s="141"/>
      <c r="BT765" s="141"/>
      <c r="BU765" s="141"/>
      <c r="BV765" s="141"/>
      <c r="BW765" s="141"/>
      <c r="BX765" s="141"/>
      <c r="BY765" s="141"/>
      <c r="BZ765" s="141"/>
      <c r="CA765" s="141"/>
      <c r="CB765" s="141"/>
      <c r="CC765" s="141"/>
      <c r="CD765" s="141"/>
      <c r="CE765" s="141"/>
      <c r="CF765" s="141"/>
      <c r="CG765" s="141"/>
      <c r="CH765" s="141"/>
      <c r="CI765" s="141"/>
      <c r="CJ765" s="141"/>
      <c r="CK765" s="141"/>
      <c r="CL765" s="141"/>
      <c r="CM765" s="141"/>
      <c r="CN765" s="141"/>
      <c r="CO765" s="141"/>
      <c r="CP765" s="141"/>
      <c r="CQ765" s="141"/>
      <c r="CR765" s="141"/>
      <c r="CS765" s="141"/>
      <c r="CT765" s="141"/>
      <c r="CU765" s="141"/>
      <c r="CV765" s="141"/>
      <c r="CW765" s="141"/>
      <c r="CX765" s="141"/>
      <c r="CY765" s="141"/>
      <c r="CZ765" s="141"/>
      <c r="DA765" s="141"/>
      <c r="DB765" s="141"/>
      <c r="DC765" s="141"/>
      <c r="DD765" s="141"/>
      <c r="DE765" s="141"/>
      <c r="DF765" s="141"/>
      <c r="DG765" s="141"/>
      <c r="DH765" s="141"/>
      <c r="DI765" s="141"/>
      <c r="DJ765" s="141"/>
      <c r="DK765" s="141"/>
      <c r="DL765" s="141"/>
      <c r="DM765" s="141"/>
      <c r="DN765" s="141"/>
      <c r="DO765" s="141"/>
      <c r="DP765" s="141"/>
      <c r="DQ765" s="141"/>
      <c r="DR765" s="141"/>
      <c r="DS765" s="141"/>
      <c r="DT765" s="141"/>
      <c r="DU765" s="141"/>
      <c r="DV765" s="141"/>
      <c r="DW765" s="141"/>
      <c r="DX765" s="141"/>
      <c r="DY765" s="141"/>
      <c r="DZ765" s="141"/>
      <c r="EA765" s="141"/>
      <c r="EB765" s="141"/>
      <c r="EC765" s="142"/>
    </row>
    <row r="766" spans="1:133" s="56" customFormat="1" x14ac:dyDescent="0.25">
      <c r="A766" s="93" t="s">
        <v>9</v>
      </c>
      <c r="B766" s="94" t="s">
        <v>10</v>
      </c>
      <c r="C766" s="95" t="s">
        <v>11</v>
      </c>
      <c r="D766" s="95" t="s">
        <v>12</v>
      </c>
      <c r="E766" s="94" t="s">
        <v>13</v>
      </c>
      <c r="F766" s="96" t="s">
        <v>14</v>
      </c>
      <c r="G766" s="96" t="s">
        <v>15</v>
      </c>
      <c r="H766" s="96" t="s">
        <v>16</v>
      </c>
      <c r="I766" s="96" t="s">
        <v>17</v>
      </c>
      <c r="J766" s="96" t="s">
        <v>18</v>
      </c>
      <c r="K766" s="96" t="s">
        <v>19</v>
      </c>
      <c r="L766" s="96" t="s">
        <v>20</v>
      </c>
      <c r="M766" s="96" t="s">
        <v>21</v>
      </c>
      <c r="N766" s="96" t="s">
        <v>22</v>
      </c>
      <c r="O766" s="96" t="s">
        <v>23</v>
      </c>
      <c r="P766" s="96" t="s">
        <v>24</v>
      </c>
      <c r="Q766" s="96" t="s">
        <v>25</v>
      </c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  <c r="AK766" s="54"/>
      <c r="AL766" s="54"/>
      <c r="AM766" s="54"/>
      <c r="AN766" s="54"/>
      <c r="AO766" s="54"/>
      <c r="AP766" s="54"/>
      <c r="AQ766" s="54"/>
      <c r="AR766" s="54"/>
      <c r="AS766" s="54"/>
      <c r="AT766" s="54"/>
      <c r="AU766" s="54"/>
      <c r="AV766" s="54"/>
      <c r="AW766" s="54"/>
      <c r="AX766" s="54"/>
      <c r="AY766" s="54"/>
      <c r="AZ766" s="54"/>
      <c r="BA766" s="54"/>
      <c r="BB766" s="54"/>
      <c r="BC766" s="54"/>
      <c r="BD766" s="54"/>
      <c r="BE766" s="54"/>
      <c r="BF766" s="54"/>
      <c r="BG766" s="54"/>
      <c r="BH766" s="54"/>
      <c r="BI766" s="54"/>
      <c r="BJ766" s="54"/>
      <c r="BK766" s="54"/>
      <c r="BL766" s="54"/>
      <c r="BM766" s="54"/>
      <c r="BN766" s="54"/>
      <c r="BO766" s="54"/>
      <c r="BP766" s="54"/>
      <c r="BQ766" s="54"/>
      <c r="BR766" s="54"/>
      <c r="BS766" s="54"/>
      <c r="BT766" s="54"/>
      <c r="BU766" s="54"/>
      <c r="BV766" s="54"/>
      <c r="BW766" s="54"/>
      <c r="BX766" s="54"/>
      <c r="BY766" s="54"/>
      <c r="BZ766" s="54"/>
      <c r="CA766" s="54"/>
      <c r="CB766" s="54"/>
      <c r="CC766" s="54"/>
      <c r="CD766" s="54"/>
      <c r="CE766" s="54"/>
      <c r="CF766" s="54"/>
      <c r="CG766" s="54"/>
      <c r="CH766" s="54"/>
      <c r="CI766" s="54"/>
      <c r="CJ766" s="54"/>
      <c r="CK766" s="54"/>
      <c r="CL766" s="54"/>
      <c r="CM766" s="54"/>
      <c r="CN766" s="54"/>
      <c r="CO766" s="54"/>
      <c r="CP766" s="54"/>
      <c r="CQ766" s="54"/>
      <c r="CR766" s="54"/>
      <c r="CS766" s="54"/>
      <c r="CT766" s="54"/>
      <c r="CU766" s="54"/>
      <c r="CV766" s="54"/>
      <c r="CW766" s="54"/>
      <c r="CX766" s="54"/>
      <c r="CY766" s="54"/>
      <c r="CZ766" s="54"/>
      <c r="DA766" s="54"/>
      <c r="DB766" s="54"/>
      <c r="DC766" s="54"/>
      <c r="DD766" s="54"/>
      <c r="DE766" s="54"/>
      <c r="DF766" s="54"/>
      <c r="DG766" s="54"/>
      <c r="DH766" s="54"/>
      <c r="DI766" s="54"/>
      <c r="DJ766" s="54"/>
      <c r="DK766" s="54"/>
      <c r="DL766" s="54"/>
      <c r="DM766" s="54"/>
      <c r="DN766" s="54"/>
      <c r="DO766" s="54"/>
      <c r="DP766" s="54"/>
      <c r="DQ766" s="54"/>
      <c r="DR766" s="54"/>
      <c r="DS766" s="54"/>
      <c r="DT766" s="54"/>
      <c r="DU766" s="54"/>
      <c r="DV766" s="54"/>
      <c r="DW766" s="54"/>
      <c r="DX766" s="54"/>
      <c r="DY766" s="54"/>
      <c r="DZ766" s="54"/>
      <c r="EA766" s="54"/>
      <c r="EB766" s="54"/>
      <c r="EC766" s="54"/>
    </row>
    <row r="767" spans="1:133" s="56" customFormat="1" x14ac:dyDescent="0.25">
      <c r="A767" s="58" t="s">
        <v>26</v>
      </c>
      <c r="B767" s="58"/>
      <c r="C767" s="34"/>
      <c r="D767" s="34"/>
      <c r="E767" s="58"/>
      <c r="F767" s="16">
        <v>31</v>
      </c>
      <c r="G767" s="16">
        <v>28</v>
      </c>
      <c r="H767" s="16">
        <v>31</v>
      </c>
      <c r="I767" s="16">
        <v>30</v>
      </c>
      <c r="J767" s="16">
        <v>31</v>
      </c>
      <c r="K767" s="16">
        <v>30</v>
      </c>
      <c r="L767" s="16">
        <v>31</v>
      </c>
      <c r="M767" s="16">
        <v>31</v>
      </c>
      <c r="N767" s="16">
        <v>30</v>
      </c>
      <c r="O767" s="16">
        <v>31</v>
      </c>
      <c r="P767" s="16">
        <v>30</v>
      </c>
      <c r="Q767" s="16">
        <v>31</v>
      </c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  <c r="AK767" s="54"/>
      <c r="AL767" s="54"/>
      <c r="AM767" s="54"/>
      <c r="AN767" s="54"/>
      <c r="AO767" s="54"/>
      <c r="AP767" s="54"/>
      <c r="AQ767" s="54"/>
      <c r="AR767" s="54"/>
      <c r="AS767" s="54"/>
      <c r="AT767" s="54"/>
      <c r="AU767" s="54"/>
      <c r="AV767" s="54"/>
      <c r="AW767" s="54"/>
      <c r="AX767" s="54"/>
      <c r="AY767" s="54"/>
      <c r="AZ767" s="54"/>
      <c r="BA767" s="54"/>
      <c r="BB767" s="54"/>
      <c r="BC767" s="54"/>
      <c r="BD767" s="54"/>
      <c r="BE767" s="54"/>
      <c r="BF767" s="54"/>
      <c r="BG767" s="54"/>
      <c r="BH767" s="54"/>
      <c r="BI767" s="54"/>
      <c r="BJ767" s="54"/>
      <c r="BK767" s="54"/>
      <c r="BL767" s="54"/>
      <c r="BM767" s="54"/>
      <c r="BN767" s="54"/>
      <c r="BO767" s="54"/>
      <c r="BP767" s="54"/>
      <c r="BQ767" s="54"/>
      <c r="BR767" s="54"/>
      <c r="BS767" s="54"/>
      <c r="BT767" s="54"/>
      <c r="BU767" s="54"/>
      <c r="BV767" s="54"/>
      <c r="BW767" s="54"/>
      <c r="BX767" s="54"/>
      <c r="BY767" s="54"/>
      <c r="BZ767" s="54"/>
      <c r="CA767" s="54"/>
      <c r="CB767" s="54"/>
      <c r="CC767" s="54"/>
      <c r="CD767" s="54"/>
      <c r="CE767" s="54"/>
      <c r="CF767" s="54"/>
      <c r="CG767" s="54"/>
      <c r="CH767" s="54"/>
      <c r="CI767" s="54"/>
      <c r="CJ767" s="54"/>
      <c r="CK767" s="54"/>
      <c r="CL767" s="54"/>
      <c r="CM767" s="54"/>
      <c r="CN767" s="54"/>
      <c r="CO767" s="54"/>
      <c r="CP767" s="54"/>
      <c r="CQ767" s="54"/>
      <c r="CR767" s="54"/>
      <c r="CS767" s="54"/>
      <c r="CT767" s="54"/>
      <c r="CU767" s="54"/>
      <c r="CV767" s="54"/>
      <c r="CW767" s="54"/>
      <c r="CX767" s="54"/>
      <c r="CY767" s="54"/>
      <c r="CZ767" s="54"/>
      <c r="DA767" s="54"/>
      <c r="DB767" s="54"/>
      <c r="DC767" s="54"/>
      <c r="DD767" s="54"/>
      <c r="DE767" s="54"/>
      <c r="DF767" s="54"/>
      <c r="DG767" s="54"/>
      <c r="DH767" s="54"/>
      <c r="DI767" s="54"/>
      <c r="DJ767" s="54"/>
      <c r="DK767" s="54"/>
      <c r="DL767" s="54"/>
      <c r="DM767" s="54"/>
      <c r="DN767" s="54"/>
      <c r="DO767" s="54"/>
      <c r="DP767" s="54"/>
      <c r="DQ767" s="54"/>
      <c r="DR767" s="54"/>
      <c r="DS767" s="54"/>
      <c r="DT767" s="54"/>
      <c r="DU767" s="54"/>
      <c r="DV767" s="54"/>
      <c r="DW767" s="54"/>
      <c r="DX767" s="54"/>
      <c r="DY767" s="54"/>
      <c r="DZ767" s="54"/>
      <c r="EA767" s="54"/>
      <c r="EB767" s="54"/>
      <c r="EC767" s="54"/>
    </row>
    <row r="768" spans="1:133" ht="46.8" x14ac:dyDescent="0.25">
      <c r="A768" s="59" t="s">
        <v>27</v>
      </c>
      <c r="B768" s="60" t="s">
        <v>28</v>
      </c>
      <c r="C768" s="53" t="s">
        <v>29</v>
      </c>
      <c r="D768" s="53" t="s">
        <v>340</v>
      </c>
      <c r="E768" s="61">
        <f>SUM(F768:Q768)</f>
        <v>17118.620383042762</v>
      </c>
      <c r="F768" s="62">
        <f>$E$6*$E$7*F771*$E$19</f>
        <v>1453.9102243132211</v>
      </c>
      <c r="G768" s="62">
        <f t="shared" ref="G768:Q768" si="112">$E$6*$E$7*G771*$E$19</f>
        <v>1313.2092348635542</v>
      </c>
      <c r="H768" s="62">
        <f t="shared" si="112"/>
        <v>1453.9102243132211</v>
      </c>
      <c r="I768" s="62">
        <f t="shared" si="112"/>
        <v>1407.0098944966653</v>
      </c>
      <c r="J768" s="62">
        <f t="shared" si="112"/>
        <v>1453.9102243132211</v>
      </c>
      <c r="K768" s="62">
        <f t="shared" si="112"/>
        <v>1407.0098944966653</v>
      </c>
      <c r="L768" s="62">
        <f t="shared" si="112"/>
        <v>1453.9102243132211</v>
      </c>
      <c r="M768" s="62">
        <f t="shared" si="112"/>
        <v>1453.9102243132211</v>
      </c>
      <c r="N768" s="62">
        <f t="shared" si="112"/>
        <v>1407.0098944966653</v>
      </c>
      <c r="O768" s="62">
        <f t="shared" si="112"/>
        <v>1453.9102243132211</v>
      </c>
      <c r="P768" s="62">
        <f t="shared" si="112"/>
        <v>1407.0098944966653</v>
      </c>
      <c r="Q768" s="62">
        <f t="shared" si="112"/>
        <v>1453.9102243132211</v>
      </c>
    </row>
    <row r="769" spans="1:17" ht="31.2" x14ac:dyDescent="0.25">
      <c r="A769" s="63" t="s">
        <v>30</v>
      </c>
      <c r="B769" s="60" t="s">
        <v>208</v>
      </c>
      <c r="C769" s="35" t="s">
        <v>31</v>
      </c>
      <c r="D769" s="35" t="s">
        <v>220</v>
      </c>
      <c r="E769" s="113">
        <v>28</v>
      </c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5"/>
    </row>
    <row r="770" spans="1:17" ht="64.8" x14ac:dyDescent="0.25">
      <c r="A770" s="63" t="s">
        <v>32</v>
      </c>
      <c r="B770" s="25" t="s">
        <v>209</v>
      </c>
      <c r="C770" s="35" t="s">
        <v>34</v>
      </c>
      <c r="D770" s="35" t="s">
        <v>373</v>
      </c>
      <c r="E770" s="113">
        <v>0.21</v>
      </c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5"/>
    </row>
    <row r="771" spans="1:17" ht="46.8" x14ac:dyDescent="0.25">
      <c r="A771" s="35" t="s">
        <v>35</v>
      </c>
      <c r="B771" s="25" t="s">
        <v>210</v>
      </c>
      <c r="C771" s="53" t="s">
        <v>36</v>
      </c>
      <c r="D771" s="53" t="s">
        <v>341</v>
      </c>
      <c r="E771" s="64">
        <f t="shared" ref="E771:Q771" si="113">E779*E772</f>
        <v>5392.5663820292748</v>
      </c>
      <c r="F771" s="64">
        <f t="shared" si="113"/>
        <v>457.99878861070556</v>
      </c>
      <c r="G771" s="64">
        <f t="shared" si="113"/>
        <v>413.6763251967663</v>
      </c>
      <c r="H771" s="64">
        <f t="shared" si="113"/>
        <v>457.99878861070556</v>
      </c>
      <c r="I771" s="64">
        <f t="shared" si="113"/>
        <v>443.22463413939244</v>
      </c>
      <c r="J771" s="64">
        <f t="shared" si="113"/>
        <v>457.99878861070556</v>
      </c>
      <c r="K771" s="64">
        <f t="shared" si="113"/>
        <v>443.22463413939244</v>
      </c>
      <c r="L771" s="64">
        <f t="shared" si="113"/>
        <v>457.99878861070556</v>
      </c>
      <c r="M771" s="64">
        <f t="shared" si="113"/>
        <v>457.99878861070556</v>
      </c>
      <c r="N771" s="64">
        <f t="shared" si="113"/>
        <v>443.22463413939244</v>
      </c>
      <c r="O771" s="64">
        <f t="shared" si="113"/>
        <v>457.99878861070556</v>
      </c>
      <c r="P771" s="64">
        <f t="shared" si="113"/>
        <v>443.22463413939244</v>
      </c>
      <c r="Q771" s="64">
        <f t="shared" si="113"/>
        <v>457.99878861070556</v>
      </c>
    </row>
    <row r="772" spans="1:17" ht="46.8" x14ac:dyDescent="0.25">
      <c r="A772" s="35" t="s">
        <v>37</v>
      </c>
      <c r="B772" s="25" t="s">
        <v>212</v>
      </c>
      <c r="C772" s="35" t="s">
        <v>206</v>
      </c>
      <c r="D772" s="35" t="s">
        <v>342</v>
      </c>
      <c r="E772" s="20">
        <f>SUM(F772:Q772)</f>
        <v>5621</v>
      </c>
      <c r="F772" s="20">
        <f>F774*F777</f>
        <v>477.40000000000003</v>
      </c>
      <c r="G772" s="20">
        <f t="shared" ref="G772:Q772" si="114">G774*G777</f>
        <v>431.20000000000005</v>
      </c>
      <c r="H772" s="20">
        <f t="shared" si="114"/>
        <v>477.40000000000003</v>
      </c>
      <c r="I772" s="20">
        <f t="shared" si="114"/>
        <v>462</v>
      </c>
      <c r="J772" s="20">
        <f t="shared" si="114"/>
        <v>477.40000000000003</v>
      </c>
      <c r="K772" s="20">
        <f t="shared" si="114"/>
        <v>462</v>
      </c>
      <c r="L772" s="20">
        <f t="shared" si="114"/>
        <v>477.40000000000003</v>
      </c>
      <c r="M772" s="20">
        <f t="shared" si="114"/>
        <v>477.40000000000003</v>
      </c>
      <c r="N772" s="20">
        <f t="shared" si="114"/>
        <v>462</v>
      </c>
      <c r="O772" s="20">
        <f t="shared" si="114"/>
        <v>477.40000000000003</v>
      </c>
      <c r="P772" s="20">
        <f t="shared" si="114"/>
        <v>462</v>
      </c>
      <c r="Q772" s="20">
        <f t="shared" si="114"/>
        <v>477.40000000000003</v>
      </c>
    </row>
    <row r="773" spans="1:17" ht="46.8" x14ac:dyDescent="0.3">
      <c r="A773" s="51" t="s">
        <v>221</v>
      </c>
      <c r="B773" s="60" t="s">
        <v>207</v>
      </c>
      <c r="C773" s="35" t="s">
        <v>39</v>
      </c>
      <c r="D773" s="35" t="s">
        <v>222</v>
      </c>
      <c r="E773" s="20">
        <v>28000</v>
      </c>
      <c r="F773" s="20">
        <v>28000</v>
      </c>
      <c r="G773" s="20">
        <v>28000</v>
      </c>
      <c r="H773" s="20">
        <v>28000</v>
      </c>
      <c r="I773" s="20">
        <v>28000</v>
      </c>
      <c r="J773" s="20">
        <v>28000</v>
      </c>
      <c r="K773" s="20">
        <v>28000</v>
      </c>
      <c r="L773" s="20">
        <v>28000</v>
      </c>
      <c r="M773" s="20">
        <v>28000</v>
      </c>
      <c r="N773" s="20">
        <v>28000</v>
      </c>
      <c r="O773" s="20">
        <v>28000</v>
      </c>
      <c r="P773" s="20">
        <v>28000</v>
      </c>
      <c r="Q773" s="20">
        <v>28000</v>
      </c>
    </row>
    <row r="774" spans="1:17" ht="46.8" x14ac:dyDescent="0.25">
      <c r="A774" s="35" t="s">
        <v>41</v>
      </c>
      <c r="B774" s="60" t="s">
        <v>213</v>
      </c>
      <c r="C774" s="35" t="s">
        <v>42</v>
      </c>
      <c r="D774" s="35" t="s">
        <v>326</v>
      </c>
      <c r="E774" s="65">
        <f>SUM(F774:Q774)</f>
        <v>10220000</v>
      </c>
      <c r="F774" s="65">
        <f>F773*F767</f>
        <v>868000</v>
      </c>
      <c r="G774" s="65">
        <f t="shared" ref="G774:Q774" si="115">G773*G767</f>
        <v>784000</v>
      </c>
      <c r="H774" s="65">
        <f t="shared" si="115"/>
        <v>868000</v>
      </c>
      <c r="I774" s="65">
        <f t="shared" si="115"/>
        <v>840000</v>
      </c>
      <c r="J774" s="65">
        <f t="shared" si="115"/>
        <v>868000</v>
      </c>
      <c r="K774" s="65">
        <f t="shared" si="115"/>
        <v>840000</v>
      </c>
      <c r="L774" s="65">
        <f t="shared" si="115"/>
        <v>868000</v>
      </c>
      <c r="M774" s="65">
        <f t="shared" si="115"/>
        <v>868000</v>
      </c>
      <c r="N774" s="65">
        <f t="shared" si="115"/>
        <v>840000</v>
      </c>
      <c r="O774" s="65">
        <f t="shared" si="115"/>
        <v>868000</v>
      </c>
      <c r="P774" s="65">
        <f t="shared" si="115"/>
        <v>840000</v>
      </c>
      <c r="Q774" s="65">
        <f t="shared" si="115"/>
        <v>868000</v>
      </c>
    </row>
    <row r="775" spans="1:17" ht="62.4" x14ac:dyDescent="0.25">
      <c r="A775" s="35" t="s">
        <v>43</v>
      </c>
      <c r="B775" s="60" t="s">
        <v>214</v>
      </c>
      <c r="C775" s="35" t="s">
        <v>44</v>
      </c>
      <c r="D775" s="35" t="s">
        <v>40</v>
      </c>
      <c r="E775" s="66">
        <v>550</v>
      </c>
      <c r="F775" s="66">
        <v>550</v>
      </c>
      <c r="G775" s="66">
        <v>550</v>
      </c>
      <c r="H775" s="66">
        <v>550</v>
      </c>
      <c r="I775" s="66">
        <v>550</v>
      </c>
      <c r="J775" s="66">
        <v>550</v>
      </c>
      <c r="K775" s="66">
        <v>550</v>
      </c>
      <c r="L775" s="66">
        <v>550</v>
      </c>
      <c r="M775" s="66">
        <v>550</v>
      </c>
      <c r="N775" s="66">
        <v>550</v>
      </c>
      <c r="O775" s="66">
        <v>550</v>
      </c>
      <c r="P775" s="66">
        <v>550</v>
      </c>
      <c r="Q775" s="66">
        <v>550</v>
      </c>
    </row>
    <row r="776" spans="1:17" ht="62.4" x14ac:dyDescent="0.25">
      <c r="A776" s="35" t="s">
        <v>45</v>
      </c>
      <c r="B776" s="60" t="s">
        <v>214</v>
      </c>
      <c r="C776" s="35" t="s">
        <v>46</v>
      </c>
      <c r="D776" s="35" t="s">
        <v>40</v>
      </c>
      <c r="E776" s="65">
        <v>40</v>
      </c>
      <c r="F776" s="65">
        <v>40</v>
      </c>
      <c r="G776" s="65">
        <v>40</v>
      </c>
      <c r="H776" s="65">
        <v>40</v>
      </c>
      <c r="I776" s="65">
        <v>40</v>
      </c>
      <c r="J776" s="65">
        <v>40</v>
      </c>
      <c r="K776" s="65">
        <v>40</v>
      </c>
      <c r="L776" s="65">
        <v>40</v>
      </c>
      <c r="M776" s="65">
        <v>40</v>
      </c>
      <c r="N776" s="65">
        <v>40</v>
      </c>
      <c r="O776" s="65">
        <v>40</v>
      </c>
      <c r="P776" s="65">
        <v>40</v>
      </c>
      <c r="Q776" s="65">
        <v>40</v>
      </c>
    </row>
    <row r="777" spans="1:17" ht="62.4" x14ac:dyDescent="0.25">
      <c r="A777" s="35" t="s">
        <v>47</v>
      </c>
      <c r="B777" s="60" t="s">
        <v>215</v>
      </c>
      <c r="C777" s="35" t="s">
        <v>49</v>
      </c>
      <c r="D777" s="35" t="s">
        <v>324</v>
      </c>
      <c r="E777" s="67">
        <f>E775/1000000</f>
        <v>5.5000000000000003E-4</v>
      </c>
      <c r="F777" s="22">
        <f>F775/1000000</f>
        <v>5.5000000000000003E-4</v>
      </c>
      <c r="G777" s="22">
        <f t="shared" ref="G777:Q777" si="116">G775/1000000</f>
        <v>5.5000000000000003E-4</v>
      </c>
      <c r="H777" s="22">
        <f t="shared" si="116"/>
        <v>5.5000000000000003E-4</v>
      </c>
      <c r="I777" s="22">
        <f t="shared" si="116"/>
        <v>5.5000000000000003E-4</v>
      </c>
      <c r="J777" s="22">
        <f t="shared" si="116"/>
        <v>5.5000000000000003E-4</v>
      </c>
      <c r="K777" s="22">
        <f t="shared" si="116"/>
        <v>5.5000000000000003E-4</v>
      </c>
      <c r="L777" s="22">
        <f t="shared" si="116"/>
        <v>5.5000000000000003E-4</v>
      </c>
      <c r="M777" s="22">
        <f t="shared" si="116"/>
        <v>5.5000000000000003E-4</v>
      </c>
      <c r="N777" s="22">
        <f t="shared" si="116"/>
        <v>5.5000000000000003E-4</v>
      </c>
      <c r="O777" s="22">
        <f t="shared" si="116"/>
        <v>5.5000000000000003E-4</v>
      </c>
      <c r="P777" s="22">
        <f t="shared" si="116"/>
        <v>5.5000000000000003E-4</v>
      </c>
      <c r="Q777" s="22">
        <f t="shared" si="116"/>
        <v>5.5000000000000003E-4</v>
      </c>
    </row>
    <row r="778" spans="1:17" ht="62.4" x14ac:dyDescent="0.25">
      <c r="A778" s="35" t="s">
        <v>45</v>
      </c>
      <c r="B778" s="60" t="s">
        <v>48</v>
      </c>
      <c r="C778" s="35" t="s">
        <v>50</v>
      </c>
      <c r="D778" s="35" t="s">
        <v>325</v>
      </c>
      <c r="E778" s="67">
        <f>E776/1000000</f>
        <v>4.0000000000000003E-5</v>
      </c>
      <c r="F778" s="22">
        <f>F776/1000000</f>
        <v>4.0000000000000003E-5</v>
      </c>
      <c r="G778" s="22">
        <f t="shared" ref="G778:Q778" si="117">G776/1000000</f>
        <v>4.0000000000000003E-5</v>
      </c>
      <c r="H778" s="22">
        <f t="shared" si="117"/>
        <v>4.0000000000000003E-5</v>
      </c>
      <c r="I778" s="22">
        <f t="shared" si="117"/>
        <v>4.0000000000000003E-5</v>
      </c>
      <c r="J778" s="22">
        <f t="shared" si="117"/>
        <v>4.0000000000000003E-5</v>
      </c>
      <c r="K778" s="22">
        <f t="shared" si="117"/>
        <v>4.0000000000000003E-5</v>
      </c>
      <c r="L778" s="22">
        <f t="shared" si="117"/>
        <v>4.0000000000000003E-5</v>
      </c>
      <c r="M778" s="22">
        <f t="shared" si="117"/>
        <v>4.0000000000000003E-5</v>
      </c>
      <c r="N778" s="22">
        <f t="shared" si="117"/>
        <v>4.0000000000000003E-5</v>
      </c>
      <c r="O778" s="22">
        <f t="shared" si="117"/>
        <v>4.0000000000000003E-5</v>
      </c>
      <c r="P778" s="22">
        <f t="shared" si="117"/>
        <v>4.0000000000000003E-5</v>
      </c>
      <c r="Q778" s="22">
        <f t="shared" si="117"/>
        <v>4.0000000000000003E-5</v>
      </c>
    </row>
    <row r="779" spans="1:17" ht="46.8" x14ac:dyDescent="0.25">
      <c r="A779" s="63" t="s">
        <v>51</v>
      </c>
      <c r="B779" s="25" t="s">
        <v>216</v>
      </c>
      <c r="C779" s="35" t="s">
        <v>53</v>
      </c>
      <c r="D779" s="35" t="s">
        <v>343</v>
      </c>
      <c r="E779" s="68">
        <f>(1-(E780/E781))</f>
        <v>0.95936067995539487</v>
      </c>
      <c r="F779" s="68">
        <f>E779</f>
        <v>0.95936067995539487</v>
      </c>
      <c r="G779" s="68">
        <f>E779</f>
        <v>0.95936067995539487</v>
      </c>
      <c r="H779" s="68">
        <f>E779</f>
        <v>0.95936067995539487</v>
      </c>
      <c r="I779" s="68">
        <f>E779</f>
        <v>0.95936067995539487</v>
      </c>
      <c r="J779" s="68">
        <f>E779</f>
        <v>0.95936067995539487</v>
      </c>
      <c r="K779" s="68">
        <f>E779</f>
        <v>0.95936067995539487</v>
      </c>
      <c r="L779" s="68">
        <f>E779</f>
        <v>0.95936067995539487</v>
      </c>
      <c r="M779" s="68">
        <f>E779</f>
        <v>0.95936067995539487</v>
      </c>
      <c r="N779" s="68">
        <f>E779</f>
        <v>0.95936067995539487</v>
      </c>
      <c r="O779" s="68">
        <f>E779</f>
        <v>0.95936067995539487</v>
      </c>
      <c r="P779" s="68">
        <f>E779</f>
        <v>0.95936067995539487</v>
      </c>
      <c r="Q779" s="68">
        <f>E779</f>
        <v>0.95936067995539487</v>
      </c>
    </row>
    <row r="780" spans="1:17" ht="31.2" x14ac:dyDescent="0.25">
      <c r="A780" s="35" t="s">
        <v>54</v>
      </c>
      <c r="B780" s="25" t="s">
        <v>211</v>
      </c>
      <c r="C780" s="35" t="s">
        <v>55</v>
      </c>
      <c r="D780" s="35" t="s">
        <v>323</v>
      </c>
      <c r="E780" s="52">
        <f>SUM(F780:Q780)</f>
        <v>153.17054201900001</v>
      </c>
      <c r="F780" s="52">
        <v>13.009004938600002</v>
      </c>
      <c r="G780" s="52">
        <v>11.7500689768</v>
      </c>
      <c r="H780" s="52">
        <v>13.009004938600002</v>
      </c>
      <c r="I780" s="52">
        <v>12.589359618000001</v>
      </c>
      <c r="J780" s="52">
        <v>13.009004938600002</v>
      </c>
      <c r="K780" s="52">
        <v>12.589359618000001</v>
      </c>
      <c r="L780" s="52">
        <v>13.009004938600002</v>
      </c>
      <c r="M780" s="52">
        <v>13.009004938600002</v>
      </c>
      <c r="N780" s="52">
        <v>12.589359618000001</v>
      </c>
      <c r="O780" s="52">
        <v>13.009004938600002</v>
      </c>
      <c r="P780" s="52">
        <v>12.589359618000001</v>
      </c>
      <c r="Q780" s="52">
        <v>13.009004938600002</v>
      </c>
    </row>
    <row r="781" spans="1:17" ht="31.2" x14ac:dyDescent="0.25">
      <c r="A781" s="63" t="s">
        <v>56</v>
      </c>
      <c r="B781" s="25" t="s">
        <v>38</v>
      </c>
      <c r="C781" s="35" t="s">
        <v>57</v>
      </c>
      <c r="D781" s="35" t="s">
        <v>323</v>
      </c>
      <c r="E781" s="52">
        <f>SUM(F781:Q781)</f>
        <v>3769.0232477039995</v>
      </c>
      <c r="F781" s="52">
        <v>320.10882377759998</v>
      </c>
      <c r="G781" s="52">
        <v>289.13055050880001</v>
      </c>
      <c r="H781" s="52">
        <v>320.10882377759998</v>
      </c>
      <c r="I781" s="52">
        <v>309.78273268800001</v>
      </c>
      <c r="J781" s="52">
        <v>320.10882377759998</v>
      </c>
      <c r="K781" s="52">
        <v>309.78273268800001</v>
      </c>
      <c r="L781" s="52">
        <v>320.10882377759998</v>
      </c>
      <c r="M781" s="52">
        <v>320.10882377759998</v>
      </c>
      <c r="N781" s="52">
        <v>309.78273268800001</v>
      </c>
      <c r="O781" s="52">
        <v>320.10882377759998</v>
      </c>
      <c r="P781" s="52">
        <v>309.78273268800001</v>
      </c>
      <c r="Q781" s="52">
        <v>320.10882377759998</v>
      </c>
    </row>
    <row r="782" spans="1:17" ht="31.2" x14ac:dyDescent="0.25">
      <c r="A782" s="53" t="s">
        <v>58</v>
      </c>
      <c r="B782" s="25" t="s">
        <v>216</v>
      </c>
      <c r="C782" s="53" t="s">
        <v>59</v>
      </c>
      <c r="D782" s="35" t="s">
        <v>344</v>
      </c>
      <c r="E782" s="116">
        <f>E783*E784*0.89</f>
        <v>0.53574843703498931</v>
      </c>
      <c r="F782" s="117"/>
      <c r="G782" s="117"/>
      <c r="H782" s="117"/>
      <c r="I782" s="117"/>
      <c r="J782" s="117"/>
      <c r="K782" s="117"/>
      <c r="L782" s="117"/>
      <c r="M782" s="117"/>
      <c r="N782" s="117"/>
      <c r="O782" s="117"/>
      <c r="P782" s="117"/>
      <c r="Q782" s="118"/>
    </row>
    <row r="783" spans="1:17" ht="31.2" x14ac:dyDescent="0.25">
      <c r="A783" s="70" t="s">
        <v>60</v>
      </c>
      <c r="B783" s="25" t="s">
        <v>216</v>
      </c>
      <c r="C783" s="53" t="s">
        <v>61</v>
      </c>
      <c r="D783" s="35" t="s">
        <v>345</v>
      </c>
      <c r="E783" s="119">
        <v>0.7</v>
      </c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1"/>
    </row>
    <row r="784" spans="1:17" ht="36" customHeight="1" x14ac:dyDescent="0.25">
      <c r="A784" s="70" t="s">
        <v>62</v>
      </c>
      <c r="B784" s="25" t="s">
        <v>52</v>
      </c>
      <c r="C784" s="53" t="s">
        <v>63</v>
      </c>
      <c r="D784" s="35" t="s">
        <v>346</v>
      </c>
      <c r="E784" s="122">
        <f>(F785*F790+G785*G790+H785*H790+I785*I790+J785*J790+K785*K790+L785*L790+M785*M790+N785*N790+O785*O790+P785*P790+Q785*Q790)/(F779*F774*F777+G779*G777*G774+H779*H774*H777+I779*I777*I774+J779*J777*J774+K779*K777*K774+L779*L777*L774+M779*M777*M774+N779*N777*N774+O779*O774*O777+P779*P777*P774+Q779*Q777*Q774)</f>
        <v>0.85994933713481436</v>
      </c>
      <c r="F784" s="123"/>
      <c r="G784" s="123"/>
      <c r="H784" s="123"/>
      <c r="I784" s="123"/>
      <c r="J784" s="123"/>
      <c r="K784" s="123"/>
      <c r="L784" s="123"/>
      <c r="M784" s="123"/>
      <c r="N784" s="123"/>
      <c r="O784" s="123"/>
      <c r="P784" s="123"/>
      <c r="Q784" s="124"/>
    </row>
    <row r="785" spans="1:133" s="9" customFormat="1" ht="46.8" x14ac:dyDescent="0.4">
      <c r="A785" s="71" t="s">
        <v>64</v>
      </c>
      <c r="B785" s="25" t="s">
        <v>52</v>
      </c>
      <c r="C785" s="53" t="s">
        <v>65</v>
      </c>
      <c r="D785" s="53" t="s">
        <v>347</v>
      </c>
      <c r="E785" s="72">
        <f>AVERAGE(F785:Q785)</f>
        <v>0.63610765135267333</v>
      </c>
      <c r="F785" s="72">
        <f t="shared" ref="F785:Q785" si="118">IF(F789&lt;283,0,IF(F789&gt;303,1,EXP(($E$23*(F789-$E$24))/($E$25*$E$24*F789))))</f>
        <v>0.29505266129807517</v>
      </c>
      <c r="G785" s="72">
        <f t="shared" si="118"/>
        <v>0.32317176495848171</v>
      </c>
      <c r="H785" s="72">
        <f t="shared" si="118"/>
        <v>0.42307437878932203</v>
      </c>
      <c r="I785" s="72">
        <f t="shared" si="118"/>
        <v>0.55084569341606926</v>
      </c>
      <c r="J785" s="72">
        <f t="shared" si="118"/>
        <v>0.77675425208684001</v>
      </c>
      <c r="K785" s="72">
        <f t="shared" si="118"/>
        <v>0.91923925774048054</v>
      </c>
      <c r="L785" s="72">
        <f t="shared" si="118"/>
        <v>0.91923925774048054</v>
      </c>
      <c r="M785" s="72">
        <f t="shared" si="118"/>
        <v>0.91923925774048054</v>
      </c>
      <c r="N785" s="72">
        <f t="shared" si="118"/>
        <v>0.91923925774048054</v>
      </c>
      <c r="O785" s="72">
        <f t="shared" si="118"/>
        <v>0.71341857634681827</v>
      </c>
      <c r="P785" s="72">
        <f t="shared" si="118"/>
        <v>0.55084569341606926</v>
      </c>
      <c r="Q785" s="72">
        <f t="shared" si="118"/>
        <v>0.32317176495848171</v>
      </c>
      <c r="R785" s="78"/>
      <c r="S785" s="78"/>
      <c r="T785" s="78"/>
      <c r="U785" s="78"/>
      <c r="V785" s="78"/>
      <c r="W785" s="78"/>
      <c r="X785" s="78"/>
      <c r="Y785" s="78"/>
      <c r="Z785" s="78"/>
      <c r="AA785" s="78"/>
      <c r="AB785" s="78"/>
      <c r="AC785" s="78"/>
      <c r="AD785" s="78"/>
      <c r="AE785" s="78"/>
      <c r="AF785" s="78"/>
      <c r="AG785" s="78"/>
      <c r="AH785" s="78"/>
      <c r="AI785" s="78"/>
      <c r="AJ785" s="78"/>
      <c r="AK785" s="78"/>
      <c r="AL785" s="78"/>
      <c r="AM785" s="78"/>
      <c r="AN785" s="78"/>
      <c r="AO785" s="78"/>
      <c r="AP785" s="78"/>
      <c r="AQ785" s="78"/>
      <c r="AR785" s="78"/>
      <c r="AS785" s="78"/>
      <c r="AT785" s="78"/>
      <c r="AU785" s="78"/>
      <c r="AV785" s="78"/>
      <c r="AW785" s="78"/>
      <c r="AX785" s="78"/>
      <c r="AY785" s="78"/>
      <c r="AZ785" s="78"/>
      <c r="BA785" s="78"/>
      <c r="BB785" s="78"/>
      <c r="BC785" s="78"/>
      <c r="BD785" s="78"/>
      <c r="BE785" s="78"/>
      <c r="BF785" s="78"/>
      <c r="BG785" s="78"/>
      <c r="BH785" s="78"/>
      <c r="BI785" s="78"/>
      <c r="BJ785" s="78"/>
      <c r="BK785" s="78"/>
      <c r="BL785" s="78"/>
      <c r="BM785" s="78"/>
      <c r="BN785" s="78"/>
      <c r="BO785" s="78"/>
      <c r="BP785" s="78"/>
      <c r="BQ785" s="78"/>
      <c r="BR785" s="78"/>
      <c r="BS785" s="78"/>
      <c r="BT785" s="78"/>
      <c r="BU785" s="78"/>
      <c r="BV785" s="78"/>
      <c r="BW785" s="78"/>
      <c r="BX785" s="78"/>
      <c r="BY785" s="78"/>
      <c r="BZ785" s="78"/>
      <c r="CA785" s="78"/>
      <c r="CB785" s="78"/>
      <c r="CC785" s="78"/>
      <c r="CD785" s="78"/>
      <c r="CE785" s="78"/>
      <c r="CF785" s="78"/>
      <c r="CG785" s="78"/>
      <c r="CH785" s="78"/>
      <c r="CI785" s="78"/>
      <c r="CJ785" s="78"/>
      <c r="CK785" s="78"/>
      <c r="CL785" s="78"/>
      <c r="CM785" s="78"/>
      <c r="CN785" s="78"/>
      <c r="CO785" s="78"/>
      <c r="CP785" s="78"/>
      <c r="CQ785" s="78"/>
      <c r="CR785" s="78"/>
      <c r="CS785" s="78"/>
      <c r="CT785" s="78"/>
      <c r="CU785" s="78"/>
      <c r="CV785" s="78"/>
      <c r="CW785" s="78"/>
      <c r="CX785" s="78"/>
      <c r="CY785" s="78"/>
      <c r="CZ785" s="78"/>
      <c r="DA785" s="78"/>
      <c r="DB785" s="78"/>
      <c r="DC785" s="78"/>
      <c r="DD785" s="78"/>
      <c r="DE785" s="78"/>
      <c r="DF785" s="78"/>
      <c r="DG785" s="78"/>
      <c r="DH785" s="78"/>
      <c r="DI785" s="78"/>
      <c r="DJ785" s="78"/>
      <c r="DK785" s="78"/>
      <c r="DL785" s="78"/>
      <c r="DM785" s="78"/>
      <c r="DN785" s="78"/>
      <c r="DO785" s="78"/>
      <c r="DP785" s="78"/>
      <c r="DQ785" s="78"/>
      <c r="DR785" s="78"/>
      <c r="DS785" s="78"/>
      <c r="DT785" s="78"/>
      <c r="DU785" s="78"/>
      <c r="DV785" s="78"/>
      <c r="DW785" s="78"/>
      <c r="DX785" s="78"/>
      <c r="DY785" s="78"/>
      <c r="DZ785" s="78"/>
      <c r="EA785" s="78"/>
      <c r="EB785" s="78"/>
      <c r="EC785" s="78"/>
    </row>
    <row r="786" spans="1:133" s="9" customFormat="1" x14ac:dyDescent="0.25">
      <c r="A786" s="73" t="s">
        <v>66</v>
      </c>
      <c r="B786" s="60" t="s">
        <v>217</v>
      </c>
      <c r="C786" s="53" t="s">
        <v>68</v>
      </c>
      <c r="D786" s="53" t="s">
        <v>348</v>
      </c>
      <c r="E786" s="119">
        <v>15175</v>
      </c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1"/>
      <c r="R786" s="78"/>
      <c r="S786" s="78"/>
      <c r="T786" s="78"/>
      <c r="U786" s="78"/>
      <c r="V786" s="78"/>
      <c r="W786" s="78"/>
      <c r="X786" s="78"/>
      <c r="Y786" s="78"/>
      <c r="Z786" s="78"/>
      <c r="AA786" s="78"/>
      <c r="AB786" s="78"/>
      <c r="AC786" s="78"/>
      <c r="AD786" s="78"/>
      <c r="AE786" s="78"/>
      <c r="AF786" s="78"/>
      <c r="AG786" s="78"/>
      <c r="AH786" s="78"/>
      <c r="AI786" s="78"/>
      <c r="AJ786" s="78"/>
      <c r="AK786" s="78"/>
      <c r="AL786" s="78"/>
      <c r="AM786" s="78"/>
      <c r="AN786" s="78"/>
      <c r="AO786" s="78"/>
      <c r="AP786" s="78"/>
      <c r="AQ786" s="78"/>
      <c r="AR786" s="78"/>
      <c r="AS786" s="78"/>
      <c r="AT786" s="78"/>
      <c r="AU786" s="78"/>
      <c r="AV786" s="78"/>
      <c r="AW786" s="78"/>
      <c r="AX786" s="78"/>
      <c r="AY786" s="78"/>
      <c r="AZ786" s="78"/>
      <c r="BA786" s="78"/>
      <c r="BB786" s="78"/>
      <c r="BC786" s="78"/>
      <c r="BD786" s="78"/>
      <c r="BE786" s="78"/>
      <c r="BF786" s="78"/>
      <c r="BG786" s="78"/>
      <c r="BH786" s="78"/>
      <c r="BI786" s="78"/>
      <c r="BJ786" s="78"/>
      <c r="BK786" s="78"/>
      <c r="BL786" s="78"/>
      <c r="BM786" s="78"/>
      <c r="BN786" s="78"/>
      <c r="BO786" s="78"/>
      <c r="BP786" s="78"/>
      <c r="BQ786" s="78"/>
      <c r="BR786" s="78"/>
      <c r="BS786" s="78"/>
      <c r="BT786" s="78"/>
      <c r="BU786" s="78"/>
      <c r="BV786" s="78"/>
      <c r="BW786" s="78"/>
      <c r="BX786" s="78"/>
      <c r="BY786" s="78"/>
      <c r="BZ786" s="78"/>
      <c r="CA786" s="78"/>
      <c r="CB786" s="78"/>
      <c r="CC786" s="78"/>
      <c r="CD786" s="78"/>
      <c r="CE786" s="78"/>
      <c r="CF786" s="78"/>
      <c r="CG786" s="78"/>
      <c r="CH786" s="78"/>
      <c r="CI786" s="78"/>
      <c r="CJ786" s="78"/>
      <c r="CK786" s="78"/>
      <c r="CL786" s="78"/>
      <c r="CM786" s="78"/>
      <c r="CN786" s="78"/>
      <c r="CO786" s="78"/>
      <c r="CP786" s="78"/>
      <c r="CQ786" s="78"/>
      <c r="CR786" s="78"/>
      <c r="CS786" s="78"/>
      <c r="CT786" s="78"/>
      <c r="CU786" s="78"/>
      <c r="CV786" s="78"/>
      <c r="CW786" s="78"/>
      <c r="CX786" s="78"/>
      <c r="CY786" s="78"/>
      <c r="CZ786" s="78"/>
      <c r="DA786" s="78"/>
      <c r="DB786" s="78"/>
      <c r="DC786" s="78"/>
      <c r="DD786" s="78"/>
      <c r="DE786" s="78"/>
      <c r="DF786" s="78"/>
      <c r="DG786" s="78"/>
      <c r="DH786" s="78"/>
      <c r="DI786" s="78"/>
      <c r="DJ786" s="78"/>
      <c r="DK786" s="78"/>
      <c r="DL786" s="78"/>
      <c r="DM786" s="78"/>
      <c r="DN786" s="78"/>
      <c r="DO786" s="78"/>
      <c r="DP786" s="78"/>
      <c r="DQ786" s="78"/>
      <c r="DR786" s="78"/>
      <c r="DS786" s="78"/>
      <c r="DT786" s="78"/>
      <c r="DU786" s="78"/>
      <c r="DV786" s="78"/>
      <c r="DW786" s="78"/>
      <c r="DX786" s="78"/>
      <c r="DY786" s="78"/>
      <c r="DZ786" s="78"/>
      <c r="EA786" s="78"/>
      <c r="EB786" s="78"/>
      <c r="EC786" s="78"/>
    </row>
    <row r="787" spans="1:133" s="9" customFormat="1" ht="18" x14ac:dyDescent="0.25">
      <c r="A787" s="73" t="s">
        <v>69</v>
      </c>
      <c r="B787" s="60" t="s">
        <v>218</v>
      </c>
      <c r="C787" s="53" t="s">
        <v>71</v>
      </c>
      <c r="D787" s="53" t="s">
        <v>348</v>
      </c>
      <c r="E787" s="119">
        <v>303.16000000000003</v>
      </c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1"/>
      <c r="R787" s="78"/>
      <c r="S787" s="78"/>
      <c r="T787" s="78"/>
      <c r="U787" s="78"/>
      <c r="V787" s="78"/>
      <c r="W787" s="78"/>
      <c r="X787" s="78"/>
      <c r="Y787" s="78"/>
      <c r="Z787" s="78"/>
      <c r="AA787" s="78"/>
      <c r="AB787" s="78"/>
      <c r="AC787" s="78"/>
      <c r="AD787" s="78"/>
      <c r="AE787" s="78"/>
      <c r="AF787" s="78"/>
      <c r="AG787" s="78"/>
      <c r="AH787" s="78"/>
      <c r="AI787" s="78"/>
      <c r="AJ787" s="78"/>
      <c r="AK787" s="78"/>
      <c r="AL787" s="78"/>
      <c r="AM787" s="78"/>
      <c r="AN787" s="78"/>
      <c r="AO787" s="78"/>
      <c r="AP787" s="78"/>
      <c r="AQ787" s="78"/>
      <c r="AR787" s="78"/>
      <c r="AS787" s="78"/>
      <c r="AT787" s="78"/>
      <c r="AU787" s="78"/>
      <c r="AV787" s="78"/>
      <c r="AW787" s="78"/>
      <c r="AX787" s="78"/>
      <c r="AY787" s="78"/>
      <c r="AZ787" s="78"/>
      <c r="BA787" s="78"/>
      <c r="BB787" s="78"/>
      <c r="BC787" s="78"/>
      <c r="BD787" s="78"/>
      <c r="BE787" s="78"/>
      <c r="BF787" s="78"/>
      <c r="BG787" s="78"/>
      <c r="BH787" s="78"/>
      <c r="BI787" s="78"/>
      <c r="BJ787" s="78"/>
      <c r="BK787" s="78"/>
      <c r="BL787" s="78"/>
      <c r="BM787" s="78"/>
      <c r="BN787" s="78"/>
      <c r="BO787" s="78"/>
      <c r="BP787" s="78"/>
      <c r="BQ787" s="78"/>
      <c r="BR787" s="78"/>
      <c r="BS787" s="78"/>
      <c r="BT787" s="78"/>
      <c r="BU787" s="78"/>
      <c r="BV787" s="78"/>
      <c r="BW787" s="78"/>
      <c r="BX787" s="78"/>
      <c r="BY787" s="78"/>
      <c r="BZ787" s="78"/>
      <c r="CA787" s="78"/>
      <c r="CB787" s="78"/>
      <c r="CC787" s="78"/>
      <c r="CD787" s="78"/>
      <c r="CE787" s="78"/>
      <c r="CF787" s="78"/>
      <c r="CG787" s="78"/>
      <c r="CH787" s="78"/>
      <c r="CI787" s="78"/>
      <c r="CJ787" s="78"/>
      <c r="CK787" s="78"/>
      <c r="CL787" s="78"/>
      <c r="CM787" s="78"/>
      <c r="CN787" s="78"/>
      <c r="CO787" s="78"/>
      <c r="CP787" s="78"/>
      <c r="CQ787" s="78"/>
      <c r="CR787" s="78"/>
      <c r="CS787" s="78"/>
      <c r="CT787" s="78"/>
      <c r="CU787" s="78"/>
      <c r="CV787" s="78"/>
      <c r="CW787" s="78"/>
      <c r="CX787" s="78"/>
      <c r="CY787" s="78"/>
      <c r="CZ787" s="78"/>
      <c r="DA787" s="78"/>
      <c r="DB787" s="78"/>
      <c r="DC787" s="78"/>
      <c r="DD787" s="78"/>
      <c r="DE787" s="78"/>
      <c r="DF787" s="78"/>
      <c r="DG787" s="78"/>
      <c r="DH787" s="78"/>
      <c r="DI787" s="78"/>
      <c r="DJ787" s="78"/>
      <c r="DK787" s="78"/>
      <c r="DL787" s="78"/>
      <c r="DM787" s="78"/>
      <c r="DN787" s="78"/>
      <c r="DO787" s="78"/>
      <c r="DP787" s="78"/>
      <c r="DQ787" s="78"/>
      <c r="DR787" s="78"/>
      <c r="DS787" s="78"/>
      <c r="DT787" s="78"/>
      <c r="DU787" s="78"/>
      <c r="DV787" s="78"/>
      <c r="DW787" s="78"/>
      <c r="DX787" s="78"/>
      <c r="DY787" s="78"/>
      <c r="DZ787" s="78"/>
      <c r="EA787" s="78"/>
      <c r="EB787" s="78"/>
      <c r="EC787" s="78"/>
    </row>
    <row r="788" spans="1:133" s="9" customFormat="1" x14ac:dyDescent="0.25">
      <c r="A788" s="73" t="s">
        <v>72</v>
      </c>
      <c r="B788" s="60" t="s">
        <v>219</v>
      </c>
      <c r="C788" s="53" t="s">
        <v>74</v>
      </c>
      <c r="D788" s="53" t="s">
        <v>348</v>
      </c>
      <c r="E788" s="119">
        <v>1.9870000000000001</v>
      </c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1"/>
      <c r="R788" s="78"/>
      <c r="S788" s="78"/>
      <c r="T788" s="78"/>
      <c r="U788" s="78"/>
      <c r="V788" s="78"/>
      <c r="W788" s="78"/>
      <c r="X788" s="78"/>
      <c r="Y788" s="78"/>
      <c r="Z788" s="78"/>
      <c r="AA788" s="78"/>
      <c r="AB788" s="78"/>
      <c r="AC788" s="78"/>
      <c r="AD788" s="78"/>
      <c r="AE788" s="78"/>
      <c r="AF788" s="78"/>
      <c r="AG788" s="78"/>
      <c r="AH788" s="78"/>
      <c r="AI788" s="78"/>
      <c r="AJ788" s="78"/>
      <c r="AK788" s="78"/>
      <c r="AL788" s="78"/>
      <c r="AM788" s="78"/>
      <c r="AN788" s="78"/>
      <c r="AO788" s="78"/>
      <c r="AP788" s="78"/>
      <c r="AQ788" s="78"/>
      <c r="AR788" s="78"/>
      <c r="AS788" s="78"/>
      <c r="AT788" s="78"/>
      <c r="AU788" s="78"/>
      <c r="AV788" s="78"/>
      <c r="AW788" s="78"/>
      <c r="AX788" s="78"/>
      <c r="AY788" s="78"/>
      <c r="AZ788" s="78"/>
      <c r="BA788" s="78"/>
      <c r="BB788" s="78"/>
      <c r="BC788" s="78"/>
      <c r="BD788" s="78"/>
      <c r="BE788" s="78"/>
      <c r="BF788" s="78"/>
      <c r="BG788" s="78"/>
      <c r="BH788" s="78"/>
      <c r="BI788" s="78"/>
      <c r="BJ788" s="78"/>
      <c r="BK788" s="78"/>
      <c r="BL788" s="78"/>
      <c r="BM788" s="78"/>
      <c r="BN788" s="78"/>
      <c r="BO788" s="78"/>
      <c r="BP788" s="78"/>
      <c r="BQ788" s="78"/>
      <c r="BR788" s="78"/>
      <c r="BS788" s="78"/>
      <c r="BT788" s="78"/>
      <c r="BU788" s="78"/>
      <c r="BV788" s="78"/>
      <c r="BW788" s="78"/>
      <c r="BX788" s="78"/>
      <c r="BY788" s="78"/>
      <c r="BZ788" s="78"/>
      <c r="CA788" s="78"/>
      <c r="CB788" s="78"/>
      <c r="CC788" s="78"/>
      <c r="CD788" s="78"/>
      <c r="CE788" s="78"/>
      <c r="CF788" s="78"/>
      <c r="CG788" s="78"/>
      <c r="CH788" s="78"/>
      <c r="CI788" s="78"/>
      <c r="CJ788" s="78"/>
      <c r="CK788" s="78"/>
      <c r="CL788" s="78"/>
      <c r="CM788" s="78"/>
      <c r="CN788" s="78"/>
      <c r="CO788" s="78"/>
      <c r="CP788" s="78"/>
      <c r="CQ788" s="78"/>
      <c r="CR788" s="78"/>
      <c r="CS788" s="78"/>
      <c r="CT788" s="78"/>
      <c r="CU788" s="78"/>
      <c r="CV788" s="78"/>
      <c r="CW788" s="78"/>
      <c r="CX788" s="78"/>
      <c r="CY788" s="78"/>
      <c r="CZ788" s="78"/>
      <c r="DA788" s="78"/>
      <c r="DB788" s="78"/>
      <c r="DC788" s="78"/>
      <c r="DD788" s="78"/>
      <c r="DE788" s="78"/>
      <c r="DF788" s="78"/>
      <c r="DG788" s="78"/>
      <c r="DH788" s="78"/>
      <c r="DI788" s="78"/>
      <c r="DJ788" s="78"/>
      <c r="DK788" s="78"/>
      <c r="DL788" s="78"/>
      <c r="DM788" s="78"/>
      <c r="DN788" s="78"/>
      <c r="DO788" s="78"/>
      <c r="DP788" s="78"/>
      <c r="DQ788" s="78"/>
      <c r="DR788" s="78"/>
      <c r="DS788" s="78"/>
      <c r="DT788" s="78"/>
      <c r="DU788" s="78"/>
      <c r="DV788" s="78"/>
      <c r="DW788" s="78"/>
      <c r="DX788" s="78"/>
      <c r="DY788" s="78"/>
      <c r="DZ788" s="78"/>
      <c r="EA788" s="78"/>
      <c r="EB788" s="78"/>
      <c r="EC788" s="78"/>
    </row>
    <row r="789" spans="1:133" s="9" customFormat="1" ht="31.2" x14ac:dyDescent="0.25">
      <c r="A789" s="73" t="s">
        <v>75</v>
      </c>
      <c r="B789" s="60" t="s">
        <v>218</v>
      </c>
      <c r="C789" s="53" t="s">
        <v>76</v>
      </c>
      <c r="D789" s="53" t="s">
        <v>271</v>
      </c>
      <c r="E789" s="111">
        <f>AVERAGE(F789:Q789)</f>
        <v>296.90000000000003</v>
      </c>
      <c r="F789" s="60">
        <v>289.14999999999998</v>
      </c>
      <c r="G789" s="60">
        <v>290.14999999999998</v>
      </c>
      <c r="H789" s="60">
        <v>293.14999999999998</v>
      </c>
      <c r="I789" s="60">
        <v>296.14999999999998</v>
      </c>
      <c r="J789" s="60">
        <v>300.14999999999998</v>
      </c>
      <c r="K789" s="60">
        <v>302.14999999999998</v>
      </c>
      <c r="L789" s="60">
        <v>302.14999999999998</v>
      </c>
      <c r="M789" s="60">
        <v>302.14999999999998</v>
      </c>
      <c r="N789" s="60">
        <v>302.14999999999998</v>
      </c>
      <c r="O789" s="60">
        <v>299.14999999999998</v>
      </c>
      <c r="P789" s="60">
        <v>296.14999999999998</v>
      </c>
      <c r="Q789" s="60">
        <v>290.14999999999998</v>
      </c>
      <c r="R789" s="78"/>
      <c r="S789" s="78"/>
      <c r="T789" s="78"/>
      <c r="U789" s="78"/>
      <c r="V789" s="78"/>
      <c r="W789" s="78"/>
      <c r="X789" s="78"/>
      <c r="Y789" s="78"/>
      <c r="Z789" s="78"/>
      <c r="AA789" s="78"/>
      <c r="AB789" s="78"/>
      <c r="AC789" s="78"/>
      <c r="AD789" s="78"/>
      <c r="AE789" s="78"/>
      <c r="AF789" s="78"/>
      <c r="AG789" s="78"/>
      <c r="AH789" s="78"/>
      <c r="AI789" s="78"/>
      <c r="AJ789" s="78"/>
      <c r="AK789" s="78"/>
      <c r="AL789" s="78"/>
      <c r="AM789" s="78"/>
      <c r="AN789" s="78"/>
      <c r="AO789" s="78"/>
      <c r="AP789" s="78"/>
      <c r="AQ789" s="78"/>
      <c r="AR789" s="78"/>
      <c r="AS789" s="78"/>
      <c r="AT789" s="78"/>
      <c r="AU789" s="78"/>
      <c r="AV789" s="78"/>
      <c r="AW789" s="78"/>
      <c r="AX789" s="78"/>
      <c r="AY789" s="78"/>
      <c r="AZ789" s="78"/>
      <c r="BA789" s="78"/>
      <c r="BB789" s="78"/>
      <c r="BC789" s="78"/>
      <c r="BD789" s="78"/>
      <c r="BE789" s="78"/>
      <c r="BF789" s="78"/>
      <c r="BG789" s="78"/>
      <c r="BH789" s="78"/>
      <c r="BI789" s="78"/>
      <c r="BJ789" s="78"/>
      <c r="BK789" s="78"/>
      <c r="BL789" s="78"/>
      <c r="BM789" s="78"/>
      <c r="BN789" s="78"/>
      <c r="BO789" s="78"/>
      <c r="BP789" s="78"/>
      <c r="BQ789" s="78"/>
      <c r="BR789" s="78"/>
      <c r="BS789" s="78"/>
      <c r="BT789" s="78"/>
      <c r="BU789" s="78"/>
      <c r="BV789" s="78"/>
      <c r="BW789" s="78"/>
      <c r="BX789" s="78"/>
      <c r="BY789" s="78"/>
      <c r="BZ789" s="78"/>
      <c r="CA789" s="78"/>
      <c r="CB789" s="78"/>
      <c r="CC789" s="78"/>
      <c r="CD789" s="78"/>
      <c r="CE789" s="78"/>
      <c r="CF789" s="78"/>
      <c r="CG789" s="78"/>
      <c r="CH789" s="78"/>
      <c r="CI789" s="78"/>
      <c r="CJ789" s="78"/>
      <c r="CK789" s="78"/>
      <c r="CL789" s="78"/>
      <c r="CM789" s="78"/>
      <c r="CN789" s="78"/>
      <c r="CO789" s="78"/>
      <c r="CP789" s="78"/>
      <c r="CQ789" s="78"/>
      <c r="CR789" s="78"/>
      <c r="CS789" s="78"/>
      <c r="CT789" s="78"/>
      <c r="CU789" s="78"/>
      <c r="CV789" s="78"/>
      <c r="CW789" s="78"/>
      <c r="CX789" s="78"/>
      <c r="CY789" s="78"/>
      <c r="CZ789" s="78"/>
      <c r="DA789" s="78"/>
      <c r="DB789" s="78"/>
      <c r="DC789" s="78"/>
      <c r="DD789" s="78"/>
      <c r="DE789" s="78"/>
      <c r="DF789" s="78"/>
      <c r="DG789" s="78"/>
      <c r="DH789" s="78"/>
      <c r="DI789" s="78"/>
      <c r="DJ789" s="78"/>
      <c r="DK789" s="78"/>
      <c r="DL789" s="78"/>
      <c r="DM789" s="78"/>
      <c r="DN789" s="78"/>
      <c r="DO789" s="78"/>
      <c r="DP789" s="78"/>
      <c r="DQ789" s="78"/>
      <c r="DR789" s="78"/>
      <c r="DS789" s="78"/>
      <c r="DT789" s="78"/>
      <c r="DU789" s="78"/>
      <c r="DV789" s="78"/>
      <c r="DW789" s="78"/>
      <c r="DX789" s="78"/>
      <c r="DY789" s="78"/>
      <c r="DZ789" s="78"/>
      <c r="EA789" s="78"/>
      <c r="EB789" s="78"/>
      <c r="EC789" s="78"/>
    </row>
    <row r="790" spans="1:133" s="9" customFormat="1" ht="31.2" x14ac:dyDescent="0.4">
      <c r="A790" s="71" t="s">
        <v>77</v>
      </c>
      <c r="B790" s="60" t="s">
        <v>211</v>
      </c>
      <c r="C790" s="53" t="s">
        <v>78</v>
      </c>
      <c r="D790" s="53" t="s">
        <v>349</v>
      </c>
      <c r="E790" s="74">
        <f>SUM(F790:Q790)</f>
        <v>7760.3790648709801</v>
      </c>
      <c r="F790" s="74">
        <f>F779*F774*F777+(1-F785)*0</f>
        <v>457.99878861070556</v>
      </c>
      <c r="G790" s="74">
        <f t="shared" ref="G790:Q790" si="119">G779*G774*G777+(1-G785)*F790</f>
        <v>723.66283694330355</v>
      </c>
      <c r="H790" s="74">
        <f t="shared" si="119"/>
        <v>875.49842036130246</v>
      </c>
      <c r="I790" s="74">
        <f t="shared" si="119"/>
        <v>836.45852005209997</v>
      </c>
      <c r="J790" s="74">
        <f t="shared" si="119"/>
        <v>644.73459651807161</v>
      </c>
      <c r="K790" s="74">
        <f t="shared" si="119"/>
        <v>495.29387871458368</v>
      </c>
      <c r="L790" s="74">
        <f t="shared" si="119"/>
        <v>497.99908989229175</v>
      </c>
      <c r="M790" s="74">
        <f t="shared" si="119"/>
        <v>498.21756475497222</v>
      </c>
      <c r="N790" s="74">
        <f t="shared" si="119"/>
        <v>483.46105447573422</v>
      </c>
      <c r="O790" s="74">
        <f t="shared" si="119"/>
        <v>596.54974588322989</v>
      </c>
      <c r="P790" s="74">
        <f t="shared" si="119"/>
        <v>711.16752159439466</v>
      </c>
      <c r="Q790" s="74">
        <f t="shared" si="119"/>
        <v>939.33704707029051</v>
      </c>
      <c r="R790" s="78"/>
      <c r="S790" s="78"/>
      <c r="T790" s="78"/>
      <c r="U790" s="78"/>
      <c r="V790" s="78"/>
      <c r="W790" s="78"/>
      <c r="X790" s="78"/>
      <c r="Y790" s="78"/>
      <c r="Z790" s="78"/>
      <c r="AA790" s="78"/>
      <c r="AB790" s="78"/>
      <c r="AC790" s="78"/>
      <c r="AD790" s="78"/>
      <c r="AE790" s="78"/>
      <c r="AF790" s="78"/>
      <c r="AG790" s="78"/>
      <c r="AH790" s="78"/>
      <c r="AI790" s="78"/>
      <c r="AJ790" s="78"/>
      <c r="AK790" s="78"/>
      <c r="AL790" s="78"/>
      <c r="AM790" s="78"/>
      <c r="AN790" s="78"/>
      <c r="AO790" s="78"/>
      <c r="AP790" s="78"/>
      <c r="AQ790" s="78"/>
      <c r="AR790" s="78"/>
      <c r="AS790" s="78"/>
      <c r="AT790" s="78"/>
      <c r="AU790" s="78"/>
      <c r="AV790" s="78"/>
      <c r="AW790" s="78"/>
      <c r="AX790" s="78"/>
      <c r="AY790" s="78"/>
      <c r="AZ790" s="78"/>
      <c r="BA790" s="78"/>
      <c r="BB790" s="78"/>
      <c r="BC790" s="78"/>
      <c r="BD790" s="78"/>
      <c r="BE790" s="78"/>
      <c r="BF790" s="78"/>
      <c r="BG790" s="78"/>
      <c r="BH790" s="78"/>
      <c r="BI790" s="78"/>
      <c r="BJ790" s="78"/>
      <c r="BK790" s="78"/>
      <c r="BL790" s="78"/>
      <c r="BM790" s="78"/>
      <c r="BN790" s="78"/>
      <c r="BO790" s="78"/>
      <c r="BP790" s="78"/>
      <c r="BQ790" s="78"/>
      <c r="BR790" s="78"/>
      <c r="BS790" s="78"/>
      <c r="BT790" s="78"/>
      <c r="BU790" s="78"/>
      <c r="BV790" s="78"/>
      <c r="BW790" s="78"/>
      <c r="BX790" s="78"/>
      <c r="BY790" s="78"/>
      <c r="BZ790" s="78"/>
      <c r="CA790" s="78"/>
      <c r="CB790" s="78"/>
      <c r="CC790" s="78"/>
      <c r="CD790" s="78"/>
      <c r="CE790" s="78"/>
      <c r="CF790" s="78"/>
      <c r="CG790" s="78"/>
      <c r="CH790" s="78"/>
      <c r="CI790" s="78"/>
      <c r="CJ790" s="78"/>
      <c r="CK790" s="78"/>
      <c r="CL790" s="78"/>
      <c r="CM790" s="78"/>
      <c r="CN790" s="78"/>
      <c r="CO790" s="78"/>
      <c r="CP790" s="78"/>
      <c r="CQ790" s="78"/>
      <c r="CR790" s="78"/>
      <c r="CS790" s="78"/>
      <c r="CT790" s="78"/>
      <c r="CU790" s="78"/>
      <c r="CV790" s="78"/>
      <c r="CW790" s="78"/>
      <c r="CX790" s="78"/>
      <c r="CY790" s="78"/>
      <c r="CZ790" s="78"/>
      <c r="DA790" s="78"/>
      <c r="DB790" s="78"/>
      <c r="DC790" s="78"/>
      <c r="DD790" s="78"/>
      <c r="DE790" s="78"/>
      <c r="DF790" s="78"/>
      <c r="DG790" s="78"/>
      <c r="DH790" s="78"/>
      <c r="DI790" s="78"/>
      <c r="DJ790" s="78"/>
      <c r="DK790" s="78"/>
      <c r="DL790" s="78"/>
      <c r="DM790" s="78"/>
      <c r="DN790" s="78"/>
      <c r="DO790" s="78"/>
      <c r="DP790" s="78"/>
      <c r="DQ790" s="78"/>
      <c r="DR790" s="78"/>
      <c r="DS790" s="78"/>
      <c r="DT790" s="78"/>
      <c r="DU790" s="78"/>
      <c r="DV790" s="78"/>
      <c r="DW790" s="78"/>
      <c r="DX790" s="78"/>
      <c r="DY790" s="78"/>
      <c r="DZ790" s="78"/>
      <c r="EA790" s="78"/>
      <c r="EB790" s="78"/>
      <c r="EC790" s="78"/>
    </row>
    <row r="792" spans="1:133" ht="15.6" customHeight="1" x14ac:dyDescent="0.25">
      <c r="A792" s="36" t="s">
        <v>79</v>
      </c>
      <c r="B792" s="36"/>
      <c r="C792" s="36"/>
      <c r="D792" s="36"/>
      <c r="E792" s="36"/>
    </row>
    <row r="793" spans="1:133" x14ac:dyDescent="0.25">
      <c r="A793" s="57" t="s">
        <v>9</v>
      </c>
      <c r="B793" s="58" t="s">
        <v>10</v>
      </c>
      <c r="C793" s="34" t="s">
        <v>11</v>
      </c>
      <c r="D793" s="34" t="s">
        <v>12</v>
      </c>
      <c r="E793" s="16" t="s">
        <v>80</v>
      </c>
    </row>
    <row r="794" spans="1:133" ht="46.8" x14ac:dyDescent="0.25">
      <c r="A794" s="59" t="s">
        <v>81</v>
      </c>
      <c r="B794" s="60" t="s">
        <v>28</v>
      </c>
      <c r="C794" s="53" t="s">
        <v>82</v>
      </c>
      <c r="D794" s="53" t="s">
        <v>83</v>
      </c>
      <c r="E794" s="75">
        <v>0</v>
      </c>
    </row>
    <row r="795" spans="1:133" ht="46.8" x14ac:dyDescent="0.25">
      <c r="A795" s="63" t="s">
        <v>84</v>
      </c>
      <c r="B795" s="25" t="s">
        <v>85</v>
      </c>
      <c r="C795" s="35" t="s">
        <v>86</v>
      </c>
      <c r="D795" s="35" t="str">
        <f>D801</f>
        <v>Historical data on site in the FSR (It was calculated with conservative value)</v>
      </c>
      <c r="E795" s="74">
        <f>E801</f>
        <v>1361.8032258064516</v>
      </c>
    </row>
    <row r="797" spans="1:133" ht="15.6" customHeight="1" x14ac:dyDescent="0.25">
      <c r="A797" s="91" t="s">
        <v>87</v>
      </c>
      <c r="B797" s="91"/>
      <c r="C797" s="92"/>
      <c r="D797" s="92"/>
      <c r="E797" s="91"/>
    </row>
    <row r="798" spans="1:133" x14ac:dyDescent="0.25">
      <c r="A798" s="59" t="s">
        <v>9</v>
      </c>
      <c r="B798" s="16" t="s">
        <v>10</v>
      </c>
      <c r="C798" s="38" t="s">
        <v>11</v>
      </c>
      <c r="D798" s="38" t="s">
        <v>12</v>
      </c>
      <c r="E798" s="16" t="s">
        <v>80</v>
      </c>
    </row>
    <row r="799" spans="1:133" ht="33.6" x14ac:dyDescent="0.4">
      <c r="A799" s="76" t="s">
        <v>88</v>
      </c>
      <c r="B799" s="25" t="s">
        <v>89</v>
      </c>
      <c r="C799" s="35" t="s">
        <v>90</v>
      </c>
      <c r="D799" s="35" t="s">
        <v>350</v>
      </c>
      <c r="E799" s="50">
        <f>E800*E803*E804*E805*E806*E807</f>
        <v>6.1581565566277243</v>
      </c>
    </row>
    <row r="800" spans="1:133" ht="46.8" x14ac:dyDescent="0.4">
      <c r="A800" s="77" t="s">
        <v>223</v>
      </c>
      <c r="B800" s="25" t="s">
        <v>91</v>
      </c>
      <c r="C800" s="35" t="s">
        <v>92</v>
      </c>
      <c r="D800" s="35" t="s">
        <v>351</v>
      </c>
      <c r="E800" s="52">
        <f>E801/E802</f>
        <v>272.36064516129034</v>
      </c>
    </row>
    <row r="801" spans="1:5" ht="46.8" x14ac:dyDescent="0.25">
      <c r="A801" s="63" t="s">
        <v>224</v>
      </c>
      <c r="B801" s="25" t="s">
        <v>93</v>
      </c>
      <c r="C801" s="35" t="s">
        <v>94</v>
      </c>
      <c r="D801" s="53" t="s">
        <v>322</v>
      </c>
      <c r="E801" s="52">
        <v>1361.8032258064516</v>
      </c>
    </row>
    <row r="802" spans="1:5" ht="31.2" x14ac:dyDescent="0.25">
      <c r="A802" s="63" t="s">
        <v>225</v>
      </c>
      <c r="B802" s="25" t="s">
        <v>95</v>
      </c>
      <c r="C802" s="35" t="s">
        <v>96</v>
      </c>
      <c r="D802" s="35" t="s">
        <v>327</v>
      </c>
      <c r="E802" s="25">
        <f>5</f>
        <v>5</v>
      </c>
    </row>
    <row r="803" spans="1:5" ht="62.4" x14ac:dyDescent="0.25">
      <c r="A803" s="63" t="s">
        <v>226</v>
      </c>
      <c r="B803" s="25" t="s">
        <v>97</v>
      </c>
      <c r="C803" s="35" t="s">
        <v>98</v>
      </c>
      <c r="D803" s="53" t="s">
        <v>327</v>
      </c>
      <c r="E803" s="25">
        <f>16.7*2</f>
        <v>33.4</v>
      </c>
    </row>
    <row r="804" spans="1:5" ht="172.2" x14ac:dyDescent="0.25">
      <c r="A804" s="63" t="s">
        <v>227</v>
      </c>
      <c r="B804" s="25" t="s">
        <v>99</v>
      </c>
      <c r="C804" s="35" t="s">
        <v>100</v>
      </c>
      <c r="D804" s="35" t="s">
        <v>338</v>
      </c>
      <c r="E804" s="25">
        <f>25.1/100</f>
        <v>0.251</v>
      </c>
    </row>
    <row r="805" spans="1:5" ht="140.4" x14ac:dyDescent="0.25">
      <c r="A805" s="63" t="s">
        <v>228</v>
      </c>
      <c r="B805" s="25" t="s">
        <v>102</v>
      </c>
      <c r="C805" s="35" t="s">
        <v>101</v>
      </c>
      <c r="D805" s="35" t="s">
        <v>337</v>
      </c>
      <c r="E805" s="25">
        <f>0.84/1000</f>
        <v>8.3999999999999993E-4</v>
      </c>
    </row>
    <row r="806" spans="1:5" ht="140.4" x14ac:dyDescent="0.25">
      <c r="A806" s="63" t="s">
        <v>229</v>
      </c>
      <c r="B806" s="25" t="s">
        <v>103</v>
      </c>
      <c r="C806" s="35" t="s">
        <v>104</v>
      </c>
      <c r="D806" s="35" t="s">
        <v>335</v>
      </c>
      <c r="E806" s="25">
        <f>43.33/1000</f>
        <v>4.333E-2</v>
      </c>
    </row>
    <row r="807" spans="1:5" ht="62.4" x14ac:dyDescent="0.25">
      <c r="A807" s="63" t="s">
        <v>230</v>
      </c>
      <c r="B807" s="25" t="s">
        <v>105</v>
      </c>
      <c r="C807" s="35" t="s">
        <v>106</v>
      </c>
      <c r="D807" s="35" t="s">
        <v>333</v>
      </c>
      <c r="E807" s="25">
        <v>74.099999999999994</v>
      </c>
    </row>
    <row r="809" spans="1:5" ht="15.6" customHeight="1" x14ac:dyDescent="0.25">
      <c r="A809" s="36" t="s">
        <v>108</v>
      </c>
      <c r="B809" s="36"/>
      <c r="C809" s="36"/>
      <c r="D809" s="36"/>
      <c r="E809" s="36"/>
    </row>
    <row r="810" spans="1:5" x14ac:dyDescent="0.25">
      <c r="A810" s="57" t="s">
        <v>9</v>
      </c>
      <c r="B810" s="58" t="s">
        <v>10</v>
      </c>
      <c r="C810" s="34" t="s">
        <v>11</v>
      </c>
      <c r="D810" s="34" t="s">
        <v>12</v>
      </c>
      <c r="E810" s="16" t="s">
        <v>80</v>
      </c>
    </row>
    <row r="811" spans="1:5" ht="64.8" x14ac:dyDescent="0.25">
      <c r="A811" s="15" t="s">
        <v>109</v>
      </c>
      <c r="B811" s="25" t="s">
        <v>110</v>
      </c>
      <c r="C811" s="35" t="s">
        <v>111</v>
      </c>
      <c r="D811" s="35" t="s">
        <v>112</v>
      </c>
      <c r="E811" s="16">
        <v>0</v>
      </c>
    </row>
    <row r="813" spans="1:5" ht="15.6" customHeight="1" x14ac:dyDescent="0.25">
      <c r="A813" s="36" t="s">
        <v>113</v>
      </c>
      <c r="B813" s="36"/>
      <c r="C813" s="36"/>
      <c r="D813" s="36"/>
      <c r="E813" s="36"/>
    </row>
    <row r="814" spans="1:5" x14ac:dyDescent="0.25">
      <c r="A814" s="57" t="s">
        <v>9</v>
      </c>
      <c r="B814" s="58" t="s">
        <v>10</v>
      </c>
      <c r="C814" s="34" t="s">
        <v>11</v>
      </c>
      <c r="D814" s="34" t="s">
        <v>12</v>
      </c>
      <c r="E814" s="16" t="s">
        <v>80</v>
      </c>
    </row>
    <row r="815" spans="1:5" ht="49.2" x14ac:dyDescent="0.25">
      <c r="A815" s="15" t="s">
        <v>114</v>
      </c>
      <c r="B815" s="25" t="s">
        <v>110</v>
      </c>
      <c r="C815" s="35" t="s">
        <v>115</v>
      </c>
      <c r="D815" s="35" t="s">
        <v>116</v>
      </c>
      <c r="E815" s="16">
        <v>0</v>
      </c>
    </row>
    <row r="817" spans="1:133" x14ac:dyDescent="0.25">
      <c r="A817" s="57" t="s">
        <v>9</v>
      </c>
      <c r="B817" s="58" t="s">
        <v>10</v>
      </c>
      <c r="C817" s="34" t="s">
        <v>11</v>
      </c>
      <c r="D817" s="34" t="s">
        <v>12</v>
      </c>
      <c r="E817" s="16" t="s">
        <v>80</v>
      </c>
    </row>
    <row r="818" spans="1:133" ht="18" x14ac:dyDescent="0.25">
      <c r="A818" s="59" t="s">
        <v>117</v>
      </c>
      <c r="B818" s="25" t="s">
        <v>118</v>
      </c>
      <c r="C818" s="35" t="s">
        <v>119</v>
      </c>
      <c r="D818" s="53" t="s">
        <v>352</v>
      </c>
      <c r="E818" s="18">
        <f>ROUNDDOWN(E768+E799+E794+E811+E815,0)</f>
        <v>17124</v>
      </c>
    </row>
    <row r="819" spans="1:133" s="138" customFormat="1" ht="43.2" customHeight="1" x14ac:dyDescent="0.25">
      <c r="A819" s="140" t="s">
        <v>262</v>
      </c>
      <c r="B819" s="141"/>
      <c r="C819" s="141"/>
      <c r="D819" s="141"/>
      <c r="E819" s="141"/>
      <c r="F819" s="141"/>
      <c r="G819" s="141"/>
      <c r="H819" s="141"/>
      <c r="I819" s="141"/>
      <c r="J819" s="141"/>
      <c r="K819" s="141"/>
      <c r="L819" s="141"/>
      <c r="M819" s="141"/>
      <c r="N819" s="141"/>
      <c r="O819" s="141"/>
      <c r="P819" s="141"/>
      <c r="Q819" s="141"/>
      <c r="R819" s="141"/>
      <c r="S819" s="141"/>
      <c r="T819" s="141"/>
      <c r="U819" s="141"/>
      <c r="V819" s="141"/>
      <c r="W819" s="141"/>
      <c r="X819" s="141"/>
      <c r="Y819" s="141"/>
      <c r="Z819" s="141"/>
      <c r="AA819" s="141"/>
      <c r="AB819" s="141"/>
      <c r="AC819" s="141"/>
      <c r="AD819" s="141"/>
      <c r="AE819" s="141"/>
      <c r="AF819" s="141"/>
      <c r="AG819" s="141"/>
      <c r="AH819" s="141"/>
      <c r="AI819" s="141"/>
      <c r="AJ819" s="141"/>
      <c r="AK819" s="141"/>
      <c r="AL819" s="141"/>
      <c r="AM819" s="141"/>
      <c r="AN819" s="141"/>
      <c r="AO819" s="141"/>
      <c r="AP819" s="141"/>
      <c r="AQ819" s="141"/>
      <c r="AR819" s="141"/>
      <c r="AS819" s="141"/>
      <c r="AT819" s="141"/>
      <c r="AU819" s="141"/>
      <c r="AV819" s="141"/>
      <c r="AW819" s="141"/>
      <c r="AX819" s="141"/>
      <c r="AY819" s="141"/>
      <c r="AZ819" s="141"/>
      <c r="BA819" s="141"/>
      <c r="BB819" s="141"/>
      <c r="BC819" s="141"/>
      <c r="BD819" s="141"/>
      <c r="BE819" s="141"/>
      <c r="BF819" s="141"/>
      <c r="BG819" s="141"/>
      <c r="BH819" s="141"/>
      <c r="BI819" s="141"/>
      <c r="BJ819" s="141"/>
      <c r="BK819" s="141"/>
      <c r="BL819" s="141"/>
      <c r="BM819" s="141"/>
      <c r="BN819" s="141"/>
      <c r="BO819" s="141"/>
      <c r="BP819" s="141"/>
      <c r="BQ819" s="141"/>
      <c r="BR819" s="141"/>
      <c r="BS819" s="141"/>
      <c r="BT819" s="141"/>
      <c r="BU819" s="141"/>
      <c r="BV819" s="141"/>
      <c r="BW819" s="141"/>
      <c r="BX819" s="141"/>
      <c r="BY819" s="141"/>
      <c r="BZ819" s="141"/>
      <c r="CA819" s="141"/>
      <c r="CB819" s="141"/>
      <c r="CC819" s="141"/>
      <c r="CD819" s="141"/>
      <c r="CE819" s="141"/>
      <c r="CF819" s="141"/>
      <c r="CG819" s="141"/>
      <c r="CH819" s="141"/>
      <c r="CI819" s="141"/>
      <c r="CJ819" s="141"/>
      <c r="CK819" s="141"/>
      <c r="CL819" s="141"/>
      <c r="CM819" s="141"/>
      <c r="CN819" s="141"/>
      <c r="CO819" s="141"/>
      <c r="CP819" s="141"/>
      <c r="CQ819" s="141"/>
      <c r="CR819" s="141"/>
      <c r="CS819" s="141"/>
      <c r="CT819" s="141"/>
      <c r="CU819" s="141"/>
      <c r="CV819" s="141"/>
      <c r="CW819" s="141"/>
      <c r="CX819" s="141"/>
      <c r="CY819" s="141"/>
      <c r="CZ819" s="141"/>
      <c r="DA819" s="141"/>
      <c r="DB819" s="141"/>
      <c r="DC819" s="141"/>
      <c r="DD819" s="141"/>
      <c r="DE819" s="141"/>
      <c r="DF819" s="141"/>
      <c r="DG819" s="141"/>
      <c r="DH819" s="141"/>
      <c r="DI819" s="141"/>
      <c r="DJ819" s="141"/>
      <c r="DK819" s="141"/>
      <c r="DL819" s="141"/>
      <c r="DM819" s="141"/>
      <c r="DN819" s="141"/>
      <c r="DO819" s="141"/>
      <c r="DP819" s="141"/>
      <c r="DQ819" s="141"/>
      <c r="DR819" s="141"/>
      <c r="DS819" s="141"/>
      <c r="DT819" s="141"/>
      <c r="DU819" s="141"/>
      <c r="DV819" s="141"/>
      <c r="DW819" s="141"/>
      <c r="DX819" s="141"/>
      <c r="DY819" s="141"/>
      <c r="DZ819" s="141"/>
      <c r="EA819" s="141"/>
      <c r="EB819" s="141"/>
      <c r="EC819" s="142"/>
    </row>
    <row r="820" spans="1:133" s="56" customFormat="1" x14ac:dyDescent="0.25">
      <c r="A820" s="93" t="s">
        <v>9</v>
      </c>
      <c r="B820" s="94" t="s">
        <v>10</v>
      </c>
      <c r="C820" s="95" t="s">
        <v>11</v>
      </c>
      <c r="D820" s="95" t="s">
        <v>12</v>
      </c>
      <c r="E820" s="94" t="s">
        <v>13</v>
      </c>
      <c r="F820" s="96" t="s">
        <v>14</v>
      </c>
      <c r="G820" s="96" t="s">
        <v>15</v>
      </c>
      <c r="H820" s="96" t="s">
        <v>16</v>
      </c>
      <c r="I820" s="96" t="s">
        <v>17</v>
      </c>
      <c r="J820" s="96" t="s">
        <v>18</v>
      </c>
      <c r="K820" s="96" t="s">
        <v>19</v>
      </c>
      <c r="L820" s="96" t="s">
        <v>20</v>
      </c>
      <c r="M820" s="96" t="s">
        <v>21</v>
      </c>
      <c r="N820" s="96" t="s">
        <v>22</v>
      </c>
      <c r="O820" s="96" t="s">
        <v>23</v>
      </c>
      <c r="P820" s="96" t="s">
        <v>24</v>
      </c>
      <c r="Q820" s="96" t="s">
        <v>25</v>
      </c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  <c r="AL820" s="54"/>
      <c r="AM820" s="54"/>
      <c r="AN820" s="54"/>
      <c r="AO820" s="54"/>
      <c r="AP820" s="54"/>
      <c r="AQ820" s="54"/>
      <c r="AR820" s="54"/>
      <c r="AS820" s="54"/>
      <c r="AT820" s="54"/>
      <c r="AU820" s="54"/>
      <c r="AV820" s="54"/>
      <c r="AW820" s="54"/>
      <c r="AX820" s="54"/>
      <c r="AY820" s="54"/>
      <c r="AZ820" s="54"/>
      <c r="BA820" s="54"/>
      <c r="BB820" s="54"/>
      <c r="BC820" s="54"/>
      <c r="BD820" s="54"/>
      <c r="BE820" s="54"/>
      <c r="BF820" s="54"/>
      <c r="BG820" s="54"/>
      <c r="BH820" s="54"/>
      <c r="BI820" s="54"/>
      <c r="BJ820" s="54"/>
      <c r="BK820" s="54"/>
      <c r="BL820" s="54"/>
      <c r="BM820" s="54"/>
      <c r="BN820" s="54"/>
      <c r="BO820" s="54"/>
      <c r="BP820" s="54"/>
      <c r="BQ820" s="54"/>
      <c r="BR820" s="54"/>
      <c r="BS820" s="54"/>
      <c r="BT820" s="54"/>
      <c r="BU820" s="54"/>
      <c r="BV820" s="54"/>
      <c r="BW820" s="54"/>
      <c r="BX820" s="54"/>
      <c r="BY820" s="54"/>
      <c r="BZ820" s="54"/>
      <c r="CA820" s="54"/>
      <c r="CB820" s="54"/>
      <c r="CC820" s="54"/>
      <c r="CD820" s="54"/>
      <c r="CE820" s="54"/>
      <c r="CF820" s="54"/>
      <c r="CG820" s="54"/>
      <c r="CH820" s="54"/>
      <c r="CI820" s="54"/>
      <c r="CJ820" s="54"/>
      <c r="CK820" s="54"/>
      <c r="CL820" s="54"/>
      <c r="CM820" s="54"/>
      <c r="CN820" s="54"/>
      <c r="CO820" s="54"/>
      <c r="CP820" s="54"/>
      <c r="CQ820" s="54"/>
      <c r="CR820" s="54"/>
      <c r="CS820" s="54"/>
      <c r="CT820" s="54"/>
      <c r="CU820" s="54"/>
      <c r="CV820" s="54"/>
      <c r="CW820" s="54"/>
      <c r="CX820" s="54"/>
      <c r="CY820" s="54"/>
      <c r="CZ820" s="54"/>
      <c r="DA820" s="54"/>
      <c r="DB820" s="54"/>
      <c r="DC820" s="54"/>
      <c r="DD820" s="54"/>
      <c r="DE820" s="54"/>
      <c r="DF820" s="54"/>
      <c r="DG820" s="54"/>
      <c r="DH820" s="54"/>
      <c r="DI820" s="54"/>
      <c r="DJ820" s="54"/>
      <c r="DK820" s="54"/>
      <c r="DL820" s="54"/>
      <c r="DM820" s="54"/>
      <c r="DN820" s="54"/>
      <c r="DO820" s="54"/>
      <c r="DP820" s="54"/>
      <c r="DQ820" s="54"/>
      <c r="DR820" s="54"/>
      <c r="DS820" s="54"/>
      <c r="DT820" s="54"/>
      <c r="DU820" s="54"/>
      <c r="DV820" s="54"/>
      <c r="DW820" s="54"/>
      <c r="DX820" s="54"/>
      <c r="DY820" s="54"/>
      <c r="DZ820" s="54"/>
      <c r="EA820" s="54"/>
      <c r="EB820" s="54"/>
      <c r="EC820" s="54"/>
    </row>
    <row r="821" spans="1:133" s="56" customFormat="1" x14ac:dyDescent="0.25">
      <c r="A821" s="58" t="s">
        <v>26</v>
      </c>
      <c r="B821" s="58"/>
      <c r="C821" s="34"/>
      <c r="D821" s="34"/>
      <c r="E821" s="58"/>
      <c r="F821" s="16">
        <v>31</v>
      </c>
      <c r="G821" s="16">
        <v>28</v>
      </c>
      <c r="H821" s="16">
        <v>31</v>
      </c>
      <c r="I821" s="16">
        <v>30</v>
      </c>
      <c r="J821" s="16">
        <v>31</v>
      </c>
      <c r="K821" s="16">
        <v>30</v>
      </c>
      <c r="L821" s="16">
        <v>31</v>
      </c>
      <c r="M821" s="16">
        <v>31</v>
      </c>
      <c r="N821" s="16">
        <v>30</v>
      </c>
      <c r="O821" s="16">
        <v>31</v>
      </c>
      <c r="P821" s="16">
        <v>30</v>
      </c>
      <c r="Q821" s="16">
        <v>31</v>
      </c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  <c r="AL821" s="54"/>
      <c r="AM821" s="54"/>
      <c r="AN821" s="54"/>
      <c r="AO821" s="54"/>
      <c r="AP821" s="54"/>
      <c r="AQ821" s="54"/>
      <c r="AR821" s="54"/>
      <c r="AS821" s="54"/>
      <c r="AT821" s="54"/>
      <c r="AU821" s="54"/>
      <c r="AV821" s="54"/>
      <c r="AW821" s="54"/>
      <c r="AX821" s="54"/>
      <c r="AY821" s="54"/>
      <c r="AZ821" s="54"/>
      <c r="BA821" s="54"/>
      <c r="BB821" s="54"/>
      <c r="BC821" s="54"/>
      <c r="BD821" s="54"/>
      <c r="BE821" s="54"/>
      <c r="BF821" s="54"/>
      <c r="BG821" s="54"/>
      <c r="BH821" s="54"/>
      <c r="BI821" s="54"/>
      <c r="BJ821" s="54"/>
      <c r="BK821" s="54"/>
      <c r="BL821" s="54"/>
      <c r="BM821" s="54"/>
      <c r="BN821" s="54"/>
      <c r="BO821" s="54"/>
      <c r="BP821" s="54"/>
      <c r="BQ821" s="54"/>
      <c r="BR821" s="54"/>
      <c r="BS821" s="54"/>
      <c r="BT821" s="54"/>
      <c r="BU821" s="54"/>
      <c r="BV821" s="54"/>
      <c r="BW821" s="54"/>
      <c r="BX821" s="54"/>
      <c r="BY821" s="54"/>
      <c r="BZ821" s="54"/>
      <c r="CA821" s="54"/>
      <c r="CB821" s="54"/>
      <c r="CC821" s="54"/>
      <c r="CD821" s="54"/>
      <c r="CE821" s="54"/>
      <c r="CF821" s="54"/>
      <c r="CG821" s="54"/>
      <c r="CH821" s="54"/>
      <c r="CI821" s="54"/>
      <c r="CJ821" s="54"/>
      <c r="CK821" s="54"/>
      <c r="CL821" s="54"/>
      <c r="CM821" s="54"/>
      <c r="CN821" s="54"/>
      <c r="CO821" s="54"/>
      <c r="CP821" s="54"/>
      <c r="CQ821" s="54"/>
      <c r="CR821" s="54"/>
      <c r="CS821" s="54"/>
      <c r="CT821" s="54"/>
      <c r="CU821" s="54"/>
      <c r="CV821" s="54"/>
      <c r="CW821" s="54"/>
      <c r="CX821" s="54"/>
      <c r="CY821" s="54"/>
      <c r="CZ821" s="54"/>
      <c r="DA821" s="54"/>
      <c r="DB821" s="54"/>
      <c r="DC821" s="54"/>
      <c r="DD821" s="54"/>
      <c r="DE821" s="54"/>
      <c r="DF821" s="54"/>
      <c r="DG821" s="54"/>
      <c r="DH821" s="54"/>
      <c r="DI821" s="54"/>
      <c r="DJ821" s="54"/>
      <c r="DK821" s="54"/>
      <c r="DL821" s="54"/>
      <c r="DM821" s="54"/>
      <c r="DN821" s="54"/>
      <c r="DO821" s="54"/>
      <c r="DP821" s="54"/>
      <c r="DQ821" s="54"/>
      <c r="DR821" s="54"/>
      <c r="DS821" s="54"/>
      <c r="DT821" s="54"/>
      <c r="DU821" s="54"/>
      <c r="DV821" s="54"/>
      <c r="DW821" s="54"/>
      <c r="DX821" s="54"/>
      <c r="DY821" s="54"/>
      <c r="DZ821" s="54"/>
      <c r="EA821" s="54"/>
      <c r="EB821" s="54"/>
      <c r="EC821" s="54"/>
    </row>
    <row r="822" spans="1:133" ht="46.8" x14ac:dyDescent="0.25">
      <c r="A822" s="59" t="s">
        <v>27</v>
      </c>
      <c r="B822" s="60" t="s">
        <v>28</v>
      </c>
      <c r="C822" s="53" t="s">
        <v>29</v>
      </c>
      <c r="D822" s="53" t="s">
        <v>340</v>
      </c>
      <c r="E822" s="61">
        <f>SUM(F822:Q822)</f>
        <v>3168.39024299733</v>
      </c>
      <c r="F822" s="62">
        <f>$E$6*$E$7*F825*$E$19</f>
        <v>269.09615762443082</v>
      </c>
      <c r="G822" s="62">
        <f t="shared" ref="G822:Q822" si="120">$E$6*$E$7*G825*$E$19</f>
        <v>243.05459398335682</v>
      </c>
      <c r="H822" s="62">
        <f t="shared" si="120"/>
        <v>269.09615762443082</v>
      </c>
      <c r="I822" s="62">
        <f t="shared" si="120"/>
        <v>260.41563641073947</v>
      </c>
      <c r="J822" s="62">
        <f t="shared" si="120"/>
        <v>269.09615762443082</v>
      </c>
      <c r="K822" s="62">
        <f t="shared" si="120"/>
        <v>260.41563641073947</v>
      </c>
      <c r="L822" s="62">
        <f t="shared" si="120"/>
        <v>269.09615762443082</v>
      </c>
      <c r="M822" s="62">
        <f t="shared" si="120"/>
        <v>269.09615762443082</v>
      </c>
      <c r="N822" s="62">
        <f t="shared" si="120"/>
        <v>260.41563641073947</v>
      </c>
      <c r="O822" s="62">
        <f t="shared" si="120"/>
        <v>269.09615762443082</v>
      </c>
      <c r="P822" s="62">
        <f t="shared" si="120"/>
        <v>260.41563641073947</v>
      </c>
      <c r="Q822" s="62">
        <f t="shared" si="120"/>
        <v>269.09615762443082</v>
      </c>
    </row>
    <row r="823" spans="1:133" ht="31.2" x14ac:dyDescent="0.25">
      <c r="A823" s="63" t="s">
        <v>30</v>
      </c>
      <c r="B823" s="60" t="s">
        <v>208</v>
      </c>
      <c r="C823" s="35" t="s">
        <v>31</v>
      </c>
      <c r="D823" s="35" t="s">
        <v>220</v>
      </c>
      <c r="E823" s="113">
        <v>28</v>
      </c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5"/>
    </row>
    <row r="824" spans="1:133" ht="64.8" x14ac:dyDescent="0.25">
      <c r="A824" s="63" t="s">
        <v>32</v>
      </c>
      <c r="B824" s="25" t="s">
        <v>209</v>
      </c>
      <c r="C824" s="35" t="s">
        <v>34</v>
      </c>
      <c r="D824" s="35" t="s">
        <v>373</v>
      </c>
      <c r="E824" s="113">
        <v>0.21</v>
      </c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5"/>
    </row>
    <row r="825" spans="1:133" ht="46.8" x14ac:dyDescent="0.25">
      <c r="A825" s="35" t="s">
        <v>35</v>
      </c>
      <c r="B825" s="25" t="s">
        <v>210</v>
      </c>
      <c r="C825" s="53" t="s">
        <v>36</v>
      </c>
      <c r="D825" s="53" t="s">
        <v>341</v>
      </c>
      <c r="E825" s="64">
        <f t="shared" ref="E825:Q825" si="121">E833*E826</f>
        <v>998.08012136665207</v>
      </c>
      <c r="F825" s="64">
        <f t="shared" si="121"/>
        <v>84.768448664017043</v>
      </c>
      <c r="G825" s="64">
        <f t="shared" si="121"/>
        <v>76.56505040620894</v>
      </c>
      <c r="H825" s="64">
        <f t="shared" si="121"/>
        <v>84.768448664017043</v>
      </c>
      <c r="I825" s="64">
        <f t="shared" si="121"/>
        <v>82.033982578080995</v>
      </c>
      <c r="J825" s="64">
        <f t="shared" si="121"/>
        <v>84.768448664017043</v>
      </c>
      <c r="K825" s="64">
        <f t="shared" si="121"/>
        <v>82.033982578080995</v>
      </c>
      <c r="L825" s="64">
        <f t="shared" si="121"/>
        <v>84.768448664017043</v>
      </c>
      <c r="M825" s="64">
        <f t="shared" si="121"/>
        <v>84.768448664017043</v>
      </c>
      <c r="N825" s="64">
        <f t="shared" si="121"/>
        <v>82.033982578080995</v>
      </c>
      <c r="O825" s="64">
        <f t="shared" si="121"/>
        <v>84.768448664017043</v>
      </c>
      <c r="P825" s="64">
        <f t="shared" si="121"/>
        <v>82.033982578080995</v>
      </c>
      <c r="Q825" s="64">
        <f t="shared" si="121"/>
        <v>84.768448664017043</v>
      </c>
    </row>
    <row r="826" spans="1:133" ht="46.8" x14ac:dyDescent="0.25">
      <c r="A826" s="35" t="s">
        <v>37</v>
      </c>
      <c r="B826" s="25" t="s">
        <v>212</v>
      </c>
      <c r="C826" s="35" t="s">
        <v>206</v>
      </c>
      <c r="D826" s="35" t="s">
        <v>342</v>
      </c>
      <c r="E826" s="20">
        <f>SUM(F826:Q826)</f>
        <v>1051.1999999999998</v>
      </c>
      <c r="F826" s="20">
        <f>F828*F831</f>
        <v>89.28</v>
      </c>
      <c r="G826" s="20">
        <f t="shared" ref="G826:Q826" si="122">G828*G831</f>
        <v>80.64</v>
      </c>
      <c r="H826" s="20">
        <f t="shared" si="122"/>
        <v>89.28</v>
      </c>
      <c r="I826" s="20">
        <f t="shared" si="122"/>
        <v>86.399999999999991</v>
      </c>
      <c r="J826" s="20">
        <f t="shared" si="122"/>
        <v>89.28</v>
      </c>
      <c r="K826" s="20">
        <f t="shared" si="122"/>
        <v>86.399999999999991</v>
      </c>
      <c r="L826" s="20">
        <f t="shared" si="122"/>
        <v>89.28</v>
      </c>
      <c r="M826" s="20">
        <f t="shared" si="122"/>
        <v>89.28</v>
      </c>
      <c r="N826" s="20">
        <f t="shared" si="122"/>
        <v>86.399999999999991</v>
      </c>
      <c r="O826" s="20">
        <f t="shared" si="122"/>
        <v>89.28</v>
      </c>
      <c r="P826" s="20">
        <f t="shared" si="122"/>
        <v>86.399999999999991</v>
      </c>
      <c r="Q826" s="20">
        <f t="shared" si="122"/>
        <v>89.28</v>
      </c>
    </row>
    <row r="827" spans="1:133" ht="46.8" x14ac:dyDescent="0.3">
      <c r="A827" s="51" t="s">
        <v>221</v>
      </c>
      <c r="B827" s="60" t="s">
        <v>207</v>
      </c>
      <c r="C827" s="35" t="s">
        <v>39</v>
      </c>
      <c r="D827" s="35" t="s">
        <v>222</v>
      </c>
      <c r="E827" s="20">
        <v>6400</v>
      </c>
      <c r="F827" s="20">
        <v>6400</v>
      </c>
      <c r="G827" s="20">
        <v>6400</v>
      </c>
      <c r="H827" s="20">
        <v>6400</v>
      </c>
      <c r="I827" s="20">
        <v>6400</v>
      </c>
      <c r="J827" s="20">
        <v>6400</v>
      </c>
      <c r="K827" s="20">
        <v>6400</v>
      </c>
      <c r="L827" s="20">
        <v>6400</v>
      </c>
      <c r="M827" s="20">
        <v>6400</v>
      </c>
      <c r="N827" s="20">
        <v>6400</v>
      </c>
      <c r="O827" s="20">
        <v>6400</v>
      </c>
      <c r="P827" s="20">
        <v>6400</v>
      </c>
      <c r="Q827" s="20">
        <v>6400</v>
      </c>
    </row>
    <row r="828" spans="1:133" ht="46.8" x14ac:dyDescent="0.25">
      <c r="A828" s="35" t="s">
        <v>41</v>
      </c>
      <c r="B828" s="60" t="s">
        <v>213</v>
      </c>
      <c r="C828" s="35" t="s">
        <v>42</v>
      </c>
      <c r="D828" s="35" t="s">
        <v>326</v>
      </c>
      <c r="E828" s="65">
        <f>SUM(F828:Q828)</f>
        <v>2336000</v>
      </c>
      <c r="F828" s="65">
        <f>F827*F821</f>
        <v>198400</v>
      </c>
      <c r="G828" s="65">
        <f t="shared" ref="G828:Q828" si="123">G827*G821</f>
        <v>179200</v>
      </c>
      <c r="H828" s="65">
        <f t="shared" si="123"/>
        <v>198400</v>
      </c>
      <c r="I828" s="65">
        <f t="shared" si="123"/>
        <v>192000</v>
      </c>
      <c r="J828" s="65">
        <f t="shared" si="123"/>
        <v>198400</v>
      </c>
      <c r="K828" s="65">
        <f t="shared" si="123"/>
        <v>192000</v>
      </c>
      <c r="L828" s="65">
        <f t="shared" si="123"/>
        <v>198400</v>
      </c>
      <c r="M828" s="65">
        <f t="shared" si="123"/>
        <v>198400</v>
      </c>
      <c r="N828" s="65">
        <f t="shared" si="123"/>
        <v>192000</v>
      </c>
      <c r="O828" s="65">
        <f t="shared" si="123"/>
        <v>198400</v>
      </c>
      <c r="P828" s="65">
        <f t="shared" si="123"/>
        <v>192000</v>
      </c>
      <c r="Q828" s="65">
        <f t="shared" si="123"/>
        <v>198400</v>
      </c>
    </row>
    <row r="829" spans="1:133" ht="62.4" x14ac:dyDescent="0.25">
      <c r="A829" s="35" t="s">
        <v>43</v>
      </c>
      <c r="B829" s="60" t="s">
        <v>214</v>
      </c>
      <c r="C829" s="35" t="s">
        <v>44</v>
      </c>
      <c r="D829" s="35" t="s">
        <v>40</v>
      </c>
      <c r="E829" s="66">
        <v>450</v>
      </c>
      <c r="F829" s="66">
        <v>450</v>
      </c>
      <c r="G829" s="66">
        <v>450</v>
      </c>
      <c r="H829" s="66">
        <v>450</v>
      </c>
      <c r="I829" s="66">
        <v>450</v>
      </c>
      <c r="J829" s="66">
        <v>450</v>
      </c>
      <c r="K829" s="66">
        <v>450</v>
      </c>
      <c r="L829" s="66">
        <v>450</v>
      </c>
      <c r="M829" s="66">
        <v>450</v>
      </c>
      <c r="N829" s="66">
        <v>450</v>
      </c>
      <c r="O829" s="66">
        <v>450</v>
      </c>
      <c r="P829" s="66">
        <v>450</v>
      </c>
      <c r="Q829" s="66">
        <v>450</v>
      </c>
    </row>
    <row r="830" spans="1:133" ht="62.4" x14ac:dyDescent="0.25">
      <c r="A830" s="35" t="s">
        <v>45</v>
      </c>
      <c r="B830" s="60" t="s">
        <v>214</v>
      </c>
      <c r="C830" s="35" t="s">
        <v>46</v>
      </c>
      <c r="D830" s="35" t="s">
        <v>40</v>
      </c>
      <c r="E830" s="65">
        <v>40</v>
      </c>
      <c r="F830" s="65">
        <v>40</v>
      </c>
      <c r="G830" s="65">
        <v>40</v>
      </c>
      <c r="H830" s="65">
        <v>40</v>
      </c>
      <c r="I830" s="65">
        <v>40</v>
      </c>
      <c r="J830" s="65">
        <v>40</v>
      </c>
      <c r="K830" s="65">
        <v>40</v>
      </c>
      <c r="L830" s="65">
        <v>40</v>
      </c>
      <c r="M830" s="65">
        <v>40</v>
      </c>
      <c r="N830" s="65">
        <v>40</v>
      </c>
      <c r="O830" s="65">
        <v>40</v>
      </c>
      <c r="P830" s="65">
        <v>40</v>
      </c>
      <c r="Q830" s="65">
        <v>40</v>
      </c>
    </row>
    <row r="831" spans="1:133" ht="62.4" x14ac:dyDescent="0.25">
      <c r="A831" s="35" t="s">
        <v>47</v>
      </c>
      <c r="B831" s="60" t="s">
        <v>215</v>
      </c>
      <c r="C831" s="35" t="s">
        <v>49</v>
      </c>
      <c r="D831" s="35" t="s">
        <v>324</v>
      </c>
      <c r="E831" s="67">
        <f>E829/1000000</f>
        <v>4.4999999999999999E-4</v>
      </c>
      <c r="F831" s="22">
        <f>F829/1000000</f>
        <v>4.4999999999999999E-4</v>
      </c>
      <c r="G831" s="22">
        <f t="shared" ref="G831:Q831" si="124">G829/1000000</f>
        <v>4.4999999999999999E-4</v>
      </c>
      <c r="H831" s="22">
        <f t="shared" si="124"/>
        <v>4.4999999999999999E-4</v>
      </c>
      <c r="I831" s="22">
        <f t="shared" si="124"/>
        <v>4.4999999999999999E-4</v>
      </c>
      <c r="J831" s="22">
        <f t="shared" si="124"/>
        <v>4.4999999999999999E-4</v>
      </c>
      <c r="K831" s="22">
        <f t="shared" si="124"/>
        <v>4.4999999999999999E-4</v>
      </c>
      <c r="L831" s="22">
        <f t="shared" si="124"/>
        <v>4.4999999999999999E-4</v>
      </c>
      <c r="M831" s="22">
        <f t="shared" si="124"/>
        <v>4.4999999999999999E-4</v>
      </c>
      <c r="N831" s="22">
        <f t="shared" si="124"/>
        <v>4.4999999999999999E-4</v>
      </c>
      <c r="O831" s="22">
        <f t="shared" si="124"/>
        <v>4.4999999999999999E-4</v>
      </c>
      <c r="P831" s="22">
        <f t="shared" si="124"/>
        <v>4.4999999999999999E-4</v>
      </c>
      <c r="Q831" s="22">
        <f t="shared" si="124"/>
        <v>4.4999999999999999E-4</v>
      </c>
    </row>
    <row r="832" spans="1:133" ht="62.4" x14ac:dyDescent="0.25">
      <c r="A832" s="35" t="s">
        <v>45</v>
      </c>
      <c r="B832" s="60" t="s">
        <v>48</v>
      </c>
      <c r="C832" s="35" t="s">
        <v>50</v>
      </c>
      <c r="D832" s="35" t="s">
        <v>325</v>
      </c>
      <c r="E832" s="67">
        <f>E830/1000000</f>
        <v>4.0000000000000003E-5</v>
      </c>
      <c r="F832" s="22">
        <f>F830/1000000</f>
        <v>4.0000000000000003E-5</v>
      </c>
      <c r="G832" s="22">
        <f t="shared" ref="G832:Q832" si="125">G830/1000000</f>
        <v>4.0000000000000003E-5</v>
      </c>
      <c r="H832" s="22">
        <f t="shared" si="125"/>
        <v>4.0000000000000003E-5</v>
      </c>
      <c r="I832" s="22">
        <f t="shared" si="125"/>
        <v>4.0000000000000003E-5</v>
      </c>
      <c r="J832" s="22">
        <f t="shared" si="125"/>
        <v>4.0000000000000003E-5</v>
      </c>
      <c r="K832" s="22">
        <f t="shared" si="125"/>
        <v>4.0000000000000003E-5</v>
      </c>
      <c r="L832" s="22">
        <f t="shared" si="125"/>
        <v>4.0000000000000003E-5</v>
      </c>
      <c r="M832" s="22">
        <f t="shared" si="125"/>
        <v>4.0000000000000003E-5</v>
      </c>
      <c r="N832" s="22">
        <f t="shared" si="125"/>
        <v>4.0000000000000003E-5</v>
      </c>
      <c r="O832" s="22">
        <f t="shared" si="125"/>
        <v>4.0000000000000003E-5</v>
      </c>
      <c r="P832" s="22">
        <f t="shared" si="125"/>
        <v>4.0000000000000003E-5</v>
      </c>
      <c r="Q832" s="22">
        <f t="shared" si="125"/>
        <v>4.0000000000000003E-5</v>
      </c>
    </row>
    <row r="833" spans="1:133" ht="46.8" x14ac:dyDescent="0.25">
      <c r="A833" s="63" t="s">
        <v>51</v>
      </c>
      <c r="B833" s="25" t="s">
        <v>216</v>
      </c>
      <c r="C833" s="35" t="s">
        <v>53</v>
      </c>
      <c r="D833" s="35" t="s">
        <v>343</v>
      </c>
      <c r="E833" s="68">
        <f>(1-(E834/E835))</f>
        <v>0.94946739095001165</v>
      </c>
      <c r="F833" s="68">
        <f>E833</f>
        <v>0.94946739095001165</v>
      </c>
      <c r="G833" s="68">
        <f>E833</f>
        <v>0.94946739095001165</v>
      </c>
      <c r="H833" s="68">
        <f>E833</f>
        <v>0.94946739095001165</v>
      </c>
      <c r="I833" s="68">
        <f>E833</f>
        <v>0.94946739095001165</v>
      </c>
      <c r="J833" s="68">
        <f>E833</f>
        <v>0.94946739095001165</v>
      </c>
      <c r="K833" s="68">
        <f>E833</f>
        <v>0.94946739095001165</v>
      </c>
      <c r="L833" s="68">
        <f>E833</f>
        <v>0.94946739095001165</v>
      </c>
      <c r="M833" s="68">
        <f>E833</f>
        <v>0.94946739095001165</v>
      </c>
      <c r="N833" s="68">
        <f>E833</f>
        <v>0.94946739095001165</v>
      </c>
      <c r="O833" s="68">
        <f>E833</f>
        <v>0.94946739095001165</v>
      </c>
      <c r="P833" s="68">
        <f>E833</f>
        <v>0.94946739095001165</v>
      </c>
      <c r="Q833" s="68">
        <f>E833</f>
        <v>0.94946739095001165</v>
      </c>
    </row>
    <row r="834" spans="1:133" ht="31.2" x14ac:dyDescent="0.25">
      <c r="A834" s="35" t="s">
        <v>54</v>
      </c>
      <c r="B834" s="25" t="s">
        <v>211</v>
      </c>
      <c r="C834" s="35" t="s">
        <v>55</v>
      </c>
      <c r="D834" s="35" t="s">
        <v>323</v>
      </c>
      <c r="E834" s="52">
        <f>SUM(F834:Q834)</f>
        <v>37.686669020000011</v>
      </c>
      <c r="F834" s="52">
        <v>3.2007855880000005</v>
      </c>
      <c r="G834" s="52">
        <v>2.8910321440000004</v>
      </c>
      <c r="H834" s="52">
        <v>3.2007855880000005</v>
      </c>
      <c r="I834" s="52">
        <v>3.0975344400000004</v>
      </c>
      <c r="J834" s="52">
        <v>3.2007855880000005</v>
      </c>
      <c r="K834" s="52">
        <v>3.0975344400000004</v>
      </c>
      <c r="L834" s="52">
        <v>3.2007855880000005</v>
      </c>
      <c r="M834" s="52">
        <v>3.2007855880000005</v>
      </c>
      <c r="N834" s="52">
        <v>3.0975344400000004</v>
      </c>
      <c r="O834" s="52">
        <v>3.2007855880000005</v>
      </c>
      <c r="P834" s="52">
        <v>3.0975344400000004</v>
      </c>
      <c r="Q834" s="52">
        <v>3.2007855880000005</v>
      </c>
    </row>
    <row r="835" spans="1:133" ht="31.2" x14ac:dyDescent="0.25">
      <c r="A835" s="63" t="s">
        <v>56</v>
      </c>
      <c r="B835" s="25" t="s">
        <v>38</v>
      </c>
      <c r="C835" s="35" t="s">
        <v>57</v>
      </c>
      <c r="D835" s="35" t="s">
        <v>323</v>
      </c>
      <c r="E835" s="52">
        <f>SUM(F835:Q835)</f>
        <v>745.78909991999979</v>
      </c>
      <c r="F835" s="52">
        <v>63.34099204799999</v>
      </c>
      <c r="G835" s="52">
        <v>57.21121862399999</v>
      </c>
      <c r="H835" s="52">
        <v>63.34099204799999</v>
      </c>
      <c r="I835" s="52">
        <v>61.297734239999997</v>
      </c>
      <c r="J835" s="52">
        <v>63.34099204799999</v>
      </c>
      <c r="K835" s="52">
        <v>61.297734239999997</v>
      </c>
      <c r="L835" s="52">
        <v>63.34099204799999</v>
      </c>
      <c r="M835" s="52">
        <v>63.34099204799999</v>
      </c>
      <c r="N835" s="52">
        <v>61.297734239999997</v>
      </c>
      <c r="O835" s="52">
        <v>63.34099204799999</v>
      </c>
      <c r="P835" s="52">
        <v>61.297734239999997</v>
      </c>
      <c r="Q835" s="52">
        <v>63.34099204799999</v>
      </c>
    </row>
    <row r="836" spans="1:133" ht="31.2" x14ac:dyDescent="0.25">
      <c r="A836" s="53" t="s">
        <v>58</v>
      </c>
      <c r="B836" s="25" t="s">
        <v>216</v>
      </c>
      <c r="C836" s="53" t="s">
        <v>59</v>
      </c>
      <c r="D836" s="35" t="s">
        <v>344</v>
      </c>
      <c r="E836" s="116">
        <f>E837*E838*0.89</f>
        <v>0.53574843703498931</v>
      </c>
      <c r="F836" s="117"/>
      <c r="G836" s="117"/>
      <c r="H836" s="117"/>
      <c r="I836" s="117"/>
      <c r="J836" s="117"/>
      <c r="K836" s="117"/>
      <c r="L836" s="117"/>
      <c r="M836" s="117"/>
      <c r="N836" s="117"/>
      <c r="O836" s="117"/>
      <c r="P836" s="117"/>
      <c r="Q836" s="118"/>
    </row>
    <row r="837" spans="1:133" ht="31.2" x14ac:dyDescent="0.25">
      <c r="A837" s="70" t="s">
        <v>60</v>
      </c>
      <c r="B837" s="25" t="s">
        <v>216</v>
      </c>
      <c r="C837" s="53" t="s">
        <v>61</v>
      </c>
      <c r="D837" s="35" t="s">
        <v>345</v>
      </c>
      <c r="E837" s="119">
        <v>0.7</v>
      </c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1"/>
    </row>
    <row r="838" spans="1:133" ht="36" customHeight="1" x14ac:dyDescent="0.25">
      <c r="A838" s="70" t="s">
        <v>62</v>
      </c>
      <c r="B838" s="25" t="s">
        <v>52</v>
      </c>
      <c r="C838" s="53" t="s">
        <v>63</v>
      </c>
      <c r="D838" s="35" t="s">
        <v>346</v>
      </c>
      <c r="E838" s="122">
        <f>(F839*F844+G839*G844+H839*H844+I839*I844+J839*J844+K839*K844+L839*L844+M839*M844+N839*N844+O839*O844+P839*P844+Q839*Q844)/(F833*F828*F831+G833*G831*G828+H833*H828*H831+I833*I831*I828+J833*J831*J828+K833*K831*K828+L833*L831*L828+M833*M831*M828+N833*N831*N828+O833*O828*O831+P833*P831*P828+Q833*Q831*Q828)</f>
        <v>0.85994933713481447</v>
      </c>
      <c r="F838" s="123"/>
      <c r="G838" s="123"/>
      <c r="H838" s="123"/>
      <c r="I838" s="123"/>
      <c r="J838" s="123"/>
      <c r="K838" s="123"/>
      <c r="L838" s="123"/>
      <c r="M838" s="123"/>
      <c r="N838" s="123"/>
      <c r="O838" s="123"/>
      <c r="P838" s="123"/>
      <c r="Q838" s="124"/>
    </row>
    <row r="839" spans="1:133" s="9" customFormat="1" ht="46.8" x14ac:dyDescent="0.4">
      <c r="A839" s="71" t="s">
        <v>64</v>
      </c>
      <c r="B839" s="25" t="s">
        <v>52</v>
      </c>
      <c r="C839" s="53" t="s">
        <v>65</v>
      </c>
      <c r="D839" s="53" t="s">
        <v>347</v>
      </c>
      <c r="E839" s="72">
        <f>AVERAGE(F839:Q839)</f>
        <v>0.63610765135267333</v>
      </c>
      <c r="F839" s="72">
        <f t="shared" ref="F839:Q839" si="126">IF(F843&lt;283,0,IF(F843&gt;303,1,EXP(($E$23*(F843-$E$24))/($E$25*$E$24*F843))))</f>
        <v>0.29505266129807517</v>
      </c>
      <c r="G839" s="72">
        <f t="shared" si="126"/>
        <v>0.32317176495848171</v>
      </c>
      <c r="H839" s="72">
        <f t="shared" si="126"/>
        <v>0.42307437878932203</v>
      </c>
      <c r="I839" s="72">
        <f t="shared" si="126"/>
        <v>0.55084569341606926</v>
      </c>
      <c r="J839" s="72">
        <f t="shared" si="126"/>
        <v>0.77675425208684001</v>
      </c>
      <c r="K839" s="72">
        <f t="shared" si="126"/>
        <v>0.91923925774048054</v>
      </c>
      <c r="L839" s="72">
        <f t="shared" si="126"/>
        <v>0.91923925774048054</v>
      </c>
      <c r="M839" s="72">
        <f t="shared" si="126"/>
        <v>0.91923925774048054</v>
      </c>
      <c r="N839" s="72">
        <f t="shared" si="126"/>
        <v>0.91923925774048054</v>
      </c>
      <c r="O839" s="72">
        <f t="shared" si="126"/>
        <v>0.71341857634681827</v>
      </c>
      <c r="P839" s="72">
        <f t="shared" si="126"/>
        <v>0.55084569341606926</v>
      </c>
      <c r="Q839" s="72">
        <f t="shared" si="126"/>
        <v>0.32317176495848171</v>
      </c>
      <c r="R839" s="78"/>
      <c r="S839" s="78"/>
      <c r="T839" s="78"/>
      <c r="U839" s="78"/>
      <c r="V839" s="78"/>
      <c r="W839" s="78"/>
      <c r="X839" s="78"/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  <c r="AL839" s="78"/>
      <c r="AM839" s="78"/>
      <c r="AN839" s="78"/>
      <c r="AO839" s="78"/>
      <c r="AP839" s="78"/>
      <c r="AQ839" s="78"/>
      <c r="AR839" s="78"/>
      <c r="AS839" s="78"/>
      <c r="AT839" s="78"/>
      <c r="AU839" s="78"/>
      <c r="AV839" s="78"/>
      <c r="AW839" s="78"/>
      <c r="AX839" s="78"/>
      <c r="AY839" s="78"/>
      <c r="AZ839" s="78"/>
      <c r="BA839" s="78"/>
      <c r="BB839" s="78"/>
      <c r="BC839" s="78"/>
      <c r="BD839" s="78"/>
      <c r="BE839" s="78"/>
      <c r="BF839" s="78"/>
      <c r="BG839" s="78"/>
      <c r="BH839" s="78"/>
      <c r="BI839" s="78"/>
      <c r="BJ839" s="78"/>
      <c r="BK839" s="78"/>
      <c r="BL839" s="78"/>
      <c r="BM839" s="78"/>
      <c r="BN839" s="78"/>
      <c r="BO839" s="78"/>
      <c r="BP839" s="78"/>
      <c r="BQ839" s="78"/>
      <c r="BR839" s="78"/>
      <c r="BS839" s="78"/>
      <c r="BT839" s="78"/>
      <c r="BU839" s="78"/>
      <c r="BV839" s="78"/>
      <c r="BW839" s="78"/>
      <c r="BX839" s="78"/>
      <c r="BY839" s="78"/>
      <c r="BZ839" s="78"/>
      <c r="CA839" s="78"/>
      <c r="CB839" s="78"/>
      <c r="CC839" s="78"/>
      <c r="CD839" s="78"/>
      <c r="CE839" s="78"/>
      <c r="CF839" s="78"/>
      <c r="CG839" s="78"/>
      <c r="CH839" s="78"/>
      <c r="CI839" s="78"/>
      <c r="CJ839" s="78"/>
      <c r="CK839" s="78"/>
      <c r="CL839" s="78"/>
      <c r="CM839" s="78"/>
      <c r="CN839" s="78"/>
      <c r="CO839" s="78"/>
      <c r="CP839" s="78"/>
      <c r="CQ839" s="78"/>
      <c r="CR839" s="78"/>
      <c r="CS839" s="78"/>
      <c r="CT839" s="78"/>
      <c r="CU839" s="78"/>
      <c r="CV839" s="78"/>
      <c r="CW839" s="78"/>
      <c r="CX839" s="78"/>
      <c r="CY839" s="78"/>
      <c r="CZ839" s="78"/>
      <c r="DA839" s="78"/>
      <c r="DB839" s="78"/>
      <c r="DC839" s="78"/>
      <c r="DD839" s="78"/>
      <c r="DE839" s="78"/>
      <c r="DF839" s="78"/>
      <c r="DG839" s="78"/>
      <c r="DH839" s="78"/>
      <c r="DI839" s="78"/>
      <c r="DJ839" s="78"/>
      <c r="DK839" s="78"/>
      <c r="DL839" s="78"/>
      <c r="DM839" s="78"/>
      <c r="DN839" s="78"/>
      <c r="DO839" s="78"/>
      <c r="DP839" s="78"/>
      <c r="DQ839" s="78"/>
      <c r="DR839" s="78"/>
      <c r="DS839" s="78"/>
      <c r="DT839" s="78"/>
      <c r="DU839" s="78"/>
      <c r="DV839" s="78"/>
      <c r="DW839" s="78"/>
      <c r="DX839" s="78"/>
      <c r="DY839" s="78"/>
      <c r="DZ839" s="78"/>
      <c r="EA839" s="78"/>
      <c r="EB839" s="78"/>
      <c r="EC839" s="78"/>
    </row>
    <row r="840" spans="1:133" s="9" customFormat="1" x14ac:dyDescent="0.25">
      <c r="A840" s="73" t="s">
        <v>66</v>
      </c>
      <c r="B840" s="60" t="s">
        <v>217</v>
      </c>
      <c r="C840" s="53" t="s">
        <v>68</v>
      </c>
      <c r="D840" s="53" t="s">
        <v>348</v>
      </c>
      <c r="E840" s="119">
        <v>15175</v>
      </c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1"/>
      <c r="R840" s="78"/>
      <c r="S840" s="78"/>
      <c r="T840" s="78"/>
      <c r="U840" s="78"/>
      <c r="V840" s="78"/>
      <c r="W840" s="78"/>
      <c r="X840" s="78"/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  <c r="AL840" s="78"/>
      <c r="AM840" s="78"/>
      <c r="AN840" s="78"/>
      <c r="AO840" s="78"/>
      <c r="AP840" s="78"/>
      <c r="AQ840" s="78"/>
      <c r="AR840" s="78"/>
      <c r="AS840" s="78"/>
      <c r="AT840" s="78"/>
      <c r="AU840" s="78"/>
      <c r="AV840" s="78"/>
      <c r="AW840" s="78"/>
      <c r="AX840" s="78"/>
      <c r="AY840" s="78"/>
      <c r="AZ840" s="78"/>
      <c r="BA840" s="78"/>
      <c r="BB840" s="78"/>
      <c r="BC840" s="78"/>
      <c r="BD840" s="78"/>
      <c r="BE840" s="78"/>
      <c r="BF840" s="78"/>
      <c r="BG840" s="78"/>
      <c r="BH840" s="78"/>
      <c r="BI840" s="78"/>
      <c r="BJ840" s="78"/>
      <c r="BK840" s="78"/>
      <c r="BL840" s="78"/>
      <c r="BM840" s="78"/>
      <c r="BN840" s="78"/>
      <c r="BO840" s="78"/>
      <c r="BP840" s="78"/>
      <c r="BQ840" s="78"/>
      <c r="BR840" s="78"/>
      <c r="BS840" s="78"/>
      <c r="BT840" s="78"/>
      <c r="BU840" s="78"/>
      <c r="BV840" s="78"/>
      <c r="BW840" s="78"/>
      <c r="BX840" s="78"/>
      <c r="BY840" s="78"/>
      <c r="BZ840" s="78"/>
      <c r="CA840" s="78"/>
      <c r="CB840" s="78"/>
      <c r="CC840" s="78"/>
      <c r="CD840" s="78"/>
      <c r="CE840" s="78"/>
      <c r="CF840" s="78"/>
      <c r="CG840" s="78"/>
      <c r="CH840" s="78"/>
      <c r="CI840" s="78"/>
      <c r="CJ840" s="78"/>
      <c r="CK840" s="78"/>
      <c r="CL840" s="78"/>
      <c r="CM840" s="78"/>
      <c r="CN840" s="78"/>
      <c r="CO840" s="78"/>
      <c r="CP840" s="78"/>
      <c r="CQ840" s="78"/>
      <c r="CR840" s="78"/>
      <c r="CS840" s="78"/>
      <c r="CT840" s="78"/>
      <c r="CU840" s="78"/>
      <c r="CV840" s="78"/>
      <c r="CW840" s="78"/>
      <c r="CX840" s="78"/>
      <c r="CY840" s="78"/>
      <c r="CZ840" s="78"/>
      <c r="DA840" s="78"/>
      <c r="DB840" s="78"/>
      <c r="DC840" s="78"/>
      <c r="DD840" s="78"/>
      <c r="DE840" s="78"/>
      <c r="DF840" s="78"/>
      <c r="DG840" s="78"/>
      <c r="DH840" s="78"/>
      <c r="DI840" s="78"/>
      <c r="DJ840" s="78"/>
      <c r="DK840" s="78"/>
      <c r="DL840" s="78"/>
      <c r="DM840" s="78"/>
      <c r="DN840" s="78"/>
      <c r="DO840" s="78"/>
      <c r="DP840" s="78"/>
      <c r="DQ840" s="78"/>
      <c r="DR840" s="78"/>
      <c r="DS840" s="78"/>
      <c r="DT840" s="78"/>
      <c r="DU840" s="78"/>
      <c r="DV840" s="78"/>
      <c r="DW840" s="78"/>
      <c r="DX840" s="78"/>
      <c r="DY840" s="78"/>
      <c r="DZ840" s="78"/>
      <c r="EA840" s="78"/>
      <c r="EB840" s="78"/>
      <c r="EC840" s="78"/>
    </row>
    <row r="841" spans="1:133" s="9" customFormat="1" ht="18" x14ac:dyDescent="0.25">
      <c r="A841" s="73" t="s">
        <v>69</v>
      </c>
      <c r="B841" s="60" t="s">
        <v>218</v>
      </c>
      <c r="C841" s="53" t="s">
        <v>71</v>
      </c>
      <c r="D841" s="53" t="s">
        <v>348</v>
      </c>
      <c r="E841" s="119">
        <v>303.16000000000003</v>
      </c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1"/>
      <c r="R841" s="78"/>
      <c r="S841" s="78"/>
      <c r="T841" s="78"/>
      <c r="U841" s="78"/>
      <c r="V841" s="78"/>
      <c r="W841" s="78"/>
      <c r="X841" s="78"/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  <c r="AL841" s="78"/>
      <c r="AM841" s="78"/>
      <c r="AN841" s="78"/>
      <c r="AO841" s="78"/>
      <c r="AP841" s="78"/>
      <c r="AQ841" s="78"/>
      <c r="AR841" s="78"/>
      <c r="AS841" s="78"/>
      <c r="AT841" s="78"/>
      <c r="AU841" s="78"/>
      <c r="AV841" s="78"/>
      <c r="AW841" s="78"/>
      <c r="AX841" s="78"/>
      <c r="AY841" s="78"/>
      <c r="AZ841" s="78"/>
      <c r="BA841" s="78"/>
      <c r="BB841" s="78"/>
      <c r="BC841" s="78"/>
      <c r="BD841" s="78"/>
      <c r="BE841" s="78"/>
      <c r="BF841" s="78"/>
      <c r="BG841" s="78"/>
      <c r="BH841" s="78"/>
      <c r="BI841" s="78"/>
      <c r="BJ841" s="78"/>
      <c r="BK841" s="78"/>
      <c r="BL841" s="78"/>
      <c r="BM841" s="78"/>
      <c r="BN841" s="78"/>
      <c r="BO841" s="78"/>
      <c r="BP841" s="78"/>
      <c r="BQ841" s="78"/>
      <c r="BR841" s="78"/>
      <c r="BS841" s="78"/>
      <c r="BT841" s="78"/>
      <c r="BU841" s="78"/>
      <c r="BV841" s="78"/>
      <c r="BW841" s="78"/>
      <c r="BX841" s="78"/>
      <c r="BY841" s="78"/>
      <c r="BZ841" s="78"/>
      <c r="CA841" s="78"/>
      <c r="CB841" s="78"/>
      <c r="CC841" s="78"/>
      <c r="CD841" s="78"/>
      <c r="CE841" s="78"/>
      <c r="CF841" s="78"/>
      <c r="CG841" s="78"/>
      <c r="CH841" s="78"/>
      <c r="CI841" s="78"/>
      <c r="CJ841" s="78"/>
      <c r="CK841" s="78"/>
      <c r="CL841" s="78"/>
      <c r="CM841" s="78"/>
      <c r="CN841" s="78"/>
      <c r="CO841" s="78"/>
      <c r="CP841" s="78"/>
      <c r="CQ841" s="78"/>
      <c r="CR841" s="78"/>
      <c r="CS841" s="78"/>
      <c r="CT841" s="78"/>
      <c r="CU841" s="78"/>
      <c r="CV841" s="78"/>
      <c r="CW841" s="78"/>
      <c r="CX841" s="78"/>
      <c r="CY841" s="78"/>
      <c r="CZ841" s="78"/>
      <c r="DA841" s="78"/>
      <c r="DB841" s="78"/>
      <c r="DC841" s="78"/>
      <c r="DD841" s="78"/>
      <c r="DE841" s="78"/>
      <c r="DF841" s="78"/>
      <c r="DG841" s="78"/>
      <c r="DH841" s="78"/>
      <c r="DI841" s="78"/>
      <c r="DJ841" s="78"/>
      <c r="DK841" s="78"/>
      <c r="DL841" s="78"/>
      <c r="DM841" s="78"/>
      <c r="DN841" s="78"/>
      <c r="DO841" s="78"/>
      <c r="DP841" s="78"/>
      <c r="DQ841" s="78"/>
      <c r="DR841" s="78"/>
      <c r="DS841" s="78"/>
      <c r="DT841" s="78"/>
      <c r="DU841" s="78"/>
      <c r="DV841" s="78"/>
      <c r="DW841" s="78"/>
      <c r="DX841" s="78"/>
      <c r="DY841" s="78"/>
      <c r="DZ841" s="78"/>
      <c r="EA841" s="78"/>
      <c r="EB841" s="78"/>
      <c r="EC841" s="78"/>
    </row>
    <row r="842" spans="1:133" s="9" customFormat="1" x14ac:dyDescent="0.25">
      <c r="A842" s="73" t="s">
        <v>72</v>
      </c>
      <c r="B842" s="60" t="s">
        <v>219</v>
      </c>
      <c r="C842" s="53" t="s">
        <v>74</v>
      </c>
      <c r="D842" s="53" t="s">
        <v>348</v>
      </c>
      <c r="E842" s="119">
        <v>1.9870000000000001</v>
      </c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1"/>
      <c r="R842" s="78"/>
      <c r="S842" s="78"/>
      <c r="T842" s="78"/>
      <c r="U842" s="78"/>
      <c r="V842" s="78"/>
      <c r="W842" s="78"/>
      <c r="X842" s="78"/>
      <c r="Y842" s="78"/>
      <c r="Z842" s="78"/>
      <c r="AA842" s="78"/>
      <c r="AB842" s="78"/>
      <c r="AC842" s="78"/>
      <c r="AD842" s="78"/>
      <c r="AE842" s="78"/>
      <c r="AF842" s="78"/>
      <c r="AG842" s="78"/>
      <c r="AH842" s="78"/>
      <c r="AI842" s="78"/>
      <c r="AJ842" s="78"/>
      <c r="AK842" s="78"/>
      <c r="AL842" s="78"/>
      <c r="AM842" s="78"/>
      <c r="AN842" s="78"/>
      <c r="AO842" s="78"/>
      <c r="AP842" s="78"/>
      <c r="AQ842" s="78"/>
      <c r="AR842" s="78"/>
      <c r="AS842" s="78"/>
      <c r="AT842" s="78"/>
      <c r="AU842" s="78"/>
      <c r="AV842" s="78"/>
      <c r="AW842" s="78"/>
      <c r="AX842" s="78"/>
      <c r="AY842" s="78"/>
      <c r="AZ842" s="78"/>
      <c r="BA842" s="78"/>
      <c r="BB842" s="78"/>
      <c r="BC842" s="78"/>
      <c r="BD842" s="78"/>
      <c r="BE842" s="78"/>
      <c r="BF842" s="78"/>
      <c r="BG842" s="78"/>
      <c r="BH842" s="78"/>
      <c r="BI842" s="78"/>
      <c r="BJ842" s="78"/>
      <c r="BK842" s="78"/>
      <c r="BL842" s="78"/>
      <c r="BM842" s="78"/>
      <c r="BN842" s="78"/>
      <c r="BO842" s="78"/>
      <c r="BP842" s="78"/>
      <c r="BQ842" s="78"/>
      <c r="BR842" s="78"/>
      <c r="BS842" s="78"/>
      <c r="BT842" s="78"/>
      <c r="BU842" s="78"/>
      <c r="BV842" s="78"/>
      <c r="BW842" s="78"/>
      <c r="BX842" s="78"/>
      <c r="BY842" s="78"/>
      <c r="BZ842" s="78"/>
      <c r="CA842" s="78"/>
      <c r="CB842" s="78"/>
      <c r="CC842" s="78"/>
      <c r="CD842" s="78"/>
      <c r="CE842" s="78"/>
      <c r="CF842" s="78"/>
      <c r="CG842" s="78"/>
      <c r="CH842" s="78"/>
      <c r="CI842" s="78"/>
      <c r="CJ842" s="78"/>
      <c r="CK842" s="78"/>
      <c r="CL842" s="78"/>
      <c r="CM842" s="78"/>
      <c r="CN842" s="78"/>
      <c r="CO842" s="78"/>
      <c r="CP842" s="78"/>
      <c r="CQ842" s="78"/>
      <c r="CR842" s="78"/>
      <c r="CS842" s="78"/>
      <c r="CT842" s="78"/>
      <c r="CU842" s="78"/>
      <c r="CV842" s="78"/>
      <c r="CW842" s="78"/>
      <c r="CX842" s="78"/>
      <c r="CY842" s="78"/>
      <c r="CZ842" s="78"/>
      <c r="DA842" s="78"/>
      <c r="DB842" s="78"/>
      <c r="DC842" s="78"/>
      <c r="DD842" s="78"/>
      <c r="DE842" s="78"/>
      <c r="DF842" s="78"/>
      <c r="DG842" s="78"/>
      <c r="DH842" s="78"/>
      <c r="DI842" s="78"/>
      <c r="DJ842" s="78"/>
      <c r="DK842" s="78"/>
      <c r="DL842" s="78"/>
      <c r="DM842" s="78"/>
      <c r="DN842" s="78"/>
      <c r="DO842" s="78"/>
      <c r="DP842" s="78"/>
      <c r="DQ842" s="78"/>
      <c r="DR842" s="78"/>
      <c r="DS842" s="78"/>
      <c r="DT842" s="78"/>
      <c r="DU842" s="78"/>
      <c r="DV842" s="78"/>
      <c r="DW842" s="78"/>
      <c r="DX842" s="78"/>
      <c r="DY842" s="78"/>
      <c r="DZ842" s="78"/>
      <c r="EA842" s="78"/>
      <c r="EB842" s="78"/>
      <c r="EC842" s="78"/>
    </row>
    <row r="843" spans="1:133" s="9" customFormat="1" ht="31.2" x14ac:dyDescent="0.25">
      <c r="A843" s="73" t="s">
        <v>75</v>
      </c>
      <c r="B843" s="60" t="s">
        <v>218</v>
      </c>
      <c r="C843" s="53" t="s">
        <v>76</v>
      </c>
      <c r="D843" s="53" t="s">
        <v>271</v>
      </c>
      <c r="E843" s="111">
        <f>AVERAGE(F843:Q843)</f>
        <v>296.90000000000003</v>
      </c>
      <c r="F843" s="60">
        <v>289.14999999999998</v>
      </c>
      <c r="G843" s="60">
        <v>290.14999999999998</v>
      </c>
      <c r="H843" s="60">
        <v>293.14999999999998</v>
      </c>
      <c r="I843" s="60">
        <v>296.14999999999998</v>
      </c>
      <c r="J843" s="60">
        <v>300.14999999999998</v>
      </c>
      <c r="K843" s="60">
        <v>302.14999999999998</v>
      </c>
      <c r="L843" s="60">
        <v>302.14999999999998</v>
      </c>
      <c r="M843" s="60">
        <v>302.14999999999998</v>
      </c>
      <c r="N843" s="60">
        <v>302.14999999999998</v>
      </c>
      <c r="O843" s="60">
        <v>299.14999999999998</v>
      </c>
      <c r="P843" s="60">
        <v>296.14999999999998</v>
      </c>
      <c r="Q843" s="60">
        <v>290.14999999999998</v>
      </c>
      <c r="R843" s="78"/>
      <c r="S843" s="78"/>
      <c r="T843" s="78"/>
      <c r="U843" s="78"/>
      <c r="V843" s="78"/>
      <c r="W843" s="78"/>
      <c r="X843" s="78"/>
      <c r="Y843" s="78"/>
      <c r="Z843" s="78"/>
      <c r="AA843" s="78"/>
      <c r="AB843" s="78"/>
      <c r="AC843" s="78"/>
      <c r="AD843" s="78"/>
      <c r="AE843" s="78"/>
      <c r="AF843" s="78"/>
      <c r="AG843" s="78"/>
      <c r="AH843" s="78"/>
      <c r="AI843" s="78"/>
      <c r="AJ843" s="78"/>
      <c r="AK843" s="78"/>
      <c r="AL843" s="78"/>
      <c r="AM843" s="78"/>
      <c r="AN843" s="78"/>
      <c r="AO843" s="78"/>
      <c r="AP843" s="78"/>
      <c r="AQ843" s="78"/>
      <c r="AR843" s="78"/>
      <c r="AS843" s="78"/>
      <c r="AT843" s="78"/>
      <c r="AU843" s="78"/>
      <c r="AV843" s="78"/>
      <c r="AW843" s="78"/>
      <c r="AX843" s="78"/>
      <c r="AY843" s="78"/>
      <c r="AZ843" s="78"/>
      <c r="BA843" s="78"/>
      <c r="BB843" s="78"/>
      <c r="BC843" s="78"/>
      <c r="BD843" s="78"/>
      <c r="BE843" s="78"/>
      <c r="BF843" s="78"/>
      <c r="BG843" s="78"/>
      <c r="BH843" s="78"/>
      <c r="BI843" s="78"/>
      <c r="BJ843" s="78"/>
      <c r="BK843" s="78"/>
      <c r="BL843" s="78"/>
      <c r="BM843" s="78"/>
      <c r="BN843" s="78"/>
      <c r="BO843" s="78"/>
      <c r="BP843" s="78"/>
      <c r="BQ843" s="78"/>
      <c r="BR843" s="78"/>
      <c r="BS843" s="78"/>
      <c r="BT843" s="78"/>
      <c r="BU843" s="78"/>
      <c r="BV843" s="78"/>
      <c r="BW843" s="78"/>
      <c r="BX843" s="78"/>
      <c r="BY843" s="78"/>
      <c r="BZ843" s="78"/>
      <c r="CA843" s="78"/>
      <c r="CB843" s="78"/>
      <c r="CC843" s="78"/>
      <c r="CD843" s="78"/>
      <c r="CE843" s="78"/>
      <c r="CF843" s="78"/>
      <c r="CG843" s="78"/>
      <c r="CH843" s="78"/>
      <c r="CI843" s="78"/>
      <c r="CJ843" s="78"/>
      <c r="CK843" s="78"/>
      <c r="CL843" s="78"/>
      <c r="CM843" s="78"/>
      <c r="CN843" s="78"/>
      <c r="CO843" s="78"/>
      <c r="CP843" s="78"/>
      <c r="CQ843" s="78"/>
      <c r="CR843" s="78"/>
      <c r="CS843" s="78"/>
      <c r="CT843" s="78"/>
      <c r="CU843" s="78"/>
      <c r="CV843" s="78"/>
      <c r="CW843" s="78"/>
      <c r="CX843" s="78"/>
      <c r="CY843" s="78"/>
      <c r="CZ843" s="78"/>
      <c r="DA843" s="78"/>
      <c r="DB843" s="78"/>
      <c r="DC843" s="78"/>
      <c r="DD843" s="78"/>
      <c r="DE843" s="78"/>
      <c r="DF843" s="78"/>
      <c r="DG843" s="78"/>
      <c r="DH843" s="78"/>
      <c r="DI843" s="78"/>
      <c r="DJ843" s="78"/>
      <c r="DK843" s="78"/>
      <c r="DL843" s="78"/>
      <c r="DM843" s="78"/>
      <c r="DN843" s="78"/>
      <c r="DO843" s="78"/>
      <c r="DP843" s="78"/>
      <c r="DQ843" s="78"/>
      <c r="DR843" s="78"/>
      <c r="DS843" s="78"/>
      <c r="DT843" s="78"/>
      <c r="DU843" s="78"/>
      <c r="DV843" s="78"/>
      <c r="DW843" s="78"/>
      <c r="DX843" s="78"/>
      <c r="DY843" s="78"/>
      <c r="DZ843" s="78"/>
      <c r="EA843" s="78"/>
      <c r="EB843" s="78"/>
      <c r="EC843" s="78"/>
    </row>
    <row r="844" spans="1:133" s="9" customFormat="1" ht="31.2" x14ac:dyDescent="0.4">
      <c r="A844" s="71" t="s">
        <v>77</v>
      </c>
      <c r="B844" s="60" t="s">
        <v>211</v>
      </c>
      <c r="C844" s="53" t="s">
        <v>78</v>
      </c>
      <c r="D844" s="53" t="s">
        <v>349</v>
      </c>
      <c r="E844" s="74">
        <f>SUM(F844:Q844)</f>
        <v>1436.3254024520611</v>
      </c>
      <c r="F844" s="74">
        <f>F833*F828*F831+(1-F839)*0</f>
        <v>84.768448664017029</v>
      </c>
      <c r="G844" s="74">
        <f t="shared" ref="G844:Q844" si="127">G833*G828*G831+(1-G839)*F844</f>
        <v>133.93872990268312</v>
      </c>
      <c r="H844" s="74">
        <f t="shared" si="127"/>
        <v>162.04113361729168</v>
      </c>
      <c r="I844" s="74">
        <f t="shared" si="127"/>
        <v>154.81545558602971</v>
      </c>
      <c r="J844" s="74">
        <f t="shared" si="127"/>
        <v>119.33034083483683</v>
      </c>
      <c r="K844" s="74">
        <f t="shared" si="127"/>
        <v>91.671189477983859</v>
      </c>
      <c r="L844" s="74">
        <f t="shared" si="127"/>
        <v>92.17188197007205</v>
      </c>
      <c r="M844" s="74">
        <f t="shared" si="127"/>
        <v>92.212318267376872</v>
      </c>
      <c r="N844" s="74">
        <f t="shared" si="127"/>
        <v>89.481117846825398</v>
      </c>
      <c r="O844" s="74">
        <f t="shared" si="127"/>
        <v>110.41207480663837</v>
      </c>
      <c r="P844" s="74">
        <f t="shared" si="127"/>
        <v>131.62604147634974</v>
      </c>
      <c r="Q844" s="74">
        <f t="shared" si="127"/>
        <v>173.8566700019565</v>
      </c>
      <c r="R844" s="78"/>
      <c r="S844" s="78"/>
      <c r="T844" s="78"/>
      <c r="U844" s="78"/>
      <c r="V844" s="78"/>
      <c r="W844" s="78"/>
      <c r="X844" s="78"/>
      <c r="Y844" s="78"/>
      <c r="Z844" s="78"/>
      <c r="AA844" s="78"/>
      <c r="AB844" s="78"/>
      <c r="AC844" s="78"/>
      <c r="AD844" s="78"/>
      <c r="AE844" s="78"/>
      <c r="AF844" s="78"/>
      <c r="AG844" s="78"/>
      <c r="AH844" s="78"/>
      <c r="AI844" s="78"/>
      <c r="AJ844" s="78"/>
      <c r="AK844" s="78"/>
      <c r="AL844" s="78"/>
      <c r="AM844" s="78"/>
      <c r="AN844" s="78"/>
      <c r="AO844" s="78"/>
      <c r="AP844" s="78"/>
      <c r="AQ844" s="78"/>
      <c r="AR844" s="78"/>
      <c r="AS844" s="78"/>
      <c r="AT844" s="78"/>
      <c r="AU844" s="78"/>
      <c r="AV844" s="78"/>
      <c r="AW844" s="78"/>
      <c r="AX844" s="78"/>
      <c r="AY844" s="78"/>
      <c r="AZ844" s="78"/>
      <c r="BA844" s="78"/>
      <c r="BB844" s="78"/>
      <c r="BC844" s="78"/>
      <c r="BD844" s="78"/>
      <c r="BE844" s="78"/>
      <c r="BF844" s="78"/>
      <c r="BG844" s="78"/>
      <c r="BH844" s="78"/>
      <c r="BI844" s="78"/>
      <c r="BJ844" s="78"/>
      <c r="BK844" s="78"/>
      <c r="BL844" s="78"/>
      <c r="BM844" s="78"/>
      <c r="BN844" s="78"/>
      <c r="BO844" s="78"/>
      <c r="BP844" s="78"/>
      <c r="BQ844" s="78"/>
      <c r="BR844" s="78"/>
      <c r="BS844" s="78"/>
      <c r="BT844" s="78"/>
      <c r="BU844" s="78"/>
      <c r="BV844" s="78"/>
      <c r="BW844" s="78"/>
      <c r="BX844" s="78"/>
      <c r="BY844" s="78"/>
      <c r="BZ844" s="78"/>
      <c r="CA844" s="78"/>
      <c r="CB844" s="78"/>
      <c r="CC844" s="78"/>
      <c r="CD844" s="78"/>
      <c r="CE844" s="78"/>
      <c r="CF844" s="78"/>
      <c r="CG844" s="78"/>
      <c r="CH844" s="78"/>
      <c r="CI844" s="78"/>
      <c r="CJ844" s="78"/>
      <c r="CK844" s="78"/>
      <c r="CL844" s="78"/>
      <c r="CM844" s="78"/>
      <c r="CN844" s="78"/>
      <c r="CO844" s="78"/>
      <c r="CP844" s="78"/>
      <c r="CQ844" s="78"/>
      <c r="CR844" s="78"/>
      <c r="CS844" s="78"/>
      <c r="CT844" s="78"/>
      <c r="CU844" s="78"/>
      <c r="CV844" s="78"/>
      <c r="CW844" s="78"/>
      <c r="CX844" s="78"/>
      <c r="CY844" s="78"/>
      <c r="CZ844" s="78"/>
      <c r="DA844" s="78"/>
      <c r="DB844" s="78"/>
      <c r="DC844" s="78"/>
      <c r="DD844" s="78"/>
      <c r="DE844" s="78"/>
      <c r="DF844" s="78"/>
      <c r="DG844" s="78"/>
      <c r="DH844" s="78"/>
      <c r="DI844" s="78"/>
      <c r="DJ844" s="78"/>
      <c r="DK844" s="78"/>
      <c r="DL844" s="78"/>
      <c r="DM844" s="78"/>
      <c r="DN844" s="78"/>
      <c r="DO844" s="78"/>
      <c r="DP844" s="78"/>
      <c r="DQ844" s="78"/>
      <c r="DR844" s="78"/>
      <c r="DS844" s="78"/>
      <c r="DT844" s="78"/>
      <c r="DU844" s="78"/>
      <c r="DV844" s="78"/>
      <c r="DW844" s="78"/>
      <c r="DX844" s="78"/>
      <c r="DY844" s="78"/>
      <c r="DZ844" s="78"/>
      <c r="EA844" s="78"/>
      <c r="EB844" s="78"/>
      <c r="EC844" s="78"/>
    </row>
    <row r="846" spans="1:133" ht="15.6" customHeight="1" x14ac:dyDescent="0.25">
      <c r="A846" s="36" t="s">
        <v>79</v>
      </c>
      <c r="B846" s="36"/>
      <c r="C846" s="36"/>
      <c r="D846" s="36"/>
      <c r="E846" s="36"/>
    </row>
    <row r="847" spans="1:133" x14ac:dyDescent="0.25">
      <c r="A847" s="57" t="s">
        <v>9</v>
      </c>
      <c r="B847" s="58" t="s">
        <v>10</v>
      </c>
      <c r="C847" s="34" t="s">
        <v>11</v>
      </c>
      <c r="D847" s="34" t="s">
        <v>12</v>
      </c>
      <c r="E847" s="16" t="s">
        <v>80</v>
      </c>
    </row>
    <row r="848" spans="1:133" ht="46.8" x14ac:dyDescent="0.25">
      <c r="A848" s="59" t="s">
        <v>81</v>
      </c>
      <c r="B848" s="60" t="s">
        <v>28</v>
      </c>
      <c r="C848" s="53" t="s">
        <v>82</v>
      </c>
      <c r="D848" s="53" t="s">
        <v>83</v>
      </c>
      <c r="E848" s="75">
        <v>0</v>
      </c>
    </row>
    <row r="849" spans="1:5" ht="46.8" x14ac:dyDescent="0.25">
      <c r="A849" s="63" t="s">
        <v>84</v>
      </c>
      <c r="B849" s="25" t="s">
        <v>85</v>
      </c>
      <c r="C849" s="35" t="s">
        <v>86</v>
      </c>
      <c r="D849" s="35" t="str">
        <f>D855</f>
        <v>Historical data on site in the FSR (It was calculated with conservative value)</v>
      </c>
      <c r="E849" s="74">
        <f>E855</f>
        <v>326.14516129032262</v>
      </c>
    </row>
    <row r="851" spans="1:5" ht="15.6" customHeight="1" x14ac:dyDescent="0.25">
      <c r="A851" s="91" t="s">
        <v>87</v>
      </c>
      <c r="B851" s="91"/>
      <c r="C851" s="92"/>
      <c r="D851" s="92"/>
      <c r="E851" s="91"/>
    </row>
    <row r="852" spans="1:5" x14ac:dyDescent="0.25">
      <c r="A852" s="59" t="s">
        <v>9</v>
      </c>
      <c r="B852" s="16" t="s">
        <v>10</v>
      </c>
      <c r="C852" s="38" t="s">
        <v>11</v>
      </c>
      <c r="D852" s="38" t="s">
        <v>12</v>
      </c>
      <c r="E852" s="16" t="s">
        <v>80</v>
      </c>
    </row>
    <row r="853" spans="1:5" ht="33.6" x14ac:dyDescent="0.4">
      <c r="A853" s="76" t="s">
        <v>88</v>
      </c>
      <c r="B853" s="25" t="s">
        <v>89</v>
      </c>
      <c r="C853" s="35" t="s">
        <v>90</v>
      </c>
      <c r="D853" s="35" t="s">
        <v>350</v>
      </c>
      <c r="E853" s="50">
        <f>E854*E857*E858*E859*E860*E861</f>
        <v>1.1392539574386338</v>
      </c>
    </row>
    <row r="854" spans="1:5" ht="46.8" x14ac:dyDescent="0.4">
      <c r="A854" s="77" t="s">
        <v>223</v>
      </c>
      <c r="B854" s="25" t="s">
        <v>91</v>
      </c>
      <c r="C854" s="35" t="s">
        <v>92</v>
      </c>
      <c r="D854" s="35" t="s">
        <v>351</v>
      </c>
      <c r="E854" s="52">
        <f>E855/E856</f>
        <v>65.229032258064521</v>
      </c>
    </row>
    <row r="855" spans="1:5" ht="46.8" x14ac:dyDescent="0.25">
      <c r="A855" s="63" t="s">
        <v>224</v>
      </c>
      <c r="B855" s="25" t="s">
        <v>93</v>
      </c>
      <c r="C855" s="35" t="s">
        <v>94</v>
      </c>
      <c r="D855" s="53" t="s">
        <v>322</v>
      </c>
      <c r="E855" s="52">
        <v>326.14516129032262</v>
      </c>
    </row>
    <row r="856" spans="1:5" ht="31.2" x14ac:dyDescent="0.25">
      <c r="A856" s="63" t="s">
        <v>225</v>
      </c>
      <c r="B856" s="25" t="s">
        <v>95</v>
      </c>
      <c r="C856" s="35" t="s">
        <v>96</v>
      </c>
      <c r="D856" s="35" t="s">
        <v>327</v>
      </c>
      <c r="E856" s="25">
        <f>5</f>
        <v>5</v>
      </c>
    </row>
    <row r="857" spans="1:5" ht="62.4" x14ac:dyDescent="0.25">
      <c r="A857" s="63" t="s">
        <v>226</v>
      </c>
      <c r="B857" s="25" t="s">
        <v>97</v>
      </c>
      <c r="C857" s="35" t="s">
        <v>98</v>
      </c>
      <c r="D857" s="53" t="s">
        <v>327</v>
      </c>
      <c r="E857" s="25">
        <f>12.9*2</f>
        <v>25.8</v>
      </c>
    </row>
    <row r="858" spans="1:5" ht="172.2" x14ac:dyDescent="0.25">
      <c r="A858" s="63" t="s">
        <v>227</v>
      </c>
      <c r="B858" s="25" t="s">
        <v>99</v>
      </c>
      <c r="C858" s="35" t="s">
        <v>100</v>
      </c>
      <c r="D858" s="35" t="s">
        <v>338</v>
      </c>
      <c r="E858" s="25">
        <f>25.1/100</f>
        <v>0.251</v>
      </c>
    </row>
    <row r="859" spans="1:5" ht="140.4" x14ac:dyDescent="0.25">
      <c r="A859" s="63" t="s">
        <v>228</v>
      </c>
      <c r="B859" s="25" t="s">
        <v>102</v>
      </c>
      <c r="C859" s="35" t="s">
        <v>101</v>
      </c>
      <c r="D859" s="35" t="s">
        <v>337</v>
      </c>
      <c r="E859" s="25">
        <f>0.84/1000</f>
        <v>8.3999999999999993E-4</v>
      </c>
    </row>
    <row r="860" spans="1:5" ht="140.4" x14ac:dyDescent="0.25">
      <c r="A860" s="63" t="s">
        <v>229</v>
      </c>
      <c r="B860" s="25" t="s">
        <v>103</v>
      </c>
      <c r="C860" s="35" t="s">
        <v>104</v>
      </c>
      <c r="D860" s="35" t="s">
        <v>335</v>
      </c>
      <c r="E860" s="25">
        <f>43.33/1000</f>
        <v>4.333E-2</v>
      </c>
    </row>
    <row r="861" spans="1:5" ht="62.4" x14ac:dyDescent="0.25">
      <c r="A861" s="63" t="s">
        <v>230</v>
      </c>
      <c r="B861" s="25" t="s">
        <v>105</v>
      </c>
      <c r="C861" s="35" t="s">
        <v>106</v>
      </c>
      <c r="D861" s="35" t="s">
        <v>333</v>
      </c>
      <c r="E861" s="25">
        <v>74.099999999999994</v>
      </c>
    </row>
    <row r="863" spans="1:5" ht="15.6" customHeight="1" x14ac:dyDescent="0.25">
      <c r="A863" s="36" t="s">
        <v>108</v>
      </c>
      <c r="B863" s="36"/>
      <c r="C863" s="36"/>
      <c r="D863" s="36"/>
      <c r="E863" s="36"/>
    </row>
    <row r="864" spans="1:5" x14ac:dyDescent="0.25">
      <c r="A864" s="57" t="s">
        <v>9</v>
      </c>
      <c r="B864" s="58" t="s">
        <v>10</v>
      </c>
      <c r="C864" s="34" t="s">
        <v>11</v>
      </c>
      <c r="D864" s="34" t="s">
        <v>12</v>
      </c>
      <c r="E864" s="16" t="s">
        <v>80</v>
      </c>
    </row>
    <row r="865" spans="1:5" ht="64.8" x14ac:dyDescent="0.25">
      <c r="A865" s="15" t="s">
        <v>109</v>
      </c>
      <c r="B865" s="25" t="s">
        <v>110</v>
      </c>
      <c r="C865" s="35" t="s">
        <v>111</v>
      </c>
      <c r="D865" s="35" t="s">
        <v>112</v>
      </c>
      <c r="E865" s="16">
        <v>0</v>
      </c>
    </row>
    <row r="867" spans="1:5" ht="15.6" customHeight="1" x14ac:dyDescent="0.25">
      <c r="A867" s="36" t="s">
        <v>113</v>
      </c>
      <c r="B867" s="36"/>
      <c r="C867" s="36"/>
      <c r="D867" s="36"/>
      <c r="E867" s="36"/>
    </row>
    <row r="868" spans="1:5" x14ac:dyDescent="0.25">
      <c r="A868" s="57" t="s">
        <v>9</v>
      </c>
      <c r="B868" s="58" t="s">
        <v>10</v>
      </c>
      <c r="C868" s="34" t="s">
        <v>11</v>
      </c>
      <c r="D868" s="34" t="s">
        <v>12</v>
      </c>
      <c r="E868" s="16" t="s">
        <v>80</v>
      </c>
    </row>
    <row r="869" spans="1:5" ht="49.2" x14ac:dyDescent="0.25">
      <c r="A869" s="15" t="s">
        <v>114</v>
      </c>
      <c r="B869" s="25" t="s">
        <v>110</v>
      </c>
      <c r="C869" s="35" t="s">
        <v>115</v>
      </c>
      <c r="D869" s="35" t="s">
        <v>116</v>
      </c>
      <c r="E869" s="16">
        <v>0</v>
      </c>
    </row>
    <row r="871" spans="1:5" x14ac:dyDescent="0.25">
      <c r="A871" s="57" t="s">
        <v>9</v>
      </c>
      <c r="B871" s="58" t="s">
        <v>10</v>
      </c>
      <c r="C871" s="34" t="s">
        <v>11</v>
      </c>
      <c r="D871" s="34" t="s">
        <v>12</v>
      </c>
      <c r="E871" s="16" t="s">
        <v>80</v>
      </c>
    </row>
    <row r="872" spans="1:5" ht="18" x14ac:dyDescent="0.25">
      <c r="A872" s="59" t="s">
        <v>117</v>
      </c>
      <c r="B872" s="25" t="s">
        <v>118</v>
      </c>
      <c r="C872" s="35" t="s">
        <v>119</v>
      </c>
      <c r="D872" s="53" t="s">
        <v>352</v>
      </c>
      <c r="E872" s="18">
        <f>ROUNDDOWN(E822+E853+E848+E865+E869,0)</f>
        <v>3169</v>
      </c>
    </row>
    <row r="883" spans="4:5" x14ac:dyDescent="0.25">
      <c r="D883" s="32"/>
      <c r="E883" s="101"/>
    </row>
  </sheetData>
  <mergeCells count="187">
    <mergeCell ref="E510:Q510"/>
    <mergeCell ref="E511:Q511"/>
    <mergeCell ref="E512:Q512"/>
    <mergeCell ref="E570:Q570"/>
    <mergeCell ref="E569:Q569"/>
    <mergeCell ref="E568:Q568"/>
    <mergeCell ref="E564:Q564"/>
    <mergeCell ref="E565:Q565"/>
    <mergeCell ref="E566:Q566"/>
    <mergeCell ref="E516:Q516"/>
    <mergeCell ref="E515:Q515"/>
    <mergeCell ref="E514:Q514"/>
    <mergeCell ref="A819:XFD819"/>
    <mergeCell ref="A383:XFD383"/>
    <mergeCell ref="A385:E385"/>
    <mergeCell ref="E387:Q387"/>
    <mergeCell ref="E388:Q388"/>
    <mergeCell ref="E400:Q400"/>
    <mergeCell ref="E401:Q401"/>
    <mergeCell ref="E402:Q402"/>
    <mergeCell ref="E404:Q404"/>
    <mergeCell ref="E405:Q405"/>
    <mergeCell ref="E406:Q406"/>
    <mergeCell ref="A410:E410"/>
    <mergeCell ref="A415:E415"/>
    <mergeCell ref="A427:E427"/>
    <mergeCell ref="A431:E431"/>
    <mergeCell ref="A547:XFD547"/>
    <mergeCell ref="A601:XFD601"/>
    <mergeCell ref="A602:XFD602"/>
    <mergeCell ref="A656:XFD656"/>
    <mergeCell ref="A710:XFD710"/>
    <mergeCell ref="A711:XFD711"/>
    <mergeCell ref="A765:XFD765"/>
    <mergeCell ref="A482:E482"/>
    <mergeCell ref="A486:E486"/>
    <mergeCell ref="A492:XFD492"/>
    <mergeCell ref="A493:XFD493"/>
    <mergeCell ref="E459:Q459"/>
    <mergeCell ref="E460:Q460"/>
    <mergeCell ref="E461:Q461"/>
    <mergeCell ref="A465:E465"/>
    <mergeCell ref="A470:E470"/>
    <mergeCell ref="E442:Q442"/>
    <mergeCell ref="E443:Q443"/>
    <mergeCell ref="E455:Q455"/>
    <mergeCell ref="E456:Q456"/>
    <mergeCell ref="E457:Q457"/>
    <mergeCell ref="A361:E361"/>
    <mergeCell ref="A373:E373"/>
    <mergeCell ref="A377:E377"/>
    <mergeCell ref="A438:XFD438"/>
    <mergeCell ref="A440:E440"/>
    <mergeCell ref="E348:Q348"/>
    <mergeCell ref="E350:Q350"/>
    <mergeCell ref="E351:Q351"/>
    <mergeCell ref="E352:Q352"/>
    <mergeCell ref="A356:E356"/>
    <mergeCell ref="A331:E331"/>
    <mergeCell ref="E333:Q333"/>
    <mergeCell ref="E334:Q334"/>
    <mergeCell ref="E346:Q346"/>
    <mergeCell ref="E347:Q347"/>
    <mergeCell ref="A302:E302"/>
    <mergeCell ref="A307:E307"/>
    <mergeCell ref="A319:E319"/>
    <mergeCell ref="A323:E323"/>
    <mergeCell ref="A329:XFD329"/>
    <mergeCell ref="E293:Q293"/>
    <mergeCell ref="E294:Q294"/>
    <mergeCell ref="E296:Q296"/>
    <mergeCell ref="E297:Q297"/>
    <mergeCell ref="E298:Q298"/>
    <mergeCell ref="A221:XFD221"/>
    <mergeCell ref="A277:E277"/>
    <mergeCell ref="E279:Q279"/>
    <mergeCell ref="E280:Q280"/>
    <mergeCell ref="E292:Q292"/>
    <mergeCell ref="A253:E253"/>
    <mergeCell ref="A265:E265"/>
    <mergeCell ref="A269:E269"/>
    <mergeCell ref="A275:XFD275"/>
    <mergeCell ref="E240:Q240"/>
    <mergeCell ref="E242:Q242"/>
    <mergeCell ref="E243:Q243"/>
    <mergeCell ref="E244:Q244"/>
    <mergeCell ref="A248:E248"/>
    <mergeCell ref="A223:E223"/>
    <mergeCell ref="E225:Q225"/>
    <mergeCell ref="E226:Q226"/>
    <mergeCell ref="E238:Q238"/>
    <mergeCell ref="E239:Q239"/>
    <mergeCell ref="A193:E193"/>
    <mergeCell ref="A198:E198"/>
    <mergeCell ref="A210:E210"/>
    <mergeCell ref="A214:E214"/>
    <mergeCell ref="A220:XFD220"/>
    <mergeCell ref="E184:Q184"/>
    <mergeCell ref="E185:Q185"/>
    <mergeCell ref="E187:Q187"/>
    <mergeCell ref="E188:Q188"/>
    <mergeCell ref="E189:Q189"/>
    <mergeCell ref="A166:XFD166"/>
    <mergeCell ref="A168:E168"/>
    <mergeCell ref="E170:Q170"/>
    <mergeCell ref="E171:Q171"/>
    <mergeCell ref="E183:Q183"/>
    <mergeCell ref="E135:Q135"/>
    <mergeCell ref="A139:E139"/>
    <mergeCell ref="A144:E144"/>
    <mergeCell ref="A156:E156"/>
    <mergeCell ref="A160:E160"/>
    <mergeCell ref="E129:Q129"/>
    <mergeCell ref="E130:Q130"/>
    <mergeCell ref="E131:Q131"/>
    <mergeCell ref="E133:Q133"/>
    <mergeCell ref="E134:Q134"/>
    <mergeCell ref="A111:XFD111"/>
    <mergeCell ref="A112:XFD112"/>
    <mergeCell ref="A114:E114"/>
    <mergeCell ref="E116:Q116"/>
    <mergeCell ref="E117:Q117"/>
    <mergeCell ref="E80:Q80"/>
    <mergeCell ref="A84:E84"/>
    <mergeCell ref="A89:E89"/>
    <mergeCell ref="A101:E101"/>
    <mergeCell ref="A105:E105"/>
    <mergeCell ref="E74:Q74"/>
    <mergeCell ref="E75:Q75"/>
    <mergeCell ref="E76:Q76"/>
    <mergeCell ref="E78:Q78"/>
    <mergeCell ref="E79:Q79"/>
    <mergeCell ref="A1:XFD1"/>
    <mergeCell ref="A57:XFD57"/>
    <mergeCell ref="A59:E59"/>
    <mergeCell ref="E61:Q61"/>
    <mergeCell ref="E62:Q62"/>
    <mergeCell ref="A2:Q2"/>
    <mergeCell ref="A4:E4"/>
    <mergeCell ref="E6:Q6"/>
    <mergeCell ref="E7:Q7"/>
    <mergeCell ref="E19:Q19"/>
    <mergeCell ref="A29:E29"/>
    <mergeCell ref="A34:E34"/>
    <mergeCell ref="A46:E46"/>
    <mergeCell ref="A50:E50"/>
    <mergeCell ref="E20:Q20"/>
    <mergeCell ref="E21:Q21"/>
    <mergeCell ref="E23:Q23"/>
    <mergeCell ref="E24:Q24"/>
    <mergeCell ref="E25:Q25"/>
    <mergeCell ref="E677:Q677"/>
    <mergeCell ref="E678:Q678"/>
    <mergeCell ref="E679:Q679"/>
    <mergeCell ref="E619:Q619"/>
    <mergeCell ref="E620:Q620"/>
    <mergeCell ref="E621:Q621"/>
    <mergeCell ref="E623:Q623"/>
    <mergeCell ref="E624:Q624"/>
    <mergeCell ref="E625:Q625"/>
    <mergeCell ref="E673:Q673"/>
    <mergeCell ref="E674:Q674"/>
    <mergeCell ref="E675:Q675"/>
    <mergeCell ref="E823:Q823"/>
    <mergeCell ref="E824:Q824"/>
    <mergeCell ref="E836:Q836"/>
    <mergeCell ref="E837:Q837"/>
    <mergeCell ref="E838:Q838"/>
    <mergeCell ref="E840:Q840"/>
    <mergeCell ref="E841:Q841"/>
    <mergeCell ref="E842:Q842"/>
    <mergeCell ref="E715:Q715"/>
    <mergeCell ref="E716:Q716"/>
    <mergeCell ref="E782:Q782"/>
    <mergeCell ref="E783:Q783"/>
    <mergeCell ref="E784:Q784"/>
    <mergeCell ref="E786:Q786"/>
    <mergeCell ref="E787:Q787"/>
    <mergeCell ref="E788:Q788"/>
    <mergeCell ref="E728:Q728"/>
    <mergeCell ref="E729:Q729"/>
    <mergeCell ref="E730:Q730"/>
    <mergeCell ref="E732:Q732"/>
    <mergeCell ref="E733:Q733"/>
    <mergeCell ref="E734:Q734"/>
    <mergeCell ref="E769:Q769"/>
    <mergeCell ref="E770:Q770"/>
  </mergeCells>
  <phoneticPr fontId="24" type="noConversion"/>
  <hyperlinks>
    <hyperlink ref="D26" r:id="rId1" xr:uid="{00000000-0004-0000-0100-000000000000}"/>
    <hyperlink ref="D81" r:id="rId2" xr:uid="{0AAE64DF-A46F-426D-BE17-BF0E151D2C74}"/>
    <hyperlink ref="D136" r:id="rId3" xr:uid="{D8720751-F3E9-4E9E-8416-45188DCAF617}"/>
    <hyperlink ref="D190" r:id="rId4" xr:uid="{5749E414-1837-4956-AF23-1EAD0EFC6E62}"/>
    <hyperlink ref="D245" r:id="rId5" xr:uid="{6A839F1C-793E-4C1F-AE54-913253EABA1F}"/>
    <hyperlink ref="D299" r:id="rId6" xr:uid="{3719726A-440D-47CD-92C1-1CC177A9ADCE}"/>
    <hyperlink ref="D353" r:id="rId7" xr:uid="{FF1BAF55-19F2-449F-ADE5-D703CB265A51}"/>
    <hyperlink ref="D462" r:id="rId8" xr:uid="{7C84C35E-0DF4-4D85-897D-97D573D05548}"/>
    <hyperlink ref="D517" r:id="rId9" xr:uid="{2B0A4C49-DF2D-44CC-9D1E-3B258E387E7E}"/>
    <hyperlink ref="D571" r:id="rId10" xr:uid="{172670D1-530C-42E0-8370-105156877E13}"/>
    <hyperlink ref="D587" r:id="rId11" display="Page15, https://www.ndrc.gov.cn/xxgk/zcfb/tz/201511/W020190905506438255108.pdf" xr:uid="{C1F7B1A4-1D76-4987-8530-64B2AE37CF90}"/>
    <hyperlink ref="D626" r:id="rId12" xr:uid="{1839E496-13FF-4546-BE3E-BE6918F8D759}"/>
    <hyperlink ref="D680" r:id="rId13" xr:uid="{3CDE7500-C236-4F54-AAB0-3E3AC6BB2EBE}"/>
    <hyperlink ref="D696" r:id="rId14" display="Page15, https://www.ndrc.gov.cn/xxgk/zcfb/tz/201511/W020190905506438255108.pdf" xr:uid="{3FAA329A-2CF1-412F-B86C-2EEED9721470}"/>
    <hyperlink ref="D735" r:id="rId15" xr:uid="{0397F598-A1B3-404B-8932-9DB8D9908267}"/>
    <hyperlink ref="D789" r:id="rId16" xr:uid="{773ABCC9-9370-402D-8DD7-3BF1415D6B00}"/>
    <hyperlink ref="D843" r:id="rId17" xr:uid="{15CE2CA1-9F02-4E11-81CF-937CA3810AC2}"/>
    <hyperlink ref="D407" r:id="rId18" xr:uid="{E2AD93AE-C7E2-41FF-805B-60812B3A89CF}"/>
  </hyperlinks>
  <pageMargins left="0.7" right="0.7" top="0.75" bottom="0.75" header="0.3" footer="0.3"/>
  <pageSetup paperSize="9" scale="66" orientation="landscape" horizontalDpi="300" verticalDpi="300" r:id="rId1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906"/>
  <sheetViews>
    <sheetView tabSelected="1" zoomScale="80" zoomScaleNormal="80" workbookViewId="0">
      <selection activeCell="D11" sqref="D11"/>
    </sheetView>
  </sheetViews>
  <sheetFormatPr defaultColWidth="11.44140625" defaultRowHeight="15.6" x14ac:dyDescent="0.25"/>
  <cols>
    <col min="1" max="1" width="16.33203125" style="11" customWidth="1"/>
    <col min="2" max="2" width="11.6640625" style="11" customWidth="1"/>
    <col min="3" max="3" width="53.5546875" style="12" customWidth="1"/>
    <col min="4" max="4" width="33.6640625" style="12" customWidth="1"/>
    <col min="5" max="5" width="18" style="13" customWidth="1"/>
    <col min="6" max="7" width="13.6640625" style="13" customWidth="1"/>
    <col min="8" max="8" width="14.33203125" style="13" customWidth="1"/>
    <col min="9" max="9" width="14" style="13" customWidth="1"/>
    <col min="10" max="10" width="13.6640625" style="13" customWidth="1"/>
    <col min="11" max="11" width="15" style="13" customWidth="1"/>
    <col min="12" max="12" width="14.33203125" style="13" customWidth="1"/>
    <col min="13" max="13" width="16.44140625" style="13" customWidth="1"/>
    <col min="14" max="14" width="16.33203125" style="13" customWidth="1"/>
    <col min="15" max="15" width="15.33203125" style="13" customWidth="1"/>
    <col min="16" max="16" width="14" style="13" customWidth="1"/>
    <col min="17" max="17" width="15.109375" style="13" customWidth="1"/>
    <col min="18" max="18" width="8.6640625" style="14" customWidth="1"/>
    <col min="19" max="19" width="11.44140625" style="14"/>
    <col min="20" max="16384" width="11.44140625" style="9"/>
  </cols>
  <sheetData>
    <row r="1" spans="1:133" s="150" customFormat="1" ht="36.6" customHeight="1" x14ac:dyDescent="0.25">
      <c r="A1" s="149" t="s">
        <v>244</v>
      </c>
    </row>
    <row r="2" spans="1:133" s="110" customFormat="1" ht="39.6" customHeight="1" x14ac:dyDescent="0.25">
      <c r="A2" s="151" t="s">
        <v>260</v>
      </c>
      <c r="B2" s="151"/>
      <c r="C2" s="152"/>
      <c r="D2" s="152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</row>
    <row r="3" spans="1:133" ht="23.4" customHeight="1" x14ac:dyDescent="0.25">
      <c r="A3" s="153" t="s">
        <v>120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4"/>
    </row>
    <row r="4" spans="1:133" s="10" customFormat="1" x14ac:dyDescent="0.25">
      <c r="A4" s="15" t="s">
        <v>9</v>
      </c>
      <c r="B4" s="15" t="s">
        <v>10</v>
      </c>
      <c r="C4" s="15" t="s">
        <v>11</v>
      </c>
      <c r="D4" s="15" t="s">
        <v>12</v>
      </c>
      <c r="E4" s="16" t="s">
        <v>13</v>
      </c>
      <c r="F4" s="16" t="s">
        <v>14</v>
      </c>
      <c r="G4" s="16" t="s">
        <v>15</v>
      </c>
      <c r="H4" s="16" t="s">
        <v>16</v>
      </c>
      <c r="I4" s="16" t="s">
        <v>17</v>
      </c>
      <c r="J4" s="16" t="s">
        <v>18</v>
      </c>
      <c r="K4" s="16" t="s">
        <v>19</v>
      </c>
      <c r="L4" s="16" t="s">
        <v>20</v>
      </c>
      <c r="M4" s="16" t="s">
        <v>21</v>
      </c>
      <c r="N4" s="16" t="s">
        <v>22</v>
      </c>
      <c r="O4" s="16" t="s">
        <v>23</v>
      </c>
      <c r="P4" s="16" t="s">
        <v>24</v>
      </c>
      <c r="Q4" s="16" t="s">
        <v>25</v>
      </c>
      <c r="R4" s="54"/>
      <c r="S4" s="54"/>
    </row>
    <row r="5" spans="1:133" s="10" customFormat="1" x14ac:dyDescent="0.25">
      <c r="A5" s="146" t="s">
        <v>121</v>
      </c>
      <c r="B5" s="146"/>
      <c r="C5" s="146"/>
      <c r="D5" s="146"/>
      <c r="E5" s="147"/>
      <c r="F5" s="16">
        <v>31</v>
      </c>
      <c r="G5" s="16">
        <v>28</v>
      </c>
      <c r="H5" s="16">
        <v>31</v>
      </c>
      <c r="I5" s="16">
        <v>30</v>
      </c>
      <c r="J5" s="16">
        <v>31</v>
      </c>
      <c r="K5" s="16">
        <v>30</v>
      </c>
      <c r="L5" s="16">
        <v>31</v>
      </c>
      <c r="M5" s="16">
        <v>31</v>
      </c>
      <c r="N5" s="16">
        <v>30</v>
      </c>
      <c r="O5" s="16">
        <v>31</v>
      </c>
      <c r="P5" s="16">
        <v>30</v>
      </c>
      <c r="Q5" s="16">
        <v>31</v>
      </c>
      <c r="R5" s="54"/>
      <c r="S5" s="54"/>
    </row>
    <row r="6" spans="1:133" s="10" customFormat="1" ht="31.2" x14ac:dyDescent="0.25">
      <c r="A6" s="15" t="s">
        <v>122</v>
      </c>
      <c r="B6" s="17" t="s">
        <v>118</v>
      </c>
      <c r="C6" s="17" t="s">
        <v>123</v>
      </c>
      <c r="D6" s="17" t="s">
        <v>353</v>
      </c>
      <c r="E6" s="18">
        <f>E7+E17</f>
        <v>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54"/>
      <c r="S6" s="54"/>
    </row>
    <row r="7" spans="1:133" ht="46.8" x14ac:dyDescent="0.25">
      <c r="A7" s="17" t="s">
        <v>124</v>
      </c>
      <c r="B7" s="17" t="s">
        <v>118</v>
      </c>
      <c r="C7" s="17" t="s">
        <v>125</v>
      </c>
      <c r="D7" s="17" t="s">
        <v>354</v>
      </c>
      <c r="E7" s="19">
        <f>SUM(F7:Q7)</f>
        <v>0</v>
      </c>
      <c r="F7" s="19">
        <f>IF(F8&gt;=0.8,0,$E$15*$E$16*0.4*(F9-F12)*F5)</f>
        <v>0</v>
      </c>
      <c r="G7" s="19">
        <f t="shared" ref="G7:Q7" si="0">IF(G8&gt;=0.8,0,$E$15*$E$16*0.4*(G9-G12)*G5)</f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0"/>
        <v>0</v>
      </c>
    </row>
    <row r="8" spans="1:133" ht="62.4" x14ac:dyDescent="0.25">
      <c r="A8" s="17" t="s">
        <v>126</v>
      </c>
      <c r="B8" s="17" t="s">
        <v>52</v>
      </c>
      <c r="C8" s="17" t="s">
        <v>127</v>
      </c>
      <c r="D8" s="17" t="s">
        <v>355</v>
      </c>
      <c r="E8" s="20">
        <f>AVERAGE(F8:Q8)</f>
        <v>0.91111111111111132</v>
      </c>
      <c r="F8" s="20">
        <f>(F9-F12)/F9</f>
        <v>0.91111111111111098</v>
      </c>
      <c r="G8" s="20">
        <f t="shared" ref="G8:Q8" si="1">(G9-G12)/G9</f>
        <v>0.91111111111111098</v>
      </c>
      <c r="H8" s="20">
        <f t="shared" si="1"/>
        <v>0.91111111111111098</v>
      </c>
      <c r="I8" s="20">
        <f t="shared" si="1"/>
        <v>0.91111111111111098</v>
      </c>
      <c r="J8" s="20">
        <f t="shared" si="1"/>
        <v>0.91111111111111098</v>
      </c>
      <c r="K8" s="20">
        <f t="shared" si="1"/>
        <v>0.91111111111111098</v>
      </c>
      <c r="L8" s="20">
        <f t="shared" si="1"/>
        <v>0.91111111111111098</v>
      </c>
      <c r="M8" s="20">
        <f t="shared" si="1"/>
        <v>0.91111111111111098</v>
      </c>
      <c r="N8" s="20">
        <f t="shared" si="1"/>
        <v>0.91111111111111098</v>
      </c>
      <c r="O8" s="20">
        <f t="shared" si="1"/>
        <v>0.91111111111111098</v>
      </c>
      <c r="P8" s="20">
        <f t="shared" si="1"/>
        <v>0.91111111111111098</v>
      </c>
      <c r="Q8" s="20">
        <f t="shared" si="1"/>
        <v>0.91111111111111098</v>
      </c>
    </row>
    <row r="9" spans="1:133" ht="46.8" x14ac:dyDescent="0.25">
      <c r="A9" s="17" t="s">
        <v>264</v>
      </c>
      <c r="B9" s="17" t="s">
        <v>38</v>
      </c>
      <c r="C9" s="17" t="s">
        <v>129</v>
      </c>
      <c r="D9" s="17" t="s">
        <v>356</v>
      </c>
      <c r="E9" s="20">
        <f>SUM(F9:Q9)</f>
        <v>29.700000000000006</v>
      </c>
      <c r="F9" s="20">
        <f>F10*F11</f>
        <v>2.4750000000000001</v>
      </c>
      <c r="G9" s="20">
        <f t="shared" ref="G9:Q9" si="2">G10*G11</f>
        <v>2.4750000000000001</v>
      </c>
      <c r="H9" s="20">
        <f t="shared" si="2"/>
        <v>2.4750000000000001</v>
      </c>
      <c r="I9" s="20">
        <f t="shared" si="2"/>
        <v>2.4750000000000001</v>
      </c>
      <c r="J9" s="20">
        <f t="shared" si="2"/>
        <v>2.4750000000000001</v>
      </c>
      <c r="K9" s="20">
        <f t="shared" si="2"/>
        <v>2.4750000000000001</v>
      </c>
      <c r="L9" s="20">
        <f t="shared" si="2"/>
        <v>2.4750000000000001</v>
      </c>
      <c r="M9" s="20">
        <f t="shared" si="2"/>
        <v>2.4750000000000001</v>
      </c>
      <c r="N9" s="20">
        <f t="shared" si="2"/>
        <v>2.4750000000000001</v>
      </c>
      <c r="O9" s="20">
        <f t="shared" si="2"/>
        <v>2.4750000000000001</v>
      </c>
      <c r="P9" s="20">
        <f t="shared" si="2"/>
        <v>2.4750000000000001</v>
      </c>
      <c r="Q9" s="20">
        <f t="shared" si="2"/>
        <v>2.4750000000000001</v>
      </c>
    </row>
    <row r="10" spans="1:133" ht="49.95" customHeight="1" x14ac:dyDescent="0.25">
      <c r="A10" s="17" t="s">
        <v>130</v>
      </c>
      <c r="B10" s="17" t="s">
        <v>131</v>
      </c>
      <c r="C10" s="17" t="s">
        <v>263</v>
      </c>
      <c r="D10" s="17" t="s">
        <v>40</v>
      </c>
      <c r="E10" s="21">
        <f>SUM(F10:Q10)</f>
        <v>66000</v>
      </c>
      <c r="F10" s="21">
        <v>5500</v>
      </c>
      <c r="G10" s="21">
        <v>5500</v>
      </c>
      <c r="H10" s="21">
        <v>5500</v>
      </c>
      <c r="I10" s="21">
        <v>5500</v>
      </c>
      <c r="J10" s="21">
        <v>5500</v>
      </c>
      <c r="K10" s="21">
        <v>5500</v>
      </c>
      <c r="L10" s="21">
        <v>5500</v>
      </c>
      <c r="M10" s="21">
        <v>5500</v>
      </c>
      <c r="N10" s="21">
        <v>5500</v>
      </c>
      <c r="O10" s="21">
        <v>5500</v>
      </c>
      <c r="P10" s="21">
        <v>5500</v>
      </c>
      <c r="Q10" s="21">
        <v>5500</v>
      </c>
    </row>
    <row r="11" spans="1:133" ht="46.8" x14ac:dyDescent="0.25">
      <c r="A11" s="17" t="s">
        <v>133</v>
      </c>
      <c r="B11" s="17" t="s">
        <v>134</v>
      </c>
      <c r="C11" s="17" t="s">
        <v>135</v>
      </c>
      <c r="D11" s="17" t="s">
        <v>40</v>
      </c>
      <c r="E11" s="22">
        <f>AVERAGE(F11:Q11)</f>
        <v>4.4999999999999993E-4</v>
      </c>
      <c r="F11" s="23">
        <f>'Baseline Emissions'!F14</f>
        <v>4.4999999999999999E-4</v>
      </c>
      <c r="G11" s="23">
        <f>'Baseline Emissions'!G14</f>
        <v>4.4999999999999999E-4</v>
      </c>
      <c r="H11" s="23">
        <f>'Baseline Emissions'!H14</f>
        <v>4.4999999999999999E-4</v>
      </c>
      <c r="I11" s="23">
        <f>'Baseline Emissions'!I14</f>
        <v>4.4999999999999999E-4</v>
      </c>
      <c r="J11" s="23">
        <f>'Baseline Emissions'!J14</f>
        <v>4.4999999999999999E-4</v>
      </c>
      <c r="K11" s="23">
        <f>'Baseline Emissions'!K14</f>
        <v>4.4999999999999999E-4</v>
      </c>
      <c r="L11" s="23">
        <f>'Baseline Emissions'!L14</f>
        <v>4.4999999999999999E-4</v>
      </c>
      <c r="M11" s="23">
        <f>'Baseline Emissions'!M14</f>
        <v>4.4999999999999999E-4</v>
      </c>
      <c r="N11" s="23">
        <f>'Baseline Emissions'!N14</f>
        <v>4.4999999999999999E-4</v>
      </c>
      <c r="O11" s="23">
        <f>'Baseline Emissions'!O14</f>
        <v>4.4999999999999999E-4</v>
      </c>
      <c r="P11" s="23">
        <f>'Baseline Emissions'!P14</f>
        <v>4.4999999999999999E-4</v>
      </c>
      <c r="Q11" s="23">
        <f>'Baseline Emissions'!Q14</f>
        <v>4.4999999999999999E-4</v>
      </c>
    </row>
    <row r="12" spans="1:133" ht="46.8" x14ac:dyDescent="0.25">
      <c r="A12" s="17" t="s">
        <v>136</v>
      </c>
      <c r="B12" s="17" t="s">
        <v>38</v>
      </c>
      <c r="C12" s="17" t="s">
        <v>137</v>
      </c>
      <c r="D12" s="17" t="s">
        <v>356</v>
      </c>
      <c r="E12" s="20">
        <f>SUM(F12:Q12)</f>
        <v>2.6400000000000006</v>
      </c>
      <c r="F12" s="20">
        <f>SUM(F13*F14)</f>
        <v>0.22000000000000003</v>
      </c>
      <c r="G12" s="20">
        <f t="shared" ref="G12:Q12" si="3">SUM(G13*G14)</f>
        <v>0.22000000000000003</v>
      </c>
      <c r="H12" s="20">
        <f t="shared" si="3"/>
        <v>0.22000000000000003</v>
      </c>
      <c r="I12" s="20">
        <f t="shared" si="3"/>
        <v>0.22000000000000003</v>
      </c>
      <c r="J12" s="20">
        <f t="shared" si="3"/>
        <v>0.22000000000000003</v>
      </c>
      <c r="K12" s="20">
        <f t="shared" si="3"/>
        <v>0.22000000000000003</v>
      </c>
      <c r="L12" s="20">
        <f t="shared" si="3"/>
        <v>0.22000000000000003</v>
      </c>
      <c r="M12" s="20">
        <f t="shared" si="3"/>
        <v>0.22000000000000003</v>
      </c>
      <c r="N12" s="20">
        <f t="shared" si="3"/>
        <v>0.22000000000000003</v>
      </c>
      <c r="O12" s="20">
        <f t="shared" si="3"/>
        <v>0.22000000000000003</v>
      </c>
      <c r="P12" s="20">
        <f t="shared" si="3"/>
        <v>0.22000000000000003</v>
      </c>
      <c r="Q12" s="20">
        <f t="shared" si="3"/>
        <v>0.22000000000000003</v>
      </c>
    </row>
    <row r="13" spans="1:133" ht="31.2" x14ac:dyDescent="0.25">
      <c r="A13" s="17" t="s">
        <v>265</v>
      </c>
      <c r="B13" s="17" t="s">
        <v>131</v>
      </c>
      <c r="C13" s="17" t="s">
        <v>317</v>
      </c>
      <c r="D13" s="17" t="s">
        <v>40</v>
      </c>
      <c r="E13" s="21">
        <f>SUM(F13:Q13)</f>
        <v>66000</v>
      </c>
      <c r="F13" s="21">
        <v>5500</v>
      </c>
      <c r="G13" s="21">
        <v>5500</v>
      </c>
      <c r="H13" s="21">
        <v>5500</v>
      </c>
      <c r="I13" s="21">
        <v>5500</v>
      </c>
      <c r="J13" s="21">
        <v>5500</v>
      </c>
      <c r="K13" s="21">
        <v>5500</v>
      </c>
      <c r="L13" s="21">
        <v>5500</v>
      </c>
      <c r="M13" s="21">
        <v>5500</v>
      </c>
      <c r="N13" s="21">
        <v>5500</v>
      </c>
      <c r="O13" s="21">
        <v>5500</v>
      </c>
      <c r="P13" s="21">
        <v>5500</v>
      </c>
      <c r="Q13" s="21">
        <v>5500</v>
      </c>
    </row>
    <row r="14" spans="1:133" ht="46.8" x14ac:dyDescent="0.25">
      <c r="A14" s="17" t="s">
        <v>140</v>
      </c>
      <c r="B14" s="17" t="s">
        <v>134</v>
      </c>
      <c r="C14" s="17" t="s">
        <v>141</v>
      </c>
      <c r="D14" s="17" t="s">
        <v>40</v>
      </c>
      <c r="E14" s="24">
        <f>AVERAGE(F14:Q14)</f>
        <v>4.0000000000000003E-5</v>
      </c>
      <c r="F14" s="24">
        <f>'Baseline Emissions'!F15</f>
        <v>4.0000000000000003E-5</v>
      </c>
      <c r="G14" s="24">
        <f>'Baseline Emissions'!G15</f>
        <v>4.0000000000000003E-5</v>
      </c>
      <c r="H14" s="24">
        <f>'Baseline Emissions'!H15</f>
        <v>4.0000000000000003E-5</v>
      </c>
      <c r="I14" s="24">
        <f>'Baseline Emissions'!I15</f>
        <v>4.0000000000000003E-5</v>
      </c>
      <c r="J14" s="24">
        <f>'Baseline Emissions'!J15</f>
        <v>4.0000000000000003E-5</v>
      </c>
      <c r="K14" s="24">
        <f>'Baseline Emissions'!K15</f>
        <v>4.0000000000000003E-5</v>
      </c>
      <c r="L14" s="24">
        <f>'Baseline Emissions'!L15</f>
        <v>4.0000000000000003E-5</v>
      </c>
      <c r="M14" s="24">
        <f>'Baseline Emissions'!M15</f>
        <v>4.0000000000000003E-5</v>
      </c>
      <c r="N14" s="24">
        <f>'Baseline Emissions'!N15</f>
        <v>4.0000000000000003E-5</v>
      </c>
      <c r="O14" s="24">
        <f>'Baseline Emissions'!O15</f>
        <v>4.0000000000000003E-5</v>
      </c>
      <c r="P14" s="24">
        <f>'Baseline Emissions'!P15</f>
        <v>4.0000000000000003E-5</v>
      </c>
      <c r="Q14" s="24">
        <f>'Baseline Emissions'!Q15</f>
        <v>4.0000000000000003E-5</v>
      </c>
    </row>
    <row r="15" spans="1:133" ht="31.2" x14ac:dyDescent="0.25">
      <c r="A15" s="17" t="s">
        <v>142</v>
      </c>
      <c r="B15" s="17" t="s">
        <v>143</v>
      </c>
      <c r="C15" s="17" t="s">
        <v>31</v>
      </c>
      <c r="D15" s="17" t="s">
        <v>144</v>
      </c>
      <c r="E15" s="130">
        <v>28</v>
      </c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</row>
    <row r="16" spans="1:133" ht="64.8" x14ac:dyDescent="0.25">
      <c r="A16" s="17" t="s">
        <v>368</v>
      </c>
      <c r="B16" s="17" t="s">
        <v>33</v>
      </c>
      <c r="C16" s="17" t="s">
        <v>369</v>
      </c>
      <c r="D16" s="17" t="s">
        <v>373</v>
      </c>
      <c r="E16" s="130">
        <v>0.21</v>
      </c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</row>
    <row r="17" spans="1:17" ht="46.8" x14ac:dyDescent="0.25">
      <c r="A17" s="17" t="s">
        <v>147</v>
      </c>
      <c r="B17" s="17" t="s">
        <v>118</v>
      </c>
      <c r="C17" s="17" t="s">
        <v>148</v>
      </c>
      <c r="D17" s="17" t="s">
        <v>357</v>
      </c>
      <c r="E17" s="19">
        <f>SUM(F17:Q17)</f>
        <v>0</v>
      </c>
      <c r="F17" s="19">
        <f>$E$15*$E$16*F18*F12*F5</f>
        <v>0</v>
      </c>
      <c r="G17" s="19">
        <f t="shared" ref="G17:Q17" si="4">$E$15*$E$16*G18*G12*G5</f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4"/>
        <v>0</v>
      </c>
      <c r="M17" s="19">
        <f t="shared" si="4"/>
        <v>0</v>
      </c>
      <c r="N17" s="19">
        <f t="shared" si="4"/>
        <v>0</v>
      </c>
      <c r="O17" s="19">
        <f t="shared" si="4"/>
        <v>0</v>
      </c>
      <c r="P17" s="19">
        <f t="shared" si="4"/>
        <v>0</v>
      </c>
      <c r="Q17" s="19">
        <f t="shared" si="4"/>
        <v>0</v>
      </c>
    </row>
    <row r="18" spans="1:17" ht="18" x14ac:dyDescent="0.25">
      <c r="A18" s="17" t="s">
        <v>149</v>
      </c>
      <c r="B18" s="17" t="s">
        <v>52</v>
      </c>
      <c r="C18" s="17" t="s">
        <v>150</v>
      </c>
      <c r="D18" s="17" t="s">
        <v>358</v>
      </c>
      <c r="E18" s="26">
        <f>AVERAGE(F18:Q18)</f>
        <v>0</v>
      </c>
      <c r="F18" s="26">
        <f t="shared" ref="F18:Q18" si="5">F19*$E$20*0.89</f>
        <v>0</v>
      </c>
      <c r="G18" s="26">
        <f t="shared" si="5"/>
        <v>0</v>
      </c>
      <c r="H18" s="26">
        <f t="shared" si="5"/>
        <v>0</v>
      </c>
      <c r="I18" s="26">
        <f t="shared" si="5"/>
        <v>0</v>
      </c>
      <c r="J18" s="26">
        <f t="shared" si="5"/>
        <v>0</v>
      </c>
      <c r="K18" s="26">
        <f t="shared" si="5"/>
        <v>0</v>
      </c>
      <c r="L18" s="26">
        <f t="shared" si="5"/>
        <v>0</v>
      </c>
      <c r="M18" s="26">
        <f t="shared" si="5"/>
        <v>0</v>
      </c>
      <c r="N18" s="26">
        <f t="shared" si="5"/>
        <v>0</v>
      </c>
      <c r="O18" s="26">
        <f t="shared" si="5"/>
        <v>0</v>
      </c>
      <c r="P18" s="26">
        <f t="shared" si="5"/>
        <v>0</v>
      </c>
      <c r="Q18" s="26">
        <f t="shared" si="5"/>
        <v>0</v>
      </c>
    </row>
    <row r="19" spans="1:17" ht="31.2" x14ac:dyDescent="0.25">
      <c r="A19" s="17" t="s">
        <v>151</v>
      </c>
      <c r="B19" s="17" t="s">
        <v>52</v>
      </c>
      <c r="C19" s="17" t="s">
        <v>61</v>
      </c>
      <c r="D19" s="17" t="s">
        <v>359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7" ht="31.2" x14ac:dyDescent="0.25">
      <c r="A20" s="17" t="s">
        <v>152</v>
      </c>
      <c r="B20" s="17" t="s">
        <v>241</v>
      </c>
      <c r="C20" s="17" t="s">
        <v>153</v>
      </c>
      <c r="D20" s="17" t="s">
        <v>360</v>
      </c>
      <c r="E20" s="148">
        <f>(F21*F26+G21*G26+H21*H26+I21*I26+J21*J26+K21*K26+L21*L26+M21*M26+N21*N26+O21*O26+P21*P26+Q21*Q26)/(F13*F14*F5+G14*G13*G5+H13*H14*H5+I14*I13*I5+J14*J13*J5+K14*K13*K5+L14*L13*L5+M14*M13*M5+N14*N13*N5+O13*O14*O5+P14*P13*P5+Q14*Q13*Q5)</f>
        <v>0.68005701197875634</v>
      </c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</row>
    <row r="21" spans="1:17" ht="31.2" x14ac:dyDescent="0.25">
      <c r="A21" s="17" t="s">
        <v>154</v>
      </c>
      <c r="B21" s="17" t="s">
        <v>52</v>
      </c>
      <c r="C21" s="17" t="s">
        <v>155</v>
      </c>
      <c r="D21" s="17" t="s">
        <v>347</v>
      </c>
      <c r="E21" s="27">
        <f>AVERAGE(F21:Q21)</f>
        <v>0.67826689002780516</v>
      </c>
      <c r="F21" s="27">
        <f>IF(F25&lt;283,0,IF(F25&gt;303,1,EXP(($E$22*(F25-$E$23))/($E$24*$E$23*F25))))</f>
        <v>0.32317176495848171</v>
      </c>
      <c r="G21" s="27">
        <f t="shared" ref="G21:Q21" si="6">IF(G25&lt;283,0,IF(G25&gt;303,1,EXP(($E$22*(G25-$E$23))/($E$24*$E$23*G25))))</f>
        <v>0.32317176495848171</v>
      </c>
      <c r="H21" s="27">
        <f t="shared" si="6"/>
        <v>0.46225423409862509</v>
      </c>
      <c r="I21" s="27">
        <f t="shared" si="6"/>
        <v>0.65487347206548807</v>
      </c>
      <c r="J21" s="27">
        <f t="shared" si="6"/>
        <v>0.91923925774048054</v>
      </c>
      <c r="K21" s="27">
        <f t="shared" si="6"/>
        <v>1</v>
      </c>
      <c r="L21" s="27">
        <f t="shared" si="6"/>
        <v>1</v>
      </c>
      <c r="M21" s="27">
        <f t="shared" si="6"/>
        <v>0.91923925774048054</v>
      </c>
      <c r="N21" s="27">
        <f t="shared" si="6"/>
        <v>0.91923925774048054</v>
      </c>
      <c r="O21" s="27">
        <f t="shared" si="6"/>
        <v>0.71341857634681827</v>
      </c>
      <c r="P21" s="27">
        <f t="shared" si="6"/>
        <v>0.55084569341606926</v>
      </c>
      <c r="Q21" s="27">
        <f t="shared" si="6"/>
        <v>0.35374940126825682</v>
      </c>
    </row>
    <row r="22" spans="1:17" x14ac:dyDescent="0.25">
      <c r="A22" s="17" t="s">
        <v>66</v>
      </c>
      <c r="B22" s="17" t="s">
        <v>67</v>
      </c>
      <c r="C22" s="17" t="s">
        <v>68</v>
      </c>
      <c r="D22" s="17" t="s">
        <v>361</v>
      </c>
      <c r="E22" s="130">
        <v>15175</v>
      </c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</row>
    <row r="23" spans="1:17" ht="18" x14ac:dyDescent="0.25">
      <c r="A23" s="17" t="s">
        <v>156</v>
      </c>
      <c r="B23" s="17" t="s">
        <v>70</v>
      </c>
      <c r="C23" s="17" t="s">
        <v>71</v>
      </c>
      <c r="D23" s="17" t="s">
        <v>361</v>
      </c>
      <c r="E23" s="130">
        <v>303.16000000000003</v>
      </c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</row>
    <row r="24" spans="1:17" x14ac:dyDescent="0.25">
      <c r="A24" s="17" t="s">
        <v>72</v>
      </c>
      <c r="B24" s="17" t="s">
        <v>73</v>
      </c>
      <c r="C24" s="17" t="s">
        <v>74</v>
      </c>
      <c r="D24" s="17" t="s">
        <v>361</v>
      </c>
      <c r="E24" s="130">
        <v>1.9870000000000001</v>
      </c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</row>
    <row r="25" spans="1:17" ht="31.2" x14ac:dyDescent="0.25">
      <c r="A25" s="17" t="s">
        <v>157</v>
      </c>
      <c r="B25" s="17" t="s">
        <v>70</v>
      </c>
      <c r="C25" s="17" t="s">
        <v>158</v>
      </c>
      <c r="D25" s="17" t="s">
        <v>273</v>
      </c>
      <c r="E25" s="28">
        <f>AVERAGE(F25:Q25)</f>
        <v>297.65000000000003</v>
      </c>
      <c r="F25" s="25">
        <v>290.14999999999998</v>
      </c>
      <c r="G25" s="25">
        <v>290.14999999999998</v>
      </c>
      <c r="H25" s="25">
        <v>294.14999999999998</v>
      </c>
      <c r="I25" s="25">
        <v>298.14999999999998</v>
      </c>
      <c r="J25" s="25">
        <v>302.14999999999998</v>
      </c>
      <c r="K25" s="25">
        <v>303.14999999999998</v>
      </c>
      <c r="L25" s="25">
        <v>303.14999999999998</v>
      </c>
      <c r="M25" s="25">
        <v>302.14999999999998</v>
      </c>
      <c r="N25" s="25">
        <v>302.14999999999998</v>
      </c>
      <c r="O25" s="25">
        <v>299.14999999999998</v>
      </c>
      <c r="P25" s="25">
        <v>296.14999999999998</v>
      </c>
      <c r="Q25" s="25">
        <v>291.14999999999998</v>
      </c>
    </row>
    <row r="26" spans="1:17" ht="46.8" x14ac:dyDescent="0.25">
      <c r="A26" s="17" t="s">
        <v>159</v>
      </c>
      <c r="B26" s="17" t="s">
        <v>38</v>
      </c>
      <c r="C26" s="17" t="s">
        <v>160</v>
      </c>
      <c r="D26" s="17" t="s">
        <v>362</v>
      </c>
      <c r="E26" s="29">
        <f>SUM(F26:Q26)</f>
        <v>80.300000000000011</v>
      </c>
      <c r="F26" s="29">
        <f>F10*F14*'Project Emissions'!F5+(1-F21)*0</f>
        <v>6.8200000000000012</v>
      </c>
      <c r="G26" s="29">
        <f>G10*G14*'Project Emissions'!G5+(1-G21)*0</f>
        <v>6.160000000000001</v>
      </c>
      <c r="H26" s="29">
        <f>H10*H14*'Project Emissions'!H5+(1-H21)*0</f>
        <v>6.8200000000000012</v>
      </c>
      <c r="I26" s="29">
        <f>I10*I14*'Project Emissions'!I5+(1-I21)*0</f>
        <v>6.6000000000000005</v>
      </c>
      <c r="J26" s="29">
        <f>J10*J14*'Project Emissions'!J5+(1-J21)*0</f>
        <v>6.8200000000000012</v>
      </c>
      <c r="K26" s="29">
        <f>K10*K14*'Project Emissions'!K5+(1-K21)*0</f>
        <v>6.6000000000000005</v>
      </c>
      <c r="L26" s="29">
        <f>L10*L14*'Project Emissions'!L5+(1-L21)*0</f>
        <v>6.8200000000000012</v>
      </c>
      <c r="M26" s="29">
        <f>M10*M14*'Project Emissions'!M5+(1-M21)*0</f>
        <v>6.8200000000000012</v>
      </c>
      <c r="N26" s="29">
        <f>N10*N14*'Project Emissions'!N5+(1-N21)*0</f>
        <v>6.6000000000000005</v>
      </c>
      <c r="O26" s="29">
        <f>O10*O14*'Project Emissions'!O5+(1-O21)*0</f>
        <v>6.8200000000000012</v>
      </c>
      <c r="P26" s="29">
        <f>P10*P14*'Project Emissions'!P5+(1-P21)*0</f>
        <v>6.6000000000000005</v>
      </c>
      <c r="Q26" s="29">
        <f>Q10*Q14*'Project Emissions'!Q5+(1-Q21)*0</f>
        <v>6.8200000000000012</v>
      </c>
    </row>
    <row r="27" spans="1:17" x14ac:dyDescent="0.3">
      <c r="A27" s="30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7" x14ac:dyDescent="0.25">
      <c r="A28" s="134" t="s">
        <v>161</v>
      </c>
      <c r="B28" s="134"/>
      <c r="C28" s="135"/>
      <c r="D28" s="135"/>
      <c r="E28" s="155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7" x14ac:dyDescent="0.25">
      <c r="A29" s="33" t="s">
        <v>9</v>
      </c>
      <c r="B29" s="33" t="s">
        <v>10</v>
      </c>
      <c r="C29" s="34" t="s">
        <v>11</v>
      </c>
      <c r="D29" s="34" t="s">
        <v>12</v>
      </c>
      <c r="E29" s="16" t="s">
        <v>80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7" ht="46.8" x14ac:dyDescent="0.25">
      <c r="A30" s="15" t="s">
        <v>162</v>
      </c>
      <c r="B30" s="17" t="s">
        <v>110</v>
      </c>
      <c r="C30" s="35" t="s">
        <v>163</v>
      </c>
      <c r="D30" s="35" t="s">
        <v>83</v>
      </c>
      <c r="E30" s="16">
        <v>0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7" x14ac:dyDescent="0.25">
      <c r="A31" s="36"/>
      <c r="B31" s="36"/>
      <c r="C31" s="37"/>
      <c r="D31" s="37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7" x14ac:dyDescent="0.25">
      <c r="A32" s="134" t="s">
        <v>164</v>
      </c>
      <c r="B32" s="134"/>
      <c r="C32" s="135"/>
      <c r="D32" s="135"/>
      <c r="E32" s="155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9" x14ac:dyDescent="0.25">
      <c r="A33" s="33" t="s">
        <v>9</v>
      </c>
      <c r="B33" s="33" t="s">
        <v>10</v>
      </c>
      <c r="C33" s="34" t="s">
        <v>11</v>
      </c>
      <c r="D33" s="34" t="s">
        <v>12</v>
      </c>
      <c r="E33" s="16" t="s">
        <v>80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9" ht="46.8" x14ac:dyDescent="0.25">
      <c r="A34" s="15" t="s">
        <v>165</v>
      </c>
      <c r="B34" s="17" t="s">
        <v>110</v>
      </c>
      <c r="C34" s="35" t="s">
        <v>166</v>
      </c>
      <c r="D34" s="35" t="s">
        <v>83</v>
      </c>
      <c r="E34" s="16">
        <v>0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9" x14ac:dyDescent="0.25"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9" x14ac:dyDescent="0.25">
      <c r="A36" s="134" t="s">
        <v>167</v>
      </c>
      <c r="B36" s="134"/>
      <c r="C36" s="135"/>
      <c r="D36" s="135"/>
      <c r="E36" s="155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9" s="10" customFormat="1" x14ac:dyDescent="0.25">
      <c r="A37" s="15" t="s">
        <v>9</v>
      </c>
      <c r="B37" s="15" t="s">
        <v>10</v>
      </c>
      <c r="C37" s="38" t="s">
        <v>11</v>
      </c>
      <c r="D37" s="38" t="s">
        <v>12</v>
      </c>
      <c r="E37" s="16" t="s">
        <v>80</v>
      </c>
      <c r="F37" s="32"/>
      <c r="G37" s="32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9" s="10" customFormat="1" ht="18" x14ac:dyDescent="0.4">
      <c r="A38" s="40" t="s">
        <v>168</v>
      </c>
      <c r="B38" s="17" t="s">
        <v>118</v>
      </c>
      <c r="C38" s="35" t="s">
        <v>169</v>
      </c>
      <c r="D38" s="35" t="s">
        <v>170</v>
      </c>
      <c r="E38" s="41">
        <f>E39*E41*(1+E40)</f>
        <v>370.68908340000002</v>
      </c>
      <c r="F38" s="32"/>
      <c r="G38" s="32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9" ht="31.2" x14ac:dyDescent="0.25">
      <c r="A39" s="17" t="s">
        <v>171</v>
      </c>
      <c r="B39" s="17" t="s">
        <v>172</v>
      </c>
      <c r="C39" s="35" t="s">
        <v>173</v>
      </c>
      <c r="D39" s="35" t="s">
        <v>40</v>
      </c>
      <c r="E39" s="20">
        <v>607.07000000000005</v>
      </c>
      <c r="G39" s="42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9"/>
      <c r="S39" s="9"/>
    </row>
    <row r="40" spans="1:19" ht="31.2" x14ac:dyDescent="0.25">
      <c r="A40" s="17" t="s">
        <v>174</v>
      </c>
      <c r="B40" s="17" t="s">
        <v>175</v>
      </c>
      <c r="C40" s="35" t="s">
        <v>176</v>
      </c>
      <c r="D40" s="35" t="s">
        <v>177</v>
      </c>
      <c r="E40" s="44">
        <v>0.2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9"/>
      <c r="S40" s="9"/>
    </row>
    <row r="41" spans="1:19" ht="46.8" x14ac:dyDescent="0.25">
      <c r="A41" s="17" t="s">
        <v>178</v>
      </c>
      <c r="B41" s="17" t="s">
        <v>179</v>
      </c>
      <c r="C41" s="35" t="s">
        <v>180</v>
      </c>
      <c r="D41" s="35" t="s">
        <v>181</v>
      </c>
      <c r="E41" s="45">
        <f>0.5*0.8042+0.5*0.2135</f>
        <v>0.50885000000000002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9" ht="31.2" x14ac:dyDescent="0.4">
      <c r="A42" s="40" t="s">
        <v>182</v>
      </c>
      <c r="B42" s="17" t="s">
        <v>118</v>
      </c>
      <c r="C42" s="35" t="s">
        <v>183</v>
      </c>
      <c r="D42" s="35" t="s">
        <v>184</v>
      </c>
      <c r="E42" s="47">
        <v>0</v>
      </c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9"/>
      <c r="S42" s="9"/>
    </row>
    <row r="43" spans="1:19" x14ac:dyDescent="0.3">
      <c r="A43" s="48"/>
      <c r="E43" s="49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9"/>
      <c r="S43" s="9"/>
    </row>
    <row r="44" spans="1:19" x14ac:dyDescent="0.25">
      <c r="A44" s="134" t="s">
        <v>185</v>
      </c>
      <c r="B44" s="134"/>
      <c r="C44" s="135"/>
      <c r="D44" s="135"/>
      <c r="E44" s="155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9" x14ac:dyDescent="0.25">
      <c r="A45" s="15" t="s">
        <v>9</v>
      </c>
      <c r="B45" s="15" t="s">
        <v>10</v>
      </c>
      <c r="C45" s="38" t="s">
        <v>11</v>
      </c>
      <c r="D45" s="38" t="s">
        <v>12</v>
      </c>
      <c r="E45" s="16" t="s">
        <v>80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9"/>
      <c r="S45" s="9"/>
    </row>
    <row r="46" spans="1:19" ht="33.6" x14ac:dyDescent="0.4">
      <c r="A46" s="40" t="s">
        <v>186</v>
      </c>
      <c r="B46" s="17" t="s">
        <v>89</v>
      </c>
      <c r="C46" s="35" t="s">
        <v>187</v>
      </c>
      <c r="D46" s="35" t="s">
        <v>363</v>
      </c>
      <c r="E46" s="50">
        <f>E47*E50*E51*E52*E53*E54</f>
        <v>0.97550592829457017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9"/>
      <c r="S46" s="9"/>
    </row>
    <row r="47" spans="1:19" ht="46.8" x14ac:dyDescent="0.25">
      <c r="A47" s="17" t="s">
        <v>188</v>
      </c>
      <c r="B47" s="17" t="s">
        <v>91</v>
      </c>
      <c r="C47" s="35" t="s">
        <v>189</v>
      </c>
      <c r="D47" s="35" t="s">
        <v>364</v>
      </c>
      <c r="E47" s="52">
        <f>E48/E49</f>
        <v>205.85999999999999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9"/>
      <c r="S47" s="9"/>
    </row>
    <row r="48" spans="1:19" ht="31.2" x14ac:dyDescent="0.25">
      <c r="A48" s="17" t="s">
        <v>190</v>
      </c>
      <c r="B48" s="17" t="s">
        <v>93</v>
      </c>
      <c r="C48" s="35" t="s">
        <v>191</v>
      </c>
      <c r="D48" s="35" t="s">
        <v>40</v>
      </c>
      <c r="E48" s="52">
        <f>2.82*365</f>
        <v>1029.3</v>
      </c>
      <c r="G48" s="100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9"/>
      <c r="S48" s="9"/>
    </row>
    <row r="49" spans="1:19" ht="31.2" x14ac:dyDescent="0.25">
      <c r="A49" s="17" t="s">
        <v>192</v>
      </c>
      <c r="B49" s="17" t="s">
        <v>95</v>
      </c>
      <c r="C49" s="35" t="s">
        <v>96</v>
      </c>
      <c r="D49" s="35" t="s">
        <v>329</v>
      </c>
      <c r="E49" s="25">
        <f>5</f>
        <v>5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9"/>
      <c r="S49" s="9"/>
    </row>
    <row r="50" spans="1:19" ht="46.8" x14ac:dyDescent="0.25">
      <c r="A50" s="17" t="s">
        <v>193</v>
      </c>
      <c r="B50" s="17" t="s">
        <v>97</v>
      </c>
      <c r="C50" s="35" t="s">
        <v>194</v>
      </c>
      <c r="D50" s="35" t="s">
        <v>329</v>
      </c>
      <c r="E50" s="25">
        <f>3.5*2</f>
        <v>7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9"/>
      <c r="S50" s="9"/>
    </row>
    <row r="51" spans="1:19" ht="141" x14ac:dyDescent="0.25">
      <c r="A51" s="17" t="s">
        <v>195</v>
      </c>
      <c r="B51" s="17" t="s">
        <v>99</v>
      </c>
      <c r="C51" s="35" t="s">
        <v>100</v>
      </c>
      <c r="D51" s="35" t="s">
        <v>330</v>
      </c>
      <c r="E51" s="25">
        <f>25.1/100</f>
        <v>0.251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9"/>
      <c r="S51" s="9"/>
    </row>
    <row r="52" spans="1:19" ht="62.4" x14ac:dyDescent="0.25">
      <c r="A52" s="17" t="s">
        <v>101</v>
      </c>
      <c r="B52" s="17" t="s">
        <v>102</v>
      </c>
      <c r="C52" s="35" t="s">
        <v>101</v>
      </c>
      <c r="D52" s="35" t="s">
        <v>231</v>
      </c>
      <c r="E52" s="25">
        <f>0.84/1000</f>
        <v>8.3999999999999993E-4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9"/>
      <c r="S52" s="9"/>
    </row>
    <row r="53" spans="1:19" ht="124.8" x14ac:dyDescent="0.25">
      <c r="A53" s="17" t="s">
        <v>196</v>
      </c>
      <c r="B53" s="17" t="s">
        <v>103</v>
      </c>
      <c r="C53" s="35" t="s">
        <v>104</v>
      </c>
      <c r="D53" s="35" t="s">
        <v>331</v>
      </c>
      <c r="E53" s="25">
        <f>43.33/1000</f>
        <v>4.333E-2</v>
      </c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9"/>
      <c r="S53" s="9"/>
    </row>
    <row r="54" spans="1:19" ht="33.6" x14ac:dyDescent="0.25">
      <c r="A54" s="17" t="s">
        <v>367</v>
      </c>
      <c r="B54" s="17" t="s">
        <v>105</v>
      </c>
      <c r="C54" s="35" t="s">
        <v>106</v>
      </c>
      <c r="D54" s="35" t="s">
        <v>107</v>
      </c>
      <c r="E54" s="25">
        <v>74.099999999999994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9"/>
      <c r="S54" s="9"/>
    </row>
    <row r="56" spans="1:19" x14ac:dyDescent="0.25">
      <c r="A56" s="33" t="s">
        <v>9</v>
      </c>
      <c r="B56" s="33" t="s">
        <v>10</v>
      </c>
      <c r="C56" s="34" t="s">
        <v>11</v>
      </c>
      <c r="D56" s="34" t="s">
        <v>12</v>
      </c>
      <c r="E56" s="16" t="s">
        <v>80</v>
      </c>
    </row>
    <row r="57" spans="1:19" ht="18" x14ac:dyDescent="0.25">
      <c r="A57" s="15" t="s">
        <v>198</v>
      </c>
      <c r="B57" s="17" t="s">
        <v>118</v>
      </c>
      <c r="C57" s="35" t="s">
        <v>199</v>
      </c>
      <c r="D57" s="53" t="s">
        <v>365</v>
      </c>
      <c r="E57" s="18">
        <f>ROUNDUP(E6+E30+E34+E38+E46,0)</f>
        <v>372</v>
      </c>
    </row>
    <row r="58" spans="1:19" s="151" customFormat="1" ht="36" customHeight="1" x14ac:dyDescent="0.25">
      <c r="A58" s="151" t="s">
        <v>261</v>
      </c>
    </row>
    <row r="59" spans="1:19" ht="23.4" customHeight="1" x14ac:dyDescent="0.25">
      <c r="A59" s="153" t="s">
        <v>120</v>
      </c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4"/>
    </row>
    <row r="60" spans="1:19" s="10" customFormat="1" x14ac:dyDescent="0.25">
      <c r="A60" s="15" t="s">
        <v>9</v>
      </c>
      <c r="B60" s="15" t="s">
        <v>10</v>
      </c>
      <c r="C60" s="15" t="s">
        <v>11</v>
      </c>
      <c r="D60" s="15" t="s">
        <v>12</v>
      </c>
      <c r="E60" s="16" t="s">
        <v>13</v>
      </c>
      <c r="F60" s="16" t="s">
        <v>14</v>
      </c>
      <c r="G60" s="16" t="s">
        <v>15</v>
      </c>
      <c r="H60" s="16" t="s">
        <v>16</v>
      </c>
      <c r="I60" s="16" t="s">
        <v>17</v>
      </c>
      <c r="J60" s="16" t="s">
        <v>18</v>
      </c>
      <c r="K60" s="16" t="s">
        <v>19</v>
      </c>
      <c r="L60" s="16" t="s">
        <v>20</v>
      </c>
      <c r="M60" s="16" t="s">
        <v>21</v>
      </c>
      <c r="N60" s="16" t="s">
        <v>22</v>
      </c>
      <c r="O60" s="16" t="s">
        <v>23</v>
      </c>
      <c r="P60" s="16" t="s">
        <v>24</v>
      </c>
      <c r="Q60" s="16" t="s">
        <v>25</v>
      </c>
      <c r="R60" s="54"/>
      <c r="S60" s="54"/>
    </row>
    <row r="61" spans="1:19" s="10" customFormat="1" x14ac:dyDescent="0.25">
      <c r="A61" s="146" t="s">
        <v>121</v>
      </c>
      <c r="B61" s="146"/>
      <c r="C61" s="146"/>
      <c r="D61" s="146"/>
      <c r="E61" s="147"/>
      <c r="F61" s="16">
        <v>31</v>
      </c>
      <c r="G61" s="16">
        <v>28</v>
      </c>
      <c r="H61" s="16">
        <v>31</v>
      </c>
      <c r="I61" s="16">
        <v>30</v>
      </c>
      <c r="J61" s="16">
        <v>31</v>
      </c>
      <c r="K61" s="16">
        <v>30</v>
      </c>
      <c r="L61" s="16">
        <v>31</v>
      </c>
      <c r="M61" s="16">
        <v>31</v>
      </c>
      <c r="N61" s="16">
        <v>30</v>
      </c>
      <c r="O61" s="16">
        <v>31</v>
      </c>
      <c r="P61" s="16">
        <v>30</v>
      </c>
      <c r="Q61" s="16">
        <v>31</v>
      </c>
      <c r="R61" s="54"/>
      <c r="S61" s="54"/>
    </row>
    <row r="62" spans="1:19" s="10" customFormat="1" ht="31.2" x14ac:dyDescent="0.25">
      <c r="A62" s="15" t="s">
        <v>122</v>
      </c>
      <c r="B62" s="17" t="s">
        <v>118</v>
      </c>
      <c r="C62" s="17" t="s">
        <v>123</v>
      </c>
      <c r="D62" s="17" t="s">
        <v>353</v>
      </c>
      <c r="E62" s="18">
        <f>E63+E73</f>
        <v>0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54"/>
      <c r="S62" s="54"/>
    </row>
    <row r="63" spans="1:19" ht="46.8" x14ac:dyDescent="0.25">
      <c r="A63" s="17" t="s">
        <v>124</v>
      </c>
      <c r="B63" s="17" t="s">
        <v>118</v>
      </c>
      <c r="C63" s="17" t="s">
        <v>125</v>
      </c>
      <c r="D63" s="17" t="s">
        <v>354</v>
      </c>
      <c r="E63" s="19">
        <f>SUM(F63:Q63)</f>
        <v>0</v>
      </c>
      <c r="F63" s="19">
        <f>IF(F64&gt;=0.8,0,$E$15*$E$16*0.4*(F65-F68)*F61)</f>
        <v>0</v>
      </c>
      <c r="G63" s="19">
        <f t="shared" ref="G63:Q63" si="7">IF(G64&gt;=0.8,0,$E$15*$E$16*0.4*(G65-G68)*G61)</f>
        <v>0</v>
      </c>
      <c r="H63" s="19">
        <f t="shared" si="7"/>
        <v>0</v>
      </c>
      <c r="I63" s="19">
        <f t="shared" si="7"/>
        <v>0</v>
      </c>
      <c r="J63" s="19">
        <f t="shared" si="7"/>
        <v>0</v>
      </c>
      <c r="K63" s="19">
        <f t="shared" si="7"/>
        <v>0</v>
      </c>
      <c r="L63" s="19">
        <f t="shared" si="7"/>
        <v>0</v>
      </c>
      <c r="M63" s="19">
        <f t="shared" si="7"/>
        <v>0</v>
      </c>
      <c r="N63" s="19">
        <f t="shared" si="7"/>
        <v>0</v>
      </c>
      <c r="O63" s="19">
        <f t="shared" si="7"/>
        <v>0</v>
      </c>
      <c r="P63" s="19">
        <f t="shared" si="7"/>
        <v>0</v>
      </c>
      <c r="Q63" s="19">
        <f t="shared" si="7"/>
        <v>0</v>
      </c>
    </row>
    <row r="64" spans="1:19" ht="62.4" x14ac:dyDescent="0.25">
      <c r="A64" s="17" t="s">
        <v>126</v>
      </c>
      <c r="B64" s="17" t="s">
        <v>52</v>
      </c>
      <c r="C64" s="17" t="s">
        <v>127</v>
      </c>
      <c r="D64" s="17" t="s">
        <v>355</v>
      </c>
      <c r="E64" s="20">
        <f>AVERAGE(F64:Q64)</f>
        <v>0.91999999999999993</v>
      </c>
      <c r="F64" s="20">
        <f>(F65-F68)/F65</f>
        <v>0.91999999999999993</v>
      </c>
      <c r="G64" s="20">
        <f t="shared" ref="G64:Q64" si="8">(G65-G68)/G65</f>
        <v>0.91999999999999993</v>
      </c>
      <c r="H64" s="20">
        <f t="shared" si="8"/>
        <v>0.91999999999999993</v>
      </c>
      <c r="I64" s="20">
        <f t="shared" si="8"/>
        <v>0.91999999999999993</v>
      </c>
      <c r="J64" s="20">
        <f t="shared" si="8"/>
        <v>0.91999999999999993</v>
      </c>
      <c r="K64" s="20">
        <f t="shared" si="8"/>
        <v>0.91999999999999993</v>
      </c>
      <c r="L64" s="20">
        <f t="shared" si="8"/>
        <v>0.91999999999999993</v>
      </c>
      <c r="M64" s="20">
        <f t="shared" si="8"/>
        <v>0.91999999999999993</v>
      </c>
      <c r="N64" s="20">
        <f t="shared" si="8"/>
        <v>0.91999999999999993</v>
      </c>
      <c r="O64" s="20">
        <f t="shared" si="8"/>
        <v>0.91999999999999993</v>
      </c>
      <c r="P64" s="20">
        <f t="shared" si="8"/>
        <v>0.91999999999999993</v>
      </c>
      <c r="Q64" s="20">
        <f t="shared" si="8"/>
        <v>0.91999999999999993</v>
      </c>
    </row>
    <row r="65" spans="1:17" ht="46.8" x14ac:dyDescent="0.25">
      <c r="A65" s="17" t="s">
        <v>128</v>
      </c>
      <c r="B65" s="17" t="s">
        <v>38</v>
      </c>
      <c r="C65" s="17" t="s">
        <v>129</v>
      </c>
      <c r="D65" s="17" t="s">
        <v>356</v>
      </c>
      <c r="E65" s="20">
        <f>SUM(F65:Q65)</f>
        <v>42</v>
      </c>
      <c r="F65" s="20">
        <f>F66*F67</f>
        <v>3.5</v>
      </c>
      <c r="G65" s="20">
        <f t="shared" ref="G65:Q65" si="9">G66*G67</f>
        <v>3.5</v>
      </c>
      <c r="H65" s="20">
        <f t="shared" si="9"/>
        <v>3.5</v>
      </c>
      <c r="I65" s="20">
        <f t="shared" si="9"/>
        <v>3.5</v>
      </c>
      <c r="J65" s="20">
        <f t="shared" si="9"/>
        <v>3.5</v>
      </c>
      <c r="K65" s="20">
        <f t="shared" si="9"/>
        <v>3.5</v>
      </c>
      <c r="L65" s="20">
        <f t="shared" si="9"/>
        <v>3.5</v>
      </c>
      <c r="M65" s="20">
        <f t="shared" si="9"/>
        <v>3.5</v>
      </c>
      <c r="N65" s="20">
        <f t="shared" si="9"/>
        <v>3.5</v>
      </c>
      <c r="O65" s="20">
        <f t="shared" si="9"/>
        <v>3.5</v>
      </c>
      <c r="P65" s="20">
        <f t="shared" si="9"/>
        <v>3.5</v>
      </c>
      <c r="Q65" s="20">
        <f t="shared" si="9"/>
        <v>3.5</v>
      </c>
    </row>
    <row r="66" spans="1:17" ht="51.6" customHeight="1" x14ac:dyDescent="0.25">
      <c r="A66" s="17" t="s">
        <v>130</v>
      </c>
      <c r="B66" s="17" t="s">
        <v>131</v>
      </c>
      <c r="C66" s="17" t="s">
        <v>132</v>
      </c>
      <c r="D66" s="17" t="s">
        <v>40</v>
      </c>
      <c r="E66" s="21">
        <f>SUM(F66:Q66)</f>
        <v>84000</v>
      </c>
      <c r="F66" s="21">
        <v>7000</v>
      </c>
      <c r="G66" s="21">
        <v>7000</v>
      </c>
      <c r="H66" s="21">
        <v>7000</v>
      </c>
      <c r="I66" s="21">
        <v>7000</v>
      </c>
      <c r="J66" s="21">
        <v>7000</v>
      </c>
      <c r="K66" s="21">
        <v>7000</v>
      </c>
      <c r="L66" s="21">
        <v>7000</v>
      </c>
      <c r="M66" s="21">
        <v>7000</v>
      </c>
      <c r="N66" s="21">
        <v>7000</v>
      </c>
      <c r="O66" s="21">
        <v>7000</v>
      </c>
      <c r="P66" s="21">
        <v>7000</v>
      </c>
      <c r="Q66" s="21">
        <v>7000</v>
      </c>
    </row>
    <row r="67" spans="1:17" ht="46.8" x14ac:dyDescent="0.25">
      <c r="A67" s="17" t="s">
        <v>133</v>
      </c>
      <c r="B67" s="17" t="s">
        <v>134</v>
      </c>
      <c r="C67" s="17" t="s">
        <v>135</v>
      </c>
      <c r="D67" s="17" t="s">
        <v>40</v>
      </c>
      <c r="E67" s="22">
        <f>AVERAGE(F67:Q67)</f>
        <v>5.0000000000000012E-4</v>
      </c>
      <c r="F67" s="23">
        <f>'Baseline Emissions'!F69</f>
        <v>5.0000000000000001E-4</v>
      </c>
      <c r="G67" s="23">
        <f>'Baseline Emissions'!G69</f>
        <v>5.0000000000000001E-4</v>
      </c>
      <c r="H67" s="23">
        <f>'Baseline Emissions'!H69</f>
        <v>5.0000000000000001E-4</v>
      </c>
      <c r="I67" s="23">
        <f>'Baseline Emissions'!I69</f>
        <v>5.0000000000000001E-4</v>
      </c>
      <c r="J67" s="23">
        <f>'Baseline Emissions'!J69</f>
        <v>5.0000000000000001E-4</v>
      </c>
      <c r="K67" s="23">
        <f>'Baseline Emissions'!K69</f>
        <v>5.0000000000000001E-4</v>
      </c>
      <c r="L67" s="23">
        <f>'Baseline Emissions'!L69</f>
        <v>5.0000000000000001E-4</v>
      </c>
      <c r="M67" s="23">
        <f>'Baseline Emissions'!M69</f>
        <v>5.0000000000000001E-4</v>
      </c>
      <c r="N67" s="23">
        <f>'Baseline Emissions'!N69</f>
        <v>5.0000000000000001E-4</v>
      </c>
      <c r="O67" s="23">
        <f>'Baseline Emissions'!O69</f>
        <v>5.0000000000000001E-4</v>
      </c>
      <c r="P67" s="23">
        <f>'Baseline Emissions'!P69</f>
        <v>5.0000000000000001E-4</v>
      </c>
      <c r="Q67" s="23">
        <f>'Baseline Emissions'!Q69</f>
        <v>5.0000000000000001E-4</v>
      </c>
    </row>
    <row r="68" spans="1:17" ht="46.8" x14ac:dyDescent="0.25">
      <c r="A68" s="17" t="s">
        <v>136</v>
      </c>
      <c r="B68" s="17" t="s">
        <v>38</v>
      </c>
      <c r="C68" s="17" t="s">
        <v>137</v>
      </c>
      <c r="D68" s="17" t="s">
        <v>356</v>
      </c>
      <c r="E68" s="20">
        <f>SUM(F68:Q68)</f>
        <v>3.3600000000000012</v>
      </c>
      <c r="F68" s="20">
        <f>SUM(F69*F70)</f>
        <v>0.28000000000000003</v>
      </c>
      <c r="G68" s="20">
        <f t="shared" ref="G68:Q68" si="10">SUM(G69*G70)</f>
        <v>0.28000000000000003</v>
      </c>
      <c r="H68" s="20">
        <f t="shared" si="10"/>
        <v>0.28000000000000003</v>
      </c>
      <c r="I68" s="20">
        <f t="shared" si="10"/>
        <v>0.28000000000000003</v>
      </c>
      <c r="J68" s="20">
        <f t="shared" si="10"/>
        <v>0.28000000000000003</v>
      </c>
      <c r="K68" s="20">
        <f t="shared" si="10"/>
        <v>0.28000000000000003</v>
      </c>
      <c r="L68" s="20">
        <f t="shared" si="10"/>
        <v>0.28000000000000003</v>
      </c>
      <c r="M68" s="20">
        <f t="shared" si="10"/>
        <v>0.28000000000000003</v>
      </c>
      <c r="N68" s="20">
        <f t="shared" si="10"/>
        <v>0.28000000000000003</v>
      </c>
      <c r="O68" s="20">
        <f t="shared" si="10"/>
        <v>0.28000000000000003</v>
      </c>
      <c r="P68" s="20">
        <f t="shared" si="10"/>
        <v>0.28000000000000003</v>
      </c>
      <c r="Q68" s="20">
        <f t="shared" si="10"/>
        <v>0.28000000000000003</v>
      </c>
    </row>
    <row r="69" spans="1:17" ht="31.2" x14ac:dyDescent="0.25">
      <c r="A69" s="17" t="s">
        <v>138</v>
      </c>
      <c r="B69" s="17" t="s">
        <v>131</v>
      </c>
      <c r="C69" s="17" t="s">
        <v>139</v>
      </c>
      <c r="D69" s="17" t="s">
        <v>40</v>
      </c>
      <c r="E69" s="21">
        <f>SUM(F69:Q69)</f>
        <v>84000</v>
      </c>
      <c r="F69" s="21">
        <v>7000</v>
      </c>
      <c r="G69" s="21">
        <v>7000</v>
      </c>
      <c r="H69" s="21">
        <v>7000</v>
      </c>
      <c r="I69" s="21">
        <v>7000</v>
      </c>
      <c r="J69" s="21">
        <v>7000</v>
      </c>
      <c r="K69" s="21">
        <v>7000</v>
      </c>
      <c r="L69" s="21">
        <v>7000</v>
      </c>
      <c r="M69" s="21">
        <v>7000</v>
      </c>
      <c r="N69" s="21">
        <v>7000</v>
      </c>
      <c r="O69" s="21">
        <v>7000</v>
      </c>
      <c r="P69" s="21">
        <v>7000</v>
      </c>
      <c r="Q69" s="21">
        <v>7000</v>
      </c>
    </row>
    <row r="70" spans="1:17" ht="46.8" x14ac:dyDescent="0.25">
      <c r="A70" s="17" t="s">
        <v>140</v>
      </c>
      <c r="B70" s="17" t="s">
        <v>134</v>
      </c>
      <c r="C70" s="17" t="s">
        <v>141</v>
      </c>
      <c r="D70" s="17" t="s">
        <v>40</v>
      </c>
      <c r="E70" s="24">
        <f>AVERAGE(F70:Q70)</f>
        <v>4.0000000000000003E-5</v>
      </c>
      <c r="F70" s="24">
        <f>'Baseline Emissions'!F70</f>
        <v>4.0000000000000003E-5</v>
      </c>
      <c r="G70" s="24">
        <f>'Baseline Emissions'!G70</f>
        <v>4.0000000000000003E-5</v>
      </c>
      <c r="H70" s="24">
        <f>'Baseline Emissions'!H70</f>
        <v>4.0000000000000003E-5</v>
      </c>
      <c r="I70" s="24">
        <f>'Baseline Emissions'!I70</f>
        <v>4.0000000000000003E-5</v>
      </c>
      <c r="J70" s="24">
        <f>'Baseline Emissions'!J70</f>
        <v>4.0000000000000003E-5</v>
      </c>
      <c r="K70" s="24">
        <f>'Baseline Emissions'!K70</f>
        <v>4.0000000000000003E-5</v>
      </c>
      <c r="L70" s="24">
        <f>'Baseline Emissions'!L70</f>
        <v>4.0000000000000003E-5</v>
      </c>
      <c r="M70" s="24">
        <f>'Baseline Emissions'!M70</f>
        <v>4.0000000000000003E-5</v>
      </c>
      <c r="N70" s="24">
        <f>'Baseline Emissions'!N70</f>
        <v>4.0000000000000003E-5</v>
      </c>
      <c r="O70" s="24">
        <f>'Baseline Emissions'!O70</f>
        <v>4.0000000000000003E-5</v>
      </c>
      <c r="P70" s="24">
        <f>'Baseline Emissions'!P70</f>
        <v>4.0000000000000003E-5</v>
      </c>
      <c r="Q70" s="24">
        <f>'Baseline Emissions'!Q70</f>
        <v>4.0000000000000003E-5</v>
      </c>
    </row>
    <row r="71" spans="1:17" ht="31.2" x14ac:dyDescent="0.25">
      <c r="A71" s="17" t="s">
        <v>142</v>
      </c>
      <c r="B71" s="17" t="s">
        <v>143</v>
      </c>
      <c r="C71" s="17" t="s">
        <v>31</v>
      </c>
      <c r="D71" s="17" t="s">
        <v>144</v>
      </c>
      <c r="E71" s="130">
        <v>28</v>
      </c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</row>
    <row r="72" spans="1:17" ht="64.8" x14ac:dyDescent="0.25">
      <c r="A72" s="17" t="s">
        <v>145</v>
      </c>
      <c r="B72" s="17" t="s">
        <v>33</v>
      </c>
      <c r="C72" s="17" t="s">
        <v>146</v>
      </c>
      <c r="D72" s="17" t="s">
        <v>373</v>
      </c>
      <c r="E72" s="130">
        <v>0.21</v>
      </c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</row>
    <row r="73" spans="1:17" ht="46.8" x14ac:dyDescent="0.25">
      <c r="A73" s="17" t="s">
        <v>147</v>
      </c>
      <c r="B73" s="17" t="s">
        <v>118</v>
      </c>
      <c r="C73" s="17" t="s">
        <v>148</v>
      </c>
      <c r="D73" s="17" t="s">
        <v>357</v>
      </c>
      <c r="E73" s="19">
        <f>SUM(F73:Q73)</f>
        <v>0</v>
      </c>
      <c r="F73" s="19">
        <f>$E$15*$E$16*F74*F68*F61</f>
        <v>0</v>
      </c>
      <c r="G73" s="19">
        <f t="shared" ref="G73:Q73" si="11">$E$15*$E$16*G74*G68*G61</f>
        <v>0</v>
      </c>
      <c r="H73" s="19">
        <f t="shared" si="11"/>
        <v>0</v>
      </c>
      <c r="I73" s="19">
        <f t="shared" si="11"/>
        <v>0</v>
      </c>
      <c r="J73" s="19">
        <f t="shared" si="11"/>
        <v>0</v>
      </c>
      <c r="K73" s="19">
        <f t="shared" si="11"/>
        <v>0</v>
      </c>
      <c r="L73" s="19">
        <f t="shared" si="11"/>
        <v>0</v>
      </c>
      <c r="M73" s="19">
        <f t="shared" si="11"/>
        <v>0</v>
      </c>
      <c r="N73" s="19">
        <f t="shared" si="11"/>
        <v>0</v>
      </c>
      <c r="O73" s="19">
        <f t="shared" si="11"/>
        <v>0</v>
      </c>
      <c r="P73" s="19">
        <f t="shared" si="11"/>
        <v>0</v>
      </c>
      <c r="Q73" s="19">
        <f t="shared" si="11"/>
        <v>0</v>
      </c>
    </row>
    <row r="74" spans="1:17" ht="18" x14ac:dyDescent="0.25">
      <c r="A74" s="17" t="s">
        <v>149</v>
      </c>
      <c r="B74" s="17" t="s">
        <v>52</v>
      </c>
      <c r="C74" s="17" t="s">
        <v>150</v>
      </c>
      <c r="D74" s="17" t="s">
        <v>358</v>
      </c>
      <c r="E74" s="26">
        <f>AVERAGE(F74:Q74)</f>
        <v>0</v>
      </c>
      <c r="F74" s="26">
        <f t="shared" ref="F74:Q74" si="12">F75*$E$20*0.89</f>
        <v>0</v>
      </c>
      <c r="G74" s="26">
        <f t="shared" si="12"/>
        <v>0</v>
      </c>
      <c r="H74" s="26">
        <f t="shared" si="12"/>
        <v>0</v>
      </c>
      <c r="I74" s="26">
        <f t="shared" si="12"/>
        <v>0</v>
      </c>
      <c r="J74" s="26">
        <f t="shared" si="12"/>
        <v>0</v>
      </c>
      <c r="K74" s="26">
        <f t="shared" si="12"/>
        <v>0</v>
      </c>
      <c r="L74" s="26">
        <f t="shared" si="12"/>
        <v>0</v>
      </c>
      <c r="M74" s="26">
        <f t="shared" si="12"/>
        <v>0</v>
      </c>
      <c r="N74" s="26">
        <f t="shared" si="12"/>
        <v>0</v>
      </c>
      <c r="O74" s="26">
        <f t="shared" si="12"/>
        <v>0</v>
      </c>
      <c r="P74" s="26">
        <f t="shared" si="12"/>
        <v>0</v>
      </c>
      <c r="Q74" s="26">
        <f t="shared" si="12"/>
        <v>0</v>
      </c>
    </row>
    <row r="75" spans="1:17" ht="31.2" x14ac:dyDescent="0.25">
      <c r="A75" s="17" t="s">
        <v>151</v>
      </c>
      <c r="B75" s="17" t="s">
        <v>52</v>
      </c>
      <c r="C75" s="17" t="s">
        <v>61</v>
      </c>
      <c r="D75" s="17" t="s">
        <v>359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</row>
    <row r="76" spans="1:17" ht="31.2" x14ac:dyDescent="0.25">
      <c r="A76" s="17" t="s">
        <v>152</v>
      </c>
      <c r="B76" s="17" t="s">
        <v>216</v>
      </c>
      <c r="C76" s="17" t="s">
        <v>153</v>
      </c>
      <c r="D76" s="17" t="s">
        <v>360</v>
      </c>
      <c r="E76" s="148">
        <f>(F77*F82+G77*G82+H77*H82+I77*I82+J77*J82+K77*K82+L77*L82+M77*M82+N77*N82+O77*O82+P77*P82+Q77*Q82)/(F69*F70*F61+G70*G69*G61+H69*H70*H61+I70*I69*I61+J70*J69*J61+K70*K69*K61+L70*L69*L61+M70*M69*M61+N70*N69*N61+O69*O70*O61+P70*P69*P61+Q70*Q69*Q61)</f>
        <v>0.68005701197875612</v>
      </c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</row>
    <row r="77" spans="1:17" ht="31.2" x14ac:dyDescent="0.25">
      <c r="A77" s="17" t="s">
        <v>154</v>
      </c>
      <c r="B77" s="17" t="s">
        <v>52</v>
      </c>
      <c r="C77" s="17" t="s">
        <v>155</v>
      </c>
      <c r="D77" s="17" t="s">
        <v>347</v>
      </c>
      <c r="E77" s="27">
        <f>AVERAGE(F77:Q77)</f>
        <v>0.67826689002780516</v>
      </c>
      <c r="F77" s="27">
        <f>IF(F81&lt;283,0,IF(F81&gt;303,1,EXP(($E$22*(F81-$E$23))/($E$24*$E$23*F81))))</f>
        <v>0.32317176495848171</v>
      </c>
      <c r="G77" s="27">
        <f t="shared" ref="G77:Q77" si="13">IF(G81&lt;283,0,IF(G81&gt;303,1,EXP(($E$22*(G81-$E$23))/($E$24*$E$23*G81))))</f>
        <v>0.32317176495848171</v>
      </c>
      <c r="H77" s="27">
        <f t="shared" si="13"/>
        <v>0.46225423409862509</v>
      </c>
      <c r="I77" s="27">
        <f t="shared" si="13"/>
        <v>0.65487347206548807</v>
      </c>
      <c r="J77" s="27">
        <f t="shared" si="13"/>
        <v>0.91923925774048054</v>
      </c>
      <c r="K77" s="27">
        <f t="shared" si="13"/>
        <v>1</v>
      </c>
      <c r="L77" s="27">
        <f t="shared" si="13"/>
        <v>1</v>
      </c>
      <c r="M77" s="27">
        <f t="shared" si="13"/>
        <v>0.91923925774048054</v>
      </c>
      <c r="N77" s="27">
        <f t="shared" si="13"/>
        <v>0.91923925774048054</v>
      </c>
      <c r="O77" s="27">
        <f t="shared" si="13"/>
        <v>0.71341857634681827</v>
      </c>
      <c r="P77" s="27">
        <f t="shared" si="13"/>
        <v>0.55084569341606926</v>
      </c>
      <c r="Q77" s="27">
        <f t="shared" si="13"/>
        <v>0.35374940126825682</v>
      </c>
    </row>
    <row r="78" spans="1:17" x14ac:dyDescent="0.25">
      <c r="A78" s="17" t="s">
        <v>66</v>
      </c>
      <c r="B78" s="17" t="s">
        <v>67</v>
      </c>
      <c r="C78" s="17" t="s">
        <v>68</v>
      </c>
      <c r="D78" s="17" t="s">
        <v>361</v>
      </c>
      <c r="E78" s="130">
        <v>15175</v>
      </c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</row>
    <row r="79" spans="1:17" ht="18" x14ac:dyDescent="0.25">
      <c r="A79" s="17" t="s">
        <v>156</v>
      </c>
      <c r="B79" s="17" t="s">
        <v>70</v>
      </c>
      <c r="C79" s="17" t="s">
        <v>71</v>
      </c>
      <c r="D79" s="17" t="s">
        <v>361</v>
      </c>
      <c r="E79" s="130">
        <v>303.16000000000003</v>
      </c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</row>
    <row r="80" spans="1:17" x14ac:dyDescent="0.25">
      <c r="A80" s="17" t="s">
        <v>72</v>
      </c>
      <c r="B80" s="17" t="s">
        <v>73</v>
      </c>
      <c r="C80" s="17" t="s">
        <v>74</v>
      </c>
      <c r="D80" s="17" t="s">
        <v>361</v>
      </c>
      <c r="E80" s="130">
        <v>1.9870000000000001</v>
      </c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</row>
    <row r="81" spans="1:19" ht="31.2" x14ac:dyDescent="0.25">
      <c r="A81" s="17" t="s">
        <v>157</v>
      </c>
      <c r="B81" s="17" t="s">
        <v>70</v>
      </c>
      <c r="C81" s="17" t="s">
        <v>158</v>
      </c>
      <c r="D81" s="17" t="s">
        <v>273</v>
      </c>
      <c r="E81" s="28">
        <f>AVERAGE(F81:Q81)</f>
        <v>297.65000000000003</v>
      </c>
      <c r="F81" s="25">
        <v>290.14999999999998</v>
      </c>
      <c r="G81" s="25">
        <v>290.14999999999998</v>
      </c>
      <c r="H81" s="25">
        <v>294.14999999999998</v>
      </c>
      <c r="I81" s="25">
        <v>298.14999999999998</v>
      </c>
      <c r="J81" s="25">
        <v>302.14999999999998</v>
      </c>
      <c r="K81" s="25">
        <v>303.14999999999998</v>
      </c>
      <c r="L81" s="25">
        <v>303.14999999999998</v>
      </c>
      <c r="M81" s="25">
        <v>302.14999999999998</v>
      </c>
      <c r="N81" s="25">
        <v>302.14999999999998</v>
      </c>
      <c r="O81" s="25">
        <v>299.14999999999998</v>
      </c>
      <c r="P81" s="25">
        <v>296.14999999999998</v>
      </c>
      <c r="Q81" s="25">
        <v>291.14999999999998</v>
      </c>
    </row>
    <row r="82" spans="1:19" ht="46.8" x14ac:dyDescent="0.25">
      <c r="A82" s="17" t="s">
        <v>159</v>
      </c>
      <c r="B82" s="17" t="s">
        <v>38</v>
      </c>
      <c r="C82" s="17" t="s">
        <v>160</v>
      </c>
      <c r="D82" s="17" t="s">
        <v>362</v>
      </c>
      <c r="E82" s="29">
        <f>SUM(F82:Q82)</f>
        <v>102.20000000000003</v>
      </c>
      <c r="F82" s="29">
        <f>F66*F70*'Project Emissions'!F61+(1-F77)*0</f>
        <v>8.6800000000000015</v>
      </c>
      <c r="G82" s="29">
        <f>G66*G70*'Project Emissions'!G61+(1-G77)*0</f>
        <v>7.8400000000000007</v>
      </c>
      <c r="H82" s="29">
        <f>H66*H70*'Project Emissions'!H61+(1-H77)*0</f>
        <v>8.6800000000000015</v>
      </c>
      <c r="I82" s="29">
        <f>I66*I70*'Project Emissions'!I61+(1-I77)*0</f>
        <v>8.4</v>
      </c>
      <c r="J82" s="29">
        <f>J66*J70*'Project Emissions'!J61+(1-J77)*0</f>
        <v>8.6800000000000015</v>
      </c>
      <c r="K82" s="29">
        <f>K66*K70*'Project Emissions'!K61+(1-K77)*0</f>
        <v>8.4</v>
      </c>
      <c r="L82" s="29">
        <f>L66*L70*'Project Emissions'!L61+(1-L77)*0</f>
        <v>8.6800000000000015</v>
      </c>
      <c r="M82" s="29">
        <f>M66*M70*'Project Emissions'!M61+(1-M77)*0</f>
        <v>8.6800000000000015</v>
      </c>
      <c r="N82" s="29">
        <f>N66*N70*'Project Emissions'!N61+(1-N77)*0</f>
        <v>8.4</v>
      </c>
      <c r="O82" s="29">
        <f>O66*O70*'Project Emissions'!O61+(1-O77)*0</f>
        <v>8.6800000000000015</v>
      </c>
      <c r="P82" s="29">
        <f>P66*P70*'Project Emissions'!P61+(1-P77)*0</f>
        <v>8.4</v>
      </c>
      <c r="Q82" s="29">
        <f>Q66*Q70*'Project Emissions'!Q61+(1-Q77)*0</f>
        <v>8.6800000000000015</v>
      </c>
    </row>
    <row r="83" spans="1:19" x14ac:dyDescent="0.3">
      <c r="A83" s="30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9" x14ac:dyDescent="0.25">
      <c r="A84" s="134" t="s">
        <v>161</v>
      </c>
      <c r="B84" s="134"/>
      <c r="C84" s="135"/>
      <c r="D84" s="135"/>
      <c r="E84" s="155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9" x14ac:dyDescent="0.25">
      <c r="A85" s="33" t="s">
        <v>9</v>
      </c>
      <c r="B85" s="33" t="s">
        <v>10</v>
      </c>
      <c r="C85" s="34" t="s">
        <v>11</v>
      </c>
      <c r="D85" s="34" t="s">
        <v>12</v>
      </c>
      <c r="E85" s="16" t="s">
        <v>80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19" ht="46.8" x14ac:dyDescent="0.25">
      <c r="A86" s="15" t="s">
        <v>162</v>
      </c>
      <c r="B86" s="17" t="s">
        <v>110</v>
      </c>
      <c r="C86" s="35" t="s">
        <v>163</v>
      </c>
      <c r="D86" s="35" t="s">
        <v>83</v>
      </c>
      <c r="E86" s="16">
        <v>0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9" x14ac:dyDescent="0.25">
      <c r="A87" s="36"/>
      <c r="B87" s="36"/>
      <c r="C87" s="37"/>
      <c r="D87" s="37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</row>
    <row r="88" spans="1:19" x14ac:dyDescent="0.25">
      <c r="A88" s="134" t="s">
        <v>164</v>
      </c>
      <c r="B88" s="134"/>
      <c r="C88" s="135"/>
      <c r="D88" s="135"/>
      <c r="E88" s="155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9" x14ac:dyDescent="0.25">
      <c r="A89" s="33" t="s">
        <v>9</v>
      </c>
      <c r="B89" s="33" t="s">
        <v>10</v>
      </c>
      <c r="C89" s="34" t="s">
        <v>11</v>
      </c>
      <c r="D89" s="34" t="s">
        <v>12</v>
      </c>
      <c r="E89" s="16" t="s">
        <v>80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19" ht="46.8" x14ac:dyDescent="0.25">
      <c r="A90" s="15" t="s">
        <v>165</v>
      </c>
      <c r="B90" s="17" t="s">
        <v>110</v>
      </c>
      <c r="C90" s="35" t="s">
        <v>166</v>
      </c>
      <c r="D90" s="35" t="s">
        <v>83</v>
      </c>
      <c r="E90" s="16">
        <v>0</v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9" x14ac:dyDescent="0.25"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  <row r="92" spans="1:19" x14ac:dyDescent="0.25">
      <c r="A92" s="134" t="s">
        <v>167</v>
      </c>
      <c r="B92" s="134"/>
      <c r="C92" s="135"/>
      <c r="D92" s="135"/>
      <c r="E92" s="155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9" s="10" customFormat="1" x14ac:dyDescent="0.25">
      <c r="A93" s="15" t="s">
        <v>9</v>
      </c>
      <c r="B93" s="15" t="s">
        <v>10</v>
      </c>
      <c r="C93" s="38" t="s">
        <v>11</v>
      </c>
      <c r="D93" s="38" t="s">
        <v>12</v>
      </c>
      <c r="E93" s="16" t="s">
        <v>80</v>
      </c>
      <c r="F93" s="32"/>
      <c r="G93" s="32"/>
      <c r="H93" s="39"/>
      <c r="I93" s="39"/>
      <c r="J93" s="39"/>
      <c r="K93" s="39"/>
      <c r="L93" s="39"/>
      <c r="M93" s="39"/>
      <c r="N93" s="39"/>
      <c r="O93" s="39"/>
      <c r="P93" s="39"/>
      <c r="Q93" s="39"/>
    </row>
    <row r="94" spans="1:19" s="10" customFormat="1" ht="18" x14ac:dyDescent="0.4">
      <c r="A94" s="40" t="s">
        <v>168</v>
      </c>
      <c r="B94" s="17" t="s">
        <v>118</v>
      </c>
      <c r="C94" s="35" t="s">
        <v>169</v>
      </c>
      <c r="D94" s="35" t="s">
        <v>170</v>
      </c>
      <c r="E94" s="41">
        <f>E95*E97*(1+E96)</f>
        <v>471.7833306</v>
      </c>
      <c r="F94" s="32"/>
      <c r="G94" s="32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1:19" ht="31.2" x14ac:dyDescent="0.25">
      <c r="A95" s="17" t="s">
        <v>171</v>
      </c>
      <c r="B95" s="17" t="s">
        <v>172</v>
      </c>
      <c r="C95" s="35" t="s">
        <v>173</v>
      </c>
      <c r="D95" s="35" t="s">
        <v>40</v>
      </c>
      <c r="E95" s="20">
        <v>772.63</v>
      </c>
      <c r="G95" s="42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9"/>
      <c r="S95" s="9"/>
    </row>
    <row r="96" spans="1:19" ht="31.2" x14ac:dyDescent="0.25">
      <c r="A96" s="17" t="s">
        <v>174</v>
      </c>
      <c r="B96" s="17" t="s">
        <v>175</v>
      </c>
      <c r="C96" s="35" t="s">
        <v>176</v>
      </c>
      <c r="D96" s="35" t="s">
        <v>177</v>
      </c>
      <c r="E96" s="44">
        <v>0.2</v>
      </c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9"/>
      <c r="S96" s="9"/>
    </row>
    <row r="97" spans="1:19" ht="46.8" x14ac:dyDescent="0.25">
      <c r="A97" s="17" t="s">
        <v>178</v>
      </c>
      <c r="B97" s="17" t="s">
        <v>179</v>
      </c>
      <c r="C97" s="35" t="s">
        <v>180</v>
      </c>
      <c r="D97" s="35" t="s">
        <v>181</v>
      </c>
      <c r="E97" s="45">
        <f>0.5*0.8042+0.5*0.2135</f>
        <v>0.50885000000000002</v>
      </c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9" ht="31.2" x14ac:dyDescent="0.4">
      <c r="A98" s="40" t="s">
        <v>182</v>
      </c>
      <c r="B98" s="17" t="s">
        <v>118</v>
      </c>
      <c r="C98" s="35" t="s">
        <v>183</v>
      </c>
      <c r="D98" s="35" t="s">
        <v>184</v>
      </c>
      <c r="E98" s="47">
        <v>0</v>
      </c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9"/>
      <c r="S98" s="9"/>
    </row>
    <row r="99" spans="1:19" x14ac:dyDescent="0.3">
      <c r="A99" s="48"/>
      <c r="E99" s="49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9"/>
      <c r="S99" s="9"/>
    </row>
    <row r="100" spans="1:19" x14ac:dyDescent="0.25">
      <c r="A100" s="134" t="s">
        <v>185</v>
      </c>
      <c r="B100" s="134"/>
      <c r="C100" s="135"/>
      <c r="D100" s="135"/>
      <c r="E100" s="155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1:19" x14ac:dyDescent="0.25">
      <c r="A101" s="15" t="s">
        <v>9</v>
      </c>
      <c r="B101" s="15" t="s">
        <v>10</v>
      </c>
      <c r="C101" s="38" t="s">
        <v>11</v>
      </c>
      <c r="D101" s="38" t="s">
        <v>12</v>
      </c>
      <c r="E101" s="16" t="s">
        <v>80</v>
      </c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9"/>
      <c r="S101" s="9"/>
    </row>
    <row r="102" spans="1:19" ht="33.6" x14ac:dyDescent="0.4">
      <c r="A102" s="40" t="s">
        <v>186</v>
      </c>
      <c r="B102" s="17" t="s">
        <v>89</v>
      </c>
      <c r="C102" s="35" t="s">
        <v>187</v>
      </c>
      <c r="D102" s="35" t="s">
        <v>363</v>
      </c>
      <c r="E102" s="50">
        <f>E103*E106*E107*E108*E109*E110</f>
        <v>0.54853676818995589</v>
      </c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9"/>
      <c r="S102" s="9"/>
    </row>
    <row r="103" spans="1:19" ht="46.8" x14ac:dyDescent="0.4">
      <c r="A103" s="51" t="s">
        <v>188</v>
      </c>
      <c r="B103" s="17" t="s">
        <v>91</v>
      </c>
      <c r="C103" s="35" t="s">
        <v>189</v>
      </c>
      <c r="D103" s="35" t="s">
        <v>364</v>
      </c>
      <c r="E103" s="69">
        <f>E104/E105</f>
        <v>162.06</v>
      </c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9"/>
      <c r="S103" s="9"/>
    </row>
    <row r="104" spans="1:19" ht="31.2" x14ac:dyDescent="0.25">
      <c r="A104" s="17" t="s">
        <v>190</v>
      </c>
      <c r="B104" s="17" t="s">
        <v>93</v>
      </c>
      <c r="C104" s="35" t="s">
        <v>191</v>
      </c>
      <c r="D104" s="35" t="s">
        <v>40</v>
      </c>
      <c r="E104" s="52">
        <f>2.22*365</f>
        <v>810.30000000000007</v>
      </c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9"/>
      <c r="S104" s="9"/>
    </row>
    <row r="105" spans="1:19" ht="31.2" x14ac:dyDescent="0.25">
      <c r="A105" s="17" t="s">
        <v>192</v>
      </c>
      <c r="B105" s="17" t="s">
        <v>95</v>
      </c>
      <c r="C105" s="35" t="s">
        <v>96</v>
      </c>
      <c r="D105" s="35" t="s">
        <v>40</v>
      </c>
      <c r="E105" s="25">
        <f>5</f>
        <v>5</v>
      </c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9"/>
      <c r="S105" s="9"/>
    </row>
    <row r="106" spans="1:19" ht="46.8" x14ac:dyDescent="0.25">
      <c r="A106" s="17" t="s">
        <v>193</v>
      </c>
      <c r="B106" s="17" t="s">
        <v>97</v>
      </c>
      <c r="C106" s="35" t="s">
        <v>194</v>
      </c>
      <c r="D106" s="35" t="s">
        <v>40</v>
      </c>
      <c r="E106" s="25">
        <f>2.5*2</f>
        <v>5</v>
      </c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9"/>
      <c r="S106" s="9"/>
    </row>
    <row r="107" spans="1:19" ht="141" x14ac:dyDescent="0.25">
      <c r="A107" s="17" t="s">
        <v>195</v>
      </c>
      <c r="B107" s="17" t="s">
        <v>99</v>
      </c>
      <c r="C107" s="35" t="s">
        <v>100</v>
      </c>
      <c r="D107" s="35" t="s">
        <v>330</v>
      </c>
      <c r="E107" s="25">
        <f>25.1/100</f>
        <v>0.251</v>
      </c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9"/>
      <c r="S107" s="9"/>
    </row>
    <row r="108" spans="1:19" ht="62.4" x14ac:dyDescent="0.25">
      <c r="A108" s="17" t="s">
        <v>101</v>
      </c>
      <c r="B108" s="17" t="s">
        <v>102</v>
      </c>
      <c r="C108" s="35" t="s">
        <v>101</v>
      </c>
      <c r="D108" s="35" t="s">
        <v>231</v>
      </c>
      <c r="E108" s="25">
        <f>0.84/1000</f>
        <v>8.3999999999999993E-4</v>
      </c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9"/>
      <c r="S108" s="9"/>
    </row>
    <row r="109" spans="1:19" ht="124.8" x14ac:dyDescent="0.25">
      <c r="A109" s="17" t="s">
        <v>196</v>
      </c>
      <c r="B109" s="17" t="s">
        <v>103</v>
      </c>
      <c r="C109" s="35" t="s">
        <v>104</v>
      </c>
      <c r="D109" s="35" t="s">
        <v>331</v>
      </c>
      <c r="E109" s="25">
        <f>43.33/1000</f>
        <v>4.333E-2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9"/>
      <c r="S109" s="9"/>
    </row>
    <row r="110" spans="1:19" ht="33.6" x14ac:dyDescent="0.25">
      <c r="A110" s="17" t="s">
        <v>197</v>
      </c>
      <c r="B110" s="17" t="s">
        <v>105</v>
      </c>
      <c r="C110" s="35" t="s">
        <v>106</v>
      </c>
      <c r="D110" s="35" t="s">
        <v>107</v>
      </c>
      <c r="E110" s="25">
        <v>74.099999999999994</v>
      </c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9"/>
      <c r="S110" s="9"/>
    </row>
    <row r="112" spans="1:19" x14ac:dyDescent="0.25">
      <c r="A112" s="33" t="s">
        <v>9</v>
      </c>
      <c r="B112" s="33" t="s">
        <v>10</v>
      </c>
      <c r="C112" s="34" t="s">
        <v>11</v>
      </c>
      <c r="D112" s="34" t="s">
        <v>12</v>
      </c>
      <c r="E112" s="16" t="s">
        <v>80</v>
      </c>
    </row>
    <row r="113" spans="1:19" ht="18" x14ac:dyDescent="0.25">
      <c r="A113" s="15" t="s">
        <v>198</v>
      </c>
      <c r="B113" s="17" t="s">
        <v>118</v>
      </c>
      <c r="C113" s="35" t="s">
        <v>199</v>
      </c>
      <c r="D113" s="53" t="s">
        <v>365</v>
      </c>
      <c r="E113" s="18">
        <f>ROUNDUP(E62+E86+E90+E94+E102,0)</f>
        <v>473</v>
      </c>
    </row>
    <row r="114" spans="1:19" s="157" customFormat="1" ht="38.4" customHeight="1" x14ac:dyDescent="0.25">
      <c r="A114" s="156" t="s">
        <v>245</v>
      </c>
    </row>
    <row r="115" spans="1:19" s="158" customFormat="1" ht="43.2" customHeight="1" x14ac:dyDescent="0.25">
      <c r="A115" s="158" t="s">
        <v>246</v>
      </c>
    </row>
    <row r="116" spans="1:19" ht="23.4" customHeight="1" x14ac:dyDescent="0.25">
      <c r="A116" s="153" t="s">
        <v>120</v>
      </c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4"/>
    </row>
    <row r="117" spans="1:19" s="10" customFormat="1" x14ac:dyDescent="0.25">
      <c r="A117" s="15" t="s">
        <v>9</v>
      </c>
      <c r="B117" s="15" t="s">
        <v>10</v>
      </c>
      <c r="C117" s="15" t="s">
        <v>11</v>
      </c>
      <c r="D117" s="15" t="s">
        <v>12</v>
      </c>
      <c r="E117" s="16" t="s">
        <v>13</v>
      </c>
      <c r="F117" s="16" t="s">
        <v>14</v>
      </c>
      <c r="G117" s="16" t="s">
        <v>15</v>
      </c>
      <c r="H117" s="16" t="s">
        <v>16</v>
      </c>
      <c r="I117" s="16" t="s">
        <v>17</v>
      </c>
      <c r="J117" s="16" t="s">
        <v>18</v>
      </c>
      <c r="K117" s="16" t="s">
        <v>19</v>
      </c>
      <c r="L117" s="16" t="s">
        <v>20</v>
      </c>
      <c r="M117" s="16" t="s">
        <v>21</v>
      </c>
      <c r="N117" s="16" t="s">
        <v>22</v>
      </c>
      <c r="O117" s="16" t="s">
        <v>23</v>
      </c>
      <c r="P117" s="16" t="s">
        <v>24</v>
      </c>
      <c r="Q117" s="16" t="s">
        <v>25</v>
      </c>
      <c r="R117" s="54"/>
      <c r="S117" s="54"/>
    </row>
    <row r="118" spans="1:19" s="10" customFormat="1" x14ac:dyDescent="0.25">
      <c r="A118" s="146" t="s">
        <v>121</v>
      </c>
      <c r="B118" s="146"/>
      <c r="C118" s="146"/>
      <c r="D118" s="146"/>
      <c r="E118" s="147"/>
      <c r="F118" s="16">
        <v>31</v>
      </c>
      <c r="G118" s="16">
        <v>28</v>
      </c>
      <c r="H118" s="16">
        <v>31</v>
      </c>
      <c r="I118" s="16">
        <v>30</v>
      </c>
      <c r="J118" s="16">
        <v>31</v>
      </c>
      <c r="K118" s="16">
        <v>30</v>
      </c>
      <c r="L118" s="16">
        <v>31</v>
      </c>
      <c r="M118" s="16">
        <v>31</v>
      </c>
      <c r="N118" s="16">
        <v>30</v>
      </c>
      <c r="O118" s="16">
        <v>31</v>
      </c>
      <c r="P118" s="16">
        <v>30</v>
      </c>
      <c r="Q118" s="16">
        <v>31</v>
      </c>
      <c r="R118" s="54"/>
      <c r="S118" s="54"/>
    </row>
    <row r="119" spans="1:19" s="10" customFormat="1" ht="31.2" x14ac:dyDescent="0.25">
      <c r="A119" s="15" t="s">
        <v>122</v>
      </c>
      <c r="B119" s="17" t="s">
        <v>118</v>
      </c>
      <c r="C119" s="17" t="s">
        <v>123</v>
      </c>
      <c r="D119" s="17" t="s">
        <v>353</v>
      </c>
      <c r="E119" s="18">
        <f>E120+E130</f>
        <v>0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54"/>
      <c r="S119" s="54"/>
    </row>
    <row r="120" spans="1:19" ht="46.8" x14ac:dyDescent="0.25">
      <c r="A120" s="17" t="s">
        <v>124</v>
      </c>
      <c r="B120" s="17" t="s">
        <v>118</v>
      </c>
      <c r="C120" s="17" t="s">
        <v>125</v>
      </c>
      <c r="D120" s="17" t="s">
        <v>354</v>
      </c>
      <c r="E120" s="19">
        <f>SUM(F120:Q120)</f>
        <v>0</v>
      </c>
      <c r="F120" s="19">
        <f>IF(F121&gt;=0.8,0,$E$15*$E$16*0.4*(F122-F125)*F118)</f>
        <v>0</v>
      </c>
      <c r="G120" s="19">
        <f t="shared" ref="G120:Q120" si="14">IF(G121&gt;=0.8,0,$E$15*$E$16*0.4*(G122-G125)*G118)</f>
        <v>0</v>
      </c>
      <c r="H120" s="19">
        <f t="shared" si="14"/>
        <v>0</v>
      </c>
      <c r="I120" s="19">
        <f t="shared" si="14"/>
        <v>0</v>
      </c>
      <c r="J120" s="19">
        <f t="shared" si="14"/>
        <v>0</v>
      </c>
      <c r="K120" s="19">
        <f t="shared" si="14"/>
        <v>0</v>
      </c>
      <c r="L120" s="19">
        <f t="shared" si="14"/>
        <v>0</v>
      </c>
      <c r="M120" s="19">
        <f t="shared" si="14"/>
        <v>0</v>
      </c>
      <c r="N120" s="19">
        <f t="shared" si="14"/>
        <v>0</v>
      </c>
      <c r="O120" s="19">
        <f t="shared" si="14"/>
        <v>0</v>
      </c>
      <c r="P120" s="19">
        <f t="shared" si="14"/>
        <v>0</v>
      </c>
      <c r="Q120" s="19">
        <f t="shared" si="14"/>
        <v>0</v>
      </c>
    </row>
    <row r="121" spans="1:19" ht="62.4" x14ac:dyDescent="0.25">
      <c r="A121" s="17" t="s">
        <v>126</v>
      </c>
      <c r="B121" s="17" t="s">
        <v>52</v>
      </c>
      <c r="C121" s="17" t="s">
        <v>127</v>
      </c>
      <c r="D121" s="17" t="s">
        <v>355</v>
      </c>
      <c r="E121" s="20">
        <f>AVERAGE(F121:Q121)</f>
        <v>0.86666666666666659</v>
      </c>
      <c r="F121" s="20">
        <f>(F122-F125)/F122</f>
        <v>0.86666666666666659</v>
      </c>
      <c r="G121" s="20">
        <f t="shared" ref="G121:Q121" si="15">(G122-G125)/G122</f>
        <v>0.86666666666666659</v>
      </c>
      <c r="H121" s="20">
        <f t="shared" si="15"/>
        <v>0.86666666666666659</v>
      </c>
      <c r="I121" s="20">
        <f t="shared" si="15"/>
        <v>0.86666666666666659</v>
      </c>
      <c r="J121" s="20">
        <f t="shared" si="15"/>
        <v>0.86666666666666659</v>
      </c>
      <c r="K121" s="20">
        <f t="shared" si="15"/>
        <v>0.86666666666666659</v>
      </c>
      <c r="L121" s="20">
        <f t="shared" si="15"/>
        <v>0.86666666666666659</v>
      </c>
      <c r="M121" s="20">
        <f t="shared" si="15"/>
        <v>0.86666666666666659</v>
      </c>
      <c r="N121" s="20">
        <f t="shared" si="15"/>
        <v>0.86666666666666659</v>
      </c>
      <c r="O121" s="20">
        <f t="shared" si="15"/>
        <v>0.86666666666666659</v>
      </c>
      <c r="P121" s="20">
        <f t="shared" si="15"/>
        <v>0.86666666666666659</v>
      </c>
      <c r="Q121" s="20">
        <f t="shared" si="15"/>
        <v>0.86666666666666659</v>
      </c>
    </row>
    <row r="122" spans="1:19" ht="46.8" x14ac:dyDescent="0.25">
      <c r="A122" s="17" t="s">
        <v>128</v>
      </c>
      <c r="B122" s="17" t="s">
        <v>38</v>
      </c>
      <c r="C122" s="17" t="s">
        <v>129</v>
      </c>
      <c r="D122" s="17" t="s">
        <v>356</v>
      </c>
      <c r="E122" s="20">
        <f>SUM(F122:Q122)</f>
        <v>13.319999999999995</v>
      </c>
      <c r="F122" s="20">
        <f>F123*F124</f>
        <v>1.1099999999999999</v>
      </c>
      <c r="G122" s="20">
        <f t="shared" ref="G122:Q122" si="16">G123*G124</f>
        <v>1.1099999999999999</v>
      </c>
      <c r="H122" s="20">
        <f t="shared" si="16"/>
        <v>1.1099999999999999</v>
      </c>
      <c r="I122" s="20">
        <f t="shared" si="16"/>
        <v>1.1099999999999999</v>
      </c>
      <c r="J122" s="20">
        <f t="shared" si="16"/>
        <v>1.1099999999999999</v>
      </c>
      <c r="K122" s="20">
        <f t="shared" si="16"/>
        <v>1.1099999999999999</v>
      </c>
      <c r="L122" s="20">
        <f t="shared" si="16"/>
        <v>1.1099999999999999</v>
      </c>
      <c r="M122" s="20">
        <f t="shared" si="16"/>
        <v>1.1099999999999999</v>
      </c>
      <c r="N122" s="20">
        <f t="shared" si="16"/>
        <v>1.1099999999999999</v>
      </c>
      <c r="O122" s="20">
        <f t="shared" si="16"/>
        <v>1.1099999999999999</v>
      </c>
      <c r="P122" s="20">
        <f t="shared" si="16"/>
        <v>1.1099999999999999</v>
      </c>
      <c r="Q122" s="20">
        <f t="shared" si="16"/>
        <v>1.1099999999999999</v>
      </c>
    </row>
    <row r="123" spans="1:19" ht="51" customHeight="1" x14ac:dyDescent="0.25">
      <c r="A123" s="17" t="s">
        <v>130</v>
      </c>
      <c r="B123" s="17" t="s">
        <v>131</v>
      </c>
      <c r="C123" s="17" t="s">
        <v>132</v>
      </c>
      <c r="D123" s="17" t="s">
        <v>40</v>
      </c>
      <c r="E123" s="21">
        <f>SUM(F123:Q123)</f>
        <v>44400</v>
      </c>
      <c r="F123" s="21">
        <f>3700</f>
        <v>3700</v>
      </c>
      <c r="G123" s="21">
        <f>3700</f>
        <v>3700</v>
      </c>
      <c r="H123" s="21">
        <f>3700</f>
        <v>3700</v>
      </c>
      <c r="I123" s="21">
        <f>3700</f>
        <v>3700</v>
      </c>
      <c r="J123" s="21">
        <f>3700</f>
        <v>3700</v>
      </c>
      <c r="K123" s="21">
        <f>3700</f>
        <v>3700</v>
      </c>
      <c r="L123" s="21">
        <f>3700</f>
        <v>3700</v>
      </c>
      <c r="M123" s="21">
        <f>3700</f>
        <v>3700</v>
      </c>
      <c r="N123" s="21">
        <f>3700</f>
        <v>3700</v>
      </c>
      <c r="O123" s="21">
        <f>3700</f>
        <v>3700</v>
      </c>
      <c r="P123" s="21">
        <f>3700</f>
        <v>3700</v>
      </c>
      <c r="Q123" s="21">
        <f>3700</f>
        <v>3700</v>
      </c>
    </row>
    <row r="124" spans="1:19" ht="46.8" x14ac:dyDescent="0.25">
      <c r="A124" s="17" t="s">
        <v>133</v>
      </c>
      <c r="B124" s="17" t="s">
        <v>134</v>
      </c>
      <c r="C124" s="17" t="s">
        <v>135</v>
      </c>
      <c r="D124" s="17" t="s">
        <v>40</v>
      </c>
      <c r="E124" s="22">
        <f>AVERAGE(F124:Q124)</f>
        <v>2.9999999999999997E-4</v>
      </c>
      <c r="F124" s="23">
        <f>'Baseline Emissions'!F124</f>
        <v>2.9999999999999997E-4</v>
      </c>
      <c r="G124" s="23">
        <f>'Baseline Emissions'!G124</f>
        <v>2.9999999999999997E-4</v>
      </c>
      <c r="H124" s="23">
        <f>'Baseline Emissions'!H124</f>
        <v>2.9999999999999997E-4</v>
      </c>
      <c r="I124" s="23">
        <f>'Baseline Emissions'!I124</f>
        <v>2.9999999999999997E-4</v>
      </c>
      <c r="J124" s="23">
        <f>'Baseline Emissions'!J124</f>
        <v>2.9999999999999997E-4</v>
      </c>
      <c r="K124" s="23">
        <f>'Baseline Emissions'!K124</f>
        <v>2.9999999999999997E-4</v>
      </c>
      <c r="L124" s="23">
        <f>'Baseline Emissions'!L124</f>
        <v>2.9999999999999997E-4</v>
      </c>
      <c r="M124" s="23">
        <f>'Baseline Emissions'!M124</f>
        <v>2.9999999999999997E-4</v>
      </c>
      <c r="N124" s="23">
        <f>'Baseline Emissions'!N124</f>
        <v>2.9999999999999997E-4</v>
      </c>
      <c r="O124" s="23">
        <f>'Baseline Emissions'!O124</f>
        <v>2.9999999999999997E-4</v>
      </c>
      <c r="P124" s="23">
        <f>'Baseline Emissions'!P124</f>
        <v>2.9999999999999997E-4</v>
      </c>
      <c r="Q124" s="23">
        <f>'Baseline Emissions'!Q124</f>
        <v>2.9999999999999997E-4</v>
      </c>
    </row>
    <row r="125" spans="1:19" ht="46.8" x14ac:dyDescent="0.25">
      <c r="A125" s="17" t="s">
        <v>136</v>
      </c>
      <c r="B125" s="17" t="s">
        <v>38</v>
      </c>
      <c r="C125" s="17" t="s">
        <v>137</v>
      </c>
      <c r="D125" s="17" t="s">
        <v>356</v>
      </c>
      <c r="E125" s="20">
        <f>SUM(F125:Q125)</f>
        <v>1.7760000000000007</v>
      </c>
      <c r="F125" s="20">
        <f>SUM(F126*F127)</f>
        <v>0.14800000000000002</v>
      </c>
      <c r="G125" s="20">
        <f t="shared" ref="G125:Q125" si="17">SUM(G126*G127)</f>
        <v>0.14800000000000002</v>
      </c>
      <c r="H125" s="20">
        <f t="shared" si="17"/>
        <v>0.14800000000000002</v>
      </c>
      <c r="I125" s="20">
        <f t="shared" si="17"/>
        <v>0.14800000000000002</v>
      </c>
      <c r="J125" s="20">
        <f t="shared" si="17"/>
        <v>0.14800000000000002</v>
      </c>
      <c r="K125" s="20">
        <f t="shared" si="17"/>
        <v>0.14800000000000002</v>
      </c>
      <c r="L125" s="20">
        <f t="shared" si="17"/>
        <v>0.14800000000000002</v>
      </c>
      <c r="M125" s="20">
        <f t="shared" si="17"/>
        <v>0.14800000000000002</v>
      </c>
      <c r="N125" s="20">
        <f t="shared" si="17"/>
        <v>0.14800000000000002</v>
      </c>
      <c r="O125" s="20">
        <f t="shared" si="17"/>
        <v>0.14800000000000002</v>
      </c>
      <c r="P125" s="20">
        <f t="shared" si="17"/>
        <v>0.14800000000000002</v>
      </c>
      <c r="Q125" s="20">
        <f t="shared" si="17"/>
        <v>0.14800000000000002</v>
      </c>
    </row>
    <row r="126" spans="1:19" ht="31.2" x14ac:dyDescent="0.25">
      <c r="A126" s="17" t="s">
        <v>138</v>
      </c>
      <c r="B126" s="17" t="s">
        <v>131</v>
      </c>
      <c r="C126" s="17" t="s">
        <v>139</v>
      </c>
      <c r="D126" s="17" t="s">
        <v>40</v>
      </c>
      <c r="E126" s="21">
        <f>SUM(F126:Q126)</f>
        <v>44400</v>
      </c>
      <c r="F126" s="21">
        <f>3700</f>
        <v>3700</v>
      </c>
      <c r="G126" s="21">
        <f>3700</f>
        <v>3700</v>
      </c>
      <c r="H126" s="21">
        <f>3700</f>
        <v>3700</v>
      </c>
      <c r="I126" s="21">
        <f>3700</f>
        <v>3700</v>
      </c>
      <c r="J126" s="21">
        <f>3700</f>
        <v>3700</v>
      </c>
      <c r="K126" s="21">
        <f>3700</f>
        <v>3700</v>
      </c>
      <c r="L126" s="21">
        <f>3700</f>
        <v>3700</v>
      </c>
      <c r="M126" s="21">
        <f>3700</f>
        <v>3700</v>
      </c>
      <c r="N126" s="21">
        <f>3700</f>
        <v>3700</v>
      </c>
      <c r="O126" s="21">
        <f>3700</f>
        <v>3700</v>
      </c>
      <c r="P126" s="21">
        <f>3700</f>
        <v>3700</v>
      </c>
      <c r="Q126" s="21">
        <f>3700</f>
        <v>3700</v>
      </c>
    </row>
    <row r="127" spans="1:19" ht="46.8" x14ac:dyDescent="0.25">
      <c r="A127" s="17" t="s">
        <v>140</v>
      </c>
      <c r="B127" s="17" t="s">
        <v>134</v>
      </c>
      <c r="C127" s="17" t="s">
        <v>141</v>
      </c>
      <c r="D127" s="17" t="s">
        <v>40</v>
      </c>
      <c r="E127" s="24">
        <f>AVERAGE(F127:Q127)</f>
        <v>4.0000000000000003E-5</v>
      </c>
      <c r="F127" s="24">
        <f>'Baseline Emissions'!F125</f>
        <v>4.0000000000000003E-5</v>
      </c>
      <c r="G127" s="24">
        <f>'Baseline Emissions'!G125</f>
        <v>4.0000000000000003E-5</v>
      </c>
      <c r="H127" s="24">
        <f>'Baseline Emissions'!H125</f>
        <v>4.0000000000000003E-5</v>
      </c>
      <c r="I127" s="24">
        <f>'Baseline Emissions'!I125</f>
        <v>4.0000000000000003E-5</v>
      </c>
      <c r="J127" s="24">
        <f>'Baseline Emissions'!J125</f>
        <v>4.0000000000000003E-5</v>
      </c>
      <c r="K127" s="24">
        <f>'Baseline Emissions'!K125</f>
        <v>4.0000000000000003E-5</v>
      </c>
      <c r="L127" s="24">
        <f>'Baseline Emissions'!L125</f>
        <v>4.0000000000000003E-5</v>
      </c>
      <c r="M127" s="24">
        <f>'Baseline Emissions'!M125</f>
        <v>4.0000000000000003E-5</v>
      </c>
      <c r="N127" s="24">
        <f>'Baseline Emissions'!N125</f>
        <v>4.0000000000000003E-5</v>
      </c>
      <c r="O127" s="24">
        <f>'Baseline Emissions'!O125</f>
        <v>4.0000000000000003E-5</v>
      </c>
      <c r="P127" s="24">
        <f>'Baseline Emissions'!P125</f>
        <v>4.0000000000000003E-5</v>
      </c>
      <c r="Q127" s="24">
        <f>'Baseline Emissions'!Q125</f>
        <v>4.0000000000000003E-5</v>
      </c>
    </row>
    <row r="128" spans="1:19" ht="31.2" x14ac:dyDescent="0.25">
      <c r="A128" s="17" t="s">
        <v>142</v>
      </c>
      <c r="B128" s="17" t="s">
        <v>143</v>
      </c>
      <c r="C128" s="17" t="s">
        <v>31</v>
      </c>
      <c r="D128" s="17" t="s">
        <v>144</v>
      </c>
      <c r="E128" s="130">
        <v>28</v>
      </c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</row>
    <row r="129" spans="1:17" ht="64.8" x14ac:dyDescent="0.25">
      <c r="A129" s="17" t="s">
        <v>145</v>
      </c>
      <c r="B129" s="17" t="s">
        <v>33</v>
      </c>
      <c r="C129" s="17" t="s">
        <v>146</v>
      </c>
      <c r="D129" s="17" t="s">
        <v>373</v>
      </c>
      <c r="E129" s="130">
        <v>0.21</v>
      </c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</row>
    <row r="130" spans="1:17" ht="46.8" x14ac:dyDescent="0.25">
      <c r="A130" s="17" t="s">
        <v>147</v>
      </c>
      <c r="B130" s="17" t="s">
        <v>118</v>
      </c>
      <c r="C130" s="17" t="s">
        <v>148</v>
      </c>
      <c r="D130" s="17" t="s">
        <v>357</v>
      </c>
      <c r="E130" s="19">
        <f>SUM(F130:Q130)</f>
        <v>0</v>
      </c>
      <c r="F130" s="19">
        <f>$E$15*$E$16*F131*F125*F118</f>
        <v>0</v>
      </c>
      <c r="G130" s="19">
        <f t="shared" ref="G130:Q130" si="18">$E$15*$E$16*G131*G125*G118</f>
        <v>0</v>
      </c>
      <c r="H130" s="19">
        <f t="shared" si="18"/>
        <v>0</v>
      </c>
      <c r="I130" s="19">
        <f t="shared" si="18"/>
        <v>0</v>
      </c>
      <c r="J130" s="19">
        <f t="shared" si="18"/>
        <v>0</v>
      </c>
      <c r="K130" s="19">
        <f t="shared" si="18"/>
        <v>0</v>
      </c>
      <c r="L130" s="19">
        <f t="shared" si="18"/>
        <v>0</v>
      </c>
      <c r="M130" s="19">
        <f t="shared" si="18"/>
        <v>0</v>
      </c>
      <c r="N130" s="19">
        <f t="shared" si="18"/>
        <v>0</v>
      </c>
      <c r="O130" s="19">
        <f t="shared" si="18"/>
        <v>0</v>
      </c>
      <c r="P130" s="19">
        <f t="shared" si="18"/>
        <v>0</v>
      </c>
      <c r="Q130" s="19">
        <f t="shared" si="18"/>
        <v>0</v>
      </c>
    </row>
    <row r="131" spans="1:17" ht="18" x14ac:dyDescent="0.25">
      <c r="A131" s="17" t="s">
        <v>149</v>
      </c>
      <c r="B131" s="17" t="s">
        <v>52</v>
      </c>
      <c r="C131" s="17" t="s">
        <v>150</v>
      </c>
      <c r="D131" s="17" t="s">
        <v>358</v>
      </c>
      <c r="E131" s="26">
        <f>AVERAGE(F131:Q131)</f>
        <v>0</v>
      </c>
      <c r="F131" s="26">
        <f t="shared" ref="F131:Q131" si="19">F132*$E$20*0.89</f>
        <v>0</v>
      </c>
      <c r="G131" s="26">
        <f t="shared" si="19"/>
        <v>0</v>
      </c>
      <c r="H131" s="26">
        <f t="shared" si="19"/>
        <v>0</v>
      </c>
      <c r="I131" s="26">
        <f t="shared" si="19"/>
        <v>0</v>
      </c>
      <c r="J131" s="26">
        <f t="shared" si="19"/>
        <v>0</v>
      </c>
      <c r="K131" s="26">
        <f t="shared" si="19"/>
        <v>0</v>
      </c>
      <c r="L131" s="26">
        <f t="shared" si="19"/>
        <v>0</v>
      </c>
      <c r="M131" s="26">
        <f t="shared" si="19"/>
        <v>0</v>
      </c>
      <c r="N131" s="26">
        <f t="shared" si="19"/>
        <v>0</v>
      </c>
      <c r="O131" s="26">
        <f t="shared" si="19"/>
        <v>0</v>
      </c>
      <c r="P131" s="26">
        <f t="shared" si="19"/>
        <v>0</v>
      </c>
      <c r="Q131" s="26">
        <f t="shared" si="19"/>
        <v>0</v>
      </c>
    </row>
    <row r="132" spans="1:17" ht="31.2" x14ac:dyDescent="0.25">
      <c r="A132" s="17" t="s">
        <v>151</v>
      </c>
      <c r="B132" s="17" t="s">
        <v>52</v>
      </c>
      <c r="C132" s="17" t="s">
        <v>61</v>
      </c>
      <c r="D132" s="17" t="s">
        <v>359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</row>
    <row r="133" spans="1:17" ht="31.2" x14ac:dyDescent="0.25">
      <c r="A133" s="17" t="s">
        <v>152</v>
      </c>
      <c r="B133" s="17" t="s">
        <v>216</v>
      </c>
      <c r="C133" s="17" t="s">
        <v>153</v>
      </c>
      <c r="D133" s="17" t="s">
        <v>360</v>
      </c>
      <c r="E133" s="148">
        <f>(F134*F139+G134*G139+H134*H139+I134*I139+J134*J139+K134*K139+L134*L139+M134*M139+N134*N139+O134*O139+P134*P139+Q134*Q139)/(F126*F127*F118+G127*G126*G118+H126*H127*H118+I127*I126*I118+J127*J126*J118+K127*K126*K118+L127*L126*L118+M127*M126*M118+N127*N126*N118+O126*O127*O118+P127*P126*P118+Q127*Q126*Q118)</f>
        <v>0.68658657304263138</v>
      </c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</row>
    <row r="134" spans="1:17" ht="31.2" x14ac:dyDescent="0.25">
      <c r="A134" s="17" t="s">
        <v>154</v>
      </c>
      <c r="B134" s="17" t="s">
        <v>52</v>
      </c>
      <c r="C134" s="17" t="s">
        <v>155</v>
      </c>
      <c r="D134" s="17" t="s">
        <v>347</v>
      </c>
      <c r="E134" s="27">
        <f>AVERAGE(F134:Q134)</f>
        <v>0.68492017684835282</v>
      </c>
      <c r="F134" s="27">
        <f>IF(F138&lt;283,0,IF(F138&gt;303,1,EXP(($E$22*(F138-$E$23))/($E$24*$E$23*F138))))</f>
        <v>0.32317176495848171</v>
      </c>
      <c r="G134" s="27">
        <f t="shared" ref="G134:Q134" si="20">IF(G138&lt;283,0,IF(G138&gt;303,1,EXP(($E$22*(G138-$E$23))/($E$24*$E$23*G138))))</f>
        <v>0.35374940126825682</v>
      </c>
      <c r="H134" s="27">
        <f t="shared" si="20"/>
        <v>0.50475941545474445</v>
      </c>
      <c r="I134" s="27">
        <f t="shared" si="20"/>
        <v>0.65487347206548807</v>
      </c>
      <c r="J134" s="27">
        <f t="shared" si="20"/>
        <v>0.84523513966163832</v>
      </c>
      <c r="K134" s="27">
        <f t="shared" si="20"/>
        <v>1</v>
      </c>
      <c r="L134" s="27">
        <f t="shared" si="20"/>
        <v>1</v>
      </c>
      <c r="M134" s="27">
        <f t="shared" si="20"/>
        <v>1</v>
      </c>
      <c r="N134" s="27">
        <f t="shared" si="20"/>
        <v>0.91923925774048054</v>
      </c>
      <c r="O134" s="27">
        <f t="shared" si="20"/>
        <v>0.71341857634681827</v>
      </c>
      <c r="P134" s="27">
        <f t="shared" si="20"/>
        <v>0.55084569341606926</v>
      </c>
      <c r="Q134" s="27">
        <f t="shared" si="20"/>
        <v>0.35374940126825682</v>
      </c>
    </row>
    <row r="135" spans="1:17" x14ac:dyDescent="0.25">
      <c r="A135" s="17" t="s">
        <v>66</v>
      </c>
      <c r="B135" s="17" t="s">
        <v>67</v>
      </c>
      <c r="C135" s="17" t="s">
        <v>68</v>
      </c>
      <c r="D135" s="17" t="s">
        <v>361</v>
      </c>
      <c r="E135" s="130">
        <v>15175</v>
      </c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</row>
    <row r="136" spans="1:17" ht="18" x14ac:dyDescent="0.25">
      <c r="A136" s="17" t="s">
        <v>156</v>
      </c>
      <c r="B136" s="17" t="s">
        <v>70</v>
      </c>
      <c r="C136" s="17" t="s">
        <v>71</v>
      </c>
      <c r="D136" s="17" t="s">
        <v>361</v>
      </c>
      <c r="E136" s="130">
        <v>303.16000000000003</v>
      </c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</row>
    <row r="137" spans="1:17" x14ac:dyDescent="0.25">
      <c r="A137" s="17" t="s">
        <v>72</v>
      </c>
      <c r="B137" s="17" t="s">
        <v>73</v>
      </c>
      <c r="C137" s="17" t="s">
        <v>74</v>
      </c>
      <c r="D137" s="17" t="s">
        <v>361</v>
      </c>
      <c r="E137" s="130">
        <v>1.9870000000000001</v>
      </c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</row>
    <row r="138" spans="1:17" ht="31.2" x14ac:dyDescent="0.25">
      <c r="A138" s="17" t="s">
        <v>157</v>
      </c>
      <c r="B138" s="17" t="s">
        <v>70</v>
      </c>
      <c r="C138" s="17" t="s">
        <v>158</v>
      </c>
      <c r="D138" s="17" t="s">
        <v>276</v>
      </c>
      <c r="E138" s="28">
        <f>AVERAGE(F138:Q138)</f>
        <v>297.81666666666672</v>
      </c>
      <c r="F138" s="25">
        <v>290.14999999999998</v>
      </c>
      <c r="G138" s="25">
        <v>291.14999999999998</v>
      </c>
      <c r="H138" s="25">
        <v>295.14999999999998</v>
      </c>
      <c r="I138" s="25">
        <v>298.14999999999998</v>
      </c>
      <c r="J138" s="25">
        <v>301.14999999999998</v>
      </c>
      <c r="K138" s="25">
        <v>303.14999999999998</v>
      </c>
      <c r="L138" s="25">
        <v>303.14999999999998</v>
      </c>
      <c r="M138" s="25">
        <v>303.14999999999998</v>
      </c>
      <c r="N138" s="25">
        <v>302.14999999999998</v>
      </c>
      <c r="O138" s="25">
        <v>299.14999999999998</v>
      </c>
      <c r="P138" s="25">
        <v>296.14999999999998</v>
      </c>
      <c r="Q138" s="25">
        <v>291.14999999999998</v>
      </c>
    </row>
    <row r="139" spans="1:17" ht="46.8" x14ac:dyDescent="0.25">
      <c r="A139" s="17" t="s">
        <v>159</v>
      </c>
      <c r="B139" s="17" t="s">
        <v>38</v>
      </c>
      <c r="C139" s="17" t="s">
        <v>160</v>
      </c>
      <c r="D139" s="17" t="s">
        <v>362</v>
      </c>
      <c r="E139" s="29">
        <f>SUM(F139:Q139)</f>
        <v>54.02</v>
      </c>
      <c r="F139" s="29">
        <f>F123*F127*'Project Emissions'!F118+(1-F134)*0</f>
        <v>4.588000000000001</v>
      </c>
      <c r="G139" s="29">
        <f>G123*G127*'Project Emissions'!G118+(1-G134)*0</f>
        <v>4.1440000000000001</v>
      </c>
      <c r="H139" s="29">
        <f>H123*H127*'Project Emissions'!H118+(1-H134)*0</f>
        <v>4.588000000000001</v>
      </c>
      <c r="I139" s="29">
        <f>I123*I127*'Project Emissions'!I118+(1-I134)*0</f>
        <v>4.4400000000000004</v>
      </c>
      <c r="J139" s="29">
        <f>J123*J127*'Project Emissions'!J118+(1-J134)*0</f>
        <v>4.588000000000001</v>
      </c>
      <c r="K139" s="29">
        <f>K123*K127*'Project Emissions'!K118+(1-K134)*0</f>
        <v>4.4400000000000004</v>
      </c>
      <c r="L139" s="29">
        <f>L123*L127*'Project Emissions'!L118+(1-L134)*0</f>
        <v>4.588000000000001</v>
      </c>
      <c r="M139" s="29">
        <f>M123*M127*'Project Emissions'!M118+(1-M134)*0</f>
        <v>4.588000000000001</v>
      </c>
      <c r="N139" s="29">
        <f>N123*N127*'Project Emissions'!N118+(1-N134)*0</f>
        <v>4.4400000000000004</v>
      </c>
      <c r="O139" s="29">
        <f>O123*O127*'Project Emissions'!O118+(1-O134)*0</f>
        <v>4.588000000000001</v>
      </c>
      <c r="P139" s="29">
        <f>P123*P127*'Project Emissions'!P118+(1-P134)*0</f>
        <v>4.4400000000000004</v>
      </c>
      <c r="Q139" s="29">
        <f>Q123*Q127*'Project Emissions'!Q118+(1-Q134)*0</f>
        <v>4.588000000000001</v>
      </c>
    </row>
    <row r="140" spans="1:17" x14ac:dyDescent="0.3">
      <c r="A140" s="30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x14ac:dyDescent="0.25">
      <c r="A141" s="134" t="s">
        <v>161</v>
      </c>
      <c r="B141" s="134"/>
      <c r="C141" s="135"/>
      <c r="D141" s="135"/>
      <c r="E141" s="155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</row>
    <row r="142" spans="1:17" x14ac:dyDescent="0.25">
      <c r="A142" s="33" t="s">
        <v>9</v>
      </c>
      <c r="B142" s="33" t="s">
        <v>10</v>
      </c>
      <c r="C142" s="34" t="s">
        <v>11</v>
      </c>
      <c r="D142" s="34" t="s">
        <v>12</v>
      </c>
      <c r="E142" s="16" t="s">
        <v>80</v>
      </c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</row>
    <row r="143" spans="1:17" ht="46.8" x14ac:dyDescent="0.25">
      <c r="A143" s="15" t="s">
        <v>162</v>
      </c>
      <c r="B143" s="17" t="s">
        <v>110</v>
      </c>
      <c r="C143" s="35" t="s">
        <v>163</v>
      </c>
      <c r="D143" s="35" t="s">
        <v>83</v>
      </c>
      <c r="E143" s="16">
        <v>0</v>
      </c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</row>
    <row r="144" spans="1:17" x14ac:dyDescent="0.25">
      <c r="A144" s="36"/>
      <c r="B144" s="36"/>
      <c r="C144" s="37"/>
      <c r="D144" s="37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</row>
    <row r="145" spans="1:19" x14ac:dyDescent="0.25">
      <c r="A145" s="134" t="s">
        <v>164</v>
      </c>
      <c r="B145" s="134"/>
      <c r="C145" s="135"/>
      <c r="D145" s="135"/>
      <c r="E145" s="155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spans="1:19" x14ac:dyDescent="0.25">
      <c r="A146" s="33" t="s">
        <v>9</v>
      </c>
      <c r="B146" s="33" t="s">
        <v>10</v>
      </c>
      <c r="C146" s="34" t="s">
        <v>11</v>
      </c>
      <c r="D146" s="34" t="s">
        <v>12</v>
      </c>
      <c r="E146" s="16" t="s">
        <v>80</v>
      </c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</row>
    <row r="147" spans="1:19" ht="46.8" x14ac:dyDescent="0.25">
      <c r="A147" s="15" t="s">
        <v>165</v>
      </c>
      <c r="B147" s="17" t="s">
        <v>110</v>
      </c>
      <c r="C147" s="35" t="s">
        <v>166</v>
      </c>
      <c r="D147" s="35" t="s">
        <v>83</v>
      </c>
      <c r="E147" s="16">
        <v>0</v>
      </c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</row>
    <row r="148" spans="1:19" x14ac:dyDescent="0.25"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</row>
    <row r="149" spans="1:19" x14ac:dyDescent="0.25">
      <c r="A149" s="134" t="s">
        <v>167</v>
      </c>
      <c r="B149" s="134"/>
      <c r="C149" s="135"/>
      <c r="D149" s="135"/>
      <c r="E149" s="155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0" spans="1:19" s="10" customFormat="1" x14ac:dyDescent="0.25">
      <c r="A150" s="15" t="s">
        <v>9</v>
      </c>
      <c r="B150" s="15" t="s">
        <v>10</v>
      </c>
      <c r="C150" s="38" t="s">
        <v>11</v>
      </c>
      <c r="D150" s="38" t="s">
        <v>12</v>
      </c>
      <c r="E150" s="16" t="s">
        <v>80</v>
      </c>
      <c r="F150" s="32"/>
      <c r="G150" s="32"/>
      <c r="H150" s="39"/>
      <c r="I150" s="39"/>
      <c r="J150" s="39"/>
      <c r="K150" s="39"/>
      <c r="L150" s="39"/>
      <c r="M150" s="39"/>
      <c r="N150" s="39"/>
      <c r="O150" s="39"/>
      <c r="P150" s="39"/>
      <c r="Q150" s="39"/>
    </row>
    <row r="151" spans="1:19" s="10" customFormat="1" ht="18" x14ac:dyDescent="0.4">
      <c r="A151" s="40" t="s">
        <v>168</v>
      </c>
      <c r="B151" s="17" t="s">
        <v>118</v>
      </c>
      <c r="C151" s="35" t="s">
        <v>169</v>
      </c>
      <c r="D151" s="35" t="s">
        <v>170</v>
      </c>
      <c r="E151" s="41">
        <f>E152*E154*(1+E153)</f>
        <v>249.37110180000002</v>
      </c>
      <c r="F151" s="32"/>
      <c r="G151" s="32"/>
      <c r="H151" s="39"/>
      <c r="I151" s="39"/>
      <c r="J151" s="39"/>
      <c r="K151" s="39"/>
      <c r="L151" s="39"/>
      <c r="M151" s="39"/>
      <c r="N151" s="39"/>
      <c r="O151" s="39"/>
      <c r="P151" s="39"/>
      <c r="Q151" s="39"/>
    </row>
    <row r="152" spans="1:19" ht="31.2" x14ac:dyDescent="0.25">
      <c r="A152" s="17" t="s">
        <v>171</v>
      </c>
      <c r="B152" s="17" t="s">
        <v>172</v>
      </c>
      <c r="C152" s="35" t="s">
        <v>173</v>
      </c>
      <c r="D152" s="35" t="s">
        <v>40</v>
      </c>
      <c r="E152" s="20">
        <v>408.39</v>
      </c>
      <c r="G152" s="42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9"/>
      <c r="S152" s="9"/>
    </row>
    <row r="153" spans="1:19" ht="31.2" x14ac:dyDescent="0.25">
      <c r="A153" s="17" t="s">
        <v>174</v>
      </c>
      <c r="B153" s="17" t="s">
        <v>175</v>
      </c>
      <c r="C153" s="35" t="s">
        <v>176</v>
      </c>
      <c r="D153" s="35" t="s">
        <v>177</v>
      </c>
      <c r="E153" s="44">
        <v>0.2</v>
      </c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9"/>
      <c r="S153" s="9"/>
    </row>
    <row r="154" spans="1:19" ht="46.8" x14ac:dyDescent="0.25">
      <c r="A154" s="17" t="s">
        <v>178</v>
      </c>
      <c r="B154" s="17" t="s">
        <v>179</v>
      </c>
      <c r="C154" s="35" t="s">
        <v>180</v>
      </c>
      <c r="D154" s="35" t="s">
        <v>181</v>
      </c>
      <c r="E154" s="45">
        <f>0.5*0.8042+0.5*0.2135</f>
        <v>0.50885000000000002</v>
      </c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</row>
    <row r="155" spans="1:19" ht="31.2" x14ac:dyDescent="0.4">
      <c r="A155" s="40" t="s">
        <v>182</v>
      </c>
      <c r="B155" s="17" t="s">
        <v>118</v>
      </c>
      <c r="C155" s="35" t="s">
        <v>183</v>
      </c>
      <c r="D155" s="35" t="s">
        <v>184</v>
      </c>
      <c r="E155" s="47">
        <v>0</v>
      </c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9"/>
      <c r="S155" s="9"/>
    </row>
    <row r="156" spans="1:19" x14ac:dyDescent="0.3">
      <c r="A156" s="48"/>
      <c r="E156" s="49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9"/>
      <c r="S156" s="9"/>
    </row>
    <row r="157" spans="1:19" x14ac:dyDescent="0.25">
      <c r="A157" s="134" t="s">
        <v>185</v>
      </c>
      <c r="B157" s="134"/>
      <c r="C157" s="135"/>
      <c r="D157" s="135"/>
      <c r="E157" s="155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</row>
    <row r="158" spans="1:19" x14ac:dyDescent="0.25">
      <c r="A158" s="15" t="s">
        <v>9</v>
      </c>
      <c r="B158" s="15" t="s">
        <v>10</v>
      </c>
      <c r="C158" s="38" t="s">
        <v>11</v>
      </c>
      <c r="D158" s="38" t="s">
        <v>12</v>
      </c>
      <c r="E158" s="16" t="s">
        <v>80</v>
      </c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9"/>
      <c r="S158" s="9"/>
    </row>
    <row r="159" spans="1:19" ht="33.6" x14ac:dyDescent="0.4">
      <c r="A159" s="40" t="s">
        <v>186</v>
      </c>
      <c r="B159" s="17" t="s">
        <v>89</v>
      </c>
      <c r="C159" s="35" t="s">
        <v>187</v>
      </c>
      <c r="D159" s="35" t="s">
        <v>363</v>
      </c>
      <c r="E159" s="50">
        <f>E160*E163*E164*E165*E166*E167</f>
        <v>1.85553680828797</v>
      </c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9"/>
      <c r="S159" s="9"/>
    </row>
    <row r="160" spans="1:19" ht="46.8" x14ac:dyDescent="0.4">
      <c r="A160" s="51" t="s">
        <v>188</v>
      </c>
      <c r="B160" s="17" t="s">
        <v>91</v>
      </c>
      <c r="C160" s="35" t="s">
        <v>189</v>
      </c>
      <c r="D160" s="35" t="s">
        <v>364</v>
      </c>
      <c r="E160" s="52">
        <f>E161/E162</f>
        <v>108.77000000000001</v>
      </c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9"/>
      <c r="S160" s="9"/>
    </row>
    <row r="161" spans="1:19" ht="31.2" x14ac:dyDescent="0.25">
      <c r="A161" s="17" t="s">
        <v>190</v>
      </c>
      <c r="B161" s="17" t="s">
        <v>93</v>
      </c>
      <c r="C161" s="35" t="s">
        <v>191</v>
      </c>
      <c r="D161" s="35" t="s">
        <v>40</v>
      </c>
      <c r="E161" s="52">
        <f>1.49*365</f>
        <v>543.85</v>
      </c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9"/>
      <c r="S161" s="9"/>
    </row>
    <row r="162" spans="1:19" ht="31.2" x14ac:dyDescent="0.25">
      <c r="A162" s="17" t="s">
        <v>192</v>
      </c>
      <c r="B162" s="17" t="s">
        <v>95</v>
      </c>
      <c r="C162" s="35" t="s">
        <v>96</v>
      </c>
      <c r="D162" s="35" t="s">
        <v>40</v>
      </c>
      <c r="E162" s="25">
        <f>5</f>
        <v>5</v>
      </c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9"/>
      <c r="S162" s="9"/>
    </row>
    <row r="163" spans="1:19" ht="46.8" x14ac:dyDescent="0.25">
      <c r="A163" s="17" t="s">
        <v>193</v>
      </c>
      <c r="B163" s="17" t="s">
        <v>97</v>
      </c>
      <c r="C163" s="35" t="s">
        <v>194</v>
      </c>
      <c r="D163" s="35" t="s">
        <v>40</v>
      </c>
      <c r="E163" s="25">
        <f>12.6*2</f>
        <v>25.2</v>
      </c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9"/>
      <c r="S163" s="9"/>
    </row>
    <row r="164" spans="1:19" ht="141" x14ac:dyDescent="0.25">
      <c r="A164" s="17" t="s">
        <v>195</v>
      </c>
      <c r="B164" s="17" t="s">
        <v>99</v>
      </c>
      <c r="C164" s="35" t="s">
        <v>100</v>
      </c>
      <c r="D164" s="35" t="s">
        <v>330</v>
      </c>
      <c r="E164" s="25">
        <f>25.1/100</f>
        <v>0.251</v>
      </c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9"/>
      <c r="S164" s="9"/>
    </row>
    <row r="165" spans="1:19" ht="62.4" x14ac:dyDescent="0.25">
      <c r="A165" s="17" t="s">
        <v>101</v>
      </c>
      <c r="B165" s="17" t="s">
        <v>102</v>
      </c>
      <c r="C165" s="35" t="s">
        <v>101</v>
      </c>
      <c r="D165" s="35" t="s">
        <v>231</v>
      </c>
      <c r="E165" s="25">
        <f>0.84/1000</f>
        <v>8.3999999999999993E-4</v>
      </c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9"/>
      <c r="S165" s="9"/>
    </row>
    <row r="166" spans="1:19" ht="124.8" x14ac:dyDescent="0.25">
      <c r="A166" s="17" t="s">
        <v>196</v>
      </c>
      <c r="B166" s="17" t="s">
        <v>103</v>
      </c>
      <c r="C166" s="35" t="s">
        <v>104</v>
      </c>
      <c r="D166" s="35" t="s">
        <v>331</v>
      </c>
      <c r="E166" s="25">
        <f>43.33/1000</f>
        <v>4.333E-2</v>
      </c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9"/>
      <c r="S166" s="9"/>
    </row>
    <row r="167" spans="1:19" ht="33.6" x14ac:dyDescent="0.25">
      <c r="A167" s="17" t="s">
        <v>197</v>
      </c>
      <c r="B167" s="17" t="s">
        <v>105</v>
      </c>
      <c r="C167" s="35" t="s">
        <v>106</v>
      </c>
      <c r="D167" s="35" t="s">
        <v>107</v>
      </c>
      <c r="E167" s="25">
        <v>74.099999999999994</v>
      </c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9"/>
      <c r="S167" s="9"/>
    </row>
    <row r="169" spans="1:19" x14ac:dyDescent="0.25">
      <c r="A169" s="33" t="s">
        <v>9</v>
      </c>
      <c r="B169" s="33" t="s">
        <v>10</v>
      </c>
      <c r="C169" s="34" t="s">
        <v>11</v>
      </c>
      <c r="D169" s="34" t="s">
        <v>12</v>
      </c>
      <c r="E169" s="16" t="s">
        <v>80</v>
      </c>
    </row>
    <row r="170" spans="1:19" ht="18" x14ac:dyDescent="0.25">
      <c r="A170" s="15" t="s">
        <v>198</v>
      </c>
      <c r="B170" s="17" t="s">
        <v>118</v>
      </c>
      <c r="C170" s="35" t="s">
        <v>199</v>
      </c>
      <c r="D170" s="53" t="s">
        <v>365</v>
      </c>
      <c r="E170" s="18">
        <f>ROUNDUP(E119+E143+E147+E151+E159,0)</f>
        <v>252</v>
      </c>
    </row>
    <row r="171" spans="1:19" s="158" customFormat="1" ht="43.2" customHeight="1" x14ac:dyDescent="0.25">
      <c r="A171" s="158" t="s">
        <v>247</v>
      </c>
    </row>
    <row r="172" spans="1:19" ht="23.4" customHeight="1" x14ac:dyDescent="0.25">
      <c r="A172" s="153" t="s">
        <v>120</v>
      </c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4"/>
    </row>
    <row r="173" spans="1:19" s="10" customFormat="1" x14ac:dyDescent="0.25">
      <c r="A173" s="15" t="s">
        <v>9</v>
      </c>
      <c r="B173" s="15" t="s">
        <v>10</v>
      </c>
      <c r="C173" s="15" t="s">
        <v>11</v>
      </c>
      <c r="D173" s="15" t="s">
        <v>12</v>
      </c>
      <c r="E173" s="16" t="s">
        <v>13</v>
      </c>
      <c r="F173" s="16" t="s">
        <v>14</v>
      </c>
      <c r="G173" s="16" t="s">
        <v>15</v>
      </c>
      <c r="H173" s="16" t="s">
        <v>16</v>
      </c>
      <c r="I173" s="16" t="s">
        <v>17</v>
      </c>
      <c r="J173" s="16" t="s">
        <v>18</v>
      </c>
      <c r="K173" s="16" t="s">
        <v>19</v>
      </c>
      <c r="L173" s="16" t="s">
        <v>20</v>
      </c>
      <c r="M173" s="16" t="s">
        <v>21</v>
      </c>
      <c r="N173" s="16" t="s">
        <v>22</v>
      </c>
      <c r="O173" s="16" t="s">
        <v>23</v>
      </c>
      <c r="P173" s="16" t="s">
        <v>24</v>
      </c>
      <c r="Q173" s="16" t="s">
        <v>25</v>
      </c>
      <c r="R173" s="54"/>
      <c r="S173" s="54"/>
    </row>
    <row r="174" spans="1:19" s="10" customFormat="1" x14ac:dyDescent="0.25">
      <c r="A174" s="146" t="s">
        <v>121</v>
      </c>
      <c r="B174" s="146"/>
      <c r="C174" s="146"/>
      <c r="D174" s="146"/>
      <c r="E174" s="147"/>
      <c r="F174" s="16">
        <v>31</v>
      </c>
      <c r="G174" s="16">
        <v>28</v>
      </c>
      <c r="H174" s="16">
        <v>31</v>
      </c>
      <c r="I174" s="16">
        <v>30</v>
      </c>
      <c r="J174" s="16">
        <v>31</v>
      </c>
      <c r="K174" s="16">
        <v>30</v>
      </c>
      <c r="L174" s="16">
        <v>31</v>
      </c>
      <c r="M174" s="16">
        <v>31</v>
      </c>
      <c r="N174" s="16">
        <v>30</v>
      </c>
      <c r="O174" s="16">
        <v>31</v>
      </c>
      <c r="P174" s="16">
        <v>30</v>
      </c>
      <c r="Q174" s="16">
        <v>31</v>
      </c>
      <c r="R174" s="54"/>
      <c r="S174" s="54"/>
    </row>
    <row r="175" spans="1:19" s="10" customFormat="1" ht="31.2" x14ac:dyDescent="0.25">
      <c r="A175" s="15" t="s">
        <v>122</v>
      </c>
      <c r="B175" s="17" t="s">
        <v>118</v>
      </c>
      <c r="C175" s="17" t="s">
        <v>123</v>
      </c>
      <c r="D175" s="17" t="s">
        <v>353</v>
      </c>
      <c r="E175" s="18">
        <f>E176+E186</f>
        <v>0</v>
      </c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54"/>
      <c r="S175" s="54"/>
    </row>
    <row r="176" spans="1:19" ht="46.8" x14ac:dyDescent="0.25">
      <c r="A176" s="17" t="s">
        <v>124</v>
      </c>
      <c r="B176" s="17" t="s">
        <v>118</v>
      </c>
      <c r="C176" s="17" t="s">
        <v>125</v>
      </c>
      <c r="D176" s="17" t="s">
        <v>354</v>
      </c>
      <c r="E176" s="19">
        <f>SUM(F176:Q176)</f>
        <v>0</v>
      </c>
      <c r="F176" s="19">
        <f>IF(F177&gt;=0.8,0,$E$15*$E$16*0.4*(F178-F181)*F174)</f>
        <v>0</v>
      </c>
      <c r="G176" s="19">
        <f t="shared" ref="G176:Q176" si="21">IF(G177&gt;=0.8,0,$E$15*$E$16*0.4*(G178-G181)*G174)</f>
        <v>0</v>
      </c>
      <c r="H176" s="19">
        <f t="shared" si="21"/>
        <v>0</v>
      </c>
      <c r="I176" s="19">
        <f t="shared" si="21"/>
        <v>0</v>
      </c>
      <c r="J176" s="19">
        <f t="shared" si="21"/>
        <v>0</v>
      </c>
      <c r="K176" s="19">
        <f t="shared" si="21"/>
        <v>0</v>
      </c>
      <c r="L176" s="19">
        <f t="shared" si="21"/>
        <v>0</v>
      </c>
      <c r="M176" s="19">
        <f t="shared" si="21"/>
        <v>0</v>
      </c>
      <c r="N176" s="19">
        <f t="shared" si="21"/>
        <v>0</v>
      </c>
      <c r="O176" s="19">
        <f t="shared" si="21"/>
        <v>0</v>
      </c>
      <c r="P176" s="19">
        <f t="shared" si="21"/>
        <v>0</v>
      </c>
      <c r="Q176" s="19">
        <f t="shared" si="21"/>
        <v>0</v>
      </c>
    </row>
    <row r="177" spans="1:17" ht="62.4" x14ac:dyDescent="0.25">
      <c r="A177" s="17" t="s">
        <v>126</v>
      </c>
      <c r="B177" s="17" t="s">
        <v>52</v>
      </c>
      <c r="C177" s="17" t="s">
        <v>127</v>
      </c>
      <c r="D177" s="17" t="s">
        <v>355</v>
      </c>
      <c r="E177" s="20">
        <f>AVERAGE(F177:Q177)</f>
        <v>0.91109347442680788</v>
      </c>
      <c r="F177" s="20">
        <f>(F178-F181)/F178</f>
        <v>0.9111111111111112</v>
      </c>
      <c r="G177" s="20">
        <f t="shared" ref="G177:Q177" si="22">(G178-G181)/G178</f>
        <v>0.9111111111111112</v>
      </c>
      <c r="H177" s="20">
        <f t="shared" si="22"/>
        <v>0.91109700176366837</v>
      </c>
      <c r="I177" s="20">
        <f t="shared" si="22"/>
        <v>0.9111111111111112</v>
      </c>
      <c r="J177" s="20">
        <f t="shared" si="22"/>
        <v>0.91108289241622575</v>
      </c>
      <c r="K177" s="20">
        <f t="shared" si="22"/>
        <v>0.9111111111111112</v>
      </c>
      <c r="L177" s="20">
        <f t="shared" si="22"/>
        <v>0.91106878306878303</v>
      </c>
      <c r="M177" s="20">
        <f t="shared" si="22"/>
        <v>0.9111111111111112</v>
      </c>
      <c r="N177" s="20">
        <f t="shared" si="22"/>
        <v>0.91105467372134041</v>
      </c>
      <c r="O177" s="20">
        <f t="shared" si="22"/>
        <v>0.9111111111111112</v>
      </c>
      <c r="P177" s="20">
        <f t="shared" si="22"/>
        <v>0.91104056437389769</v>
      </c>
      <c r="Q177" s="20">
        <f t="shared" si="22"/>
        <v>0.9111111111111112</v>
      </c>
    </row>
    <row r="178" spans="1:17" ht="46.8" x14ac:dyDescent="0.25">
      <c r="A178" s="17" t="s">
        <v>128</v>
      </c>
      <c r="B178" s="17" t="s">
        <v>38</v>
      </c>
      <c r="C178" s="17" t="s">
        <v>129</v>
      </c>
      <c r="D178" s="17" t="s">
        <v>356</v>
      </c>
      <c r="E178" s="20">
        <f>SUM(F178:Q178)</f>
        <v>34.020000000000003</v>
      </c>
      <c r="F178" s="20">
        <f>F179*F180</f>
        <v>2.835</v>
      </c>
      <c r="G178" s="20">
        <f t="shared" ref="G178:Q178" si="23">G179*G180</f>
        <v>2.835</v>
      </c>
      <c r="H178" s="20">
        <f t="shared" si="23"/>
        <v>2.835</v>
      </c>
      <c r="I178" s="20">
        <f t="shared" si="23"/>
        <v>2.835</v>
      </c>
      <c r="J178" s="20">
        <f t="shared" si="23"/>
        <v>2.835</v>
      </c>
      <c r="K178" s="20">
        <f t="shared" si="23"/>
        <v>2.835</v>
      </c>
      <c r="L178" s="20">
        <f t="shared" si="23"/>
        <v>2.835</v>
      </c>
      <c r="M178" s="20">
        <f t="shared" si="23"/>
        <v>2.835</v>
      </c>
      <c r="N178" s="20">
        <f t="shared" si="23"/>
        <v>2.835</v>
      </c>
      <c r="O178" s="20">
        <f t="shared" si="23"/>
        <v>2.835</v>
      </c>
      <c r="P178" s="20">
        <f t="shared" si="23"/>
        <v>2.835</v>
      </c>
      <c r="Q178" s="20">
        <f t="shared" si="23"/>
        <v>2.835</v>
      </c>
    </row>
    <row r="179" spans="1:17" ht="51" customHeight="1" x14ac:dyDescent="0.25">
      <c r="A179" s="17" t="s">
        <v>130</v>
      </c>
      <c r="B179" s="17" t="s">
        <v>131</v>
      </c>
      <c r="C179" s="17" t="s">
        <v>132</v>
      </c>
      <c r="D179" s="17" t="s">
        <v>40</v>
      </c>
      <c r="E179" s="21">
        <f>SUM(F179:Q179)</f>
        <v>75600</v>
      </c>
      <c r="F179" s="21">
        <f>6300</f>
        <v>6300</v>
      </c>
      <c r="G179" s="21">
        <f>6300</f>
        <v>6300</v>
      </c>
      <c r="H179" s="21">
        <f>6300</f>
        <v>6300</v>
      </c>
      <c r="I179" s="21">
        <f>6300</f>
        <v>6300</v>
      </c>
      <c r="J179" s="21">
        <f>6300</f>
        <v>6300</v>
      </c>
      <c r="K179" s="21">
        <f>6300</f>
        <v>6300</v>
      </c>
      <c r="L179" s="21">
        <f>6300</f>
        <v>6300</v>
      </c>
      <c r="M179" s="21">
        <f>6300</f>
        <v>6300</v>
      </c>
      <c r="N179" s="21">
        <f>6300</f>
        <v>6300</v>
      </c>
      <c r="O179" s="21">
        <f>6300</f>
        <v>6300</v>
      </c>
      <c r="P179" s="21">
        <f>6300</f>
        <v>6300</v>
      </c>
      <c r="Q179" s="21">
        <f>6300</f>
        <v>6300</v>
      </c>
    </row>
    <row r="180" spans="1:17" ht="46.8" x14ac:dyDescent="0.25">
      <c r="A180" s="17" t="s">
        <v>133</v>
      </c>
      <c r="B180" s="17" t="s">
        <v>134</v>
      </c>
      <c r="C180" s="17" t="s">
        <v>135</v>
      </c>
      <c r="D180" s="17" t="s">
        <v>40</v>
      </c>
      <c r="E180" s="22">
        <f>AVERAGE(F180:Q180)</f>
        <v>4.4999999999999993E-4</v>
      </c>
      <c r="F180" s="23">
        <f>'Baseline Emissions'!F178</f>
        <v>4.4999999999999999E-4</v>
      </c>
      <c r="G180" s="23">
        <f>'Baseline Emissions'!G178</f>
        <v>4.4999999999999999E-4</v>
      </c>
      <c r="H180" s="23">
        <f>'Baseline Emissions'!H178</f>
        <v>4.4999999999999999E-4</v>
      </c>
      <c r="I180" s="23">
        <f>'Baseline Emissions'!I178</f>
        <v>4.4999999999999999E-4</v>
      </c>
      <c r="J180" s="23">
        <f>'Baseline Emissions'!J178</f>
        <v>4.4999999999999999E-4</v>
      </c>
      <c r="K180" s="23">
        <f>'Baseline Emissions'!K178</f>
        <v>4.4999999999999999E-4</v>
      </c>
      <c r="L180" s="23">
        <f>'Baseline Emissions'!L178</f>
        <v>4.4999999999999999E-4</v>
      </c>
      <c r="M180" s="23">
        <f>'Baseline Emissions'!M178</f>
        <v>4.4999999999999999E-4</v>
      </c>
      <c r="N180" s="23">
        <f>'Baseline Emissions'!N178</f>
        <v>4.4999999999999999E-4</v>
      </c>
      <c r="O180" s="23">
        <f>'Baseline Emissions'!O178</f>
        <v>4.4999999999999999E-4</v>
      </c>
      <c r="P180" s="23">
        <f>'Baseline Emissions'!P178</f>
        <v>4.4999999999999999E-4</v>
      </c>
      <c r="Q180" s="23">
        <f>'Baseline Emissions'!Q178</f>
        <v>4.4999999999999999E-4</v>
      </c>
    </row>
    <row r="181" spans="1:17" ht="46.8" x14ac:dyDescent="0.25">
      <c r="A181" s="17" t="s">
        <v>136</v>
      </c>
      <c r="B181" s="17" t="s">
        <v>38</v>
      </c>
      <c r="C181" s="17" t="s">
        <v>137</v>
      </c>
      <c r="D181" s="17" t="s">
        <v>356</v>
      </c>
      <c r="E181" s="20">
        <f>SUM(F181:Q181)</f>
        <v>3.0245999999999995</v>
      </c>
      <c r="F181" s="20">
        <f>SUM(F182*F183)</f>
        <v>0.252</v>
      </c>
      <c r="G181" s="20">
        <f t="shared" ref="G181:Q181" si="24">SUM(G182*G183)</f>
        <v>0.252</v>
      </c>
      <c r="H181" s="20">
        <f t="shared" si="24"/>
        <v>0.25204000000000004</v>
      </c>
      <c r="I181" s="20">
        <f t="shared" si="24"/>
        <v>0.252</v>
      </c>
      <c r="J181" s="20">
        <f t="shared" si="24"/>
        <v>0.25208000000000003</v>
      </c>
      <c r="K181" s="20">
        <f t="shared" si="24"/>
        <v>0.252</v>
      </c>
      <c r="L181" s="20">
        <f t="shared" si="24"/>
        <v>0.25212000000000001</v>
      </c>
      <c r="M181" s="20">
        <f t="shared" si="24"/>
        <v>0.252</v>
      </c>
      <c r="N181" s="20">
        <f t="shared" si="24"/>
        <v>0.25216</v>
      </c>
      <c r="O181" s="20">
        <f t="shared" si="24"/>
        <v>0.252</v>
      </c>
      <c r="P181" s="20">
        <f t="shared" si="24"/>
        <v>0.25220000000000004</v>
      </c>
      <c r="Q181" s="20">
        <f t="shared" si="24"/>
        <v>0.252</v>
      </c>
    </row>
    <row r="182" spans="1:17" ht="31.2" x14ac:dyDescent="0.25">
      <c r="A182" s="17" t="s">
        <v>138</v>
      </c>
      <c r="B182" s="17" t="s">
        <v>131</v>
      </c>
      <c r="C182" s="17" t="s">
        <v>139</v>
      </c>
      <c r="D182" s="17" t="s">
        <v>40</v>
      </c>
      <c r="E182" s="21">
        <f>SUM(F182:Q182)</f>
        <v>75615</v>
      </c>
      <c r="F182" s="21">
        <v>6300</v>
      </c>
      <c r="G182" s="21">
        <f>6300</f>
        <v>6300</v>
      </c>
      <c r="H182" s="21">
        <v>6301</v>
      </c>
      <c r="I182" s="21">
        <f>6300</f>
        <v>6300</v>
      </c>
      <c r="J182" s="21">
        <v>6302</v>
      </c>
      <c r="K182" s="21">
        <f>6300</f>
        <v>6300</v>
      </c>
      <c r="L182" s="21">
        <v>6303</v>
      </c>
      <c r="M182" s="21">
        <f>6300</f>
        <v>6300</v>
      </c>
      <c r="N182" s="21">
        <v>6304</v>
      </c>
      <c r="O182" s="21">
        <f>6300</f>
        <v>6300</v>
      </c>
      <c r="P182" s="21">
        <v>6305</v>
      </c>
      <c r="Q182" s="21">
        <f>6300</f>
        <v>6300</v>
      </c>
    </row>
    <row r="183" spans="1:17" ht="46.8" x14ac:dyDescent="0.25">
      <c r="A183" s="17" t="s">
        <v>140</v>
      </c>
      <c r="B183" s="17" t="s">
        <v>134</v>
      </c>
      <c r="C183" s="17" t="s">
        <v>141</v>
      </c>
      <c r="D183" s="17" t="s">
        <v>40</v>
      </c>
      <c r="E183" s="24">
        <f>AVERAGE(F183:Q183)</f>
        <v>4.0000000000000003E-5</v>
      </c>
      <c r="F183" s="24">
        <f>'Baseline Emissions'!F179</f>
        <v>4.0000000000000003E-5</v>
      </c>
      <c r="G183" s="24">
        <f>'Baseline Emissions'!G179</f>
        <v>4.0000000000000003E-5</v>
      </c>
      <c r="H183" s="24">
        <f>'Baseline Emissions'!H179</f>
        <v>4.0000000000000003E-5</v>
      </c>
      <c r="I183" s="24">
        <f>'Baseline Emissions'!I179</f>
        <v>4.0000000000000003E-5</v>
      </c>
      <c r="J183" s="24">
        <f>'Baseline Emissions'!J179</f>
        <v>4.0000000000000003E-5</v>
      </c>
      <c r="K183" s="24">
        <f>'Baseline Emissions'!K179</f>
        <v>4.0000000000000003E-5</v>
      </c>
      <c r="L183" s="24">
        <f>'Baseline Emissions'!L179</f>
        <v>4.0000000000000003E-5</v>
      </c>
      <c r="M183" s="24">
        <f>'Baseline Emissions'!M179</f>
        <v>4.0000000000000003E-5</v>
      </c>
      <c r="N183" s="24">
        <f>'Baseline Emissions'!N179</f>
        <v>4.0000000000000003E-5</v>
      </c>
      <c r="O183" s="24">
        <f>'Baseline Emissions'!O179</f>
        <v>4.0000000000000003E-5</v>
      </c>
      <c r="P183" s="24">
        <f>'Baseline Emissions'!P179</f>
        <v>4.0000000000000003E-5</v>
      </c>
      <c r="Q183" s="24">
        <f>'Baseline Emissions'!Q179</f>
        <v>4.0000000000000003E-5</v>
      </c>
    </row>
    <row r="184" spans="1:17" ht="31.2" x14ac:dyDescent="0.25">
      <c r="A184" s="17" t="s">
        <v>142</v>
      </c>
      <c r="B184" s="17" t="s">
        <v>143</v>
      </c>
      <c r="C184" s="17" t="s">
        <v>31</v>
      </c>
      <c r="D184" s="17" t="s">
        <v>144</v>
      </c>
      <c r="E184" s="130">
        <v>28</v>
      </c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</row>
    <row r="185" spans="1:17" ht="64.8" x14ac:dyDescent="0.25">
      <c r="A185" s="17" t="s">
        <v>145</v>
      </c>
      <c r="B185" s="17" t="s">
        <v>33</v>
      </c>
      <c r="C185" s="17" t="s">
        <v>146</v>
      </c>
      <c r="D185" s="17" t="s">
        <v>373</v>
      </c>
      <c r="E185" s="130">
        <v>0.21</v>
      </c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</row>
    <row r="186" spans="1:17" ht="46.8" x14ac:dyDescent="0.25">
      <c r="A186" s="17" t="s">
        <v>147</v>
      </c>
      <c r="B186" s="17" t="s">
        <v>118</v>
      </c>
      <c r="C186" s="17" t="s">
        <v>148</v>
      </c>
      <c r="D186" s="17" t="s">
        <v>357</v>
      </c>
      <c r="E186" s="19">
        <f>SUM(F186:Q186)</f>
        <v>0</v>
      </c>
      <c r="F186" s="19">
        <f>$E$15*$E$16*F187*F181*F174</f>
        <v>0</v>
      </c>
      <c r="G186" s="19">
        <f t="shared" ref="G186:Q186" si="25">$E$15*$E$16*G187*G181*G174</f>
        <v>0</v>
      </c>
      <c r="H186" s="19">
        <f t="shared" si="25"/>
        <v>0</v>
      </c>
      <c r="I186" s="19">
        <f t="shared" si="25"/>
        <v>0</v>
      </c>
      <c r="J186" s="19">
        <f t="shared" si="25"/>
        <v>0</v>
      </c>
      <c r="K186" s="19">
        <f t="shared" si="25"/>
        <v>0</v>
      </c>
      <c r="L186" s="19">
        <f t="shared" si="25"/>
        <v>0</v>
      </c>
      <c r="M186" s="19">
        <f t="shared" si="25"/>
        <v>0</v>
      </c>
      <c r="N186" s="19">
        <f t="shared" si="25"/>
        <v>0</v>
      </c>
      <c r="O186" s="19">
        <f t="shared" si="25"/>
        <v>0</v>
      </c>
      <c r="P186" s="19">
        <f t="shared" si="25"/>
        <v>0</v>
      </c>
      <c r="Q186" s="19">
        <f t="shared" si="25"/>
        <v>0</v>
      </c>
    </row>
    <row r="187" spans="1:17" ht="18" x14ac:dyDescent="0.25">
      <c r="A187" s="17" t="s">
        <v>149</v>
      </c>
      <c r="B187" s="17" t="s">
        <v>52</v>
      </c>
      <c r="C187" s="17" t="s">
        <v>150</v>
      </c>
      <c r="D187" s="17" t="s">
        <v>358</v>
      </c>
      <c r="E187" s="26">
        <f>AVERAGE(F187:Q187)</f>
        <v>0</v>
      </c>
      <c r="F187" s="26">
        <f t="shared" ref="F187:Q187" si="26">F188*$E$20*0.89</f>
        <v>0</v>
      </c>
      <c r="G187" s="26">
        <f t="shared" si="26"/>
        <v>0</v>
      </c>
      <c r="H187" s="26">
        <f t="shared" si="26"/>
        <v>0</v>
      </c>
      <c r="I187" s="26">
        <f t="shared" si="26"/>
        <v>0</v>
      </c>
      <c r="J187" s="26">
        <f t="shared" si="26"/>
        <v>0</v>
      </c>
      <c r="K187" s="26">
        <f t="shared" si="26"/>
        <v>0</v>
      </c>
      <c r="L187" s="26">
        <f t="shared" si="26"/>
        <v>0</v>
      </c>
      <c r="M187" s="26">
        <f t="shared" si="26"/>
        <v>0</v>
      </c>
      <c r="N187" s="26">
        <f t="shared" si="26"/>
        <v>0</v>
      </c>
      <c r="O187" s="26">
        <f t="shared" si="26"/>
        <v>0</v>
      </c>
      <c r="P187" s="26">
        <f t="shared" si="26"/>
        <v>0</v>
      </c>
      <c r="Q187" s="26">
        <f t="shared" si="26"/>
        <v>0</v>
      </c>
    </row>
    <row r="188" spans="1:17" ht="31.2" x14ac:dyDescent="0.25">
      <c r="A188" s="17" t="s">
        <v>151</v>
      </c>
      <c r="B188" s="17" t="s">
        <v>52</v>
      </c>
      <c r="C188" s="17" t="s">
        <v>61</v>
      </c>
      <c r="D188" s="17" t="s">
        <v>359</v>
      </c>
      <c r="E188" s="25">
        <v>0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25">
        <v>0</v>
      </c>
      <c r="L188" s="25">
        <v>0</v>
      </c>
      <c r="M188" s="25">
        <v>0</v>
      </c>
      <c r="N188" s="25">
        <v>0</v>
      </c>
      <c r="O188" s="25">
        <v>0</v>
      </c>
      <c r="P188" s="25">
        <v>0</v>
      </c>
      <c r="Q188" s="25">
        <v>0</v>
      </c>
    </row>
    <row r="189" spans="1:17" ht="31.2" x14ac:dyDescent="0.25">
      <c r="A189" s="17" t="s">
        <v>152</v>
      </c>
      <c r="B189" s="17" t="s">
        <v>216</v>
      </c>
      <c r="C189" s="17" t="s">
        <v>153</v>
      </c>
      <c r="D189" s="17" t="s">
        <v>360</v>
      </c>
      <c r="E189" s="148">
        <f>(F190*F195+G190*G195+H190*H195+I190*I195+J190*J195+K190*K195+L190*L195+M190*M195+N190*N195+O190*O195+P190*P195+Q190*Q195)/(F182*F183*F174+G183*G182*G174+H182*H183*H174+I183*I182*I174+J183*J182*J174+K183*K182*K174+L183*L182*L174+M183*M182*M174+N183*N182*N174+O182*O183*O174+P183*P182*P174+Q183*Q182*Q174)</f>
        <v>0.68645044718748127</v>
      </c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</row>
    <row r="190" spans="1:17" ht="31.2" x14ac:dyDescent="0.25">
      <c r="A190" s="17" t="s">
        <v>154</v>
      </c>
      <c r="B190" s="17" t="s">
        <v>52</v>
      </c>
      <c r="C190" s="17" t="s">
        <v>155</v>
      </c>
      <c r="D190" s="17" t="s">
        <v>347</v>
      </c>
      <c r="E190" s="27">
        <f>AVERAGE(F190:Q190)</f>
        <v>0.68492017684835282</v>
      </c>
      <c r="F190" s="27">
        <f>IF(F194&lt;283,0,IF(F194&gt;303,1,EXP(($E$22*(F194-$E$23))/($E$24*$E$23*F194))))</f>
        <v>0.32317176495848171</v>
      </c>
      <c r="G190" s="27">
        <f t="shared" ref="G190:Q190" si="27">IF(G194&lt;283,0,IF(G194&gt;303,1,EXP(($E$22*(G194-$E$23))/($E$24*$E$23*G194))))</f>
        <v>0.35374940126825682</v>
      </c>
      <c r="H190" s="27">
        <f t="shared" si="27"/>
        <v>0.50475941545474445</v>
      </c>
      <c r="I190" s="27">
        <f t="shared" si="27"/>
        <v>0.65487347206548807</v>
      </c>
      <c r="J190" s="27">
        <f t="shared" si="27"/>
        <v>0.84523513966163832</v>
      </c>
      <c r="K190" s="27">
        <f t="shared" si="27"/>
        <v>1</v>
      </c>
      <c r="L190" s="27">
        <f t="shared" si="27"/>
        <v>1</v>
      </c>
      <c r="M190" s="27">
        <f t="shared" si="27"/>
        <v>1</v>
      </c>
      <c r="N190" s="27">
        <f t="shared" si="27"/>
        <v>0.91923925774048054</v>
      </c>
      <c r="O190" s="27">
        <f t="shared" si="27"/>
        <v>0.71341857634681827</v>
      </c>
      <c r="P190" s="27">
        <f t="shared" si="27"/>
        <v>0.55084569341606926</v>
      </c>
      <c r="Q190" s="27">
        <f t="shared" si="27"/>
        <v>0.35374940126825682</v>
      </c>
    </row>
    <row r="191" spans="1:17" x14ac:dyDescent="0.25">
      <c r="A191" s="17" t="s">
        <v>66</v>
      </c>
      <c r="B191" s="17" t="s">
        <v>67</v>
      </c>
      <c r="C191" s="17" t="s">
        <v>68</v>
      </c>
      <c r="D191" s="17" t="s">
        <v>361</v>
      </c>
      <c r="E191" s="130">
        <v>15175</v>
      </c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</row>
    <row r="192" spans="1:17" ht="18" x14ac:dyDescent="0.25">
      <c r="A192" s="17" t="s">
        <v>156</v>
      </c>
      <c r="B192" s="17" t="s">
        <v>70</v>
      </c>
      <c r="C192" s="17" t="s">
        <v>71</v>
      </c>
      <c r="D192" s="17" t="s">
        <v>361</v>
      </c>
      <c r="E192" s="130">
        <v>303.16000000000003</v>
      </c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</row>
    <row r="193" spans="1:19" x14ac:dyDescent="0.25">
      <c r="A193" s="17" t="s">
        <v>72</v>
      </c>
      <c r="B193" s="17" t="s">
        <v>73</v>
      </c>
      <c r="C193" s="17" t="s">
        <v>74</v>
      </c>
      <c r="D193" s="17" t="s">
        <v>361</v>
      </c>
      <c r="E193" s="130">
        <v>1.9870000000000001</v>
      </c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</row>
    <row r="194" spans="1:19" ht="31.2" x14ac:dyDescent="0.25">
      <c r="A194" s="17" t="s">
        <v>157</v>
      </c>
      <c r="B194" s="17" t="s">
        <v>70</v>
      </c>
      <c r="C194" s="17" t="s">
        <v>158</v>
      </c>
      <c r="D194" s="17" t="s">
        <v>276</v>
      </c>
      <c r="E194" s="28">
        <f>AVERAGE(F194:Q194)</f>
        <v>297.81666666666672</v>
      </c>
      <c r="F194" s="25">
        <v>290.14999999999998</v>
      </c>
      <c r="G194" s="25">
        <v>291.14999999999998</v>
      </c>
      <c r="H194" s="25">
        <v>295.14999999999998</v>
      </c>
      <c r="I194" s="25">
        <v>298.14999999999998</v>
      </c>
      <c r="J194" s="25">
        <v>301.14999999999998</v>
      </c>
      <c r="K194" s="25">
        <v>303.14999999999998</v>
      </c>
      <c r="L194" s="25">
        <v>303.14999999999998</v>
      </c>
      <c r="M194" s="25">
        <v>303.14999999999998</v>
      </c>
      <c r="N194" s="25">
        <v>302.14999999999998</v>
      </c>
      <c r="O194" s="25">
        <v>299.14999999999998</v>
      </c>
      <c r="P194" s="25">
        <v>296.14999999999998</v>
      </c>
      <c r="Q194" s="25">
        <v>291.14999999999998</v>
      </c>
    </row>
    <row r="195" spans="1:19" ht="46.8" x14ac:dyDescent="0.25">
      <c r="A195" s="17" t="s">
        <v>159</v>
      </c>
      <c r="B195" s="17" t="s">
        <v>38</v>
      </c>
      <c r="C195" s="17" t="s">
        <v>160</v>
      </c>
      <c r="D195" s="17" t="s">
        <v>362</v>
      </c>
      <c r="E195" s="29">
        <f>SUM(F195:Q195)</f>
        <v>91.97999999999999</v>
      </c>
      <c r="F195" s="29">
        <f>F179*F183*'Project Emissions'!F174+(1-F190)*0</f>
        <v>7.8120000000000003</v>
      </c>
      <c r="G195" s="29">
        <f>G179*G183*'Project Emissions'!G174+(1-G190)*0</f>
        <v>7.056</v>
      </c>
      <c r="H195" s="29">
        <f>H179*H183*'Project Emissions'!H174+(1-H190)*0</f>
        <v>7.8120000000000003</v>
      </c>
      <c r="I195" s="29">
        <f>I179*I183*'Project Emissions'!I174+(1-I190)*0</f>
        <v>7.5600000000000005</v>
      </c>
      <c r="J195" s="29">
        <f>J179*J183*'Project Emissions'!J174+(1-J190)*0</f>
        <v>7.8120000000000003</v>
      </c>
      <c r="K195" s="29">
        <f>K179*K183*'Project Emissions'!K174+(1-K190)*0</f>
        <v>7.5600000000000005</v>
      </c>
      <c r="L195" s="29">
        <f>L179*L183*'Project Emissions'!L174+(1-L190)*0</f>
        <v>7.8120000000000003</v>
      </c>
      <c r="M195" s="29">
        <f>M179*M183*'Project Emissions'!M174+(1-M190)*0</f>
        <v>7.8120000000000003</v>
      </c>
      <c r="N195" s="29">
        <f>N179*N183*'Project Emissions'!N174+(1-N190)*0</f>
        <v>7.5600000000000005</v>
      </c>
      <c r="O195" s="29">
        <f>O179*O183*'Project Emissions'!O174+(1-O190)*0</f>
        <v>7.8120000000000003</v>
      </c>
      <c r="P195" s="29">
        <f>P179*P183*'Project Emissions'!P174+(1-P190)*0</f>
        <v>7.5600000000000005</v>
      </c>
      <c r="Q195" s="29">
        <f>Q179*Q183*'Project Emissions'!Q174+(1-Q190)*0</f>
        <v>7.8120000000000003</v>
      </c>
    </row>
    <row r="196" spans="1:19" x14ac:dyDescent="0.3">
      <c r="A196" s="30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9" x14ac:dyDescent="0.25">
      <c r="A197" s="134" t="s">
        <v>161</v>
      </c>
      <c r="B197" s="134"/>
      <c r="C197" s="135"/>
      <c r="D197" s="135"/>
      <c r="E197" s="155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</row>
    <row r="198" spans="1:19" x14ac:dyDescent="0.25">
      <c r="A198" s="33" t="s">
        <v>9</v>
      </c>
      <c r="B198" s="33" t="s">
        <v>10</v>
      </c>
      <c r="C198" s="34" t="s">
        <v>11</v>
      </c>
      <c r="D198" s="34" t="s">
        <v>12</v>
      </c>
      <c r="E198" s="16" t="s">
        <v>80</v>
      </c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</row>
    <row r="199" spans="1:19" ht="46.8" x14ac:dyDescent="0.25">
      <c r="A199" s="15" t="s">
        <v>162</v>
      </c>
      <c r="B199" s="17" t="s">
        <v>110</v>
      </c>
      <c r="C199" s="35" t="s">
        <v>163</v>
      </c>
      <c r="D199" s="35" t="s">
        <v>83</v>
      </c>
      <c r="E199" s="16">
        <v>0</v>
      </c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</row>
    <row r="200" spans="1:19" x14ac:dyDescent="0.25">
      <c r="A200" s="36"/>
      <c r="B200" s="36"/>
      <c r="C200" s="37"/>
      <c r="D200" s="37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</row>
    <row r="201" spans="1:19" x14ac:dyDescent="0.25">
      <c r="A201" s="134" t="s">
        <v>164</v>
      </c>
      <c r="B201" s="134"/>
      <c r="C201" s="135"/>
      <c r="D201" s="135"/>
      <c r="E201" s="155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</row>
    <row r="202" spans="1:19" x14ac:dyDescent="0.25">
      <c r="A202" s="33" t="s">
        <v>9</v>
      </c>
      <c r="B202" s="33" t="s">
        <v>10</v>
      </c>
      <c r="C202" s="34" t="s">
        <v>11</v>
      </c>
      <c r="D202" s="34" t="s">
        <v>12</v>
      </c>
      <c r="E202" s="16" t="s">
        <v>80</v>
      </c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</row>
    <row r="203" spans="1:19" ht="46.8" x14ac:dyDescent="0.25">
      <c r="A203" s="15" t="s">
        <v>165</v>
      </c>
      <c r="B203" s="17" t="s">
        <v>110</v>
      </c>
      <c r="C203" s="35" t="s">
        <v>166</v>
      </c>
      <c r="D203" s="35" t="s">
        <v>83</v>
      </c>
      <c r="E203" s="16">
        <v>0</v>
      </c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</row>
    <row r="204" spans="1:19" x14ac:dyDescent="0.25"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</row>
    <row r="205" spans="1:19" x14ac:dyDescent="0.25">
      <c r="A205" s="134" t="s">
        <v>167</v>
      </c>
      <c r="B205" s="134"/>
      <c r="C205" s="135"/>
      <c r="D205" s="135"/>
      <c r="E205" s="155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</row>
    <row r="206" spans="1:19" s="10" customFormat="1" x14ac:dyDescent="0.25">
      <c r="A206" s="15" t="s">
        <v>9</v>
      </c>
      <c r="B206" s="15" t="s">
        <v>10</v>
      </c>
      <c r="C206" s="38" t="s">
        <v>11</v>
      </c>
      <c r="D206" s="38" t="s">
        <v>12</v>
      </c>
      <c r="E206" s="16" t="s">
        <v>80</v>
      </c>
      <c r="F206" s="32"/>
      <c r="G206" s="32"/>
      <c r="H206" s="39"/>
      <c r="I206" s="39"/>
      <c r="J206" s="39"/>
      <c r="K206" s="39"/>
      <c r="L206" s="39"/>
      <c r="M206" s="39"/>
      <c r="N206" s="39"/>
      <c r="O206" s="39"/>
      <c r="P206" s="39"/>
      <c r="Q206" s="39"/>
    </row>
    <row r="207" spans="1:19" s="10" customFormat="1" ht="18" x14ac:dyDescent="0.4">
      <c r="A207" s="40" t="s">
        <v>168</v>
      </c>
      <c r="B207" s="17" t="s">
        <v>118</v>
      </c>
      <c r="C207" s="35" t="s">
        <v>169</v>
      </c>
      <c r="D207" s="35" t="s">
        <v>170</v>
      </c>
      <c r="E207" s="41">
        <f>E208*E210*(1+E209)</f>
        <v>467.07545039999997</v>
      </c>
      <c r="F207" s="32"/>
      <c r="G207" s="32"/>
      <c r="H207" s="39"/>
      <c r="I207" s="39"/>
      <c r="J207" s="39"/>
      <c r="K207" s="39"/>
      <c r="L207" s="39"/>
      <c r="M207" s="39"/>
      <c r="N207" s="39"/>
      <c r="O207" s="39"/>
      <c r="P207" s="39"/>
      <c r="Q207" s="39"/>
    </row>
    <row r="208" spans="1:19" ht="31.2" x14ac:dyDescent="0.25">
      <c r="A208" s="17" t="s">
        <v>171</v>
      </c>
      <c r="B208" s="17" t="s">
        <v>172</v>
      </c>
      <c r="C208" s="35" t="s">
        <v>173</v>
      </c>
      <c r="D208" s="35" t="s">
        <v>40</v>
      </c>
      <c r="E208" s="20">
        <v>764.92</v>
      </c>
      <c r="G208" s="42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9"/>
      <c r="S208" s="9"/>
    </row>
    <row r="209" spans="1:19" ht="31.2" x14ac:dyDescent="0.25">
      <c r="A209" s="17" t="s">
        <v>174</v>
      </c>
      <c r="B209" s="17" t="s">
        <v>175</v>
      </c>
      <c r="C209" s="35" t="s">
        <v>176</v>
      </c>
      <c r="D209" s="35" t="s">
        <v>177</v>
      </c>
      <c r="E209" s="44">
        <v>0.2</v>
      </c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9"/>
      <c r="S209" s="9"/>
    </row>
    <row r="210" spans="1:19" ht="46.8" x14ac:dyDescent="0.25">
      <c r="A210" s="17" t="s">
        <v>178</v>
      </c>
      <c r="B210" s="17" t="s">
        <v>179</v>
      </c>
      <c r="C210" s="35" t="s">
        <v>180</v>
      </c>
      <c r="D210" s="35" t="s">
        <v>181</v>
      </c>
      <c r="E210" s="45">
        <f>0.5*0.8042+0.5*0.2135</f>
        <v>0.50885000000000002</v>
      </c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</row>
    <row r="211" spans="1:19" ht="31.2" x14ac:dyDescent="0.4">
      <c r="A211" s="40" t="s">
        <v>182</v>
      </c>
      <c r="B211" s="17" t="s">
        <v>118</v>
      </c>
      <c r="C211" s="35" t="s">
        <v>183</v>
      </c>
      <c r="D211" s="35" t="s">
        <v>184</v>
      </c>
      <c r="E211" s="47">
        <v>0</v>
      </c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9"/>
      <c r="S211" s="9"/>
    </row>
    <row r="212" spans="1:19" x14ac:dyDescent="0.3">
      <c r="A212" s="48"/>
      <c r="E212" s="49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9"/>
      <c r="S212" s="9"/>
    </row>
    <row r="213" spans="1:19" x14ac:dyDescent="0.25">
      <c r="A213" s="134" t="s">
        <v>185</v>
      </c>
      <c r="B213" s="134"/>
      <c r="C213" s="135"/>
      <c r="D213" s="135"/>
      <c r="E213" s="155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</row>
    <row r="214" spans="1:19" x14ac:dyDescent="0.25">
      <c r="A214" s="15" t="s">
        <v>9</v>
      </c>
      <c r="B214" s="15" t="s">
        <v>10</v>
      </c>
      <c r="C214" s="38" t="s">
        <v>11</v>
      </c>
      <c r="D214" s="38" t="s">
        <v>12</v>
      </c>
      <c r="E214" s="16" t="s">
        <v>80</v>
      </c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9"/>
      <c r="S214" s="9"/>
    </row>
    <row r="215" spans="1:19" ht="33.6" x14ac:dyDescent="0.4">
      <c r="A215" s="40" t="s">
        <v>186</v>
      </c>
      <c r="B215" s="17" t="s">
        <v>89</v>
      </c>
      <c r="C215" s="35" t="s">
        <v>187</v>
      </c>
      <c r="D215" s="35" t="s">
        <v>363</v>
      </c>
      <c r="E215" s="50">
        <f>E216*E219*E220*E221*E222*E223</f>
        <v>1.2050018518508008</v>
      </c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9"/>
      <c r="S215" s="9"/>
    </row>
    <row r="216" spans="1:19" ht="46.8" x14ac:dyDescent="0.4">
      <c r="A216" s="51" t="s">
        <v>188</v>
      </c>
      <c r="B216" s="17" t="s">
        <v>91</v>
      </c>
      <c r="C216" s="35" t="s">
        <v>189</v>
      </c>
      <c r="D216" s="35" t="s">
        <v>364</v>
      </c>
      <c r="E216" s="52">
        <f>E217/E218</f>
        <v>185.42000000000002</v>
      </c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9"/>
      <c r="S216" s="9"/>
    </row>
    <row r="217" spans="1:19" ht="31.2" x14ac:dyDescent="0.25">
      <c r="A217" s="17" t="s">
        <v>190</v>
      </c>
      <c r="B217" s="17" t="s">
        <v>93</v>
      </c>
      <c r="C217" s="35" t="s">
        <v>191</v>
      </c>
      <c r="D217" s="35" t="s">
        <v>40</v>
      </c>
      <c r="E217" s="52">
        <f>2.54*365</f>
        <v>927.1</v>
      </c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9"/>
      <c r="S217" s="9"/>
    </row>
    <row r="218" spans="1:19" ht="31.2" x14ac:dyDescent="0.25">
      <c r="A218" s="17" t="s">
        <v>192</v>
      </c>
      <c r="B218" s="17" t="s">
        <v>95</v>
      </c>
      <c r="C218" s="35" t="s">
        <v>96</v>
      </c>
      <c r="D218" s="35" t="s">
        <v>40</v>
      </c>
      <c r="E218" s="25">
        <f>5</f>
        <v>5</v>
      </c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9"/>
      <c r="S218" s="9"/>
    </row>
    <row r="219" spans="1:19" ht="46.8" x14ac:dyDescent="0.25">
      <c r="A219" s="17" t="s">
        <v>193</v>
      </c>
      <c r="B219" s="17" t="s">
        <v>97</v>
      </c>
      <c r="C219" s="35" t="s">
        <v>194</v>
      </c>
      <c r="D219" s="35" t="s">
        <v>40</v>
      </c>
      <c r="E219" s="25">
        <f>4.8*2</f>
        <v>9.6</v>
      </c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9"/>
      <c r="S219" s="9"/>
    </row>
    <row r="220" spans="1:19" ht="141" x14ac:dyDescent="0.25">
      <c r="A220" s="17" t="s">
        <v>195</v>
      </c>
      <c r="B220" s="17" t="s">
        <v>99</v>
      </c>
      <c r="C220" s="35" t="s">
        <v>100</v>
      </c>
      <c r="D220" s="35" t="s">
        <v>330</v>
      </c>
      <c r="E220" s="25">
        <f>25.1/100</f>
        <v>0.251</v>
      </c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9"/>
      <c r="S220" s="9"/>
    </row>
    <row r="221" spans="1:19" ht="62.4" x14ac:dyDescent="0.25">
      <c r="A221" s="17" t="s">
        <v>101</v>
      </c>
      <c r="B221" s="17" t="s">
        <v>102</v>
      </c>
      <c r="C221" s="35" t="s">
        <v>101</v>
      </c>
      <c r="D221" s="35" t="s">
        <v>231</v>
      </c>
      <c r="E221" s="25">
        <f>0.84/1000</f>
        <v>8.3999999999999993E-4</v>
      </c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9"/>
      <c r="S221" s="9"/>
    </row>
    <row r="222" spans="1:19" ht="124.8" x14ac:dyDescent="0.25">
      <c r="A222" s="17" t="s">
        <v>196</v>
      </c>
      <c r="B222" s="17" t="s">
        <v>103</v>
      </c>
      <c r="C222" s="35" t="s">
        <v>104</v>
      </c>
      <c r="D222" s="35" t="s">
        <v>331</v>
      </c>
      <c r="E222" s="25">
        <f>43.33/1000</f>
        <v>4.333E-2</v>
      </c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9"/>
      <c r="S222" s="9"/>
    </row>
    <row r="223" spans="1:19" ht="33.6" x14ac:dyDescent="0.25">
      <c r="A223" s="17" t="s">
        <v>197</v>
      </c>
      <c r="B223" s="17" t="s">
        <v>105</v>
      </c>
      <c r="C223" s="35" t="s">
        <v>106</v>
      </c>
      <c r="D223" s="35" t="s">
        <v>107</v>
      </c>
      <c r="E223" s="25">
        <v>74.099999999999994</v>
      </c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9"/>
      <c r="S223" s="9"/>
    </row>
    <row r="225" spans="1:19" x14ac:dyDescent="0.25">
      <c r="A225" s="33" t="s">
        <v>9</v>
      </c>
      <c r="B225" s="33" t="s">
        <v>10</v>
      </c>
      <c r="C225" s="34" t="s">
        <v>11</v>
      </c>
      <c r="D225" s="34" t="s">
        <v>12</v>
      </c>
      <c r="E225" s="16" t="s">
        <v>80</v>
      </c>
    </row>
    <row r="226" spans="1:19" ht="18" x14ac:dyDescent="0.25">
      <c r="A226" s="15" t="s">
        <v>198</v>
      </c>
      <c r="B226" s="17" t="s">
        <v>118</v>
      </c>
      <c r="C226" s="35" t="s">
        <v>199</v>
      </c>
      <c r="D226" s="53" t="s">
        <v>365</v>
      </c>
      <c r="E226" s="18">
        <f>ROUNDUP(E175+E199+E203+E207+E215,0)</f>
        <v>469</v>
      </c>
    </row>
    <row r="227" spans="1:19" s="157" customFormat="1" ht="38.4" customHeight="1" x14ac:dyDescent="0.25">
      <c r="A227" s="156" t="s">
        <v>248</v>
      </c>
    </row>
    <row r="228" spans="1:19" s="159" customFormat="1" ht="38.4" customHeight="1" x14ac:dyDescent="0.25">
      <c r="A228" s="159" t="s">
        <v>272</v>
      </c>
    </row>
    <row r="229" spans="1:19" ht="23.4" customHeight="1" x14ac:dyDescent="0.25">
      <c r="A229" s="153" t="s">
        <v>120</v>
      </c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4"/>
    </row>
    <row r="230" spans="1:19" s="10" customFormat="1" x14ac:dyDescent="0.25">
      <c r="A230" s="15" t="s">
        <v>9</v>
      </c>
      <c r="B230" s="15" t="s">
        <v>10</v>
      </c>
      <c r="C230" s="15" t="s">
        <v>11</v>
      </c>
      <c r="D230" s="15" t="s">
        <v>12</v>
      </c>
      <c r="E230" s="16" t="s">
        <v>13</v>
      </c>
      <c r="F230" s="16" t="s">
        <v>14</v>
      </c>
      <c r="G230" s="16" t="s">
        <v>15</v>
      </c>
      <c r="H230" s="16" t="s">
        <v>16</v>
      </c>
      <c r="I230" s="16" t="s">
        <v>17</v>
      </c>
      <c r="J230" s="16" t="s">
        <v>18</v>
      </c>
      <c r="K230" s="16" t="s">
        <v>19</v>
      </c>
      <c r="L230" s="16" t="s">
        <v>20</v>
      </c>
      <c r="M230" s="16" t="s">
        <v>21</v>
      </c>
      <c r="N230" s="16" t="s">
        <v>22</v>
      </c>
      <c r="O230" s="16" t="s">
        <v>23</v>
      </c>
      <c r="P230" s="16" t="s">
        <v>24</v>
      </c>
      <c r="Q230" s="16" t="s">
        <v>25</v>
      </c>
      <c r="R230" s="54"/>
      <c r="S230" s="54"/>
    </row>
    <row r="231" spans="1:19" s="10" customFormat="1" x14ac:dyDescent="0.25">
      <c r="A231" s="146" t="s">
        <v>121</v>
      </c>
      <c r="B231" s="146"/>
      <c r="C231" s="146"/>
      <c r="D231" s="146"/>
      <c r="E231" s="147"/>
      <c r="F231" s="16">
        <v>31</v>
      </c>
      <c r="G231" s="16">
        <v>28</v>
      </c>
      <c r="H231" s="16">
        <v>31</v>
      </c>
      <c r="I231" s="16">
        <v>30</v>
      </c>
      <c r="J231" s="16">
        <v>31</v>
      </c>
      <c r="K231" s="16">
        <v>30</v>
      </c>
      <c r="L231" s="16">
        <v>31</v>
      </c>
      <c r="M231" s="16">
        <v>31</v>
      </c>
      <c r="N231" s="16">
        <v>30</v>
      </c>
      <c r="O231" s="16">
        <v>31</v>
      </c>
      <c r="P231" s="16">
        <v>30</v>
      </c>
      <c r="Q231" s="16">
        <v>31</v>
      </c>
      <c r="R231" s="54"/>
      <c r="S231" s="54"/>
    </row>
    <row r="232" spans="1:19" s="10" customFormat="1" ht="31.2" x14ac:dyDescent="0.25">
      <c r="A232" s="15" t="s">
        <v>122</v>
      </c>
      <c r="B232" s="17" t="s">
        <v>118</v>
      </c>
      <c r="C232" s="17" t="s">
        <v>123</v>
      </c>
      <c r="D232" s="17" t="s">
        <v>353</v>
      </c>
      <c r="E232" s="18">
        <f>E233+E243</f>
        <v>0</v>
      </c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54"/>
      <c r="S232" s="54"/>
    </row>
    <row r="233" spans="1:19" ht="46.8" x14ac:dyDescent="0.25">
      <c r="A233" s="17" t="s">
        <v>124</v>
      </c>
      <c r="B233" s="17" t="s">
        <v>118</v>
      </c>
      <c r="C233" s="17" t="s">
        <v>125</v>
      </c>
      <c r="D233" s="17" t="s">
        <v>354</v>
      </c>
      <c r="E233" s="19">
        <f>SUM(F233:Q233)</f>
        <v>0</v>
      </c>
      <c r="F233" s="19">
        <f>IF(F234&gt;=0.8,0,$E$15*$E$16*0.4*(F235-F238)*F231)</f>
        <v>0</v>
      </c>
      <c r="G233" s="19">
        <f t="shared" ref="G233:Q233" si="28">IF(G234&gt;=0.8,0,$E$15*$E$16*0.4*(G235-G238)*G231)</f>
        <v>0</v>
      </c>
      <c r="H233" s="19">
        <f t="shared" si="28"/>
        <v>0</v>
      </c>
      <c r="I233" s="19">
        <f t="shared" si="28"/>
        <v>0</v>
      </c>
      <c r="J233" s="19">
        <f t="shared" si="28"/>
        <v>0</v>
      </c>
      <c r="K233" s="19">
        <f t="shared" si="28"/>
        <v>0</v>
      </c>
      <c r="L233" s="19">
        <f t="shared" si="28"/>
        <v>0</v>
      </c>
      <c r="M233" s="19">
        <f t="shared" si="28"/>
        <v>0</v>
      </c>
      <c r="N233" s="19">
        <f t="shared" si="28"/>
        <v>0</v>
      </c>
      <c r="O233" s="19">
        <f t="shared" si="28"/>
        <v>0</v>
      </c>
      <c r="P233" s="19">
        <f t="shared" si="28"/>
        <v>0</v>
      </c>
      <c r="Q233" s="19">
        <f t="shared" si="28"/>
        <v>0</v>
      </c>
    </row>
    <row r="234" spans="1:19" ht="62.4" x14ac:dyDescent="0.25">
      <c r="A234" s="17" t="s">
        <v>126</v>
      </c>
      <c r="B234" s="17" t="s">
        <v>52</v>
      </c>
      <c r="C234" s="17" t="s">
        <v>127</v>
      </c>
      <c r="D234" s="17" t="s">
        <v>355</v>
      </c>
      <c r="E234" s="20">
        <f>AVERAGE(F234:Q234)</f>
        <v>0.91999999999999993</v>
      </c>
      <c r="F234" s="20">
        <f>(F235-F238)/F235</f>
        <v>0.91999999999999993</v>
      </c>
      <c r="G234" s="20">
        <f t="shared" ref="G234:Q234" si="29">(G235-G238)/G235</f>
        <v>0.91999999999999993</v>
      </c>
      <c r="H234" s="20">
        <f t="shared" si="29"/>
        <v>0.91999999999999993</v>
      </c>
      <c r="I234" s="20">
        <f t="shared" si="29"/>
        <v>0.91999999999999993</v>
      </c>
      <c r="J234" s="20">
        <f t="shared" si="29"/>
        <v>0.91999999999999993</v>
      </c>
      <c r="K234" s="20">
        <f t="shared" si="29"/>
        <v>0.91999999999999993</v>
      </c>
      <c r="L234" s="20">
        <f t="shared" si="29"/>
        <v>0.91999999999999993</v>
      </c>
      <c r="M234" s="20">
        <f t="shared" si="29"/>
        <v>0.91999999999999993</v>
      </c>
      <c r="N234" s="20">
        <f t="shared" si="29"/>
        <v>0.91999999999999993</v>
      </c>
      <c r="O234" s="20">
        <f t="shared" si="29"/>
        <v>0.91999999999999993</v>
      </c>
      <c r="P234" s="20">
        <f t="shared" si="29"/>
        <v>0.91999999999999993</v>
      </c>
      <c r="Q234" s="20">
        <f t="shared" si="29"/>
        <v>0.91999999999999993</v>
      </c>
    </row>
    <row r="235" spans="1:19" ht="46.8" x14ac:dyDescent="0.25">
      <c r="A235" s="17" t="s">
        <v>128</v>
      </c>
      <c r="B235" s="17" t="s">
        <v>38</v>
      </c>
      <c r="C235" s="17" t="s">
        <v>129</v>
      </c>
      <c r="D235" s="17" t="s">
        <v>356</v>
      </c>
      <c r="E235" s="20">
        <f>SUM(F235:Q235)</f>
        <v>60</v>
      </c>
      <c r="F235" s="20">
        <f>F236*F237</f>
        <v>5</v>
      </c>
      <c r="G235" s="20">
        <f t="shared" ref="G235:Q235" si="30">G236*G237</f>
        <v>5</v>
      </c>
      <c r="H235" s="20">
        <f t="shared" si="30"/>
        <v>5</v>
      </c>
      <c r="I235" s="20">
        <f t="shared" si="30"/>
        <v>5</v>
      </c>
      <c r="J235" s="20">
        <f t="shared" si="30"/>
        <v>5</v>
      </c>
      <c r="K235" s="20">
        <f t="shared" si="30"/>
        <v>5</v>
      </c>
      <c r="L235" s="20">
        <f t="shared" si="30"/>
        <v>5</v>
      </c>
      <c r="M235" s="20">
        <f t="shared" si="30"/>
        <v>5</v>
      </c>
      <c r="N235" s="20">
        <f t="shared" si="30"/>
        <v>5</v>
      </c>
      <c r="O235" s="20">
        <f t="shared" si="30"/>
        <v>5</v>
      </c>
      <c r="P235" s="20">
        <f t="shared" si="30"/>
        <v>5</v>
      </c>
      <c r="Q235" s="20">
        <f t="shared" si="30"/>
        <v>5</v>
      </c>
    </row>
    <row r="236" spans="1:19" ht="51" customHeight="1" x14ac:dyDescent="0.25">
      <c r="A236" s="17" t="s">
        <v>130</v>
      </c>
      <c r="B236" s="17" t="s">
        <v>131</v>
      </c>
      <c r="C236" s="17" t="s">
        <v>132</v>
      </c>
      <c r="D236" s="17" t="s">
        <v>40</v>
      </c>
      <c r="E236" s="21">
        <f>SUM(F236:Q236)</f>
        <v>120000</v>
      </c>
      <c r="F236" s="21">
        <f>10000</f>
        <v>10000</v>
      </c>
      <c r="G236" s="21">
        <f>10000</f>
        <v>10000</v>
      </c>
      <c r="H236" s="21">
        <f>10000</f>
        <v>10000</v>
      </c>
      <c r="I236" s="21">
        <f>10000</f>
        <v>10000</v>
      </c>
      <c r="J236" s="21">
        <f>10000</f>
        <v>10000</v>
      </c>
      <c r="K236" s="21">
        <f>10000</f>
        <v>10000</v>
      </c>
      <c r="L236" s="21">
        <f>10000</f>
        <v>10000</v>
      </c>
      <c r="M236" s="21">
        <f>10000</f>
        <v>10000</v>
      </c>
      <c r="N236" s="21">
        <f>10000</f>
        <v>10000</v>
      </c>
      <c r="O236" s="21">
        <f>10000</f>
        <v>10000</v>
      </c>
      <c r="P236" s="21">
        <f>10000</f>
        <v>10000</v>
      </c>
      <c r="Q236" s="21">
        <f>10000</f>
        <v>10000</v>
      </c>
    </row>
    <row r="237" spans="1:19" ht="46.8" x14ac:dyDescent="0.25">
      <c r="A237" s="17" t="s">
        <v>133</v>
      </c>
      <c r="B237" s="17" t="s">
        <v>134</v>
      </c>
      <c r="C237" s="17" t="s">
        <v>135</v>
      </c>
      <c r="D237" s="17" t="s">
        <v>40</v>
      </c>
      <c r="E237" s="22">
        <f>AVERAGE(F237:Q237)</f>
        <v>5.0000000000000012E-4</v>
      </c>
      <c r="F237" s="23">
        <f>'Baseline Emissions'!F233</f>
        <v>5.0000000000000001E-4</v>
      </c>
      <c r="G237" s="23">
        <f>'Baseline Emissions'!G233</f>
        <v>5.0000000000000001E-4</v>
      </c>
      <c r="H237" s="23">
        <f>'Baseline Emissions'!H233</f>
        <v>5.0000000000000001E-4</v>
      </c>
      <c r="I237" s="23">
        <f>'Baseline Emissions'!I233</f>
        <v>5.0000000000000001E-4</v>
      </c>
      <c r="J237" s="23">
        <f>'Baseline Emissions'!J233</f>
        <v>5.0000000000000001E-4</v>
      </c>
      <c r="K237" s="23">
        <f>'Baseline Emissions'!K233</f>
        <v>5.0000000000000001E-4</v>
      </c>
      <c r="L237" s="23">
        <f>'Baseline Emissions'!L233</f>
        <v>5.0000000000000001E-4</v>
      </c>
      <c r="M237" s="23">
        <f>'Baseline Emissions'!M233</f>
        <v>5.0000000000000001E-4</v>
      </c>
      <c r="N237" s="23">
        <f>'Baseline Emissions'!N233</f>
        <v>5.0000000000000001E-4</v>
      </c>
      <c r="O237" s="23">
        <f>'Baseline Emissions'!O233</f>
        <v>5.0000000000000001E-4</v>
      </c>
      <c r="P237" s="23">
        <f>'Baseline Emissions'!P233</f>
        <v>5.0000000000000001E-4</v>
      </c>
      <c r="Q237" s="23">
        <f>'Baseline Emissions'!Q233</f>
        <v>5.0000000000000001E-4</v>
      </c>
    </row>
    <row r="238" spans="1:19" ht="46.8" x14ac:dyDescent="0.25">
      <c r="A238" s="17" t="s">
        <v>136</v>
      </c>
      <c r="B238" s="17" t="s">
        <v>38</v>
      </c>
      <c r="C238" s="17" t="s">
        <v>137</v>
      </c>
      <c r="D238" s="17" t="s">
        <v>356</v>
      </c>
      <c r="E238" s="20">
        <f>SUM(F238:Q238)</f>
        <v>4.8</v>
      </c>
      <c r="F238" s="20">
        <f>SUM(F239*F240)</f>
        <v>0.4</v>
      </c>
      <c r="G238" s="20">
        <f t="shared" ref="G238:Q238" si="31">SUM(G239*G240)</f>
        <v>0.4</v>
      </c>
      <c r="H238" s="20">
        <f t="shared" si="31"/>
        <v>0.4</v>
      </c>
      <c r="I238" s="20">
        <f t="shared" si="31"/>
        <v>0.4</v>
      </c>
      <c r="J238" s="20">
        <f t="shared" si="31"/>
        <v>0.4</v>
      </c>
      <c r="K238" s="20">
        <f t="shared" si="31"/>
        <v>0.4</v>
      </c>
      <c r="L238" s="20">
        <f t="shared" si="31"/>
        <v>0.4</v>
      </c>
      <c r="M238" s="20">
        <f t="shared" si="31"/>
        <v>0.4</v>
      </c>
      <c r="N238" s="20">
        <f t="shared" si="31"/>
        <v>0.4</v>
      </c>
      <c r="O238" s="20">
        <f t="shared" si="31"/>
        <v>0.4</v>
      </c>
      <c r="P238" s="20">
        <f t="shared" si="31"/>
        <v>0.4</v>
      </c>
      <c r="Q238" s="20">
        <f t="shared" si="31"/>
        <v>0.4</v>
      </c>
    </row>
    <row r="239" spans="1:19" ht="31.2" x14ac:dyDescent="0.25">
      <c r="A239" s="17" t="s">
        <v>138</v>
      </c>
      <c r="B239" s="17" t="s">
        <v>131</v>
      </c>
      <c r="C239" s="17" t="s">
        <v>139</v>
      </c>
      <c r="D239" s="17" t="s">
        <v>40</v>
      </c>
      <c r="E239" s="21">
        <f>SUM(F239:Q239)</f>
        <v>120000</v>
      </c>
      <c r="F239" s="21">
        <f>10000</f>
        <v>10000</v>
      </c>
      <c r="G239" s="21">
        <f>10000</f>
        <v>10000</v>
      </c>
      <c r="H239" s="21">
        <f>10000</f>
        <v>10000</v>
      </c>
      <c r="I239" s="21">
        <f>10000</f>
        <v>10000</v>
      </c>
      <c r="J239" s="21">
        <f>10000</f>
        <v>10000</v>
      </c>
      <c r="K239" s="21">
        <f>10000</f>
        <v>10000</v>
      </c>
      <c r="L239" s="21">
        <f>10000</f>
        <v>10000</v>
      </c>
      <c r="M239" s="21">
        <f>10000</f>
        <v>10000</v>
      </c>
      <c r="N239" s="21">
        <f>10000</f>
        <v>10000</v>
      </c>
      <c r="O239" s="21">
        <f>10000</f>
        <v>10000</v>
      </c>
      <c r="P239" s="21">
        <f>10000</f>
        <v>10000</v>
      </c>
      <c r="Q239" s="21">
        <f>10000</f>
        <v>10000</v>
      </c>
    </row>
    <row r="240" spans="1:19" ht="46.8" x14ac:dyDescent="0.25">
      <c r="A240" s="17" t="s">
        <v>140</v>
      </c>
      <c r="B240" s="17" t="s">
        <v>134</v>
      </c>
      <c r="C240" s="17" t="s">
        <v>141</v>
      </c>
      <c r="D240" s="17" t="s">
        <v>40</v>
      </c>
      <c r="E240" s="24">
        <f>AVERAGE(F240:Q240)</f>
        <v>4.0000000000000003E-5</v>
      </c>
      <c r="F240" s="24">
        <f>'Baseline Emissions'!F234</f>
        <v>4.0000000000000003E-5</v>
      </c>
      <c r="G240" s="24">
        <f>'Baseline Emissions'!G234</f>
        <v>4.0000000000000003E-5</v>
      </c>
      <c r="H240" s="24">
        <f>'Baseline Emissions'!H234</f>
        <v>4.0000000000000003E-5</v>
      </c>
      <c r="I240" s="24">
        <f>'Baseline Emissions'!I234</f>
        <v>4.0000000000000003E-5</v>
      </c>
      <c r="J240" s="24">
        <f>'Baseline Emissions'!J234</f>
        <v>4.0000000000000003E-5</v>
      </c>
      <c r="K240" s="24">
        <f>'Baseline Emissions'!K234</f>
        <v>4.0000000000000003E-5</v>
      </c>
      <c r="L240" s="24">
        <f>'Baseline Emissions'!L234</f>
        <v>4.0000000000000003E-5</v>
      </c>
      <c r="M240" s="24">
        <f>'Baseline Emissions'!M234</f>
        <v>4.0000000000000003E-5</v>
      </c>
      <c r="N240" s="24">
        <f>'Baseline Emissions'!N234</f>
        <v>4.0000000000000003E-5</v>
      </c>
      <c r="O240" s="24">
        <f>'Baseline Emissions'!O234</f>
        <v>4.0000000000000003E-5</v>
      </c>
      <c r="P240" s="24">
        <f>'Baseline Emissions'!P234</f>
        <v>4.0000000000000003E-5</v>
      </c>
      <c r="Q240" s="24">
        <f>'Baseline Emissions'!Q234</f>
        <v>4.0000000000000003E-5</v>
      </c>
    </row>
    <row r="241" spans="1:17" ht="31.2" x14ac:dyDescent="0.25">
      <c r="A241" s="17" t="s">
        <v>142</v>
      </c>
      <c r="B241" s="17" t="s">
        <v>143</v>
      </c>
      <c r="C241" s="17" t="s">
        <v>31</v>
      </c>
      <c r="D241" s="17" t="s">
        <v>144</v>
      </c>
      <c r="E241" s="130">
        <v>28</v>
      </c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</row>
    <row r="242" spans="1:17" ht="64.8" x14ac:dyDescent="0.25">
      <c r="A242" s="17" t="s">
        <v>145</v>
      </c>
      <c r="B242" s="17" t="s">
        <v>33</v>
      </c>
      <c r="C242" s="17" t="s">
        <v>146</v>
      </c>
      <c r="D242" s="17" t="s">
        <v>373</v>
      </c>
      <c r="E242" s="130">
        <v>0.21</v>
      </c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</row>
    <row r="243" spans="1:17" ht="46.8" x14ac:dyDescent="0.25">
      <c r="A243" s="17" t="s">
        <v>147</v>
      </c>
      <c r="B243" s="17" t="s">
        <v>118</v>
      </c>
      <c r="C243" s="17" t="s">
        <v>148</v>
      </c>
      <c r="D243" s="17" t="s">
        <v>357</v>
      </c>
      <c r="E243" s="19">
        <f>SUM(F243:Q243)</f>
        <v>0</v>
      </c>
      <c r="F243" s="19">
        <f>$E$15*$E$16*F244*F238*F231</f>
        <v>0</v>
      </c>
      <c r="G243" s="19">
        <f t="shared" ref="G243:Q243" si="32">$E$15*$E$16*G244*G238*G231</f>
        <v>0</v>
      </c>
      <c r="H243" s="19">
        <f t="shared" si="32"/>
        <v>0</v>
      </c>
      <c r="I243" s="19">
        <f t="shared" si="32"/>
        <v>0</v>
      </c>
      <c r="J243" s="19">
        <f t="shared" si="32"/>
        <v>0</v>
      </c>
      <c r="K243" s="19">
        <f t="shared" si="32"/>
        <v>0</v>
      </c>
      <c r="L243" s="19">
        <f t="shared" si="32"/>
        <v>0</v>
      </c>
      <c r="M243" s="19">
        <f t="shared" si="32"/>
        <v>0</v>
      </c>
      <c r="N243" s="19">
        <f t="shared" si="32"/>
        <v>0</v>
      </c>
      <c r="O243" s="19">
        <f t="shared" si="32"/>
        <v>0</v>
      </c>
      <c r="P243" s="19">
        <f t="shared" si="32"/>
        <v>0</v>
      </c>
      <c r="Q243" s="19">
        <f t="shared" si="32"/>
        <v>0</v>
      </c>
    </row>
    <row r="244" spans="1:17" ht="18" x14ac:dyDescent="0.25">
      <c r="A244" s="17" t="s">
        <v>149</v>
      </c>
      <c r="B244" s="17" t="s">
        <v>52</v>
      </c>
      <c r="C244" s="17" t="s">
        <v>150</v>
      </c>
      <c r="D244" s="17" t="s">
        <v>358</v>
      </c>
      <c r="E244" s="26">
        <f>AVERAGE(F244:Q244)</f>
        <v>0</v>
      </c>
      <c r="F244" s="26">
        <f t="shared" ref="F244:Q244" si="33">F245*$E$20*0.89</f>
        <v>0</v>
      </c>
      <c r="G244" s="26">
        <f t="shared" si="33"/>
        <v>0</v>
      </c>
      <c r="H244" s="26">
        <f t="shared" si="33"/>
        <v>0</v>
      </c>
      <c r="I244" s="26">
        <f t="shared" si="33"/>
        <v>0</v>
      </c>
      <c r="J244" s="26">
        <f t="shared" si="33"/>
        <v>0</v>
      </c>
      <c r="K244" s="26">
        <f t="shared" si="33"/>
        <v>0</v>
      </c>
      <c r="L244" s="26">
        <f t="shared" si="33"/>
        <v>0</v>
      </c>
      <c r="M244" s="26">
        <f t="shared" si="33"/>
        <v>0</v>
      </c>
      <c r="N244" s="26">
        <f t="shared" si="33"/>
        <v>0</v>
      </c>
      <c r="O244" s="26">
        <f t="shared" si="33"/>
        <v>0</v>
      </c>
      <c r="P244" s="26">
        <f t="shared" si="33"/>
        <v>0</v>
      </c>
      <c r="Q244" s="26">
        <f t="shared" si="33"/>
        <v>0</v>
      </c>
    </row>
    <row r="245" spans="1:17" ht="31.2" x14ac:dyDescent="0.25">
      <c r="A245" s="17" t="s">
        <v>151</v>
      </c>
      <c r="B245" s="17" t="s">
        <v>52</v>
      </c>
      <c r="C245" s="17" t="s">
        <v>61</v>
      </c>
      <c r="D245" s="17" t="s">
        <v>359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5">
        <v>0</v>
      </c>
      <c r="N245" s="25">
        <v>0</v>
      </c>
      <c r="O245" s="25">
        <v>0</v>
      </c>
      <c r="P245" s="25">
        <v>0</v>
      </c>
      <c r="Q245" s="25">
        <v>0</v>
      </c>
    </row>
    <row r="246" spans="1:17" ht="31.2" x14ac:dyDescent="0.25">
      <c r="A246" s="17" t="s">
        <v>152</v>
      </c>
      <c r="B246" s="17" t="s">
        <v>216</v>
      </c>
      <c r="C246" s="17" t="s">
        <v>153</v>
      </c>
      <c r="D246" s="17" t="s">
        <v>360</v>
      </c>
      <c r="E246" s="148">
        <f>(F247*F252+G247*G252+H247*H252+I247*I252+J247*J252+K247*K252+L247*L252+M247*M252+N247*N252+O247*O252+P247*P252+Q247*Q252)/(F239*F240*F231+G240*G239*G231+H239*H240*H231+I240*I239*I231+J240*J239*J231+K240*K239*K231+L240*L239*L231+M240*M239*M231+N240*N239*N231+O239*O240*O231+P240*P239*P231+Q240*Q239*Q231)</f>
        <v>0.62975691143558565</v>
      </c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</row>
    <row r="247" spans="1:17" ht="31.2" x14ac:dyDescent="0.25">
      <c r="A247" s="17" t="s">
        <v>154</v>
      </c>
      <c r="B247" s="17" t="s">
        <v>52</v>
      </c>
      <c r="C247" s="17" t="s">
        <v>155</v>
      </c>
      <c r="D247" s="17" t="s">
        <v>347</v>
      </c>
      <c r="E247" s="27">
        <f>AVERAGE(F247:Q247)</f>
        <v>0.62806589860815809</v>
      </c>
      <c r="F247" s="27">
        <f>IF(F251&lt;283,0,IF(F251&gt;303,1,EXP(($E$22*(F251-$E$23))/($E$24*$E$23*F251))))</f>
        <v>0.26921004737855481</v>
      </c>
      <c r="G247" s="27">
        <f t="shared" ref="G247:Q247" si="34">IF(G251&lt;283,0,IF(G251&gt;303,1,EXP(($E$22*(G251-$E$23))/($E$24*$E$23*G251))))</f>
        <v>0.29505266129807517</v>
      </c>
      <c r="H247" s="27">
        <f t="shared" si="34"/>
        <v>0.38698063689870399</v>
      </c>
      <c r="I247" s="27">
        <f t="shared" si="34"/>
        <v>0.55084569341606926</v>
      </c>
      <c r="J247" s="27">
        <f t="shared" si="34"/>
        <v>0.71341857634681827</v>
      </c>
      <c r="K247" s="27">
        <f t="shared" si="34"/>
        <v>0.91923925774048054</v>
      </c>
      <c r="L247" s="27">
        <f t="shared" si="34"/>
        <v>1</v>
      </c>
      <c r="M247" s="27">
        <f t="shared" si="34"/>
        <v>1</v>
      </c>
      <c r="N247" s="27">
        <f t="shared" si="34"/>
        <v>0.91923925774048054</v>
      </c>
      <c r="O247" s="27">
        <f t="shared" si="34"/>
        <v>0.65487347206548807</v>
      </c>
      <c r="P247" s="27">
        <f t="shared" si="34"/>
        <v>0.50475941545474445</v>
      </c>
      <c r="Q247" s="27">
        <f t="shared" si="34"/>
        <v>0.32317176495848171</v>
      </c>
    </row>
    <row r="248" spans="1:17" x14ac:dyDescent="0.25">
      <c r="A248" s="17" t="s">
        <v>66</v>
      </c>
      <c r="B248" s="17" t="s">
        <v>67</v>
      </c>
      <c r="C248" s="17" t="s">
        <v>68</v>
      </c>
      <c r="D248" s="17" t="s">
        <v>361</v>
      </c>
      <c r="E248" s="130">
        <v>15175</v>
      </c>
      <c r="F248" s="130"/>
      <c r="G248" s="13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</row>
    <row r="249" spans="1:17" ht="18" x14ac:dyDescent="0.25">
      <c r="A249" s="17" t="s">
        <v>156</v>
      </c>
      <c r="B249" s="17" t="s">
        <v>70</v>
      </c>
      <c r="C249" s="17" t="s">
        <v>71</v>
      </c>
      <c r="D249" s="17" t="s">
        <v>361</v>
      </c>
      <c r="E249" s="130">
        <v>303.16000000000003</v>
      </c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</row>
    <row r="250" spans="1:17" x14ac:dyDescent="0.25">
      <c r="A250" s="17" t="s">
        <v>72</v>
      </c>
      <c r="B250" s="17" t="s">
        <v>73</v>
      </c>
      <c r="C250" s="17" t="s">
        <v>74</v>
      </c>
      <c r="D250" s="17" t="s">
        <v>361</v>
      </c>
      <c r="E250" s="130">
        <v>1.9870000000000001</v>
      </c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</row>
    <row r="251" spans="1:17" ht="31.2" x14ac:dyDescent="0.25">
      <c r="A251" s="17" t="s">
        <v>157</v>
      </c>
      <c r="B251" s="17" t="s">
        <v>70</v>
      </c>
      <c r="C251" s="17" t="s">
        <v>158</v>
      </c>
      <c r="D251" s="17" t="s">
        <v>277</v>
      </c>
      <c r="E251" s="28">
        <f>AVERAGE(F251:Q251)</f>
        <v>296.56666666666672</v>
      </c>
      <c r="F251" s="25">
        <v>288.14999999999998</v>
      </c>
      <c r="G251" s="25">
        <v>289.14999999999998</v>
      </c>
      <c r="H251" s="25">
        <v>292.14999999999998</v>
      </c>
      <c r="I251" s="25">
        <v>296.14999999999998</v>
      </c>
      <c r="J251" s="25">
        <v>299.14999999999998</v>
      </c>
      <c r="K251" s="25">
        <v>302.14999999999998</v>
      </c>
      <c r="L251" s="25">
        <v>303.14999999999998</v>
      </c>
      <c r="M251" s="25">
        <v>303.14999999999998</v>
      </c>
      <c r="N251" s="25">
        <v>302.14999999999998</v>
      </c>
      <c r="O251" s="25">
        <v>298.14999999999998</v>
      </c>
      <c r="P251" s="25">
        <v>295.14999999999998</v>
      </c>
      <c r="Q251" s="25">
        <v>290.14999999999998</v>
      </c>
    </row>
    <row r="252" spans="1:17" ht="46.8" x14ac:dyDescent="0.25">
      <c r="A252" s="17" t="s">
        <v>159</v>
      </c>
      <c r="B252" s="17" t="s">
        <v>38</v>
      </c>
      <c r="C252" s="17" t="s">
        <v>160</v>
      </c>
      <c r="D252" s="17" t="s">
        <v>362</v>
      </c>
      <c r="E252" s="29">
        <f>SUM(F252:Q252)</f>
        <v>146.00000000000003</v>
      </c>
      <c r="F252" s="29">
        <f>F236*F240*'Project Emissions'!F231+(1-F247)*0</f>
        <v>12.4</v>
      </c>
      <c r="G252" s="29">
        <f>G236*G240*'Project Emissions'!G231+(1-G247)*0</f>
        <v>11.200000000000001</v>
      </c>
      <c r="H252" s="29">
        <f>H236*H240*'Project Emissions'!H231+(1-H247)*0</f>
        <v>12.4</v>
      </c>
      <c r="I252" s="29">
        <f>I236*I240*'Project Emissions'!I231+(1-I247)*0</f>
        <v>12</v>
      </c>
      <c r="J252" s="29">
        <f>J236*J240*'Project Emissions'!J231+(1-J247)*0</f>
        <v>12.4</v>
      </c>
      <c r="K252" s="29">
        <f>K236*K240*'Project Emissions'!K231+(1-K247)*0</f>
        <v>12</v>
      </c>
      <c r="L252" s="29">
        <f>L236*L240*'Project Emissions'!L231+(1-L247)*0</f>
        <v>12.4</v>
      </c>
      <c r="M252" s="29">
        <f>M236*M240*'Project Emissions'!M231+(1-M247)*0</f>
        <v>12.4</v>
      </c>
      <c r="N252" s="29">
        <f>N236*N240*'Project Emissions'!N231+(1-N247)*0</f>
        <v>12</v>
      </c>
      <c r="O252" s="29">
        <f>O236*O240*'Project Emissions'!O231+(1-O247)*0</f>
        <v>12.4</v>
      </c>
      <c r="P252" s="29">
        <f>P236*P240*'Project Emissions'!P231+(1-P247)*0</f>
        <v>12</v>
      </c>
      <c r="Q252" s="29">
        <f>Q236*Q240*'Project Emissions'!Q231+(1-Q247)*0</f>
        <v>12.4</v>
      </c>
    </row>
    <row r="253" spans="1:17" x14ac:dyDescent="0.3">
      <c r="A253" s="30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</row>
    <row r="254" spans="1:17" x14ac:dyDescent="0.25">
      <c r="A254" s="134" t="s">
        <v>161</v>
      </c>
      <c r="B254" s="134"/>
      <c r="C254" s="135"/>
      <c r="D254" s="135"/>
      <c r="E254" s="155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</row>
    <row r="255" spans="1:17" x14ac:dyDescent="0.25">
      <c r="A255" s="33" t="s">
        <v>9</v>
      </c>
      <c r="B255" s="33" t="s">
        <v>10</v>
      </c>
      <c r="C255" s="34" t="s">
        <v>11</v>
      </c>
      <c r="D255" s="34" t="s">
        <v>12</v>
      </c>
      <c r="E255" s="16" t="s">
        <v>80</v>
      </c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</row>
    <row r="256" spans="1:17" ht="46.8" x14ac:dyDescent="0.25">
      <c r="A256" s="15" t="s">
        <v>162</v>
      </c>
      <c r="B256" s="17" t="s">
        <v>110</v>
      </c>
      <c r="C256" s="35" t="s">
        <v>163</v>
      </c>
      <c r="D256" s="35" t="s">
        <v>83</v>
      </c>
      <c r="E256" s="16">
        <v>0</v>
      </c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</row>
    <row r="257" spans="1:19" x14ac:dyDescent="0.25">
      <c r="A257" s="36"/>
      <c r="B257" s="36"/>
      <c r="C257" s="37"/>
      <c r="D257" s="37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</row>
    <row r="258" spans="1:19" x14ac:dyDescent="0.25">
      <c r="A258" s="134" t="s">
        <v>164</v>
      </c>
      <c r="B258" s="134"/>
      <c r="C258" s="135"/>
      <c r="D258" s="135"/>
      <c r="E258" s="155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</row>
    <row r="259" spans="1:19" x14ac:dyDescent="0.25">
      <c r="A259" s="33" t="s">
        <v>9</v>
      </c>
      <c r="B259" s="33" t="s">
        <v>10</v>
      </c>
      <c r="C259" s="34" t="s">
        <v>11</v>
      </c>
      <c r="D259" s="34" t="s">
        <v>12</v>
      </c>
      <c r="E259" s="16" t="s">
        <v>80</v>
      </c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</row>
    <row r="260" spans="1:19" ht="46.8" x14ac:dyDescent="0.25">
      <c r="A260" s="15" t="s">
        <v>165</v>
      </c>
      <c r="B260" s="17" t="s">
        <v>110</v>
      </c>
      <c r="C260" s="35" t="s">
        <v>166</v>
      </c>
      <c r="D260" s="35" t="s">
        <v>83</v>
      </c>
      <c r="E260" s="16">
        <v>0</v>
      </c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</row>
    <row r="261" spans="1:19" x14ac:dyDescent="0.25"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</row>
    <row r="262" spans="1:19" x14ac:dyDescent="0.25">
      <c r="A262" s="134" t="s">
        <v>167</v>
      </c>
      <c r="B262" s="134"/>
      <c r="C262" s="135"/>
      <c r="D262" s="135"/>
      <c r="E262" s="155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</row>
    <row r="263" spans="1:19" s="10" customFormat="1" x14ac:dyDescent="0.25">
      <c r="A263" s="15" t="s">
        <v>9</v>
      </c>
      <c r="B263" s="15" t="s">
        <v>10</v>
      </c>
      <c r="C263" s="38" t="s">
        <v>11</v>
      </c>
      <c r="D263" s="38" t="s">
        <v>12</v>
      </c>
      <c r="E263" s="16" t="s">
        <v>80</v>
      </c>
      <c r="F263" s="32"/>
      <c r="G263" s="32"/>
      <c r="H263" s="39"/>
      <c r="I263" s="39"/>
      <c r="J263" s="39"/>
      <c r="K263" s="39"/>
      <c r="L263" s="39"/>
      <c r="M263" s="39"/>
      <c r="N263" s="39"/>
      <c r="O263" s="39"/>
      <c r="P263" s="39"/>
      <c r="Q263" s="39"/>
    </row>
    <row r="264" spans="1:19" s="10" customFormat="1" ht="18" x14ac:dyDescent="0.4">
      <c r="A264" s="40" t="s">
        <v>168</v>
      </c>
      <c r="B264" s="17" t="s">
        <v>118</v>
      </c>
      <c r="C264" s="35" t="s">
        <v>169</v>
      </c>
      <c r="D264" s="35" t="s">
        <v>170</v>
      </c>
      <c r="E264" s="41">
        <f>E265*E267*(1+E266)</f>
        <v>763.61694719999991</v>
      </c>
      <c r="F264" s="32"/>
      <c r="G264" s="32"/>
      <c r="H264" s="39"/>
      <c r="I264" s="39"/>
      <c r="J264" s="39"/>
      <c r="K264" s="39"/>
      <c r="L264" s="39"/>
      <c r="M264" s="39"/>
      <c r="N264" s="39"/>
      <c r="O264" s="39"/>
      <c r="P264" s="39"/>
      <c r="Q264" s="39"/>
    </row>
    <row r="265" spans="1:19" ht="31.2" x14ac:dyDescent="0.25">
      <c r="A265" s="17" t="s">
        <v>171</v>
      </c>
      <c r="B265" s="17" t="s">
        <v>172</v>
      </c>
      <c r="C265" s="35" t="s">
        <v>173</v>
      </c>
      <c r="D265" s="35" t="s">
        <v>40</v>
      </c>
      <c r="E265" s="20">
        <v>1250.56</v>
      </c>
      <c r="G265" s="42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9"/>
      <c r="S265" s="9"/>
    </row>
    <row r="266" spans="1:19" ht="31.2" x14ac:dyDescent="0.25">
      <c r="A266" s="17" t="s">
        <v>174</v>
      </c>
      <c r="B266" s="17" t="s">
        <v>175</v>
      </c>
      <c r="C266" s="35" t="s">
        <v>176</v>
      </c>
      <c r="D266" s="35" t="s">
        <v>177</v>
      </c>
      <c r="E266" s="44">
        <v>0.2</v>
      </c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9"/>
      <c r="S266" s="9"/>
    </row>
    <row r="267" spans="1:19" ht="46.8" x14ac:dyDescent="0.25">
      <c r="A267" s="17" t="s">
        <v>178</v>
      </c>
      <c r="B267" s="17" t="s">
        <v>179</v>
      </c>
      <c r="C267" s="35" t="s">
        <v>180</v>
      </c>
      <c r="D267" s="35" t="s">
        <v>181</v>
      </c>
      <c r="E267" s="45">
        <f>0.5*0.8042+0.5*0.2135</f>
        <v>0.50885000000000002</v>
      </c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</row>
    <row r="268" spans="1:19" ht="31.2" x14ac:dyDescent="0.4">
      <c r="A268" s="40" t="s">
        <v>182</v>
      </c>
      <c r="B268" s="17" t="s">
        <v>118</v>
      </c>
      <c r="C268" s="35" t="s">
        <v>183</v>
      </c>
      <c r="D268" s="35" t="s">
        <v>184</v>
      </c>
      <c r="E268" s="47">
        <v>0</v>
      </c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9"/>
      <c r="S268" s="9"/>
    </row>
    <row r="269" spans="1:19" x14ac:dyDescent="0.3">
      <c r="A269" s="48"/>
      <c r="E269" s="49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9"/>
      <c r="S269" s="9"/>
    </row>
    <row r="270" spans="1:19" x14ac:dyDescent="0.25">
      <c r="A270" s="134" t="s">
        <v>185</v>
      </c>
      <c r="B270" s="134"/>
      <c r="C270" s="135"/>
      <c r="D270" s="135"/>
      <c r="E270" s="155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</row>
    <row r="271" spans="1:19" x14ac:dyDescent="0.25">
      <c r="A271" s="15" t="s">
        <v>9</v>
      </c>
      <c r="B271" s="15" t="s">
        <v>10</v>
      </c>
      <c r="C271" s="38" t="s">
        <v>11</v>
      </c>
      <c r="D271" s="38" t="s">
        <v>12</v>
      </c>
      <c r="E271" s="16" t="s">
        <v>80</v>
      </c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9"/>
      <c r="S271" s="9"/>
    </row>
    <row r="272" spans="1:19" ht="33.6" x14ac:dyDescent="0.4">
      <c r="A272" s="40" t="s">
        <v>186</v>
      </c>
      <c r="B272" s="17" t="s">
        <v>89</v>
      </c>
      <c r="C272" s="35" t="s">
        <v>187</v>
      </c>
      <c r="D272" s="35" t="s">
        <v>363</v>
      </c>
      <c r="E272" s="50">
        <f>E273*E276*E277*E278*E279*E280</f>
        <v>12.068698419262583</v>
      </c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9"/>
      <c r="S272" s="9"/>
    </row>
    <row r="273" spans="1:19" ht="46.8" x14ac:dyDescent="0.4">
      <c r="A273" s="51" t="s">
        <v>188</v>
      </c>
      <c r="B273" s="17" t="s">
        <v>91</v>
      </c>
      <c r="C273" s="35" t="s">
        <v>189</v>
      </c>
      <c r="D273" s="35" t="s">
        <v>364</v>
      </c>
      <c r="E273" s="52">
        <f>E274/E275</f>
        <v>294.19</v>
      </c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9"/>
      <c r="S273" s="9"/>
    </row>
    <row r="274" spans="1:19" ht="31.2" x14ac:dyDescent="0.25">
      <c r="A274" s="17" t="s">
        <v>190</v>
      </c>
      <c r="B274" s="17" t="s">
        <v>93</v>
      </c>
      <c r="C274" s="35" t="s">
        <v>191</v>
      </c>
      <c r="D274" s="35" t="s">
        <v>40</v>
      </c>
      <c r="E274" s="52">
        <f>4.03*365</f>
        <v>1470.95</v>
      </c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9"/>
      <c r="S274" s="9"/>
    </row>
    <row r="275" spans="1:19" ht="31.2" x14ac:dyDescent="0.25">
      <c r="A275" s="17" t="s">
        <v>192</v>
      </c>
      <c r="B275" s="17" t="s">
        <v>95</v>
      </c>
      <c r="C275" s="35" t="s">
        <v>96</v>
      </c>
      <c r="D275" s="35" t="s">
        <v>40</v>
      </c>
      <c r="E275" s="25">
        <f>5</f>
        <v>5</v>
      </c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9"/>
      <c r="S275" s="9"/>
    </row>
    <row r="276" spans="1:19" ht="46.8" x14ac:dyDescent="0.25">
      <c r="A276" s="17" t="s">
        <v>193</v>
      </c>
      <c r="B276" s="17" t="s">
        <v>97</v>
      </c>
      <c r="C276" s="35" t="s">
        <v>194</v>
      </c>
      <c r="D276" s="35" t="s">
        <v>40</v>
      </c>
      <c r="E276" s="25">
        <f>30.3*2</f>
        <v>60.6</v>
      </c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9"/>
      <c r="S276" s="9"/>
    </row>
    <row r="277" spans="1:19" ht="141" x14ac:dyDescent="0.25">
      <c r="A277" s="17" t="s">
        <v>195</v>
      </c>
      <c r="B277" s="17" t="s">
        <v>99</v>
      </c>
      <c r="C277" s="35" t="s">
        <v>100</v>
      </c>
      <c r="D277" s="35" t="s">
        <v>330</v>
      </c>
      <c r="E277" s="25">
        <f>25.1/100</f>
        <v>0.251</v>
      </c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9"/>
      <c r="S277" s="9"/>
    </row>
    <row r="278" spans="1:19" ht="62.4" x14ac:dyDescent="0.25">
      <c r="A278" s="17" t="s">
        <v>101</v>
      </c>
      <c r="B278" s="17" t="s">
        <v>102</v>
      </c>
      <c r="C278" s="35" t="s">
        <v>101</v>
      </c>
      <c r="D278" s="35" t="s">
        <v>231</v>
      </c>
      <c r="E278" s="25">
        <f>0.84/1000</f>
        <v>8.3999999999999993E-4</v>
      </c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9"/>
      <c r="S278" s="9"/>
    </row>
    <row r="279" spans="1:19" ht="124.8" x14ac:dyDescent="0.25">
      <c r="A279" s="17" t="s">
        <v>196</v>
      </c>
      <c r="B279" s="17" t="s">
        <v>103</v>
      </c>
      <c r="C279" s="35" t="s">
        <v>104</v>
      </c>
      <c r="D279" s="35" t="s">
        <v>331</v>
      </c>
      <c r="E279" s="25">
        <f>43.33/1000</f>
        <v>4.333E-2</v>
      </c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9"/>
      <c r="S279" s="9"/>
    </row>
    <row r="280" spans="1:19" ht="33.6" x14ac:dyDescent="0.25">
      <c r="A280" s="17" t="s">
        <v>197</v>
      </c>
      <c r="B280" s="17" t="s">
        <v>105</v>
      </c>
      <c r="C280" s="35" t="s">
        <v>106</v>
      </c>
      <c r="D280" s="35" t="s">
        <v>107</v>
      </c>
      <c r="E280" s="25">
        <v>74.099999999999994</v>
      </c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9"/>
      <c r="S280" s="9"/>
    </row>
    <row r="282" spans="1:19" x14ac:dyDescent="0.25">
      <c r="A282" s="33" t="s">
        <v>9</v>
      </c>
      <c r="B282" s="33" t="s">
        <v>10</v>
      </c>
      <c r="C282" s="34" t="s">
        <v>11</v>
      </c>
      <c r="D282" s="34" t="s">
        <v>12</v>
      </c>
      <c r="E282" s="16" t="s">
        <v>80</v>
      </c>
    </row>
    <row r="283" spans="1:19" ht="18" x14ac:dyDescent="0.25">
      <c r="A283" s="15" t="s">
        <v>198</v>
      </c>
      <c r="B283" s="17" t="s">
        <v>118</v>
      </c>
      <c r="C283" s="35" t="s">
        <v>199</v>
      </c>
      <c r="D283" s="53" t="s">
        <v>365</v>
      </c>
      <c r="E283" s="18">
        <f>ROUNDUP(E232+E256+E260+E264+E272,0)</f>
        <v>776</v>
      </c>
    </row>
    <row r="284" spans="1:19" s="158" customFormat="1" ht="43.2" customHeight="1" x14ac:dyDescent="0.25">
      <c r="A284" s="158" t="s">
        <v>287</v>
      </c>
    </row>
    <row r="285" spans="1:19" ht="23.4" customHeight="1" x14ac:dyDescent="0.25">
      <c r="A285" s="153" t="s">
        <v>120</v>
      </c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4"/>
    </row>
    <row r="286" spans="1:19" s="10" customFormat="1" x14ac:dyDescent="0.25">
      <c r="A286" s="15" t="s">
        <v>9</v>
      </c>
      <c r="B286" s="15" t="s">
        <v>10</v>
      </c>
      <c r="C286" s="15" t="s">
        <v>11</v>
      </c>
      <c r="D286" s="15" t="s">
        <v>12</v>
      </c>
      <c r="E286" s="16" t="s">
        <v>13</v>
      </c>
      <c r="F286" s="16" t="s">
        <v>14</v>
      </c>
      <c r="G286" s="16" t="s">
        <v>15</v>
      </c>
      <c r="H286" s="16" t="s">
        <v>16</v>
      </c>
      <c r="I286" s="16" t="s">
        <v>17</v>
      </c>
      <c r="J286" s="16" t="s">
        <v>18</v>
      </c>
      <c r="K286" s="16" t="s">
        <v>19</v>
      </c>
      <c r="L286" s="16" t="s">
        <v>20</v>
      </c>
      <c r="M286" s="16" t="s">
        <v>21</v>
      </c>
      <c r="N286" s="16" t="s">
        <v>22</v>
      </c>
      <c r="O286" s="16" t="s">
        <v>23</v>
      </c>
      <c r="P286" s="16" t="s">
        <v>24</v>
      </c>
      <c r="Q286" s="16" t="s">
        <v>25</v>
      </c>
      <c r="R286" s="54"/>
      <c r="S286" s="54"/>
    </row>
    <row r="287" spans="1:19" s="10" customFormat="1" x14ac:dyDescent="0.25">
      <c r="A287" s="146" t="s">
        <v>121</v>
      </c>
      <c r="B287" s="146"/>
      <c r="C287" s="146"/>
      <c r="D287" s="146"/>
      <c r="E287" s="147"/>
      <c r="F287" s="16">
        <v>31</v>
      </c>
      <c r="G287" s="16">
        <v>28</v>
      </c>
      <c r="H287" s="16">
        <v>31</v>
      </c>
      <c r="I287" s="16">
        <v>30</v>
      </c>
      <c r="J287" s="16">
        <v>31</v>
      </c>
      <c r="K287" s="16">
        <v>30</v>
      </c>
      <c r="L287" s="16">
        <v>31</v>
      </c>
      <c r="M287" s="16">
        <v>31</v>
      </c>
      <c r="N287" s="16">
        <v>30</v>
      </c>
      <c r="O287" s="16">
        <v>31</v>
      </c>
      <c r="P287" s="16">
        <v>30</v>
      </c>
      <c r="Q287" s="16">
        <v>31</v>
      </c>
      <c r="R287" s="54"/>
      <c r="S287" s="54"/>
    </row>
    <row r="288" spans="1:19" s="10" customFormat="1" ht="31.2" x14ac:dyDescent="0.25">
      <c r="A288" s="15" t="s">
        <v>122</v>
      </c>
      <c r="B288" s="17" t="s">
        <v>118</v>
      </c>
      <c r="C288" s="17" t="s">
        <v>123</v>
      </c>
      <c r="D288" s="17" t="s">
        <v>353</v>
      </c>
      <c r="E288" s="18">
        <f>E289+E299</f>
        <v>0</v>
      </c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54"/>
      <c r="S288" s="54"/>
    </row>
    <row r="289" spans="1:17" ht="46.8" x14ac:dyDescent="0.25">
      <c r="A289" s="17" t="s">
        <v>124</v>
      </c>
      <c r="B289" s="17" t="s">
        <v>118</v>
      </c>
      <c r="C289" s="17" t="s">
        <v>125</v>
      </c>
      <c r="D289" s="17" t="s">
        <v>354</v>
      </c>
      <c r="E289" s="19">
        <f>SUM(F289:Q289)</f>
        <v>0</v>
      </c>
      <c r="F289" s="19">
        <f>IF(F290&gt;=0.8,0,$E$15*$E$16*0.4*(F291-F294)*F287)</f>
        <v>0</v>
      </c>
      <c r="G289" s="19">
        <f t="shared" ref="G289:Q289" si="35">IF(G290&gt;=0.8,0,$E$15*$E$16*0.4*(G291-G294)*G287)</f>
        <v>0</v>
      </c>
      <c r="H289" s="19">
        <f t="shared" si="35"/>
        <v>0</v>
      </c>
      <c r="I289" s="19">
        <f t="shared" si="35"/>
        <v>0</v>
      </c>
      <c r="J289" s="19">
        <f t="shared" si="35"/>
        <v>0</v>
      </c>
      <c r="K289" s="19">
        <f t="shared" si="35"/>
        <v>0</v>
      </c>
      <c r="L289" s="19">
        <f t="shared" si="35"/>
        <v>0</v>
      </c>
      <c r="M289" s="19">
        <f t="shared" si="35"/>
        <v>0</v>
      </c>
      <c r="N289" s="19">
        <f t="shared" si="35"/>
        <v>0</v>
      </c>
      <c r="O289" s="19">
        <f t="shared" si="35"/>
        <v>0</v>
      </c>
      <c r="P289" s="19">
        <f t="shared" si="35"/>
        <v>0</v>
      </c>
      <c r="Q289" s="19">
        <f t="shared" si="35"/>
        <v>0</v>
      </c>
    </row>
    <row r="290" spans="1:17" ht="62.4" x14ac:dyDescent="0.25">
      <c r="A290" s="17" t="s">
        <v>126</v>
      </c>
      <c r="B290" s="17" t="s">
        <v>52</v>
      </c>
      <c r="C290" s="17" t="s">
        <v>127</v>
      </c>
      <c r="D290" s="17" t="s">
        <v>355</v>
      </c>
      <c r="E290" s="20">
        <f>AVERAGE(F290:Q290)</f>
        <v>0.91111111111111132</v>
      </c>
      <c r="F290" s="20">
        <f>(F291-F294)/F291</f>
        <v>0.91111111111111109</v>
      </c>
      <c r="G290" s="20">
        <f t="shared" ref="G290:Q290" si="36">(G291-G294)/G291</f>
        <v>0.91111111111111109</v>
      </c>
      <c r="H290" s="20">
        <f t="shared" si="36"/>
        <v>0.91111111111111109</v>
      </c>
      <c r="I290" s="20">
        <f t="shared" si="36"/>
        <v>0.91111111111111109</v>
      </c>
      <c r="J290" s="20">
        <f t="shared" si="36"/>
        <v>0.91111111111111109</v>
      </c>
      <c r="K290" s="20">
        <f t="shared" si="36"/>
        <v>0.91111111111111109</v>
      </c>
      <c r="L290" s="20">
        <f t="shared" si="36"/>
        <v>0.91111111111111109</v>
      </c>
      <c r="M290" s="20">
        <f t="shared" si="36"/>
        <v>0.91111111111111109</v>
      </c>
      <c r="N290" s="20">
        <f t="shared" si="36"/>
        <v>0.91111111111111109</v>
      </c>
      <c r="O290" s="20">
        <f t="shared" si="36"/>
        <v>0.91111111111111109</v>
      </c>
      <c r="P290" s="20">
        <f t="shared" si="36"/>
        <v>0.91111111111111109</v>
      </c>
      <c r="Q290" s="20">
        <f t="shared" si="36"/>
        <v>0.91111111111111109</v>
      </c>
    </row>
    <row r="291" spans="1:17" ht="46.8" x14ac:dyDescent="0.25">
      <c r="A291" s="17" t="s">
        <v>128</v>
      </c>
      <c r="B291" s="17" t="s">
        <v>38</v>
      </c>
      <c r="C291" s="17" t="s">
        <v>129</v>
      </c>
      <c r="D291" s="17" t="s">
        <v>356</v>
      </c>
      <c r="E291" s="20">
        <f>SUM(F291:Q291)</f>
        <v>53.459999999999987</v>
      </c>
      <c r="F291" s="20">
        <f>F292*F293</f>
        <v>4.4550000000000001</v>
      </c>
      <c r="G291" s="20">
        <f t="shared" ref="G291:Q291" si="37">G292*G293</f>
        <v>4.4550000000000001</v>
      </c>
      <c r="H291" s="20">
        <f t="shared" si="37"/>
        <v>4.4550000000000001</v>
      </c>
      <c r="I291" s="20">
        <f t="shared" si="37"/>
        <v>4.4550000000000001</v>
      </c>
      <c r="J291" s="20">
        <f t="shared" si="37"/>
        <v>4.4550000000000001</v>
      </c>
      <c r="K291" s="20">
        <f t="shared" si="37"/>
        <v>4.4550000000000001</v>
      </c>
      <c r="L291" s="20">
        <f t="shared" si="37"/>
        <v>4.4550000000000001</v>
      </c>
      <c r="M291" s="20">
        <f t="shared" si="37"/>
        <v>4.4550000000000001</v>
      </c>
      <c r="N291" s="20">
        <f t="shared" si="37"/>
        <v>4.4550000000000001</v>
      </c>
      <c r="O291" s="20">
        <f t="shared" si="37"/>
        <v>4.4550000000000001</v>
      </c>
      <c r="P291" s="20">
        <f t="shared" si="37"/>
        <v>4.4550000000000001</v>
      </c>
      <c r="Q291" s="20">
        <f t="shared" si="37"/>
        <v>4.4550000000000001</v>
      </c>
    </row>
    <row r="292" spans="1:17" ht="51" customHeight="1" x14ac:dyDescent="0.25">
      <c r="A292" s="17" t="s">
        <v>130</v>
      </c>
      <c r="B292" s="17" t="s">
        <v>131</v>
      </c>
      <c r="C292" s="17" t="s">
        <v>132</v>
      </c>
      <c r="D292" s="17" t="s">
        <v>40</v>
      </c>
      <c r="E292" s="21">
        <f>SUM(F292:Q292)</f>
        <v>118800</v>
      </c>
      <c r="F292" s="21">
        <f>9900</f>
        <v>9900</v>
      </c>
      <c r="G292" s="21">
        <f>9900</f>
        <v>9900</v>
      </c>
      <c r="H292" s="21">
        <f>9900</f>
        <v>9900</v>
      </c>
      <c r="I292" s="21">
        <f>9900</f>
        <v>9900</v>
      </c>
      <c r="J292" s="21">
        <f>9900</f>
        <v>9900</v>
      </c>
      <c r="K292" s="21">
        <f>9900</f>
        <v>9900</v>
      </c>
      <c r="L292" s="21">
        <f>9900</f>
        <v>9900</v>
      </c>
      <c r="M292" s="21">
        <f>9900</f>
        <v>9900</v>
      </c>
      <c r="N292" s="21">
        <f>9900</f>
        <v>9900</v>
      </c>
      <c r="O292" s="21">
        <f>9900</f>
        <v>9900</v>
      </c>
      <c r="P292" s="21">
        <f>9900</f>
        <v>9900</v>
      </c>
      <c r="Q292" s="21">
        <f>9900</f>
        <v>9900</v>
      </c>
    </row>
    <row r="293" spans="1:17" ht="46.8" x14ac:dyDescent="0.25">
      <c r="A293" s="17" t="s">
        <v>133</v>
      </c>
      <c r="B293" s="17" t="s">
        <v>134</v>
      </c>
      <c r="C293" s="17" t="s">
        <v>135</v>
      </c>
      <c r="D293" s="17" t="s">
        <v>40</v>
      </c>
      <c r="E293" s="22">
        <f>AVERAGE(F293:Q293)</f>
        <v>4.4999999999999993E-4</v>
      </c>
      <c r="F293" s="23">
        <f>'Baseline Emissions'!F287</f>
        <v>4.4999999999999999E-4</v>
      </c>
      <c r="G293" s="23">
        <f>'Baseline Emissions'!G287</f>
        <v>4.4999999999999999E-4</v>
      </c>
      <c r="H293" s="23">
        <f>'Baseline Emissions'!H287</f>
        <v>4.4999999999999999E-4</v>
      </c>
      <c r="I293" s="23">
        <f>'Baseline Emissions'!I287</f>
        <v>4.4999999999999999E-4</v>
      </c>
      <c r="J293" s="23">
        <f>'Baseline Emissions'!J287</f>
        <v>4.4999999999999999E-4</v>
      </c>
      <c r="K293" s="23">
        <f>'Baseline Emissions'!K287</f>
        <v>4.4999999999999999E-4</v>
      </c>
      <c r="L293" s="23">
        <f>'Baseline Emissions'!L287</f>
        <v>4.4999999999999999E-4</v>
      </c>
      <c r="M293" s="23">
        <f>'Baseline Emissions'!M287</f>
        <v>4.4999999999999999E-4</v>
      </c>
      <c r="N293" s="23">
        <f>'Baseline Emissions'!N287</f>
        <v>4.4999999999999999E-4</v>
      </c>
      <c r="O293" s="23">
        <f>'Baseline Emissions'!O287</f>
        <v>4.4999999999999999E-4</v>
      </c>
      <c r="P293" s="23">
        <f>'Baseline Emissions'!P287</f>
        <v>4.4999999999999999E-4</v>
      </c>
      <c r="Q293" s="23">
        <f>'Baseline Emissions'!Q287</f>
        <v>4.4999999999999999E-4</v>
      </c>
    </row>
    <row r="294" spans="1:17" ht="46.8" x14ac:dyDescent="0.25">
      <c r="A294" s="17" t="s">
        <v>136</v>
      </c>
      <c r="B294" s="17" t="s">
        <v>38</v>
      </c>
      <c r="C294" s="17" t="s">
        <v>137</v>
      </c>
      <c r="D294" s="17" t="s">
        <v>356</v>
      </c>
      <c r="E294" s="20">
        <f>SUM(F294:Q294)</f>
        <v>4.7519999999999998</v>
      </c>
      <c r="F294" s="20">
        <f>SUM(F295*F296)</f>
        <v>0.39600000000000002</v>
      </c>
      <c r="G294" s="20">
        <f t="shared" ref="G294:Q294" si="38">SUM(G295*G296)</f>
        <v>0.39600000000000002</v>
      </c>
      <c r="H294" s="20">
        <f t="shared" si="38"/>
        <v>0.39600000000000002</v>
      </c>
      <c r="I294" s="20">
        <f t="shared" si="38"/>
        <v>0.39600000000000002</v>
      </c>
      <c r="J294" s="20">
        <f t="shared" si="38"/>
        <v>0.39600000000000002</v>
      </c>
      <c r="K294" s="20">
        <f t="shared" si="38"/>
        <v>0.39600000000000002</v>
      </c>
      <c r="L294" s="20">
        <f t="shared" si="38"/>
        <v>0.39600000000000002</v>
      </c>
      <c r="M294" s="20">
        <f t="shared" si="38"/>
        <v>0.39600000000000002</v>
      </c>
      <c r="N294" s="20">
        <f t="shared" si="38"/>
        <v>0.39600000000000002</v>
      </c>
      <c r="O294" s="20">
        <f t="shared" si="38"/>
        <v>0.39600000000000002</v>
      </c>
      <c r="P294" s="20">
        <f t="shared" si="38"/>
        <v>0.39600000000000002</v>
      </c>
      <c r="Q294" s="20">
        <f t="shared" si="38"/>
        <v>0.39600000000000002</v>
      </c>
    </row>
    <row r="295" spans="1:17" ht="31.2" x14ac:dyDescent="0.25">
      <c r="A295" s="17" t="s">
        <v>138</v>
      </c>
      <c r="B295" s="17" t="s">
        <v>131</v>
      </c>
      <c r="C295" s="17" t="s">
        <v>139</v>
      </c>
      <c r="D295" s="17" t="s">
        <v>40</v>
      </c>
      <c r="E295" s="21">
        <f>SUM(F295:Q295)</f>
        <v>118800</v>
      </c>
      <c r="F295" s="21">
        <f>9900</f>
        <v>9900</v>
      </c>
      <c r="G295" s="21">
        <f>9900</f>
        <v>9900</v>
      </c>
      <c r="H295" s="21">
        <f>9900</f>
        <v>9900</v>
      </c>
      <c r="I295" s="21">
        <f>9900</f>
        <v>9900</v>
      </c>
      <c r="J295" s="21">
        <f>9900</f>
        <v>9900</v>
      </c>
      <c r="K295" s="21">
        <f>9900</f>
        <v>9900</v>
      </c>
      <c r="L295" s="21">
        <f>9900</f>
        <v>9900</v>
      </c>
      <c r="M295" s="21">
        <f>9900</f>
        <v>9900</v>
      </c>
      <c r="N295" s="21">
        <f>9900</f>
        <v>9900</v>
      </c>
      <c r="O295" s="21">
        <f>9900</f>
        <v>9900</v>
      </c>
      <c r="P295" s="21">
        <f>9900</f>
        <v>9900</v>
      </c>
      <c r="Q295" s="21">
        <f>9900</f>
        <v>9900</v>
      </c>
    </row>
    <row r="296" spans="1:17" ht="46.8" x14ac:dyDescent="0.25">
      <c r="A296" s="17" t="s">
        <v>140</v>
      </c>
      <c r="B296" s="17" t="s">
        <v>134</v>
      </c>
      <c r="C296" s="17" t="s">
        <v>141</v>
      </c>
      <c r="D296" s="17" t="s">
        <v>40</v>
      </c>
      <c r="E296" s="24">
        <f>AVERAGE(F296:Q296)</f>
        <v>4.0000000000000003E-5</v>
      </c>
      <c r="F296" s="24">
        <f>'Baseline Emissions'!F288</f>
        <v>4.0000000000000003E-5</v>
      </c>
      <c r="G296" s="24">
        <f>'Baseline Emissions'!G288</f>
        <v>4.0000000000000003E-5</v>
      </c>
      <c r="H296" s="24">
        <f>'Baseline Emissions'!H288</f>
        <v>4.0000000000000003E-5</v>
      </c>
      <c r="I296" s="24">
        <f>'Baseline Emissions'!I288</f>
        <v>4.0000000000000003E-5</v>
      </c>
      <c r="J296" s="24">
        <f>'Baseline Emissions'!J288</f>
        <v>4.0000000000000003E-5</v>
      </c>
      <c r="K296" s="24">
        <f>'Baseline Emissions'!K288</f>
        <v>4.0000000000000003E-5</v>
      </c>
      <c r="L296" s="24">
        <f>'Baseline Emissions'!L288</f>
        <v>4.0000000000000003E-5</v>
      </c>
      <c r="M296" s="24">
        <f>'Baseline Emissions'!M288</f>
        <v>4.0000000000000003E-5</v>
      </c>
      <c r="N296" s="24">
        <f>'Baseline Emissions'!N288</f>
        <v>4.0000000000000003E-5</v>
      </c>
      <c r="O296" s="24">
        <f>'Baseline Emissions'!O288</f>
        <v>4.0000000000000003E-5</v>
      </c>
      <c r="P296" s="24">
        <f>'Baseline Emissions'!P288</f>
        <v>4.0000000000000003E-5</v>
      </c>
      <c r="Q296" s="24">
        <f>'Baseline Emissions'!Q288</f>
        <v>4.0000000000000003E-5</v>
      </c>
    </row>
    <row r="297" spans="1:17" ht="31.2" x14ac:dyDescent="0.25">
      <c r="A297" s="17" t="s">
        <v>142</v>
      </c>
      <c r="B297" s="17" t="s">
        <v>143</v>
      </c>
      <c r="C297" s="17" t="s">
        <v>31</v>
      </c>
      <c r="D297" s="17" t="s">
        <v>144</v>
      </c>
      <c r="E297" s="130">
        <v>28</v>
      </c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</row>
    <row r="298" spans="1:17" ht="64.8" x14ac:dyDescent="0.25">
      <c r="A298" s="17" t="s">
        <v>145</v>
      </c>
      <c r="B298" s="17" t="s">
        <v>33</v>
      </c>
      <c r="C298" s="17" t="s">
        <v>146</v>
      </c>
      <c r="D298" s="17" t="s">
        <v>373</v>
      </c>
      <c r="E298" s="130">
        <v>0.21</v>
      </c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</row>
    <row r="299" spans="1:17" ht="46.8" x14ac:dyDescent="0.25">
      <c r="A299" s="17" t="s">
        <v>147</v>
      </c>
      <c r="B299" s="17" t="s">
        <v>118</v>
      </c>
      <c r="C299" s="17" t="s">
        <v>148</v>
      </c>
      <c r="D299" s="17" t="s">
        <v>357</v>
      </c>
      <c r="E299" s="19">
        <f>SUM(F299:Q299)</f>
        <v>0</v>
      </c>
      <c r="F299" s="19">
        <f>$E$15*$E$16*F300*F294*F287</f>
        <v>0</v>
      </c>
      <c r="G299" s="19">
        <f t="shared" ref="G299:Q299" si="39">$E$15*$E$16*G300*G294*G287</f>
        <v>0</v>
      </c>
      <c r="H299" s="19">
        <f t="shared" si="39"/>
        <v>0</v>
      </c>
      <c r="I299" s="19">
        <f t="shared" si="39"/>
        <v>0</v>
      </c>
      <c r="J299" s="19">
        <f t="shared" si="39"/>
        <v>0</v>
      </c>
      <c r="K299" s="19">
        <f t="shared" si="39"/>
        <v>0</v>
      </c>
      <c r="L299" s="19">
        <f t="shared" si="39"/>
        <v>0</v>
      </c>
      <c r="M299" s="19">
        <f t="shared" si="39"/>
        <v>0</v>
      </c>
      <c r="N299" s="19">
        <f t="shared" si="39"/>
        <v>0</v>
      </c>
      <c r="O299" s="19">
        <f t="shared" si="39"/>
        <v>0</v>
      </c>
      <c r="P299" s="19">
        <f t="shared" si="39"/>
        <v>0</v>
      </c>
      <c r="Q299" s="19">
        <f t="shared" si="39"/>
        <v>0</v>
      </c>
    </row>
    <row r="300" spans="1:17" ht="18" x14ac:dyDescent="0.25">
      <c r="A300" s="17" t="s">
        <v>149</v>
      </c>
      <c r="B300" s="17" t="s">
        <v>52</v>
      </c>
      <c r="C300" s="17" t="s">
        <v>150</v>
      </c>
      <c r="D300" s="17" t="s">
        <v>358</v>
      </c>
      <c r="E300" s="26">
        <f>AVERAGE(F300:Q300)</f>
        <v>0</v>
      </c>
      <c r="F300" s="26">
        <f t="shared" ref="F300:Q300" si="40">F301*$E$20*0.89</f>
        <v>0</v>
      </c>
      <c r="G300" s="26">
        <f t="shared" si="40"/>
        <v>0</v>
      </c>
      <c r="H300" s="26">
        <f t="shared" si="40"/>
        <v>0</v>
      </c>
      <c r="I300" s="26">
        <f t="shared" si="40"/>
        <v>0</v>
      </c>
      <c r="J300" s="26">
        <f t="shared" si="40"/>
        <v>0</v>
      </c>
      <c r="K300" s="26">
        <f t="shared" si="40"/>
        <v>0</v>
      </c>
      <c r="L300" s="26">
        <f t="shared" si="40"/>
        <v>0</v>
      </c>
      <c r="M300" s="26">
        <f t="shared" si="40"/>
        <v>0</v>
      </c>
      <c r="N300" s="26">
        <f t="shared" si="40"/>
        <v>0</v>
      </c>
      <c r="O300" s="26">
        <f t="shared" si="40"/>
        <v>0</v>
      </c>
      <c r="P300" s="26">
        <f t="shared" si="40"/>
        <v>0</v>
      </c>
      <c r="Q300" s="26">
        <f t="shared" si="40"/>
        <v>0</v>
      </c>
    </row>
    <row r="301" spans="1:17" ht="31.2" x14ac:dyDescent="0.25">
      <c r="A301" s="17" t="s">
        <v>151</v>
      </c>
      <c r="B301" s="17" t="s">
        <v>52</v>
      </c>
      <c r="C301" s="17" t="s">
        <v>61</v>
      </c>
      <c r="D301" s="17" t="s">
        <v>359</v>
      </c>
      <c r="E301" s="25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5">
        <v>0</v>
      </c>
      <c r="Q301" s="25">
        <v>0</v>
      </c>
    </row>
    <row r="302" spans="1:17" ht="31.2" x14ac:dyDescent="0.25">
      <c r="A302" s="17" t="s">
        <v>152</v>
      </c>
      <c r="B302" s="17" t="s">
        <v>216</v>
      </c>
      <c r="C302" s="17" t="s">
        <v>153</v>
      </c>
      <c r="D302" s="17" t="s">
        <v>360</v>
      </c>
      <c r="E302" s="148">
        <f>(F303*F308+G303*G308+H303*H308+I303*I308+J303*J308+K303*K308+L303*L308+M303*M308+N303*N308+O303*O308+P303*P308+Q303*Q308)/(F295*F296*F287+G296*G295*G287+H295*H296*H287+I296*I295*I287+J296*J295*J287+K296*K295*K287+L296*L295*L287+M296*M295*M287+N296*N295*N287+O295*O296*O287+P296*P295*P287+Q296*Q295*Q287)</f>
        <v>0.62975691143558576</v>
      </c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</row>
    <row r="303" spans="1:17" ht="31.2" x14ac:dyDescent="0.25">
      <c r="A303" s="17" t="s">
        <v>154</v>
      </c>
      <c r="B303" s="17" t="s">
        <v>52</v>
      </c>
      <c r="C303" s="17" t="s">
        <v>155</v>
      </c>
      <c r="D303" s="17" t="s">
        <v>347</v>
      </c>
      <c r="E303" s="27">
        <f>AVERAGE(F303:Q303)</f>
        <v>0.62806589860815809</v>
      </c>
      <c r="F303" s="27">
        <f>IF(F307&lt;283,0,IF(F307&gt;303,1,EXP(($E$22*(F307-$E$23))/($E$24*$E$23*F307))))</f>
        <v>0.26921004737855481</v>
      </c>
      <c r="G303" s="27">
        <f t="shared" ref="G303:Q303" si="41">IF(G307&lt;283,0,IF(G307&gt;303,1,EXP(($E$22*(G307-$E$23))/($E$24*$E$23*G307))))</f>
        <v>0.29505266129807517</v>
      </c>
      <c r="H303" s="27">
        <f t="shared" si="41"/>
        <v>0.38698063689870399</v>
      </c>
      <c r="I303" s="27">
        <f t="shared" si="41"/>
        <v>0.55084569341606926</v>
      </c>
      <c r="J303" s="27">
        <f t="shared" si="41"/>
        <v>0.71341857634681827</v>
      </c>
      <c r="K303" s="27">
        <f t="shared" si="41"/>
        <v>0.91923925774048054</v>
      </c>
      <c r="L303" s="27">
        <f t="shared" si="41"/>
        <v>1</v>
      </c>
      <c r="M303" s="27">
        <f t="shared" si="41"/>
        <v>1</v>
      </c>
      <c r="N303" s="27">
        <f t="shared" si="41"/>
        <v>0.91923925774048054</v>
      </c>
      <c r="O303" s="27">
        <f t="shared" si="41"/>
        <v>0.65487347206548807</v>
      </c>
      <c r="P303" s="27">
        <f t="shared" si="41"/>
        <v>0.50475941545474445</v>
      </c>
      <c r="Q303" s="27">
        <f t="shared" si="41"/>
        <v>0.32317176495848171</v>
      </c>
    </row>
    <row r="304" spans="1:17" x14ac:dyDescent="0.25">
      <c r="A304" s="17" t="s">
        <v>66</v>
      </c>
      <c r="B304" s="17" t="s">
        <v>67</v>
      </c>
      <c r="C304" s="17" t="s">
        <v>68</v>
      </c>
      <c r="D304" s="17" t="s">
        <v>361</v>
      </c>
      <c r="E304" s="130">
        <v>15175</v>
      </c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</row>
    <row r="305" spans="1:17" ht="18" x14ac:dyDescent="0.25">
      <c r="A305" s="17" t="s">
        <v>156</v>
      </c>
      <c r="B305" s="17" t="s">
        <v>70</v>
      </c>
      <c r="C305" s="17" t="s">
        <v>71</v>
      </c>
      <c r="D305" s="17" t="s">
        <v>361</v>
      </c>
      <c r="E305" s="130">
        <v>303.16000000000003</v>
      </c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</row>
    <row r="306" spans="1:17" x14ac:dyDescent="0.25">
      <c r="A306" s="17" t="s">
        <v>72</v>
      </c>
      <c r="B306" s="17" t="s">
        <v>73</v>
      </c>
      <c r="C306" s="17" t="s">
        <v>74</v>
      </c>
      <c r="D306" s="17" t="s">
        <v>361</v>
      </c>
      <c r="E306" s="130">
        <v>1.9870000000000001</v>
      </c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</row>
    <row r="307" spans="1:17" ht="31.2" x14ac:dyDescent="0.25">
      <c r="A307" s="17" t="s">
        <v>157</v>
      </c>
      <c r="B307" s="17" t="s">
        <v>70</v>
      </c>
      <c r="C307" s="17" t="s">
        <v>158</v>
      </c>
      <c r="D307" s="17" t="s">
        <v>278</v>
      </c>
      <c r="E307" s="28">
        <f>AVERAGE(F307:Q307)</f>
        <v>296.56666666666672</v>
      </c>
      <c r="F307" s="25">
        <v>288.14999999999998</v>
      </c>
      <c r="G307" s="25">
        <v>289.14999999999998</v>
      </c>
      <c r="H307" s="25">
        <v>292.14999999999998</v>
      </c>
      <c r="I307" s="25">
        <v>296.14999999999998</v>
      </c>
      <c r="J307" s="25">
        <v>299.14999999999998</v>
      </c>
      <c r="K307" s="25">
        <v>302.14999999999998</v>
      </c>
      <c r="L307" s="25">
        <v>303.14999999999998</v>
      </c>
      <c r="M307" s="25">
        <v>303.14999999999998</v>
      </c>
      <c r="N307" s="25">
        <v>302.14999999999998</v>
      </c>
      <c r="O307" s="25">
        <v>298.14999999999998</v>
      </c>
      <c r="P307" s="25">
        <v>295.14999999999998</v>
      </c>
      <c r="Q307" s="25">
        <v>290.14999999999998</v>
      </c>
    </row>
    <row r="308" spans="1:17" ht="46.8" x14ac:dyDescent="0.25">
      <c r="A308" s="17" t="s">
        <v>159</v>
      </c>
      <c r="B308" s="17" t="s">
        <v>38</v>
      </c>
      <c r="C308" s="17" t="s">
        <v>160</v>
      </c>
      <c r="D308" s="17" t="s">
        <v>362</v>
      </c>
      <c r="E308" s="29">
        <f>SUM(F308:Q308)</f>
        <v>144.54</v>
      </c>
      <c r="F308" s="29">
        <f>F292*F296*'Project Emissions'!F287+(1-F303)*0</f>
        <v>12.276</v>
      </c>
      <c r="G308" s="29">
        <f>G292*G296*'Project Emissions'!G287+(1-G303)*0</f>
        <v>11.088000000000001</v>
      </c>
      <c r="H308" s="29">
        <f>H292*H296*'Project Emissions'!H287+(1-H303)*0</f>
        <v>12.276</v>
      </c>
      <c r="I308" s="29">
        <f>I292*I296*'Project Emissions'!I287+(1-I303)*0</f>
        <v>11.88</v>
      </c>
      <c r="J308" s="29">
        <f>J292*J296*'Project Emissions'!J287+(1-J303)*0</f>
        <v>12.276</v>
      </c>
      <c r="K308" s="29">
        <f>K292*K296*'Project Emissions'!K287+(1-K303)*0</f>
        <v>11.88</v>
      </c>
      <c r="L308" s="29">
        <f>L292*L296*'Project Emissions'!L287+(1-L303)*0</f>
        <v>12.276</v>
      </c>
      <c r="M308" s="29">
        <f>M292*M296*'Project Emissions'!M287+(1-M303)*0</f>
        <v>12.276</v>
      </c>
      <c r="N308" s="29">
        <f>N292*N296*'Project Emissions'!N287+(1-N303)*0</f>
        <v>11.88</v>
      </c>
      <c r="O308" s="29">
        <f>O292*O296*'Project Emissions'!O287+(1-O303)*0</f>
        <v>12.276</v>
      </c>
      <c r="P308" s="29">
        <f>P292*P296*'Project Emissions'!P287+(1-P303)*0</f>
        <v>11.88</v>
      </c>
      <c r="Q308" s="29">
        <f>Q292*Q296*'Project Emissions'!Q287+(1-Q303)*0</f>
        <v>12.276</v>
      </c>
    </row>
    <row r="309" spans="1:17" x14ac:dyDescent="0.3">
      <c r="A309" s="30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</row>
    <row r="310" spans="1:17" x14ac:dyDescent="0.25">
      <c r="A310" s="134" t="s">
        <v>161</v>
      </c>
      <c r="B310" s="134"/>
      <c r="C310" s="135"/>
      <c r="D310" s="135"/>
      <c r="E310" s="155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</row>
    <row r="311" spans="1:17" x14ac:dyDescent="0.25">
      <c r="A311" s="33" t="s">
        <v>9</v>
      </c>
      <c r="B311" s="33" t="s">
        <v>10</v>
      </c>
      <c r="C311" s="34" t="s">
        <v>11</v>
      </c>
      <c r="D311" s="34" t="s">
        <v>12</v>
      </c>
      <c r="E311" s="16" t="s">
        <v>80</v>
      </c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</row>
    <row r="312" spans="1:17" ht="46.8" x14ac:dyDescent="0.25">
      <c r="A312" s="15" t="s">
        <v>162</v>
      </c>
      <c r="B312" s="17" t="s">
        <v>110</v>
      </c>
      <c r="C312" s="35" t="s">
        <v>163</v>
      </c>
      <c r="D312" s="35" t="s">
        <v>83</v>
      </c>
      <c r="E312" s="16">
        <v>0</v>
      </c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</row>
    <row r="313" spans="1:17" x14ac:dyDescent="0.25">
      <c r="A313" s="36"/>
      <c r="B313" s="36"/>
      <c r="C313" s="37"/>
      <c r="D313" s="37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</row>
    <row r="314" spans="1:17" x14ac:dyDescent="0.25">
      <c r="A314" s="134" t="s">
        <v>164</v>
      </c>
      <c r="B314" s="134"/>
      <c r="C314" s="135"/>
      <c r="D314" s="135"/>
      <c r="E314" s="155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</row>
    <row r="315" spans="1:17" x14ac:dyDescent="0.25">
      <c r="A315" s="33" t="s">
        <v>9</v>
      </c>
      <c r="B315" s="33" t="s">
        <v>10</v>
      </c>
      <c r="C315" s="34" t="s">
        <v>11</v>
      </c>
      <c r="D315" s="34" t="s">
        <v>12</v>
      </c>
      <c r="E315" s="16" t="s">
        <v>80</v>
      </c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</row>
    <row r="316" spans="1:17" ht="46.8" x14ac:dyDescent="0.25">
      <c r="A316" s="15" t="s">
        <v>165</v>
      </c>
      <c r="B316" s="17" t="s">
        <v>110</v>
      </c>
      <c r="C316" s="35" t="s">
        <v>166</v>
      </c>
      <c r="D316" s="35" t="s">
        <v>83</v>
      </c>
      <c r="E316" s="16">
        <v>0</v>
      </c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</row>
    <row r="317" spans="1:17" x14ac:dyDescent="0.25"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</row>
    <row r="318" spans="1:17" x14ac:dyDescent="0.25">
      <c r="A318" s="134" t="s">
        <v>167</v>
      </c>
      <c r="B318" s="134"/>
      <c r="C318" s="135"/>
      <c r="D318" s="135"/>
      <c r="E318" s="155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</row>
    <row r="319" spans="1:17" s="10" customFormat="1" x14ac:dyDescent="0.25">
      <c r="A319" s="15" t="s">
        <v>9</v>
      </c>
      <c r="B319" s="15" t="s">
        <v>10</v>
      </c>
      <c r="C319" s="38" t="s">
        <v>11</v>
      </c>
      <c r="D319" s="38" t="s">
        <v>12</v>
      </c>
      <c r="E319" s="16" t="s">
        <v>80</v>
      </c>
      <c r="F319" s="32"/>
      <c r="G319" s="32"/>
      <c r="H319" s="39"/>
      <c r="I319" s="39"/>
      <c r="J319" s="39"/>
      <c r="K319" s="39"/>
      <c r="L319" s="39"/>
      <c r="M319" s="39"/>
      <c r="N319" s="39"/>
      <c r="O319" s="39"/>
      <c r="P319" s="39"/>
      <c r="Q319" s="39"/>
    </row>
    <row r="320" spans="1:17" s="10" customFormat="1" ht="18" x14ac:dyDescent="0.4">
      <c r="A320" s="40" t="s">
        <v>168</v>
      </c>
      <c r="B320" s="17" t="s">
        <v>118</v>
      </c>
      <c r="C320" s="35" t="s">
        <v>169</v>
      </c>
      <c r="D320" s="35" t="s">
        <v>170</v>
      </c>
      <c r="E320" s="41">
        <f>E321*E323*(1+E322)</f>
        <v>599.55556560000002</v>
      </c>
      <c r="F320" s="32"/>
      <c r="G320" s="32"/>
      <c r="H320" s="39"/>
      <c r="I320" s="39"/>
      <c r="J320" s="39"/>
      <c r="K320" s="39"/>
      <c r="L320" s="39"/>
      <c r="M320" s="39"/>
      <c r="N320" s="39"/>
      <c r="O320" s="39"/>
      <c r="P320" s="39"/>
      <c r="Q320" s="39"/>
    </row>
    <row r="321" spans="1:19" ht="31.2" x14ac:dyDescent="0.25">
      <c r="A321" s="17" t="s">
        <v>171</v>
      </c>
      <c r="B321" s="17" t="s">
        <v>172</v>
      </c>
      <c r="C321" s="35" t="s">
        <v>173</v>
      </c>
      <c r="D321" s="35" t="s">
        <v>40</v>
      </c>
      <c r="E321" s="20">
        <v>981.88</v>
      </c>
      <c r="G321" s="42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9"/>
      <c r="S321" s="9"/>
    </row>
    <row r="322" spans="1:19" ht="31.2" x14ac:dyDescent="0.25">
      <c r="A322" s="17" t="s">
        <v>174</v>
      </c>
      <c r="B322" s="17" t="s">
        <v>175</v>
      </c>
      <c r="C322" s="35" t="s">
        <v>176</v>
      </c>
      <c r="D322" s="35" t="s">
        <v>177</v>
      </c>
      <c r="E322" s="44">
        <v>0.2</v>
      </c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9"/>
      <c r="S322" s="9"/>
    </row>
    <row r="323" spans="1:19" ht="46.8" x14ac:dyDescent="0.25">
      <c r="A323" s="17" t="s">
        <v>178</v>
      </c>
      <c r="B323" s="17" t="s">
        <v>179</v>
      </c>
      <c r="C323" s="35" t="s">
        <v>180</v>
      </c>
      <c r="D323" s="35" t="s">
        <v>181</v>
      </c>
      <c r="E323" s="45">
        <f>0.5*0.8042+0.5*0.2135</f>
        <v>0.50885000000000002</v>
      </c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</row>
    <row r="324" spans="1:19" ht="31.2" x14ac:dyDescent="0.4">
      <c r="A324" s="40" t="s">
        <v>182</v>
      </c>
      <c r="B324" s="17" t="s">
        <v>118</v>
      </c>
      <c r="C324" s="35" t="s">
        <v>183</v>
      </c>
      <c r="D324" s="35" t="s">
        <v>184</v>
      </c>
      <c r="E324" s="47">
        <v>0</v>
      </c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9"/>
      <c r="S324" s="9"/>
    </row>
    <row r="325" spans="1:19" x14ac:dyDescent="0.3">
      <c r="A325" s="48"/>
      <c r="E325" s="49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9"/>
      <c r="S325" s="9"/>
    </row>
    <row r="326" spans="1:19" x14ac:dyDescent="0.25">
      <c r="A326" s="134" t="s">
        <v>185</v>
      </c>
      <c r="B326" s="134"/>
      <c r="C326" s="135"/>
      <c r="D326" s="135"/>
      <c r="E326" s="155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</row>
    <row r="327" spans="1:19" x14ac:dyDescent="0.25">
      <c r="A327" s="15" t="s">
        <v>9</v>
      </c>
      <c r="B327" s="15" t="s">
        <v>10</v>
      </c>
      <c r="C327" s="38" t="s">
        <v>11</v>
      </c>
      <c r="D327" s="38" t="s">
        <v>12</v>
      </c>
      <c r="E327" s="16" t="s">
        <v>80</v>
      </c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9"/>
      <c r="S327" s="9"/>
    </row>
    <row r="328" spans="1:19" ht="33.6" x14ac:dyDescent="0.4">
      <c r="A328" s="40" t="s">
        <v>186</v>
      </c>
      <c r="B328" s="17" t="s">
        <v>89</v>
      </c>
      <c r="C328" s="35" t="s">
        <v>187</v>
      </c>
      <c r="D328" s="35" t="s">
        <v>363</v>
      </c>
      <c r="E328" s="50">
        <f>E329*E332*E333*E334*E335*E336</f>
        <v>6.26073181639509</v>
      </c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9"/>
      <c r="S328" s="9"/>
    </row>
    <row r="329" spans="1:19" ht="46.8" x14ac:dyDescent="0.4">
      <c r="A329" s="51" t="s">
        <v>188</v>
      </c>
      <c r="B329" s="17" t="s">
        <v>91</v>
      </c>
      <c r="C329" s="35" t="s">
        <v>189</v>
      </c>
      <c r="D329" s="35" t="s">
        <v>364</v>
      </c>
      <c r="E329" s="52">
        <f>E330/E331</f>
        <v>225.57</v>
      </c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9"/>
      <c r="S329" s="9"/>
    </row>
    <row r="330" spans="1:19" ht="31.2" x14ac:dyDescent="0.25">
      <c r="A330" s="17" t="s">
        <v>190</v>
      </c>
      <c r="B330" s="17" t="s">
        <v>93</v>
      </c>
      <c r="C330" s="35" t="s">
        <v>191</v>
      </c>
      <c r="D330" s="35" t="s">
        <v>40</v>
      </c>
      <c r="E330" s="52">
        <f>3.09*365</f>
        <v>1127.8499999999999</v>
      </c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9"/>
      <c r="S330" s="9"/>
    </row>
    <row r="331" spans="1:19" ht="31.2" x14ac:dyDescent="0.25">
      <c r="A331" s="17" t="s">
        <v>192</v>
      </c>
      <c r="B331" s="17" t="s">
        <v>95</v>
      </c>
      <c r="C331" s="35" t="s">
        <v>96</v>
      </c>
      <c r="D331" s="35" t="s">
        <v>40</v>
      </c>
      <c r="E331" s="25">
        <f>5</f>
        <v>5</v>
      </c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9"/>
      <c r="S331" s="9"/>
    </row>
    <row r="332" spans="1:19" ht="46.8" x14ac:dyDescent="0.25">
      <c r="A332" s="17" t="s">
        <v>193</v>
      </c>
      <c r="B332" s="17" t="s">
        <v>97</v>
      </c>
      <c r="C332" s="35" t="s">
        <v>194</v>
      </c>
      <c r="D332" s="35" t="s">
        <v>40</v>
      </c>
      <c r="E332" s="25">
        <f>20.5*2</f>
        <v>41</v>
      </c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9"/>
      <c r="S332" s="9"/>
    </row>
    <row r="333" spans="1:19" ht="141" x14ac:dyDescent="0.25">
      <c r="A333" s="17" t="s">
        <v>195</v>
      </c>
      <c r="B333" s="17" t="s">
        <v>99</v>
      </c>
      <c r="C333" s="35" t="s">
        <v>100</v>
      </c>
      <c r="D333" s="35" t="s">
        <v>330</v>
      </c>
      <c r="E333" s="25">
        <f>25.1/100</f>
        <v>0.251</v>
      </c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9"/>
      <c r="S333" s="9"/>
    </row>
    <row r="334" spans="1:19" ht="62.4" x14ac:dyDescent="0.25">
      <c r="A334" s="17" t="s">
        <v>101</v>
      </c>
      <c r="B334" s="17" t="s">
        <v>102</v>
      </c>
      <c r="C334" s="35" t="s">
        <v>101</v>
      </c>
      <c r="D334" s="35" t="s">
        <v>231</v>
      </c>
      <c r="E334" s="25">
        <f>0.84/1000</f>
        <v>8.3999999999999993E-4</v>
      </c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9"/>
      <c r="S334" s="9"/>
    </row>
    <row r="335" spans="1:19" ht="124.8" x14ac:dyDescent="0.25">
      <c r="A335" s="17" t="s">
        <v>196</v>
      </c>
      <c r="B335" s="17" t="s">
        <v>103</v>
      </c>
      <c r="C335" s="35" t="s">
        <v>104</v>
      </c>
      <c r="D335" s="35" t="s">
        <v>331</v>
      </c>
      <c r="E335" s="25">
        <f>43.33/1000</f>
        <v>4.333E-2</v>
      </c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9"/>
      <c r="S335" s="9"/>
    </row>
    <row r="336" spans="1:19" ht="33.6" x14ac:dyDescent="0.25">
      <c r="A336" s="17" t="s">
        <v>197</v>
      </c>
      <c r="B336" s="17" t="s">
        <v>105</v>
      </c>
      <c r="C336" s="35" t="s">
        <v>106</v>
      </c>
      <c r="D336" s="35" t="s">
        <v>107</v>
      </c>
      <c r="E336" s="25">
        <v>74.099999999999994</v>
      </c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9"/>
      <c r="S336" s="9"/>
    </row>
    <row r="338" spans="1:19" x14ac:dyDescent="0.25">
      <c r="A338" s="33" t="s">
        <v>9</v>
      </c>
      <c r="B338" s="33" t="s">
        <v>10</v>
      </c>
      <c r="C338" s="34" t="s">
        <v>11</v>
      </c>
      <c r="D338" s="34" t="s">
        <v>12</v>
      </c>
      <c r="E338" s="16" t="s">
        <v>80</v>
      </c>
    </row>
    <row r="339" spans="1:19" ht="18" x14ac:dyDescent="0.25">
      <c r="A339" s="15" t="s">
        <v>198</v>
      </c>
      <c r="B339" s="17" t="s">
        <v>118</v>
      </c>
      <c r="C339" s="35" t="s">
        <v>199</v>
      </c>
      <c r="D339" s="53" t="s">
        <v>365</v>
      </c>
      <c r="E339" s="18">
        <f>ROUNDUP(E288+E312+E316+E320+E328,0)</f>
        <v>606</v>
      </c>
    </row>
    <row r="340" spans="1:19" s="158" customFormat="1" ht="43.2" customHeight="1" x14ac:dyDescent="0.25">
      <c r="A340" s="158" t="s">
        <v>249</v>
      </c>
    </row>
    <row r="341" spans="1:19" ht="23.4" customHeight="1" x14ac:dyDescent="0.25">
      <c r="A341" s="153" t="s">
        <v>120</v>
      </c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4"/>
    </row>
    <row r="342" spans="1:19" s="10" customFormat="1" x14ac:dyDescent="0.25">
      <c r="A342" s="15" t="s">
        <v>9</v>
      </c>
      <c r="B342" s="15" t="s">
        <v>10</v>
      </c>
      <c r="C342" s="15" t="s">
        <v>11</v>
      </c>
      <c r="D342" s="15" t="s">
        <v>12</v>
      </c>
      <c r="E342" s="16" t="s">
        <v>13</v>
      </c>
      <c r="F342" s="16" t="s">
        <v>14</v>
      </c>
      <c r="G342" s="16" t="s">
        <v>15</v>
      </c>
      <c r="H342" s="16" t="s">
        <v>16</v>
      </c>
      <c r="I342" s="16" t="s">
        <v>17</v>
      </c>
      <c r="J342" s="16" t="s">
        <v>18</v>
      </c>
      <c r="K342" s="16" t="s">
        <v>19</v>
      </c>
      <c r="L342" s="16" t="s">
        <v>20</v>
      </c>
      <c r="M342" s="16" t="s">
        <v>21</v>
      </c>
      <c r="N342" s="16" t="s">
        <v>22</v>
      </c>
      <c r="O342" s="16" t="s">
        <v>23</v>
      </c>
      <c r="P342" s="16" t="s">
        <v>24</v>
      </c>
      <c r="Q342" s="16" t="s">
        <v>25</v>
      </c>
      <c r="R342" s="54"/>
      <c r="S342" s="54"/>
    </row>
    <row r="343" spans="1:19" s="10" customFormat="1" x14ac:dyDescent="0.25">
      <c r="A343" s="146" t="s">
        <v>121</v>
      </c>
      <c r="B343" s="146"/>
      <c r="C343" s="146"/>
      <c r="D343" s="146"/>
      <c r="E343" s="147"/>
      <c r="F343" s="16">
        <v>31</v>
      </c>
      <c r="G343" s="16">
        <v>28</v>
      </c>
      <c r="H343" s="16">
        <v>31</v>
      </c>
      <c r="I343" s="16">
        <v>30</v>
      </c>
      <c r="J343" s="16">
        <v>31</v>
      </c>
      <c r="K343" s="16">
        <v>30</v>
      </c>
      <c r="L343" s="16">
        <v>31</v>
      </c>
      <c r="M343" s="16">
        <v>31</v>
      </c>
      <c r="N343" s="16">
        <v>30</v>
      </c>
      <c r="O343" s="16">
        <v>31</v>
      </c>
      <c r="P343" s="16">
        <v>30</v>
      </c>
      <c r="Q343" s="16">
        <v>31</v>
      </c>
      <c r="R343" s="54"/>
      <c r="S343" s="54"/>
    </row>
    <row r="344" spans="1:19" s="10" customFormat="1" ht="31.2" x14ac:dyDescent="0.25">
      <c r="A344" s="15" t="s">
        <v>122</v>
      </c>
      <c r="B344" s="17" t="s">
        <v>118</v>
      </c>
      <c r="C344" s="17" t="s">
        <v>123</v>
      </c>
      <c r="D344" s="17" t="s">
        <v>353</v>
      </c>
      <c r="E344" s="18">
        <f>E345+E355</f>
        <v>0</v>
      </c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54"/>
      <c r="S344" s="54"/>
    </row>
    <row r="345" spans="1:19" ht="46.8" x14ac:dyDescent="0.25">
      <c r="A345" s="17" t="s">
        <v>124</v>
      </c>
      <c r="B345" s="17" t="s">
        <v>118</v>
      </c>
      <c r="C345" s="17" t="s">
        <v>125</v>
      </c>
      <c r="D345" s="17" t="s">
        <v>354</v>
      </c>
      <c r="E345" s="19">
        <f>SUM(F345:Q345)</f>
        <v>0</v>
      </c>
      <c r="F345" s="19">
        <f>IF(F346&gt;=0.8,0,$E$15*$E$16*0.4*(F347-F350)*F343)</f>
        <v>0</v>
      </c>
      <c r="G345" s="19">
        <f t="shared" ref="G345:Q345" si="42">IF(G346&gt;=0.8,0,$E$15*$E$16*0.4*(G347-G350)*G343)</f>
        <v>0</v>
      </c>
      <c r="H345" s="19">
        <f t="shared" si="42"/>
        <v>0</v>
      </c>
      <c r="I345" s="19">
        <f t="shared" si="42"/>
        <v>0</v>
      </c>
      <c r="J345" s="19">
        <f t="shared" si="42"/>
        <v>0</v>
      </c>
      <c r="K345" s="19">
        <f t="shared" si="42"/>
        <v>0</v>
      </c>
      <c r="L345" s="19">
        <f t="shared" si="42"/>
        <v>0</v>
      </c>
      <c r="M345" s="19">
        <f t="shared" si="42"/>
        <v>0</v>
      </c>
      <c r="N345" s="19">
        <f t="shared" si="42"/>
        <v>0</v>
      </c>
      <c r="O345" s="19">
        <f t="shared" si="42"/>
        <v>0</v>
      </c>
      <c r="P345" s="19">
        <f t="shared" si="42"/>
        <v>0</v>
      </c>
      <c r="Q345" s="19">
        <f t="shared" si="42"/>
        <v>0</v>
      </c>
    </row>
    <row r="346" spans="1:19" ht="62.4" x14ac:dyDescent="0.25">
      <c r="A346" s="17" t="s">
        <v>126</v>
      </c>
      <c r="B346" s="17" t="s">
        <v>52</v>
      </c>
      <c r="C346" s="17" t="s">
        <v>127</v>
      </c>
      <c r="D346" s="17" t="s">
        <v>355</v>
      </c>
      <c r="E346" s="20">
        <f>AVERAGE(F346:Q346)</f>
        <v>0.90000000000000024</v>
      </c>
      <c r="F346" s="20">
        <f>(F347-F350)/F347</f>
        <v>0.89999999999999991</v>
      </c>
      <c r="G346" s="20">
        <f t="shared" ref="G346:Q346" si="43">(G347-G350)/G347</f>
        <v>0.89999999999999991</v>
      </c>
      <c r="H346" s="20">
        <f t="shared" si="43"/>
        <v>0.89999999999999991</v>
      </c>
      <c r="I346" s="20">
        <f t="shared" si="43"/>
        <v>0.89999999999999991</v>
      </c>
      <c r="J346" s="20">
        <f t="shared" si="43"/>
        <v>0.89999999999999991</v>
      </c>
      <c r="K346" s="20">
        <f t="shared" si="43"/>
        <v>0.89999999999999991</v>
      </c>
      <c r="L346" s="20">
        <f t="shared" si="43"/>
        <v>0.89999999999999991</v>
      </c>
      <c r="M346" s="20">
        <f t="shared" si="43"/>
        <v>0.89999999999999991</v>
      </c>
      <c r="N346" s="20">
        <f t="shared" si="43"/>
        <v>0.89999999999999991</v>
      </c>
      <c r="O346" s="20">
        <f t="shared" si="43"/>
        <v>0.89999999999999991</v>
      </c>
      <c r="P346" s="20">
        <f t="shared" si="43"/>
        <v>0.89999999999999991</v>
      </c>
      <c r="Q346" s="20">
        <f t="shared" si="43"/>
        <v>0.89999999999999991</v>
      </c>
    </row>
    <row r="347" spans="1:19" ht="46.8" x14ac:dyDescent="0.25">
      <c r="A347" s="17" t="s">
        <v>128</v>
      </c>
      <c r="B347" s="17" t="s">
        <v>38</v>
      </c>
      <c r="C347" s="17" t="s">
        <v>129</v>
      </c>
      <c r="D347" s="17" t="s">
        <v>356</v>
      </c>
      <c r="E347" s="20">
        <f>SUM(F347:Q347)</f>
        <v>59.52</v>
      </c>
      <c r="F347" s="20">
        <f>F348*F349</f>
        <v>4.96</v>
      </c>
      <c r="G347" s="20">
        <f t="shared" ref="G347:Q347" si="44">G348*G349</f>
        <v>4.96</v>
      </c>
      <c r="H347" s="20">
        <f t="shared" si="44"/>
        <v>4.96</v>
      </c>
      <c r="I347" s="20">
        <f t="shared" si="44"/>
        <v>4.96</v>
      </c>
      <c r="J347" s="20">
        <f t="shared" si="44"/>
        <v>4.96</v>
      </c>
      <c r="K347" s="20">
        <f t="shared" si="44"/>
        <v>4.96</v>
      </c>
      <c r="L347" s="20">
        <f t="shared" si="44"/>
        <v>4.96</v>
      </c>
      <c r="M347" s="20">
        <f t="shared" si="44"/>
        <v>4.96</v>
      </c>
      <c r="N347" s="20">
        <f t="shared" si="44"/>
        <v>4.96</v>
      </c>
      <c r="O347" s="20">
        <f t="shared" si="44"/>
        <v>4.96</v>
      </c>
      <c r="P347" s="20">
        <f t="shared" si="44"/>
        <v>4.96</v>
      </c>
      <c r="Q347" s="20">
        <f t="shared" si="44"/>
        <v>4.96</v>
      </c>
    </row>
    <row r="348" spans="1:19" ht="51" customHeight="1" x14ac:dyDescent="0.25">
      <c r="A348" s="17" t="s">
        <v>130</v>
      </c>
      <c r="B348" s="17" t="s">
        <v>131</v>
      </c>
      <c r="C348" s="17" t="s">
        <v>132</v>
      </c>
      <c r="D348" s="17" t="s">
        <v>40</v>
      </c>
      <c r="E348" s="21">
        <f>SUM(F348:Q348)</f>
        <v>148800</v>
      </c>
      <c r="F348" s="21">
        <v>12400</v>
      </c>
      <c r="G348" s="21">
        <v>12400</v>
      </c>
      <c r="H348" s="21">
        <v>12400</v>
      </c>
      <c r="I348" s="21">
        <v>12400</v>
      </c>
      <c r="J348" s="21">
        <v>12400</v>
      </c>
      <c r="K348" s="21">
        <v>12400</v>
      </c>
      <c r="L348" s="21">
        <v>12400</v>
      </c>
      <c r="M348" s="21">
        <v>12400</v>
      </c>
      <c r="N348" s="21">
        <v>12400</v>
      </c>
      <c r="O348" s="21">
        <v>12400</v>
      </c>
      <c r="P348" s="21">
        <v>12400</v>
      </c>
      <c r="Q348" s="21">
        <v>12400</v>
      </c>
    </row>
    <row r="349" spans="1:19" ht="46.8" x14ac:dyDescent="0.25">
      <c r="A349" s="17" t="s">
        <v>133</v>
      </c>
      <c r="B349" s="17" t="s">
        <v>134</v>
      </c>
      <c r="C349" s="17" t="s">
        <v>135</v>
      </c>
      <c r="D349" s="17" t="s">
        <v>40</v>
      </c>
      <c r="E349" s="22">
        <f>AVERAGE(F349:Q349)</f>
        <v>4.0000000000000013E-4</v>
      </c>
      <c r="F349" s="23">
        <f>'Baseline Emissions'!F341</f>
        <v>4.0000000000000002E-4</v>
      </c>
      <c r="G349" s="23">
        <f>'Baseline Emissions'!G341</f>
        <v>4.0000000000000002E-4</v>
      </c>
      <c r="H349" s="23">
        <f>'Baseline Emissions'!H341</f>
        <v>4.0000000000000002E-4</v>
      </c>
      <c r="I349" s="23">
        <f>'Baseline Emissions'!I341</f>
        <v>4.0000000000000002E-4</v>
      </c>
      <c r="J349" s="23">
        <f>'Baseline Emissions'!J341</f>
        <v>4.0000000000000002E-4</v>
      </c>
      <c r="K349" s="23">
        <f>'Baseline Emissions'!K341</f>
        <v>4.0000000000000002E-4</v>
      </c>
      <c r="L349" s="23">
        <f>'Baseline Emissions'!L341</f>
        <v>4.0000000000000002E-4</v>
      </c>
      <c r="M349" s="23">
        <f>'Baseline Emissions'!M341</f>
        <v>4.0000000000000002E-4</v>
      </c>
      <c r="N349" s="23">
        <f>'Baseline Emissions'!N341</f>
        <v>4.0000000000000002E-4</v>
      </c>
      <c r="O349" s="23">
        <f>'Baseline Emissions'!O341</f>
        <v>4.0000000000000002E-4</v>
      </c>
      <c r="P349" s="23">
        <f>'Baseline Emissions'!P341</f>
        <v>4.0000000000000002E-4</v>
      </c>
      <c r="Q349" s="23">
        <f>'Baseline Emissions'!Q341</f>
        <v>4.0000000000000002E-4</v>
      </c>
    </row>
    <row r="350" spans="1:19" ht="46.8" x14ac:dyDescent="0.25">
      <c r="A350" s="17" t="s">
        <v>136</v>
      </c>
      <c r="B350" s="17" t="s">
        <v>38</v>
      </c>
      <c r="C350" s="17" t="s">
        <v>137</v>
      </c>
      <c r="D350" s="17" t="s">
        <v>356</v>
      </c>
      <c r="E350" s="20">
        <f>SUM(F350:Q350)</f>
        <v>5.9520000000000017</v>
      </c>
      <c r="F350" s="20">
        <f>SUM(F351*F352)</f>
        <v>0.49600000000000005</v>
      </c>
      <c r="G350" s="20">
        <f t="shared" ref="G350:Q350" si="45">SUM(G351*G352)</f>
        <v>0.49600000000000005</v>
      </c>
      <c r="H350" s="20">
        <f t="shared" si="45"/>
        <v>0.49600000000000005</v>
      </c>
      <c r="I350" s="20">
        <f t="shared" si="45"/>
        <v>0.49600000000000005</v>
      </c>
      <c r="J350" s="20">
        <f t="shared" si="45"/>
        <v>0.49600000000000005</v>
      </c>
      <c r="K350" s="20">
        <f t="shared" si="45"/>
        <v>0.49600000000000005</v>
      </c>
      <c r="L350" s="20">
        <f t="shared" si="45"/>
        <v>0.49600000000000005</v>
      </c>
      <c r="M350" s="20">
        <f t="shared" si="45"/>
        <v>0.49600000000000005</v>
      </c>
      <c r="N350" s="20">
        <f t="shared" si="45"/>
        <v>0.49600000000000005</v>
      </c>
      <c r="O350" s="20">
        <f t="shared" si="45"/>
        <v>0.49600000000000005</v>
      </c>
      <c r="P350" s="20">
        <f t="shared" si="45"/>
        <v>0.49600000000000005</v>
      </c>
      <c r="Q350" s="20">
        <f t="shared" si="45"/>
        <v>0.49600000000000005</v>
      </c>
    </row>
    <row r="351" spans="1:19" ht="31.2" x14ac:dyDescent="0.25">
      <c r="A351" s="17" t="s">
        <v>138</v>
      </c>
      <c r="B351" s="17" t="s">
        <v>131</v>
      </c>
      <c r="C351" s="17" t="s">
        <v>139</v>
      </c>
      <c r="D351" s="17" t="s">
        <v>40</v>
      </c>
      <c r="E351" s="21">
        <f>SUM(F351:Q351)</f>
        <v>148800</v>
      </c>
      <c r="F351" s="21">
        <v>12400</v>
      </c>
      <c r="G351" s="21">
        <v>12400</v>
      </c>
      <c r="H351" s="21">
        <v>12400</v>
      </c>
      <c r="I351" s="21">
        <v>12400</v>
      </c>
      <c r="J351" s="21">
        <v>12400</v>
      </c>
      <c r="K351" s="21">
        <v>12400</v>
      </c>
      <c r="L351" s="21">
        <v>12400</v>
      </c>
      <c r="M351" s="21">
        <v>12400</v>
      </c>
      <c r="N351" s="21">
        <v>12400</v>
      </c>
      <c r="O351" s="21">
        <v>12400</v>
      </c>
      <c r="P351" s="21">
        <v>12400</v>
      </c>
      <c r="Q351" s="21">
        <v>12400</v>
      </c>
    </row>
    <row r="352" spans="1:19" ht="46.8" x14ac:dyDescent="0.25">
      <c r="A352" s="17" t="s">
        <v>140</v>
      </c>
      <c r="B352" s="17" t="s">
        <v>134</v>
      </c>
      <c r="C352" s="17" t="s">
        <v>141</v>
      </c>
      <c r="D352" s="17" t="s">
        <v>40</v>
      </c>
      <c r="E352" s="24">
        <f>AVERAGE(F352:Q352)</f>
        <v>4.0000000000000003E-5</v>
      </c>
      <c r="F352" s="24">
        <f>'Baseline Emissions'!F342</f>
        <v>4.0000000000000003E-5</v>
      </c>
      <c r="G352" s="24">
        <f>'Baseline Emissions'!G342</f>
        <v>4.0000000000000003E-5</v>
      </c>
      <c r="H352" s="24">
        <f>'Baseline Emissions'!H342</f>
        <v>4.0000000000000003E-5</v>
      </c>
      <c r="I352" s="24">
        <f>'Baseline Emissions'!I342</f>
        <v>4.0000000000000003E-5</v>
      </c>
      <c r="J352" s="24">
        <f>'Baseline Emissions'!J342</f>
        <v>4.0000000000000003E-5</v>
      </c>
      <c r="K352" s="24">
        <f>'Baseline Emissions'!K342</f>
        <v>4.0000000000000003E-5</v>
      </c>
      <c r="L352" s="24">
        <f>'Baseline Emissions'!L342</f>
        <v>4.0000000000000003E-5</v>
      </c>
      <c r="M352" s="24">
        <f>'Baseline Emissions'!M342</f>
        <v>4.0000000000000003E-5</v>
      </c>
      <c r="N352" s="24">
        <f>'Baseline Emissions'!N342</f>
        <v>4.0000000000000003E-5</v>
      </c>
      <c r="O352" s="24">
        <f>'Baseline Emissions'!O342</f>
        <v>4.0000000000000003E-5</v>
      </c>
      <c r="P352" s="24">
        <f>'Baseline Emissions'!P342</f>
        <v>4.0000000000000003E-5</v>
      </c>
      <c r="Q352" s="24">
        <f>'Baseline Emissions'!Q342</f>
        <v>4.0000000000000003E-5</v>
      </c>
    </row>
    <row r="353" spans="1:17" ht="31.2" x14ac:dyDescent="0.25">
      <c r="A353" s="17" t="s">
        <v>142</v>
      </c>
      <c r="B353" s="17" t="s">
        <v>143</v>
      </c>
      <c r="C353" s="17" t="s">
        <v>31</v>
      </c>
      <c r="D353" s="17" t="s">
        <v>144</v>
      </c>
      <c r="E353" s="130">
        <v>28</v>
      </c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</row>
    <row r="354" spans="1:17" ht="64.8" x14ac:dyDescent="0.25">
      <c r="A354" s="17" t="s">
        <v>145</v>
      </c>
      <c r="B354" s="17" t="s">
        <v>33</v>
      </c>
      <c r="C354" s="17" t="s">
        <v>146</v>
      </c>
      <c r="D354" s="17" t="s">
        <v>373</v>
      </c>
      <c r="E354" s="130">
        <v>0.21</v>
      </c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</row>
    <row r="355" spans="1:17" ht="46.8" x14ac:dyDescent="0.25">
      <c r="A355" s="17" t="s">
        <v>147</v>
      </c>
      <c r="B355" s="17" t="s">
        <v>118</v>
      </c>
      <c r="C355" s="17" t="s">
        <v>148</v>
      </c>
      <c r="D355" s="17" t="s">
        <v>357</v>
      </c>
      <c r="E355" s="19">
        <f>SUM(F355:Q355)</f>
        <v>0</v>
      </c>
      <c r="F355" s="19">
        <f>$E$15*$E$16*F356*F350*F343</f>
        <v>0</v>
      </c>
      <c r="G355" s="19">
        <f t="shared" ref="G355:Q355" si="46">$E$15*$E$16*G356*G350*G343</f>
        <v>0</v>
      </c>
      <c r="H355" s="19">
        <f t="shared" si="46"/>
        <v>0</v>
      </c>
      <c r="I355" s="19">
        <f t="shared" si="46"/>
        <v>0</v>
      </c>
      <c r="J355" s="19">
        <f t="shared" si="46"/>
        <v>0</v>
      </c>
      <c r="K355" s="19">
        <f t="shared" si="46"/>
        <v>0</v>
      </c>
      <c r="L355" s="19">
        <f t="shared" si="46"/>
        <v>0</v>
      </c>
      <c r="M355" s="19">
        <f t="shared" si="46"/>
        <v>0</v>
      </c>
      <c r="N355" s="19">
        <f t="shared" si="46"/>
        <v>0</v>
      </c>
      <c r="O355" s="19">
        <f t="shared" si="46"/>
        <v>0</v>
      </c>
      <c r="P355" s="19">
        <f t="shared" si="46"/>
        <v>0</v>
      </c>
      <c r="Q355" s="19">
        <f t="shared" si="46"/>
        <v>0</v>
      </c>
    </row>
    <row r="356" spans="1:17" ht="18" x14ac:dyDescent="0.25">
      <c r="A356" s="17" t="s">
        <v>149</v>
      </c>
      <c r="B356" s="17" t="s">
        <v>52</v>
      </c>
      <c r="C356" s="17" t="s">
        <v>150</v>
      </c>
      <c r="D356" s="17" t="s">
        <v>358</v>
      </c>
      <c r="E356" s="26">
        <f>AVERAGE(F356:Q356)</f>
        <v>0</v>
      </c>
      <c r="F356" s="26">
        <f t="shared" ref="F356:Q356" si="47">F357*$E$20*0.89</f>
        <v>0</v>
      </c>
      <c r="G356" s="26">
        <f t="shared" si="47"/>
        <v>0</v>
      </c>
      <c r="H356" s="26">
        <f t="shared" si="47"/>
        <v>0</v>
      </c>
      <c r="I356" s="26">
        <f t="shared" si="47"/>
        <v>0</v>
      </c>
      <c r="J356" s="26">
        <f t="shared" si="47"/>
        <v>0</v>
      </c>
      <c r="K356" s="26">
        <f t="shared" si="47"/>
        <v>0</v>
      </c>
      <c r="L356" s="26">
        <f t="shared" si="47"/>
        <v>0</v>
      </c>
      <c r="M356" s="26">
        <f t="shared" si="47"/>
        <v>0</v>
      </c>
      <c r="N356" s="26">
        <f t="shared" si="47"/>
        <v>0</v>
      </c>
      <c r="O356" s="26">
        <f t="shared" si="47"/>
        <v>0</v>
      </c>
      <c r="P356" s="26">
        <f t="shared" si="47"/>
        <v>0</v>
      </c>
      <c r="Q356" s="26">
        <f t="shared" si="47"/>
        <v>0</v>
      </c>
    </row>
    <row r="357" spans="1:17" ht="31.2" x14ac:dyDescent="0.25">
      <c r="A357" s="17" t="s">
        <v>151</v>
      </c>
      <c r="B357" s="17" t="s">
        <v>52</v>
      </c>
      <c r="C357" s="17" t="s">
        <v>61</v>
      </c>
      <c r="D357" s="17" t="s">
        <v>359</v>
      </c>
      <c r="E357" s="25">
        <v>0</v>
      </c>
      <c r="F357" s="25">
        <v>0</v>
      </c>
      <c r="G357" s="25">
        <v>0</v>
      </c>
      <c r="H357" s="25">
        <v>0</v>
      </c>
      <c r="I357" s="25">
        <v>0</v>
      </c>
      <c r="J357" s="25">
        <v>0</v>
      </c>
      <c r="K357" s="25">
        <v>0</v>
      </c>
      <c r="L357" s="25">
        <v>0</v>
      </c>
      <c r="M357" s="25">
        <v>0</v>
      </c>
      <c r="N357" s="25">
        <v>0</v>
      </c>
      <c r="O357" s="25">
        <v>0</v>
      </c>
      <c r="P357" s="25">
        <v>0</v>
      </c>
      <c r="Q357" s="25">
        <v>0</v>
      </c>
    </row>
    <row r="358" spans="1:17" ht="31.2" x14ac:dyDescent="0.25">
      <c r="A358" s="17" t="s">
        <v>152</v>
      </c>
      <c r="B358" s="17" t="s">
        <v>216</v>
      </c>
      <c r="C358" s="17" t="s">
        <v>153</v>
      </c>
      <c r="D358" s="17" t="s">
        <v>360</v>
      </c>
      <c r="E358" s="148">
        <f>(F359*F364+G359*G364+H359*H364+I359*I364+J359*J364+K359*K364+L359*L364+M359*M364+N359*N364+O359*O364+P359*P364+Q359*Q364)/(F351*F352*F343+G352*G351*G343+H351*H352*H343+I352*I351*I343+J352*J351*J343+K352*K351*K343+L352*L351*L343+M352*M351*M343+N352*N351*N343+O351*O352*O343+P352*P351*P343+Q352*Q351*Q343)</f>
        <v>0.62975691143558576</v>
      </c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</row>
    <row r="359" spans="1:17" ht="31.2" x14ac:dyDescent="0.25">
      <c r="A359" s="17" t="s">
        <v>154</v>
      </c>
      <c r="B359" s="17" t="s">
        <v>52</v>
      </c>
      <c r="C359" s="17" t="s">
        <v>155</v>
      </c>
      <c r="D359" s="17" t="s">
        <v>347</v>
      </c>
      <c r="E359" s="27">
        <f>AVERAGE(F359:Q359)</f>
        <v>0.62806589860815809</v>
      </c>
      <c r="F359" s="27">
        <f>IF(F363&lt;283,0,IF(F363&gt;303,1,EXP(($E$22*(F363-$E$23))/($E$24*$E$23*F363))))</f>
        <v>0.26921004737855481</v>
      </c>
      <c r="G359" s="27">
        <f t="shared" ref="G359:Q359" si="48">IF(G363&lt;283,0,IF(G363&gt;303,1,EXP(($E$22*(G363-$E$23))/($E$24*$E$23*G363))))</f>
        <v>0.29505266129807517</v>
      </c>
      <c r="H359" s="27">
        <f t="shared" si="48"/>
        <v>0.38698063689870399</v>
      </c>
      <c r="I359" s="27">
        <f t="shared" si="48"/>
        <v>0.55084569341606926</v>
      </c>
      <c r="J359" s="27">
        <f t="shared" si="48"/>
        <v>0.71341857634681827</v>
      </c>
      <c r="K359" s="27">
        <f t="shared" si="48"/>
        <v>0.91923925774048054</v>
      </c>
      <c r="L359" s="27">
        <f t="shared" si="48"/>
        <v>1</v>
      </c>
      <c r="M359" s="27">
        <f t="shared" si="48"/>
        <v>1</v>
      </c>
      <c r="N359" s="27">
        <f t="shared" si="48"/>
        <v>0.91923925774048054</v>
      </c>
      <c r="O359" s="27">
        <f t="shared" si="48"/>
        <v>0.65487347206548807</v>
      </c>
      <c r="P359" s="27">
        <f t="shared" si="48"/>
        <v>0.50475941545474445</v>
      </c>
      <c r="Q359" s="27">
        <f t="shared" si="48"/>
        <v>0.32317176495848171</v>
      </c>
    </row>
    <row r="360" spans="1:17" x14ac:dyDescent="0.25">
      <c r="A360" s="17" t="s">
        <v>66</v>
      </c>
      <c r="B360" s="17" t="s">
        <v>67</v>
      </c>
      <c r="C360" s="17" t="s">
        <v>68</v>
      </c>
      <c r="D360" s="17" t="s">
        <v>361</v>
      </c>
      <c r="E360" s="130">
        <v>15175</v>
      </c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</row>
    <row r="361" spans="1:17" ht="18" x14ac:dyDescent="0.25">
      <c r="A361" s="17" t="s">
        <v>156</v>
      </c>
      <c r="B361" s="17" t="s">
        <v>70</v>
      </c>
      <c r="C361" s="17" t="s">
        <v>71</v>
      </c>
      <c r="D361" s="17" t="s">
        <v>361</v>
      </c>
      <c r="E361" s="130">
        <v>303.16000000000003</v>
      </c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</row>
    <row r="362" spans="1:17" x14ac:dyDescent="0.25">
      <c r="A362" s="17" t="s">
        <v>72</v>
      </c>
      <c r="B362" s="17" t="s">
        <v>73</v>
      </c>
      <c r="C362" s="17" t="s">
        <v>74</v>
      </c>
      <c r="D362" s="17" t="s">
        <v>361</v>
      </c>
      <c r="E362" s="130">
        <v>1.9870000000000001</v>
      </c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</row>
    <row r="363" spans="1:17" ht="31.2" x14ac:dyDescent="0.25">
      <c r="A363" s="17" t="s">
        <v>157</v>
      </c>
      <c r="B363" s="17" t="s">
        <v>70</v>
      </c>
      <c r="C363" s="17" t="s">
        <v>158</v>
      </c>
      <c r="D363" s="17" t="s">
        <v>278</v>
      </c>
      <c r="E363" s="28">
        <f>AVERAGE(F363:Q363)</f>
        <v>296.56666666666672</v>
      </c>
      <c r="F363" s="25">
        <v>288.14999999999998</v>
      </c>
      <c r="G363" s="25">
        <v>289.14999999999998</v>
      </c>
      <c r="H363" s="25">
        <v>292.14999999999998</v>
      </c>
      <c r="I363" s="25">
        <v>296.14999999999998</v>
      </c>
      <c r="J363" s="25">
        <v>299.14999999999998</v>
      </c>
      <c r="K363" s="25">
        <v>302.14999999999998</v>
      </c>
      <c r="L363" s="25">
        <v>303.14999999999998</v>
      </c>
      <c r="M363" s="25">
        <v>303.14999999999998</v>
      </c>
      <c r="N363" s="25">
        <v>302.14999999999998</v>
      </c>
      <c r="O363" s="25">
        <v>298.14999999999998</v>
      </c>
      <c r="P363" s="25">
        <v>295.14999999999998</v>
      </c>
      <c r="Q363" s="25">
        <v>290.14999999999998</v>
      </c>
    </row>
    <row r="364" spans="1:17" ht="46.8" x14ac:dyDescent="0.25">
      <c r="A364" s="17" t="s">
        <v>159</v>
      </c>
      <c r="B364" s="17" t="s">
        <v>38</v>
      </c>
      <c r="C364" s="17" t="s">
        <v>160</v>
      </c>
      <c r="D364" s="17" t="s">
        <v>362</v>
      </c>
      <c r="E364" s="29">
        <f>SUM(F364:Q364)</f>
        <v>181.04000000000002</v>
      </c>
      <c r="F364" s="29">
        <f>F348*F352*'Project Emissions'!F343+(1-F359)*0</f>
        <v>15.376000000000001</v>
      </c>
      <c r="G364" s="29">
        <f>G348*G352*'Project Emissions'!G343+(1-G359)*0</f>
        <v>13.888000000000002</v>
      </c>
      <c r="H364" s="29">
        <f>H348*H352*'Project Emissions'!H343+(1-H359)*0</f>
        <v>15.376000000000001</v>
      </c>
      <c r="I364" s="29">
        <f>I348*I352*'Project Emissions'!I343+(1-I359)*0</f>
        <v>14.88</v>
      </c>
      <c r="J364" s="29">
        <f>J348*J352*'Project Emissions'!J343+(1-J359)*0</f>
        <v>15.376000000000001</v>
      </c>
      <c r="K364" s="29">
        <f>K348*K352*'Project Emissions'!K343+(1-K359)*0</f>
        <v>14.88</v>
      </c>
      <c r="L364" s="29">
        <f>L348*L352*'Project Emissions'!L343+(1-L359)*0</f>
        <v>15.376000000000001</v>
      </c>
      <c r="M364" s="29">
        <f>M348*M352*'Project Emissions'!M343+(1-M359)*0</f>
        <v>15.376000000000001</v>
      </c>
      <c r="N364" s="29">
        <f>N348*N352*'Project Emissions'!N343+(1-N359)*0</f>
        <v>14.88</v>
      </c>
      <c r="O364" s="29">
        <f>O348*O352*'Project Emissions'!O343+(1-O359)*0</f>
        <v>15.376000000000001</v>
      </c>
      <c r="P364" s="29">
        <f>P348*P352*'Project Emissions'!P343+(1-P359)*0</f>
        <v>14.88</v>
      </c>
      <c r="Q364" s="29">
        <f>Q348*Q352*'Project Emissions'!Q343+(1-Q359)*0</f>
        <v>15.376000000000001</v>
      </c>
    </row>
    <row r="365" spans="1:17" x14ac:dyDescent="0.3">
      <c r="A365" s="30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</row>
    <row r="366" spans="1:17" x14ac:dyDescent="0.25">
      <c r="A366" s="134" t="s">
        <v>161</v>
      </c>
      <c r="B366" s="134"/>
      <c r="C366" s="135"/>
      <c r="D366" s="135"/>
      <c r="E366" s="155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</row>
    <row r="367" spans="1:17" x14ac:dyDescent="0.25">
      <c r="A367" s="33" t="s">
        <v>9</v>
      </c>
      <c r="B367" s="33" t="s">
        <v>10</v>
      </c>
      <c r="C367" s="34" t="s">
        <v>11</v>
      </c>
      <c r="D367" s="34" t="s">
        <v>12</v>
      </c>
      <c r="E367" s="16" t="s">
        <v>80</v>
      </c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</row>
    <row r="368" spans="1:17" ht="46.8" x14ac:dyDescent="0.25">
      <c r="A368" s="15" t="s">
        <v>162</v>
      </c>
      <c r="B368" s="17" t="s">
        <v>110</v>
      </c>
      <c r="C368" s="35" t="s">
        <v>163</v>
      </c>
      <c r="D368" s="35" t="s">
        <v>83</v>
      </c>
      <c r="E368" s="16">
        <v>0</v>
      </c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</row>
    <row r="369" spans="1:19" x14ac:dyDescent="0.25">
      <c r="A369" s="36"/>
      <c r="B369" s="36"/>
      <c r="C369" s="37"/>
      <c r="D369" s="37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</row>
    <row r="370" spans="1:19" x14ac:dyDescent="0.25">
      <c r="A370" s="134" t="s">
        <v>164</v>
      </c>
      <c r="B370" s="134"/>
      <c r="C370" s="135"/>
      <c r="D370" s="135"/>
      <c r="E370" s="155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</row>
    <row r="371" spans="1:19" x14ac:dyDescent="0.25">
      <c r="A371" s="33" t="s">
        <v>9</v>
      </c>
      <c r="B371" s="33" t="s">
        <v>10</v>
      </c>
      <c r="C371" s="34" t="s">
        <v>11</v>
      </c>
      <c r="D371" s="34" t="s">
        <v>12</v>
      </c>
      <c r="E371" s="16" t="s">
        <v>80</v>
      </c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</row>
    <row r="372" spans="1:19" ht="46.8" x14ac:dyDescent="0.25">
      <c r="A372" s="15" t="s">
        <v>165</v>
      </c>
      <c r="B372" s="17" t="s">
        <v>110</v>
      </c>
      <c r="C372" s="35" t="s">
        <v>166</v>
      </c>
      <c r="D372" s="35" t="s">
        <v>83</v>
      </c>
      <c r="E372" s="16">
        <v>0</v>
      </c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</row>
    <row r="373" spans="1:19" x14ac:dyDescent="0.25"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</row>
    <row r="374" spans="1:19" x14ac:dyDescent="0.25">
      <c r="A374" s="134" t="s">
        <v>167</v>
      </c>
      <c r="B374" s="134"/>
      <c r="C374" s="135"/>
      <c r="D374" s="135"/>
      <c r="E374" s="155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</row>
    <row r="375" spans="1:19" s="10" customFormat="1" x14ac:dyDescent="0.25">
      <c r="A375" s="15" t="s">
        <v>9</v>
      </c>
      <c r="B375" s="15" t="s">
        <v>10</v>
      </c>
      <c r="C375" s="38" t="s">
        <v>11</v>
      </c>
      <c r="D375" s="38" t="s">
        <v>12</v>
      </c>
      <c r="E375" s="16" t="s">
        <v>80</v>
      </c>
      <c r="F375" s="32"/>
      <c r="G375" s="32"/>
      <c r="H375" s="39"/>
      <c r="I375" s="39"/>
      <c r="J375" s="39"/>
      <c r="K375" s="39"/>
      <c r="L375" s="39"/>
      <c r="M375" s="39"/>
      <c r="N375" s="39"/>
      <c r="O375" s="39"/>
      <c r="P375" s="39"/>
      <c r="Q375" s="39"/>
    </row>
    <row r="376" spans="1:19" s="10" customFormat="1" ht="18" x14ac:dyDescent="0.4">
      <c r="A376" s="40" t="s">
        <v>168</v>
      </c>
      <c r="B376" s="17" t="s">
        <v>118</v>
      </c>
      <c r="C376" s="35" t="s">
        <v>169</v>
      </c>
      <c r="D376" s="35" t="s">
        <v>170</v>
      </c>
      <c r="E376" s="41">
        <f>E377*E379*(1+E378)</f>
        <v>750.95268839999994</v>
      </c>
      <c r="F376" s="32"/>
      <c r="G376" s="32"/>
      <c r="H376" s="39"/>
      <c r="I376" s="39"/>
      <c r="J376" s="39"/>
      <c r="K376" s="39"/>
      <c r="L376" s="39"/>
      <c r="M376" s="39"/>
      <c r="N376" s="39"/>
      <c r="O376" s="39"/>
      <c r="P376" s="39"/>
      <c r="Q376" s="39"/>
    </row>
    <row r="377" spans="1:19" ht="31.2" x14ac:dyDescent="0.25">
      <c r="A377" s="17" t="s">
        <v>171</v>
      </c>
      <c r="B377" s="17" t="s">
        <v>172</v>
      </c>
      <c r="C377" s="35" t="s">
        <v>173</v>
      </c>
      <c r="D377" s="35" t="s">
        <v>40</v>
      </c>
      <c r="E377" s="20">
        <v>1229.82</v>
      </c>
      <c r="G377" s="42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9"/>
      <c r="S377" s="9"/>
    </row>
    <row r="378" spans="1:19" ht="31.2" x14ac:dyDescent="0.25">
      <c r="A378" s="17" t="s">
        <v>174</v>
      </c>
      <c r="B378" s="17" t="s">
        <v>175</v>
      </c>
      <c r="C378" s="35" t="s">
        <v>176</v>
      </c>
      <c r="D378" s="35" t="s">
        <v>177</v>
      </c>
      <c r="E378" s="44">
        <v>0.2</v>
      </c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9"/>
      <c r="S378" s="9"/>
    </row>
    <row r="379" spans="1:19" ht="46.8" x14ac:dyDescent="0.25">
      <c r="A379" s="17" t="s">
        <v>178</v>
      </c>
      <c r="B379" s="17" t="s">
        <v>179</v>
      </c>
      <c r="C379" s="35" t="s">
        <v>180</v>
      </c>
      <c r="D379" s="35" t="s">
        <v>181</v>
      </c>
      <c r="E379" s="45">
        <f>0.5*0.8042+0.5*0.2135</f>
        <v>0.50885000000000002</v>
      </c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</row>
    <row r="380" spans="1:19" ht="31.2" x14ac:dyDescent="0.4">
      <c r="A380" s="40" t="s">
        <v>182</v>
      </c>
      <c r="B380" s="17" t="s">
        <v>118</v>
      </c>
      <c r="C380" s="35" t="s">
        <v>183</v>
      </c>
      <c r="D380" s="35" t="s">
        <v>184</v>
      </c>
      <c r="E380" s="47">
        <v>0</v>
      </c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9"/>
      <c r="S380" s="9"/>
    </row>
    <row r="381" spans="1:19" x14ac:dyDescent="0.3">
      <c r="A381" s="48"/>
      <c r="E381" s="49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9"/>
      <c r="S381" s="9"/>
    </row>
    <row r="382" spans="1:19" x14ac:dyDescent="0.25">
      <c r="A382" s="134" t="s">
        <v>185</v>
      </c>
      <c r="B382" s="134"/>
      <c r="C382" s="135"/>
      <c r="D382" s="135"/>
      <c r="E382" s="155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</row>
    <row r="383" spans="1:19" x14ac:dyDescent="0.25">
      <c r="A383" s="15" t="s">
        <v>9</v>
      </c>
      <c r="B383" s="15" t="s">
        <v>10</v>
      </c>
      <c r="C383" s="38" t="s">
        <v>11</v>
      </c>
      <c r="D383" s="38" t="s">
        <v>12</v>
      </c>
      <c r="E383" s="16" t="s">
        <v>80</v>
      </c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9"/>
      <c r="S383" s="9"/>
    </row>
    <row r="384" spans="1:19" ht="33.6" x14ac:dyDescent="0.4">
      <c r="A384" s="40" t="s">
        <v>186</v>
      </c>
      <c r="B384" s="17" t="s">
        <v>89</v>
      </c>
      <c r="C384" s="35" t="s">
        <v>187</v>
      </c>
      <c r="D384" s="35" t="s">
        <v>363</v>
      </c>
      <c r="E384" s="50">
        <f>E385*E388*E389*E390*E391*E392</f>
        <v>11.780790742553149</v>
      </c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9"/>
      <c r="S384" s="9"/>
    </row>
    <row r="385" spans="1:19" ht="46.8" x14ac:dyDescent="0.4">
      <c r="A385" s="51" t="s">
        <v>188</v>
      </c>
      <c r="B385" s="17" t="s">
        <v>91</v>
      </c>
      <c r="C385" s="35" t="s">
        <v>189</v>
      </c>
      <c r="D385" s="35" t="s">
        <v>364</v>
      </c>
      <c r="E385" s="52">
        <f>E386/E387</f>
        <v>282.51</v>
      </c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9"/>
      <c r="S385" s="9"/>
    </row>
    <row r="386" spans="1:19" ht="31.2" x14ac:dyDescent="0.25">
      <c r="A386" s="17" t="s">
        <v>190</v>
      </c>
      <c r="B386" s="17" t="s">
        <v>93</v>
      </c>
      <c r="C386" s="35" t="s">
        <v>191</v>
      </c>
      <c r="D386" s="35" t="s">
        <v>40</v>
      </c>
      <c r="E386" s="52">
        <f>3.87*365</f>
        <v>1412.55</v>
      </c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9"/>
      <c r="S386" s="9"/>
    </row>
    <row r="387" spans="1:19" ht="31.2" x14ac:dyDescent="0.25">
      <c r="A387" s="17" t="s">
        <v>192</v>
      </c>
      <c r="B387" s="17" t="s">
        <v>95</v>
      </c>
      <c r="C387" s="35" t="s">
        <v>96</v>
      </c>
      <c r="D387" s="35" t="s">
        <v>40</v>
      </c>
      <c r="E387" s="25">
        <f>5</f>
        <v>5</v>
      </c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9"/>
      <c r="S387" s="9"/>
    </row>
    <row r="388" spans="1:19" ht="46.8" x14ac:dyDescent="0.25">
      <c r="A388" s="17" t="s">
        <v>193</v>
      </c>
      <c r="B388" s="17" t="s">
        <v>97</v>
      </c>
      <c r="C388" s="35" t="s">
        <v>194</v>
      </c>
      <c r="D388" s="35" t="s">
        <v>40</v>
      </c>
      <c r="E388" s="25">
        <f>30.8*2</f>
        <v>61.6</v>
      </c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9"/>
      <c r="S388" s="9"/>
    </row>
    <row r="389" spans="1:19" ht="141" x14ac:dyDescent="0.25">
      <c r="A389" s="17" t="s">
        <v>195</v>
      </c>
      <c r="B389" s="17" t="s">
        <v>99</v>
      </c>
      <c r="C389" s="35" t="s">
        <v>100</v>
      </c>
      <c r="D389" s="35" t="s">
        <v>330</v>
      </c>
      <c r="E389" s="25">
        <f>25.1/100</f>
        <v>0.251</v>
      </c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9"/>
      <c r="S389" s="9"/>
    </row>
    <row r="390" spans="1:19" ht="62.4" x14ac:dyDescent="0.25">
      <c r="A390" s="17" t="s">
        <v>101</v>
      </c>
      <c r="B390" s="17" t="s">
        <v>102</v>
      </c>
      <c r="C390" s="35" t="s">
        <v>101</v>
      </c>
      <c r="D390" s="35" t="s">
        <v>231</v>
      </c>
      <c r="E390" s="25">
        <f>0.84/1000</f>
        <v>8.3999999999999993E-4</v>
      </c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9"/>
      <c r="S390" s="9"/>
    </row>
    <row r="391" spans="1:19" ht="124.8" x14ac:dyDescent="0.25">
      <c r="A391" s="17" t="s">
        <v>196</v>
      </c>
      <c r="B391" s="17" t="s">
        <v>103</v>
      </c>
      <c r="C391" s="35" t="s">
        <v>104</v>
      </c>
      <c r="D391" s="35" t="s">
        <v>331</v>
      </c>
      <c r="E391" s="25">
        <f>43.33/1000</f>
        <v>4.333E-2</v>
      </c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9"/>
      <c r="S391" s="9"/>
    </row>
    <row r="392" spans="1:19" ht="33.6" x14ac:dyDescent="0.25">
      <c r="A392" s="17" t="s">
        <v>197</v>
      </c>
      <c r="B392" s="17" t="s">
        <v>105</v>
      </c>
      <c r="C392" s="35" t="s">
        <v>106</v>
      </c>
      <c r="D392" s="35" t="s">
        <v>107</v>
      </c>
      <c r="E392" s="25">
        <v>74.099999999999994</v>
      </c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9"/>
      <c r="S392" s="9"/>
    </row>
    <row r="394" spans="1:19" x14ac:dyDescent="0.25">
      <c r="A394" s="33" t="s">
        <v>9</v>
      </c>
      <c r="B394" s="33" t="s">
        <v>10</v>
      </c>
      <c r="C394" s="34" t="s">
        <v>11</v>
      </c>
      <c r="D394" s="34" t="s">
        <v>12</v>
      </c>
      <c r="E394" s="16" t="s">
        <v>80</v>
      </c>
    </row>
    <row r="395" spans="1:19" ht="18" x14ac:dyDescent="0.25">
      <c r="A395" s="15" t="s">
        <v>198</v>
      </c>
      <c r="B395" s="17" t="s">
        <v>118</v>
      </c>
      <c r="C395" s="35" t="s">
        <v>199</v>
      </c>
      <c r="D395" s="53" t="s">
        <v>365</v>
      </c>
      <c r="E395" s="18">
        <f>ROUNDUP(E344+E368+E372+E376+E384,0)</f>
        <v>763</v>
      </c>
    </row>
    <row r="396" spans="1:19" s="158" customFormat="1" ht="43.2" customHeight="1" x14ac:dyDescent="0.25">
      <c r="A396" s="158" t="s">
        <v>259</v>
      </c>
    </row>
    <row r="397" spans="1:19" ht="23.4" customHeight="1" x14ac:dyDescent="0.25">
      <c r="A397" s="153" t="s">
        <v>120</v>
      </c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4"/>
    </row>
    <row r="398" spans="1:19" s="10" customFormat="1" x14ac:dyDescent="0.25">
      <c r="A398" s="15" t="s">
        <v>9</v>
      </c>
      <c r="B398" s="15" t="s">
        <v>10</v>
      </c>
      <c r="C398" s="15" t="s">
        <v>11</v>
      </c>
      <c r="D398" s="15" t="s">
        <v>12</v>
      </c>
      <c r="E398" s="16" t="s">
        <v>13</v>
      </c>
      <c r="F398" s="16" t="s">
        <v>14</v>
      </c>
      <c r="G398" s="16" t="s">
        <v>15</v>
      </c>
      <c r="H398" s="16" t="s">
        <v>16</v>
      </c>
      <c r="I398" s="16" t="s">
        <v>17</v>
      </c>
      <c r="J398" s="16" t="s">
        <v>18</v>
      </c>
      <c r="K398" s="16" t="s">
        <v>19</v>
      </c>
      <c r="L398" s="16" t="s">
        <v>20</v>
      </c>
      <c r="M398" s="16" t="s">
        <v>21</v>
      </c>
      <c r="N398" s="16" t="s">
        <v>22</v>
      </c>
      <c r="O398" s="16" t="s">
        <v>23</v>
      </c>
      <c r="P398" s="16" t="s">
        <v>24</v>
      </c>
      <c r="Q398" s="16" t="s">
        <v>25</v>
      </c>
      <c r="R398" s="54"/>
      <c r="S398" s="54"/>
    </row>
    <row r="399" spans="1:19" s="10" customFormat="1" x14ac:dyDescent="0.25">
      <c r="A399" s="146" t="s">
        <v>121</v>
      </c>
      <c r="B399" s="146"/>
      <c r="C399" s="146"/>
      <c r="D399" s="146"/>
      <c r="E399" s="147"/>
      <c r="F399" s="16">
        <v>31</v>
      </c>
      <c r="G399" s="16">
        <v>28</v>
      </c>
      <c r="H399" s="16">
        <v>31</v>
      </c>
      <c r="I399" s="16">
        <v>30</v>
      </c>
      <c r="J399" s="16">
        <v>31</v>
      </c>
      <c r="K399" s="16">
        <v>30</v>
      </c>
      <c r="L399" s="16">
        <v>31</v>
      </c>
      <c r="M399" s="16">
        <v>31</v>
      </c>
      <c r="N399" s="16">
        <v>30</v>
      </c>
      <c r="O399" s="16">
        <v>31</v>
      </c>
      <c r="P399" s="16">
        <v>30</v>
      </c>
      <c r="Q399" s="16">
        <v>31</v>
      </c>
      <c r="R399" s="54"/>
      <c r="S399" s="54"/>
    </row>
    <row r="400" spans="1:19" s="10" customFormat="1" ht="31.2" x14ac:dyDescent="0.25">
      <c r="A400" s="15" t="s">
        <v>122</v>
      </c>
      <c r="B400" s="17" t="s">
        <v>118</v>
      </c>
      <c r="C400" s="17" t="s">
        <v>123</v>
      </c>
      <c r="D400" s="17" t="s">
        <v>353</v>
      </c>
      <c r="E400" s="18">
        <f>E401+E411</f>
        <v>0</v>
      </c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54"/>
      <c r="S400" s="54"/>
    </row>
    <row r="401" spans="1:17" ht="46.8" x14ac:dyDescent="0.25">
      <c r="A401" s="17" t="s">
        <v>124</v>
      </c>
      <c r="B401" s="17" t="s">
        <v>118</v>
      </c>
      <c r="C401" s="17" t="s">
        <v>125</v>
      </c>
      <c r="D401" s="17" t="s">
        <v>354</v>
      </c>
      <c r="E401" s="19">
        <f>SUM(F401:Q401)</f>
        <v>0</v>
      </c>
      <c r="F401" s="19">
        <f>IF(F402&gt;=0.8,0,$E$15*$E$16*0.4*(F403-F406)*F399)</f>
        <v>0</v>
      </c>
      <c r="G401" s="19">
        <f t="shared" ref="G401:Q401" si="49">IF(G402&gt;=0.8,0,$E$15*$E$16*0.4*(G403-G406)*G399)</f>
        <v>0</v>
      </c>
      <c r="H401" s="19">
        <f t="shared" si="49"/>
        <v>0</v>
      </c>
      <c r="I401" s="19">
        <f t="shared" si="49"/>
        <v>0</v>
      </c>
      <c r="J401" s="19">
        <f t="shared" si="49"/>
        <v>0</v>
      </c>
      <c r="K401" s="19">
        <f t="shared" si="49"/>
        <v>0</v>
      </c>
      <c r="L401" s="19">
        <f t="shared" si="49"/>
        <v>0</v>
      </c>
      <c r="M401" s="19">
        <f t="shared" si="49"/>
        <v>0</v>
      </c>
      <c r="N401" s="19">
        <f t="shared" si="49"/>
        <v>0</v>
      </c>
      <c r="O401" s="19">
        <f t="shared" si="49"/>
        <v>0</v>
      </c>
      <c r="P401" s="19">
        <f t="shared" si="49"/>
        <v>0</v>
      </c>
      <c r="Q401" s="19">
        <f t="shared" si="49"/>
        <v>0</v>
      </c>
    </row>
    <row r="402" spans="1:17" ht="62.4" x14ac:dyDescent="0.25">
      <c r="A402" s="17" t="s">
        <v>126</v>
      </c>
      <c r="B402" s="17" t="s">
        <v>52</v>
      </c>
      <c r="C402" s="17" t="s">
        <v>127</v>
      </c>
      <c r="D402" s="17" t="s">
        <v>355</v>
      </c>
      <c r="E402" s="20">
        <f>AVERAGE(F402:Q402)</f>
        <v>0.91111111111111132</v>
      </c>
      <c r="F402" s="20">
        <f>(F403-F406)/F403</f>
        <v>0.9111111111111112</v>
      </c>
      <c r="G402" s="20">
        <f t="shared" ref="G402:Q402" si="50">(G403-G406)/G403</f>
        <v>0.9111111111111112</v>
      </c>
      <c r="H402" s="20">
        <f t="shared" si="50"/>
        <v>0.9111111111111112</v>
      </c>
      <c r="I402" s="20">
        <f t="shared" si="50"/>
        <v>0.9111111111111112</v>
      </c>
      <c r="J402" s="20">
        <f t="shared" si="50"/>
        <v>0.9111111111111112</v>
      </c>
      <c r="K402" s="20">
        <f t="shared" si="50"/>
        <v>0.9111111111111112</v>
      </c>
      <c r="L402" s="20">
        <f t="shared" si="50"/>
        <v>0.9111111111111112</v>
      </c>
      <c r="M402" s="20">
        <f t="shared" si="50"/>
        <v>0.9111111111111112</v>
      </c>
      <c r="N402" s="20">
        <f t="shared" si="50"/>
        <v>0.9111111111111112</v>
      </c>
      <c r="O402" s="20">
        <f t="shared" si="50"/>
        <v>0.9111111111111112</v>
      </c>
      <c r="P402" s="20">
        <f t="shared" si="50"/>
        <v>0.9111111111111112</v>
      </c>
      <c r="Q402" s="20">
        <f t="shared" si="50"/>
        <v>0.9111111111111112</v>
      </c>
    </row>
    <row r="403" spans="1:17" ht="46.8" x14ac:dyDescent="0.25">
      <c r="A403" s="17" t="s">
        <v>128</v>
      </c>
      <c r="B403" s="17" t="s">
        <v>38</v>
      </c>
      <c r="C403" s="17" t="s">
        <v>129</v>
      </c>
      <c r="D403" s="17" t="s">
        <v>356</v>
      </c>
      <c r="E403" s="20">
        <f>SUM(F403:Q403)</f>
        <v>40.5</v>
      </c>
      <c r="F403" s="20">
        <f>F404*F405</f>
        <v>3.375</v>
      </c>
      <c r="G403" s="20">
        <f t="shared" ref="G403:Q403" si="51">G404*G405</f>
        <v>3.375</v>
      </c>
      <c r="H403" s="20">
        <f t="shared" si="51"/>
        <v>3.375</v>
      </c>
      <c r="I403" s="20">
        <f t="shared" si="51"/>
        <v>3.375</v>
      </c>
      <c r="J403" s="20">
        <f t="shared" si="51"/>
        <v>3.375</v>
      </c>
      <c r="K403" s="20">
        <f t="shared" si="51"/>
        <v>3.375</v>
      </c>
      <c r="L403" s="20">
        <f t="shared" si="51"/>
        <v>3.375</v>
      </c>
      <c r="M403" s="20">
        <f t="shared" si="51"/>
        <v>3.375</v>
      </c>
      <c r="N403" s="20">
        <f t="shared" si="51"/>
        <v>3.375</v>
      </c>
      <c r="O403" s="20">
        <f t="shared" si="51"/>
        <v>3.375</v>
      </c>
      <c r="P403" s="20">
        <f t="shared" si="51"/>
        <v>3.375</v>
      </c>
      <c r="Q403" s="20">
        <f t="shared" si="51"/>
        <v>3.375</v>
      </c>
    </row>
    <row r="404" spans="1:17" ht="51" customHeight="1" x14ac:dyDescent="0.25">
      <c r="A404" s="17" t="s">
        <v>130</v>
      </c>
      <c r="B404" s="17" t="s">
        <v>131</v>
      </c>
      <c r="C404" s="17" t="s">
        <v>132</v>
      </c>
      <c r="D404" s="17" t="s">
        <v>40</v>
      </c>
      <c r="E404" s="21">
        <f>SUM(F404:Q404)</f>
        <v>90000</v>
      </c>
      <c r="F404" s="21">
        <f>7500</f>
        <v>7500</v>
      </c>
      <c r="G404" s="21">
        <f>7500</f>
        <v>7500</v>
      </c>
      <c r="H404" s="21">
        <f>7500</f>
        <v>7500</v>
      </c>
      <c r="I404" s="21">
        <f>7500</f>
        <v>7500</v>
      </c>
      <c r="J404" s="21">
        <f>7500</f>
        <v>7500</v>
      </c>
      <c r="K404" s="21">
        <f>7500</f>
        <v>7500</v>
      </c>
      <c r="L404" s="21">
        <f>7500</f>
        <v>7500</v>
      </c>
      <c r="M404" s="21">
        <f>7500</f>
        <v>7500</v>
      </c>
      <c r="N404" s="21">
        <f>7500</f>
        <v>7500</v>
      </c>
      <c r="O404" s="21">
        <f>7500</f>
        <v>7500</v>
      </c>
      <c r="P404" s="21">
        <f>7500</f>
        <v>7500</v>
      </c>
      <c r="Q404" s="21">
        <f>7500</f>
        <v>7500</v>
      </c>
    </row>
    <row r="405" spans="1:17" ht="46.8" x14ac:dyDescent="0.25">
      <c r="A405" s="17" t="s">
        <v>133</v>
      </c>
      <c r="B405" s="17" t="s">
        <v>134</v>
      </c>
      <c r="C405" s="17" t="s">
        <v>135</v>
      </c>
      <c r="D405" s="17" t="s">
        <v>40</v>
      </c>
      <c r="E405" s="22">
        <f>AVERAGE(F405:Q405)</f>
        <v>4.4999999999999993E-4</v>
      </c>
      <c r="F405" s="23">
        <f>'Baseline Emissions'!F395</f>
        <v>4.4999999999999999E-4</v>
      </c>
      <c r="G405" s="23">
        <f>'Baseline Emissions'!G395</f>
        <v>4.4999999999999999E-4</v>
      </c>
      <c r="H405" s="23">
        <f>'Baseline Emissions'!H395</f>
        <v>4.4999999999999999E-4</v>
      </c>
      <c r="I405" s="23">
        <f>'Baseline Emissions'!I395</f>
        <v>4.4999999999999999E-4</v>
      </c>
      <c r="J405" s="23">
        <f>'Baseline Emissions'!J395</f>
        <v>4.4999999999999999E-4</v>
      </c>
      <c r="K405" s="23">
        <f>'Baseline Emissions'!K395</f>
        <v>4.4999999999999999E-4</v>
      </c>
      <c r="L405" s="23">
        <f>'Baseline Emissions'!L395</f>
        <v>4.4999999999999999E-4</v>
      </c>
      <c r="M405" s="23">
        <f>'Baseline Emissions'!M395</f>
        <v>4.4999999999999999E-4</v>
      </c>
      <c r="N405" s="23">
        <f>'Baseline Emissions'!N395</f>
        <v>4.4999999999999999E-4</v>
      </c>
      <c r="O405" s="23">
        <f>'Baseline Emissions'!O395</f>
        <v>4.4999999999999999E-4</v>
      </c>
      <c r="P405" s="23">
        <f>'Baseline Emissions'!P395</f>
        <v>4.4999999999999999E-4</v>
      </c>
      <c r="Q405" s="23">
        <f>'Baseline Emissions'!Q395</f>
        <v>4.4999999999999999E-4</v>
      </c>
    </row>
    <row r="406" spans="1:17" ht="46.8" x14ac:dyDescent="0.25">
      <c r="A406" s="17" t="s">
        <v>136</v>
      </c>
      <c r="B406" s="17" t="s">
        <v>38</v>
      </c>
      <c r="C406" s="17" t="s">
        <v>137</v>
      </c>
      <c r="D406" s="17" t="s">
        <v>356</v>
      </c>
      <c r="E406" s="20">
        <f>SUM(F406:Q406)</f>
        <v>3.5999999999999996</v>
      </c>
      <c r="F406" s="20">
        <f>SUM(F407*F408)</f>
        <v>0.30000000000000004</v>
      </c>
      <c r="G406" s="20">
        <f t="shared" ref="G406:Q406" si="52">SUM(G407*G408)</f>
        <v>0.30000000000000004</v>
      </c>
      <c r="H406" s="20">
        <f t="shared" si="52"/>
        <v>0.30000000000000004</v>
      </c>
      <c r="I406" s="20">
        <f t="shared" si="52"/>
        <v>0.30000000000000004</v>
      </c>
      <c r="J406" s="20">
        <f t="shared" si="52"/>
        <v>0.30000000000000004</v>
      </c>
      <c r="K406" s="20">
        <f t="shared" si="52"/>
        <v>0.30000000000000004</v>
      </c>
      <c r="L406" s="20">
        <f t="shared" si="52"/>
        <v>0.30000000000000004</v>
      </c>
      <c r="M406" s="20">
        <f t="shared" si="52"/>
        <v>0.30000000000000004</v>
      </c>
      <c r="N406" s="20">
        <f t="shared" si="52"/>
        <v>0.30000000000000004</v>
      </c>
      <c r="O406" s="20">
        <f t="shared" si="52"/>
        <v>0.30000000000000004</v>
      </c>
      <c r="P406" s="20">
        <f t="shared" si="52"/>
        <v>0.30000000000000004</v>
      </c>
      <c r="Q406" s="20">
        <f t="shared" si="52"/>
        <v>0.30000000000000004</v>
      </c>
    </row>
    <row r="407" spans="1:17" ht="31.2" x14ac:dyDescent="0.25">
      <c r="A407" s="17" t="s">
        <v>138</v>
      </c>
      <c r="B407" s="17" t="s">
        <v>131</v>
      </c>
      <c r="C407" s="17" t="s">
        <v>139</v>
      </c>
      <c r="D407" s="17" t="s">
        <v>40</v>
      </c>
      <c r="E407" s="21">
        <f>SUM(F407:Q407)</f>
        <v>90000</v>
      </c>
      <c r="F407" s="21">
        <f>7500</f>
        <v>7500</v>
      </c>
      <c r="G407" s="21">
        <f>7500</f>
        <v>7500</v>
      </c>
      <c r="H407" s="21">
        <f>7500</f>
        <v>7500</v>
      </c>
      <c r="I407" s="21">
        <f>7500</f>
        <v>7500</v>
      </c>
      <c r="J407" s="21">
        <f>7500</f>
        <v>7500</v>
      </c>
      <c r="K407" s="21">
        <f>7500</f>
        <v>7500</v>
      </c>
      <c r="L407" s="21">
        <f>7500</f>
        <v>7500</v>
      </c>
      <c r="M407" s="21">
        <f>7500</f>
        <v>7500</v>
      </c>
      <c r="N407" s="21">
        <f>7500</f>
        <v>7500</v>
      </c>
      <c r="O407" s="21">
        <f>7500</f>
        <v>7500</v>
      </c>
      <c r="P407" s="21">
        <f>7500</f>
        <v>7500</v>
      </c>
      <c r="Q407" s="21">
        <f>7500</f>
        <v>7500</v>
      </c>
    </row>
    <row r="408" spans="1:17" ht="46.8" x14ac:dyDescent="0.25">
      <c r="A408" s="17" t="s">
        <v>140</v>
      </c>
      <c r="B408" s="17" t="s">
        <v>134</v>
      </c>
      <c r="C408" s="17" t="s">
        <v>141</v>
      </c>
      <c r="D408" s="17" t="s">
        <v>40</v>
      </c>
      <c r="E408" s="24">
        <f>AVERAGE(F408:Q408)</f>
        <v>4.0000000000000003E-5</v>
      </c>
      <c r="F408" s="24">
        <f>'Baseline Emissions'!F396</f>
        <v>4.0000000000000003E-5</v>
      </c>
      <c r="G408" s="24">
        <f>'Baseline Emissions'!G396</f>
        <v>4.0000000000000003E-5</v>
      </c>
      <c r="H408" s="24">
        <f>'Baseline Emissions'!H396</f>
        <v>4.0000000000000003E-5</v>
      </c>
      <c r="I408" s="24">
        <f>'Baseline Emissions'!I396</f>
        <v>4.0000000000000003E-5</v>
      </c>
      <c r="J408" s="24">
        <f>'Baseline Emissions'!J396</f>
        <v>4.0000000000000003E-5</v>
      </c>
      <c r="K408" s="24">
        <f>'Baseline Emissions'!K396</f>
        <v>4.0000000000000003E-5</v>
      </c>
      <c r="L408" s="24">
        <f>'Baseline Emissions'!L396</f>
        <v>4.0000000000000003E-5</v>
      </c>
      <c r="M408" s="24">
        <f>'Baseline Emissions'!M396</f>
        <v>4.0000000000000003E-5</v>
      </c>
      <c r="N408" s="24">
        <f>'Baseline Emissions'!N396</f>
        <v>4.0000000000000003E-5</v>
      </c>
      <c r="O408" s="24">
        <f>'Baseline Emissions'!O396</f>
        <v>4.0000000000000003E-5</v>
      </c>
      <c r="P408" s="24">
        <f>'Baseline Emissions'!P396</f>
        <v>4.0000000000000003E-5</v>
      </c>
      <c r="Q408" s="24">
        <f>'Baseline Emissions'!Q396</f>
        <v>4.0000000000000003E-5</v>
      </c>
    </row>
    <row r="409" spans="1:17" ht="31.2" x14ac:dyDescent="0.25">
      <c r="A409" s="17" t="s">
        <v>142</v>
      </c>
      <c r="B409" s="17" t="s">
        <v>143</v>
      </c>
      <c r="C409" s="17" t="s">
        <v>31</v>
      </c>
      <c r="D409" s="17" t="s">
        <v>144</v>
      </c>
      <c r="E409" s="130">
        <v>28</v>
      </c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</row>
    <row r="410" spans="1:17" ht="64.8" x14ac:dyDescent="0.25">
      <c r="A410" s="17" t="s">
        <v>145</v>
      </c>
      <c r="B410" s="17" t="s">
        <v>33</v>
      </c>
      <c r="C410" s="17" t="s">
        <v>146</v>
      </c>
      <c r="D410" s="17" t="s">
        <v>373</v>
      </c>
      <c r="E410" s="130">
        <v>0.21</v>
      </c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</row>
    <row r="411" spans="1:17" ht="46.8" x14ac:dyDescent="0.25">
      <c r="A411" s="17" t="s">
        <v>147</v>
      </c>
      <c r="B411" s="17" t="s">
        <v>118</v>
      </c>
      <c r="C411" s="17" t="s">
        <v>148</v>
      </c>
      <c r="D411" s="17" t="s">
        <v>357</v>
      </c>
      <c r="E411" s="19">
        <f>SUM(F411:Q411)</f>
        <v>0</v>
      </c>
      <c r="F411" s="19">
        <f>$E$15*$E$16*F412*F406*F399</f>
        <v>0</v>
      </c>
      <c r="G411" s="19">
        <f t="shared" ref="G411:Q411" si="53">$E$15*$E$16*G412*G406*G399</f>
        <v>0</v>
      </c>
      <c r="H411" s="19">
        <f t="shared" si="53"/>
        <v>0</v>
      </c>
      <c r="I411" s="19">
        <f t="shared" si="53"/>
        <v>0</v>
      </c>
      <c r="J411" s="19">
        <f t="shared" si="53"/>
        <v>0</v>
      </c>
      <c r="K411" s="19">
        <f t="shared" si="53"/>
        <v>0</v>
      </c>
      <c r="L411" s="19">
        <f t="shared" si="53"/>
        <v>0</v>
      </c>
      <c r="M411" s="19">
        <f t="shared" si="53"/>
        <v>0</v>
      </c>
      <c r="N411" s="19">
        <f t="shared" si="53"/>
        <v>0</v>
      </c>
      <c r="O411" s="19">
        <f t="shared" si="53"/>
        <v>0</v>
      </c>
      <c r="P411" s="19">
        <f t="shared" si="53"/>
        <v>0</v>
      </c>
      <c r="Q411" s="19">
        <f t="shared" si="53"/>
        <v>0</v>
      </c>
    </row>
    <row r="412" spans="1:17" ht="18" x14ac:dyDescent="0.25">
      <c r="A412" s="17" t="s">
        <v>149</v>
      </c>
      <c r="B412" s="17" t="s">
        <v>52</v>
      </c>
      <c r="C412" s="17" t="s">
        <v>150</v>
      </c>
      <c r="D412" s="17" t="s">
        <v>358</v>
      </c>
      <c r="E412" s="26">
        <f>AVERAGE(F412:Q412)</f>
        <v>0</v>
      </c>
      <c r="F412" s="26">
        <f t="shared" ref="F412:Q412" si="54">F413*$E$20*0.89</f>
        <v>0</v>
      </c>
      <c r="G412" s="26">
        <f t="shared" si="54"/>
        <v>0</v>
      </c>
      <c r="H412" s="26">
        <f t="shared" si="54"/>
        <v>0</v>
      </c>
      <c r="I412" s="26">
        <f t="shared" si="54"/>
        <v>0</v>
      </c>
      <c r="J412" s="26">
        <f t="shared" si="54"/>
        <v>0</v>
      </c>
      <c r="K412" s="26">
        <f t="shared" si="54"/>
        <v>0</v>
      </c>
      <c r="L412" s="26">
        <f t="shared" si="54"/>
        <v>0</v>
      </c>
      <c r="M412" s="26">
        <f t="shared" si="54"/>
        <v>0</v>
      </c>
      <c r="N412" s="26">
        <f t="shared" si="54"/>
        <v>0</v>
      </c>
      <c r="O412" s="26">
        <f t="shared" si="54"/>
        <v>0</v>
      </c>
      <c r="P412" s="26">
        <f t="shared" si="54"/>
        <v>0</v>
      </c>
      <c r="Q412" s="26">
        <f t="shared" si="54"/>
        <v>0</v>
      </c>
    </row>
    <row r="413" spans="1:17" ht="31.2" x14ac:dyDescent="0.25">
      <c r="A413" s="17" t="s">
        <v>151</v>
      </c>
      <c r="B413" s="17" t="s">
        <v>52</v>
      </c>
      <c r="C413" s="17" t="s">
        <v>61</v>
      </c>
      <c r="D413" s="17" t="s">
        <v>359</v>
      </c>
      <c r="E413" s="25">
        <v>0</v>
      </c>
      <c r="F413" s="25">
        <v>0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>
        <v>0</v>
      </c>
      <c r="M413" s="25">
        <v>0</v>
      </c>
      <c r="N413" s="25">
        <v>0</v>
      </c>
      <c r="O413" s="25">
        <v>0</v>
      </c>
      <c r="P413" s="25">
        <v>0</v>
      </c>
      <c r="Q413" s="25">
        <v>0</v>
      </c>
    </row>
    <row r="414" spans="1:17" ht="31.2" x14ac:dyDescent="0.25">
      <c r="A414" s="17" t="s">
        <v>152</v>
      </c>
      <c r="B414" s="17" t="s">
        <v>216</v>
      </c>
      <c r="C414" s="17" t="s">
        <v>153</v>
      </c>
      <c r="D414" s="17" t="s">
        <v>360</v>
      </c>
      <c r="E414" s="148">
        <f>(F415*F420+G415*G420+H415*H420+I415*I420+J415*J420+K415*K420+L415*L420+M415*M420+N415*N420+O415*O420+P415*P420+Q415*Q420)/(F407*F408*F399+G408*G407*G399+H407*H408*H399+I408*I407*I399+J408*J407*J399+K408*K407*K399+L408*L407*L399+M408*M407*M399+N408*N407*N399+O407*O408*O399+P408*P407*P399+Q408*Q407*Q399)</f>
        <v>0.62975691143558576</v>
      </c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</row>
    <row r="415" spans="1:17" ht="31.2" x14ac:dyDescent="0.25">
      <c r="A415" s="17" t="s">
        <v>154</v>
      </c>
      <c r="B415" s="17" t="s">
        <v>52</v>
      </c>
      <c r="C415" s="17" t="s">
        <v>155</v>
      </c>
      <c r="D415" s="17" t="s">
        <v>347</v>
      </c>
      <c r="E415" s="27">
        <f>AVERAGE(F415:Q415)</f>
        <v>0.62806589860815809</v>
      </c>
      <c r="F415" s="27">
        <f>IF(F419&lt;283,0,IF(F419&gt;303,1,EXP(($E$22*(F419-$E$23))/($E$24*$E$23*F419))))</f>
        <v>0.26921004737855481</v>
      </c>
      <c r="G415" s="27">
        <f t="shared" ref="G415:Q415" si="55">IF(G419&lt;283,0,IF(G419&gt;303,1,EXP(($E$22*(G419-$E$23))/($E$24*$E$23*G419))))</f>
        <v>0.29505266129807517</v>
      </c>
      <c r="H415" s="27">
        <f t="shared" si="55"/>
        <v>0.38698063689870399</v>
      </c>
      <c r="I415" s="27">
        <f t="shared" si="55"/>
        <v>0.55084569341606926</v>
      </c>
      <c r="J415" s="27">
        <f t="shared" si="55"/>
        <v>0.71341857634681827</v>
      </c>
      <c r="K415" s="27">
        <f t="shared" si="55"/>
        <v>0.91923925774048054</v>
      </c>
      <c r="L415" s="27">
        <f t="shared" si="55"/>
        <v>1</v>
      </c>
      <c r="M415" s="27">
        <f t="shared" si="55"/>
        <v>1</v>
      </c>
      <c r="N415" s="27">
        <f t="shared" si="55"/>
        <v>0.91923925774048054</v>
      </c>
      <c r="O415" s="27">
        <f t="shared" si="55"/>
        <v>0.65487347206548807</v>
      </c>
      <c r="P415" s="27">
        <f t="shared" si="55"/>
        <v>0.50475941545474445</v>
      </c>
      <c r="Q415" s="27">
        <f t="shared" si="55"/>
        <v>0.32317176495848171</v>
      </c>
    </row>
    <row r="416" spans="1:17" x14ac:dyDescent="0.25">
      <c r="A416" s="17" t="s">
        <v>66</v>
      </c>
      <c r="B416" s="17" t="s">
        <v>67</v>
      </c>
      <c r="C416" s="17" t="s">
        <v>68</v>
      </c>
      <c r="D416" s="17" t="s">
        <v>361</v>
      </c>
      <c r="E416" s="130">
        <v>15175</v>
      </c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</row>
    <row r="417" spans="1:17" ht="18" x14ac:dyDescent="0.25">
      <c r="A417" s="17" t="s">
        <v>156</v>
      </c>
      <c r="B417" s="17" t="s">
        <v>70</v>
      </c>
      <c r="C417" s="17" t="s">
        <v>71</v>
      </c>
      <c r="D417" s="17" t="s">
        <v>361</v>
      </c>
      <c r="E417" s="130">
        <v>303.16000000000003</v>
      </c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</row>
    <row r="418" spans="1:17" x14ac:dyDescent="0.25">
      <c r="A418" s="17" t="s">
        <v>72</v>
      </c>
      <c r="B418" s="17" t="s">
        <v>73</v>
      </c>
      <c r="C418" s="17" t="s">
        <v>74</v>
      </c>
      <c r="D418" s="17" t="s">
        <v>361</v>
      </c>
      <c r="E418" s="130">
        <v>1.9870000000000001</v>
      </c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</row>
    <row r="419" spans="1:17" ht="31.2" x14ac:dyDescent="0.25">
      <c r="A419" s="17" t="s">
        <v>157</v>
      </c>
      <c r="B419" s="17" t="s">
        <v>70</v>
      </c>
      <c r="C419" s="17" t="s">
        <v>158</v>
      </c>
      <c r="D419" s="17" t="s">
        <v>278</v>
      </c>
      <c r="E419" s="28">
        <f>AVERAGE(F419:Q419)</f>
        <v>296.56666666666672</v>
      </c>
      <c r="F419" s="25">
        <v>288.14999999999998</v>
      </c>
      <c r="G419" s="25">
        <v>289.14999999999998</v>
      </c>
      <c r="H419" s="25">
        <v>292.14999999999998</v>
      </c>
      <c r="I419" s="25">
        <v>296.14999999999998</v>
      </c>
      <c r="J419" s="25">
        <v>299.14999999999998</v>
      </c>
      <c r="K419" s="25">
        <v>302.14999999999998</v>
      </c>
      <c r="L419" s="25">
        <v>303.14999999999998</v>
      </c>
      <c r="M419" s="25">
        <v>303.14999999999998</v>
      </c>
      <c r="N419" s="25">
        <v>302.14999999999998</v>
      </c>
      <c r="O419" s="25">
        <v>298.14999999999998</v>
      </c>
      <c r="P419" s="25">
        <v>295.14999999999998</v>
      </c>
      <c r="Q419" s="25">
        <v>290.14999999999998</v>
      </c>
    </row>
    <row r="420" spans="1:17" ht="46.8" x14ac:dyDescent="0.25">
      <c r="A420" s="17" t="s">
        <v>159</v>
      </c>
      <c r="B420" s="17" t="s">
        <v>38</v>
      </c>
      <c r="C420" s="17" t="s">
        <v>160</v>
      </c>
      <c r="D420" s="17" t="s">
        <v>362</v>
      </c>
      <c r="E420" s="29">
        <f>SUM(F420:Q420)</f>
        <v>109.5</v>
      </c>
      <c r="F420" s="29">
        <f>F404*F408*'Project Emissions'!F399+(1-F415)*0</f>
        <v>9.3000000000000007</v>
      </c>
      <c r="G420" s="29">
        <f>G404*G408*'Project Emissions'!G399+(1-G415)*0</f>
        <v>8.4000000000000021</v>
      </c>
      <c r="H420" s="29">
        <f>H404*H408*'Project Emissions'!H399+(1-H415)*0</f>
        <v>9.3000000000000007</v>
      </c>
      <c r="I420" s="29">
        <f>I404*I408*'Project Emissions'!I399+(1-I415)*0</f>
        <v>9.0000000000000018</v>
      </c>
      <c r="J420" s="29">
        <f>J404*J408*'Project Emissions'!J399+(1-J415)*0</f>
        <v>9.3000000000000007</v>
      </c>
      <c r="K420" s="29">
        <f>K404*K408*'Project Emissions'!K399+(1-K415)*0</f>
        <v>9.0000000000000018</v>
      </c>
      <c r="L420" s="29">
        <f>L404*L408*'Project Emissions'!L399+(1-L415)*0</f>
        <v>9.3000000000000007</v>
      </c>
      <c r="M420" s="29">
        <f>M404*M408*'Project Emissions'!M399+(1-M415)*0</f>
        <v>9.3000000000000007</v>
      </c>
      <c r="N420" s="29">
        <f>N404*N408*'Project Emissions'!N399+(1-N415)*0</f>
        <v>9.0000000000000018</v>
      </c>
      <c r="O420" s="29">
        <f>O404*O408*'Project Emissions'!O399+(1-O415)*0</f>
        <v>9.3000000000000007</v>
      </c>
      <c r="P420" s="29">
        <f>P404*P408*'Project Emissions'!P399+(1-P415)*0</f>
        <v>9.0000000000000018</v>
      </c>
      <c r="Q420" s="29">
        <f>Q404*Q408*'Project Emissions'!Q399+(1-Q415)*0</f>
        <v>9.3000000000000007</v>
      </c>
    </row>
    <row r="421" spans="1:17" x14ac:dyDescent="0.3">
      <c r="A421" s="30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</row>
    <row r="422" spans="1:17" x14ac:dyDescent="0.25">
      <c r="A422" s="134" t="s">
        <v>161</v>
      </c>
      <c r="B422" s="134"/>
      <c r="C422" s="135"/>
      <c r="D422" s="135"/>
      <c r="E422" s="155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</row>
    <row r="423" spans="1:17" x14ac:dyDescent="0.25">
      <c r="A423" s="33" t="s">
        <v>9</v>
      </c>
      <c r="B423" s="33" t="s">
        <v>10</v>
      </c>
      <c r="C423" s="34" t="s">
        <v>11</v>
      </c>
      <c r="D423" s="34" t="s">
        <v>12</v>
      </c>
      <c r="E423" s="16" t="s">
        <v>80</v>
      </c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</row>
    <row r="424" spans="1:17" ht="46.8" x14ac:dyDescent="0.25">
      <c r="A424" s="15" t="s">
        <v>162</v>
      </c>
      <c r="B424" s="17" t="s">
        <v>110</v>
      </c>
      <c r="C424" s="35" t="s">
        <v>163</v>
      </c>
      <c r="D424" s="35" t="s">
        <v>83</v>
      </c>
      <c r="E424" s="16">
        <v>0</v>
      </c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</row>
    <row r="425" spans="1:17" x14ac:dyDescent="0.25">
      <c r="A425" s="36"/>
      <c r="B425" s="36"/>
      <c r="C425" s="37"/>
      <c r="D425" s="37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</row>
    <row r="426" spans="1:17" x14ac:dyDescent="0.25">
      <c r="A426" s="134" t="s">
        <v>164</v>
      </c>
      <c r="B426" s="134"/>
      <c r="C426" s="135"/>
      <c r="D426" s="135"/>
      <c r="E426" s="155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</row>
    <row r="427" spans="1:17" x14ac:dyDescent="0.25">
      <c r="A427" s="33" t="s">
        <v>9</v>
      </c>
      <c r="B427" s="33" t="s">
        <v>10</v>
      </c>
      <c r="C427" s="34" t="s">
        <v>11</v>
      </c>
      <c r="D427" s="34" t="s">
        <v>12</v>
      </c>
      <c r="E427" s="16" t="s">
        <v>80</v>
      </c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</row>
    <row r="428" spans="1:17" ht="46.8" x14ac:dyDescent="0.25">
      <c r="A428" s="15" t="s">
        <v>165</v>
      </c>
      <c r="B428" s="17" t="s">
        <v>110</v>
      </c>
      <c r="C428" s="35" t="s">
        <v>166</v>
      </c>
      <c r="D428" s="35" t="s">
        <v>83</v>
      </c>
      <c r="E428" s="16">
        <v>0</v>
      </c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</row>
    <row r="429" spans="1:17" x14ac:dyDescent="0.25"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</row>
    <row r="430" spans="1:17" x14ac:dyDescent="0.25">
      <c r="A430" s="134" t="s">
        <v>167</v>
      </c>
      <c r="B430" s="134"/>
      <c r="C430" s="135"/>
      <c r="D430" s="135"/>
      <c r="E430" s="155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</row>
    <row r="431" spans="1:17" s="10" customFormat="1" x14ac:dyDescent="0.25">
      <c r="A431" s="15" t="s">
        <v>9</v>
      </c>
      <c r="B431" s="15" t="s">
        <v>10</v>
      </c>
      <c r="C431" s="38" t="s">
        <v>11</v>
      </c>
      <c r="D431" s="38" t="s">
        <v>12</v>
      </c>
      <c r="E431" s="16" t="s">
        <v>80</v>
      </c>
      <c r="F431" s="32"/>
      <c r="G431" s="32"/>
      <c r="H431" s="39"/>
      <c r="I431" s="39"/>
      <c r="J431" s="39"/>
      <c r="K431" s="39"/>
      <c r="L431" s="39"/>
      <c r="M431" s="39"/>
      <c r="N431" s="39"/>
      <c r="O431" s="39"/>
      <c r="P431" s="39"/>
      <c r="Q431" s="39"/>
    </row>
    <row r="432" spans="1:17" s="10" customFormat="1" ht="18" x14ac:dyDescent="0.4">
      <c r="A432" s="40" t="s">
        <v>168</v>
      </c>
      <c r="B432" s="17" t="s">
        <v>118</v>
      </c>
      <c r="C432" s="35" t="s">
        <v>169</v>
      </c>
      <c r="D432" s="35" t="s">
        <v>170</v>
      </c>
      <c r="E432" s="41">
        <f>E433*E435*(1+E434)</f>
        <v>515.26558079999995</v>
      </c>
      <c r="F432" s="32"/>
      <c r="G432" s="32"/>
      <c r="H432" s="39"/>
      <c r="I432" s="39"/>
      <c r="J432" s="39"/>
      <c r="K432" s="39"/>
      <c r="L432" s="39"/>
      <c r="M432" s="39"/>
      <c r="N432" s="39"/>
      <c r="O432" s="39"/>
      <c r="P432" s="39"/>
      <c r="Q432" s="39"/>
    </row>
    <row r="433" spans="1:19" ht="31.2" x14ac:dyDescent="0.25">
      <c r="A433" s="17" t="s">
        <v>171</v>
      </c>
      <c r="B433" s="17" t="s">
        <v>172</v>
      </c>
      <c r="C433" s="35" t="s">
        <v>173</v>
      </c>
      <c r="D433" s="35" t="s">
        <v>40</v>
      </c>
      <c r="E433" s="64">
        <v>843.84</v>
      </c>
      <c r="G433" s="42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9"/>
      <c r="S433" s="9"/>
    </row>
    <row r="434" spans="1:19" ht="31.2" x14ac:dyDescent="0.25">
      <c r="A434" s="17" t="s">
        <v>174</v>
      </c>
      <c r="B434" s="17" t="s">
        <v>175</v>
      </c>
      <c r="C434" s="35" t="s">
        <v>176</v>
      </c>
      <c r="D434" s="35" t="s">
        <v>177</v>
      </c>
      <c r="E434" s="44">
        <v>0.2</v>
      </c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9"/>
      <c r="S434" s="9"/>
    </row>
    <row r="435" spans="1:19" ht="46.8" x14ac:dyDescent="0.25">
      <c r="A435" s="17" t="s">
        <v>178</v>
      </c>
      <c r="B435" s="17" t="s">
        <v>179</v>
      </c>
      <c r="C435" s="35" t="s">
        <v>180</v>
      </c>
      <c r="D435" s="35" t="s">
        <v>181</v>
      </c>
      <c r="E435" s="45">
        <f>0.5*0.8042+0.5*0.2135</f>
        <v>0.50885000000000002</v>
      </c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</row>
    <row r="436" spans="1:19" ht="31.2" x14ac:dyDescent="0.4">
      <c r="A436" s="40" t="s">
        <v>182</v>
      </c>
      <c r="B436" s="17" t="s">
        <v>118</v>
      </c>
      <c r="C436" s="35" t="s">
        <v>183</v>
      </c>
      <c r="D436" s="35" t="s">
        <v>184</v>
      </c>
      <c r="E436" s="47">
        <v>0</v>
      </c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9"/>
      <c r="S436" s="9"/>
    </row>
    <row r="437" spans="1:19" x14ac:dyDescent="0.3">
      <c r="A437" s="48"/>
      <c r="E437" s="49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9"/>
      <c r="S437" s="9"/>
    </row>
    <row r="438" spans="1:19" x14ac:dyDescent="0.25">
      <c r="A438" s="134" t="s">
        <v>185</v>
      </c>
      <c r="B438" s="134"/>
      <c r="C438" s="135"/>
      <c r="D438" s="135"/>
      <c r="E438" s="155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</row>
    <row r="439" spans="1:19" x14ac:dyDescent="0.25">
      <c r="A439" s="15" t="s">
        <v>9</v>
      </c>
      <c r="B439" s="15" t="s">
        <v>10</v>
      </c>
      <c r="C439" s="38" t="s">
        <v>11</v>
      </c>
      <c r="D439" s="38" t="s">
        <v>12</v>
      </c>
      <c r="E439" s="16" t="s">
        <v>80</v>
      </c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9"/>
      <c r="S439" s="9"/>
    </row>
    <row r="440" spans="1:19" ht="33.6" x14ac:dyDescent="0.4">
      <c r="A440" s="40" t="s">
        <v>186</v>
      </c>
      <c r="B440" s="17" t="s">
        <v>89</v>
      </c>
      <c r="C440" s="35" t="s">
        <v>187</v>
      </c>
      <c r="D440" s="35" t="s">
        <v>363</v>
      </c>
      <c r="E440" s="50">
        <f>E441*E444*E445*E446*E447*E448</f>
        <v>5.5043440890153201</v>
      </c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9"/>
      <c r="S440" s="9"/>
    </row>
    <row r="441" spans="1:19" ht="46.8" x14ac:dyDescent="0.4">
      <c r="A441" s="51" t="s">
        <v>188</v>
      </c>
      <c r="B441" s="17" t="s">
        <v>91</v>
      </c>
      <c r="C441" s="35" t="s">
        <v>189</v>
      </c>
      <c r="D441" s="35" t="s">
        <v>364</v>
      </c>
      <c r="E441" s="52">
        <f>E442/E443</f>
        <v>170.82</v>
      </c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9"/>
      <c r="S441" s="9"/>
    </row>
    <row r="442" spans="1:19" ht="31.2" x14ac:dyDescent="0.25">
      <c r="A442" s="17" t="s">
        <v>190</v>
      </c>
      <c r="B442" s="17" t="s">
        <v>93</v>
      </c>
      <c r="C442" s="35" t="s">
        <v>191</v>
      </c>
      <c r="D442" s="35" t="s">
        <v>40</v>
      </c>
      <c r="E442" s="52">
        <f>2.34*365</f>
        <v>854.09999999999991</v>
      </c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9"/>
      <c r="S442" s="9"/>
    </row>
    <row r="443" spans="1:19" ht="31.2" x14ac:dyDescent="0.25">
      <c r="A443" s="17" t="s">
        <v>192</v>
      </c>
      <c r="B443" s="17" t="s">
        <v>95</v>
      </c>
      <c r="C443" s="35" t="s">
        <v>96</v>
      </c>
      <c r="D443" s="35" t="s">
        <v>40</v>
      </c>
      <c r="E443" s="25">
        <f>5</f>
        <v>5</v>
      </c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9"/>
      <c r="S443" s="9"/>
    </row>
    <row r="444" spans="1:19" ht="46.8" x14ac:dyDescent="0.25">
      <c r="A444" s="17" t="s">
        <v>193</v>
      </c>
      <c r="B444" s="17" t="s">
        <v>97</v>
      </c>
      <c r="C444" s="35" t="s">
        <v>194</v>
      </c>
      <c r="D444" s="35" t="s">
        <v>40</v>
      </c>
      <c r="E444" s="25">
        <f>23.8*2</f>
        <v>47.6</v>
      </c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9"/>
      <c r="S444" s="9"/>
    </row>
    <row r="445" spans="1:19" ht="141" x14ac:dyDescent="0.25">
      <c r="A445" s="17" t="s">
        <v>195</v>
      </c>
      <c r="B445" s="17" t="s">
        <v>99</v>
      </c>
      <c r="C445" s="35" t="s">
        <v>100</v>
      </c>
      <c r="D445" s="35" t="s">
        <v>330</v>
      </c>
      <c r="E445" s="25">
        <f>25.1/100</f>
        <v>0.251</v>
      </c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9"/>
      <c r="S445" s="9"/>
    </row>
    <row r="446" spans="1:19" ht="62.4" x14ac:dyDescent="0.25">
      <c r="A446" s="17" t="s">
        <v>101</v>
      </c>
      <c r="B446" s="17" t="s">
        <v>102</v>
      </c>
      <c r="C446" s="35" t="s">
        <v>101</v>
      </c>
      <c r="D446" s="35" t="s">
        <v>231</v>
      </c>
      <c r="E446" s="25">
        <f>0.84/1000</f>
        <v>8.3999999999999993E-4</v>
      </c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9"/>
      <c r="S446" s="9"/>
    </row>
    <row r="447" spans="1:19" ht="124.8" x14ac:dyDescent="0.25">
      <c r="A447" s="17" t="s">
        <v>196</v>
      </c>
      <c r="B447" s="17" t="s">
        <v>103</v>
      </c>
      <c r="C447" s="35" t="s">
        <v>104</v>
      </c>
      <c r="D447" s="35" t="s">
        <v>331</v>
      </c>
      <c r="E447" s="25">
        <f>43.33/1000</f>
        <v>4.333E-2</v>
      </c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9"/>
      <c r="S447" s="9"/>
    </row>
    <row r="448" spans="1:19" ht="33.6" x14ac:dyDescent="0.25">
      <c r="A448" s="17" t="s">
        <v>197</v>
      </c>
      <c r="B448" s="17" t="s">
        <v>105</v>
      </c>
      <c r="C448" s="35" t="s">
        <v>106</v>
      </c>
      <c r="D448" s="35" t="s">
        <v>107</v>
      </c>
      <c r="E448" s="25">
        <v>74.099999999999994</v>
      </c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9"/>
      <c r="S448" s="9"/>
    </row>
    <row r="450" spans="1:19" x14ac:dyDescent="0.25">
      <c r="A450" s="33" t="s">
        <v>9</v>
      </c>
      <c r="B450" s="33" t="s">
        <v>10</v>
      </c>
      <c r="C450" s="34" t="s">
        <v>11</v>
      </c>
      <c r="D450" s="34" t="s">
        <v>12</v>
      </c>
      <c r="E450" s="16" t="s">
        <v>80</v>
      </c>
    </row>
    <row r="451" spans="1:19" ht="18" x14ac:dyDescent="0.25">
      <c r="A451" s="15" t="s">
        <v>198</v>
      </c>
      <c r="B451" s="17" t="s">
        <v>118</v>
      </c>
      <c r="C451" s="35" t="s">
        <v>199</v>
      </c>
      <c r="D451" s="53" t="s">
        <v>365</v>
      </c>
      <c r="E451" s="18">
        <f>ROUNDUP(E400+E424+E428+E432+E440,0)</f>
        <v>521</v>
      </c>
    </row>
    <row r="452" spans="1:19" s="157" customFormat="1" ht="38.4" customHeight="1" x14ac:dyDescent="0.25">
      <c r="A452" s="156" t="s">
        <v>250</v>
      </c>
    </row>
    <row r="453" spans="1:19" ht="23.4" customHeight="1" x14ac:dyDescent="0.25">
      <c r="A453" s="153" t="s">
        <v>120</v>
      </c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4"/>
    </row>
    <row r="454" spans="1:19" s="10" customFormat="1" x14ac:dyDescent="0.25">
      <c r="A454" s="15" t="s">
        <v>9</v>
      </c>
      <c r="B454" s="15" t="s">
        <v>10</v>
      </c>
      <c r="C454" s="15" t="s">
        <v>11</v>
      </c>
      <c r="D454" s="15" t="s">
        <v>12</v>
      </c>
      <c r="E454" s="16" t="s">
        <v>13</v>
      </c>
      <c r="F454" s="16" t="s">
        <v>14</v>
      </c>
      <c r="G454" s="16" t="s">
        <v>15</v>
      </c>
      <c r="H454" s="16" t="s">
        <v>16</v>
      </c>
      <c r="I454" s="16" t="s">
        <v>17</v>
      </c>
      <c r="J454" s="16" t="s">
        <v>18</v>
      </c>
      <c r="K454" s="16" t="s">
        <v>19</v>
      </c>
      <c r="L454" s="16" t="s">
        <v>20</v>
      </c>
      <c r="M454" s="16" t="s">
        <v>21</v>
      </c>
      <c r="N454" s="16" t="s">
        <v>22</v>
      </c>
      <c r="O454" s="16" t="s">
        <v>23</v>
      </c>
      <c r="P454" s="16" t="s">
        <v>24</v>
      </c>
      <c r="Q454" s="16" t="s">
        <v>25</v>
      </c>
      <c r="R454" s="54"/>
      <c r="S454" s="54"/>
    </row>
    <row r="455" spans="1:19" s="10" customFormat="1" x14ac:dyDescent="0.25">
      <c r="A455" s="146" t="s">
        <v>121</v>
      </c>
      <c r="B455" s="146"/>
      <c r="C455" s="146"/>
      <c r="D455" s="146"/>
      <c r="E455" s="147"/>
      <c r="F455" s="16">
        <v>31</v>
      </c>
      <c r="G455" s="16">
        <v>28</v>
      </c>
      <c r="H455" s="16">
        <v>31</v>
      </c>
      <c r="I455" s="16">
        <v>30</v>
      </c>
      <c r="J455" s="16">
        <v>31</v>
      </c>
      <c r="K455" s="16">
        <v>30</v>
      </c>
      <c r="L455" s="16">
        <v>31</v>
      </c>
      <c r="M455" s="16">
        <v>31</v>
      </c>
      <c r="N455" s="16">
        <v>30</v>
      </c>
      <c r="O455" s="16">
        <v>31</v>
      </c>
      <c r="P455" s="16">
        <v>30</v>
      </c>
      <c r="Q455" s="16">
        <v>31</v>
      </c>
      <c r="R455" s="54"/>
      <c r="S455" s="54"/>
    </row>
    <row r="456" spans="1:19" s="10" customFormat="1" ht="31.2" x14ac:dyDescent="0.25">
      <c r="A456" s="15" t="s">
        <v>122</v>
      </c>
      <c r="B456" s="17" t="s">
        <v>118</v>
      </c>
      <c r="C456" s="17" t="s">
        <v>123</v>
      </c>
      <c r="D456" s="17" t="s">
        <v>353</v>
      </c>
      <c r="E456" s="18">
        <f>E457+E467</f>
        <v>0</v>
      </c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54"/>
      <c r="S456" s="54"/>
    </row>
    <row r="457" spans="1:19" ht="46.8" x14ac:dyDescent="0.25">
      <c r="A457" s="17" t="s">
        <v>124</v>
      </c>
      <c r="B457" s="17" t="s">
        <v>118</v>
      </c>
      <c r="C457" s="17" t="s">
        <v>125</v>
      </c>
      <c r="D457" s="17" t="s">
        <v>354</v>
      </c>
      <c r="E457" s="19">
        <f>SUM(F457:Q457)</f>
        <v>0</v>
      </c>
      <c r="F457" s="19">
        <f>IF(F458&gt;=0.8,0,$E$15*$E$16*0.4*(F459-F462)*F455)</f>
        <v>0</v>
      </c>
      <c r="G457" s="19">
        <f t="shared" ref="G457:Q457" si="56">IF(G458&gt;=0.8,0,$E$15*$E$16*0.4*(G459-G462)*G455)</f>
        <v>0</v>
      </c>
      <c r="H457" s="19">
        <f t="shared" si="56"/>
        <v>0</v>
      </c>
      <c r="I457" s="19">
        <f t="shared" si="56"/>
        <v>0</v>
      </c>
      <c r="J457" s="19">
        <f t="shared" si="56"/>
        <v>0</v>
      </c>
      <c r="K457" s="19">
        <f t="shared" si="56"/>
        <v>0</v>
      </c>
      <c r="L457" s="19">
        <f t="shared" si="56"/>
        <v>0</v>
      </c>
      <c r="M457" s="19">
        <f t="shared" si="56"/>
        <v>0</v>
      </c>
      <c r="N457" s="19">
        <f t="shared" si="56"/>
        <v>0</v>
      </c>
      <c r="O457" s="19">
        <f t="shared" si="56"/>
        <v>0</v>
      </c>
      <c r="P457" s="19">
        <f t="shared" si="56"/>
        <v>0</v>
      </c>
      <c r="Q457" s="19">
        <f t="shared" si="56"/>
        <v>0</v>
      </c>
    </row>
    <row r="458" spans="1:19" ht="62.4" x14ac:dyDescent="0.25">
      <c r="A458" s="17" t="s">
        <v>126</v>
      </c>
      <c r="B458" s="17" t="s">
        <v>52</v>
      </c>
      <c r="C458" s="17" t="s">
        <v>127</v>
      </c>
      <c r="D458" s="17" t="s">
        <v>355</v>
      </c>
      <c r="E458" s="20">
        <f>AVERAGE(F458:Q458)</f>
        <v>0.91999523809523798</v>
      </c>
      <c r="F458" s="20">
        <f>(F459-F462)/F459</f>
        <v>0.92</v>
      </c>
      <c r="G458" s="20">
        <f t="shared" ref="G458:Q458" si="57">(G459-G462)/G459</f>
        <v>0.92</v>
      </c>
      <c r="H458" s="20">
        <f t="shared" si="57"/>
        <v>0.91999619047619041</v>
      </c>
      <c r="I458" s="20">
        <f t="shared" si="57"/>
        <v>0.92</v>
      </c>
      <c r="J458" s="20">
        <f t="shared" si="57"/>
        <v>0.91999238095238089</v>
      </c>
      <c r="K458" s="20">
        <f t="shared" si="57"/>
        <v>0.92</v>
      </c>
      <c r="L458" s="20">
        <f t="shared" si="57"/>
        <v>0.91998857142857138</v>
      </c>
      <c r="M458" s="20">
        <f t="shared" si="57"/>
        <v>0.92</v>
      </c>
      <c r="N458" s="20">
        <f t="shared" si="57"/>
        <v>0.91998476190476186</v>
      </c>
      <c r="O458" s="20">
        <f t="shared" si="57"/>
        <v>0.92</v>
      </c>
      <c r="P458" s="20">
        <f t="shared" si="57"/>
        <v>0.91998095238095245</v>
      </c>
      <c r="Q458" s="20">
        <f t="shared" si="57"/>
        <v>0.92</v>
      </c>
    </row>
    <row r="459" spans="1:19" ht="46.8" x14ac:dyDescent="0.25">
      <c r="A459" s="17" t="s">
        <v>128</v>
      </c>
      <c r="B459" s="17" t="s">
        <v>38</v>
      </c>
      <c r="C459" s="17" t="s">
        <v>129</v>
      </c>
      <c r="D459" s="17" t="s">
        <v>356</v>
      </c>
      <c r="E459" s="20">
        <f>SUM(F459:Q459)</f>
        <v>126</v>
      </c>
      <c r="F459" s="20">
        <f>F460*F461</f>
        <v>10.5</v>
      </c>
      <c r="G459" s="20">
        <f t="shared" ref="G459:Q459" si="58">G460*G461</f>
        <v>10.5</v>
      </c>
      <c r="H459" s="20">
        <f t="shared" si="58"/>
        <v>10.5</v>
      </c>
      <c r="I459" s="20">
        <f t="shared" si="58"/>
        <v>10.5</v>
      </c>
      <c r="J459" s="20">
        <f t="shared" si="58"/>
        <v>10.5</v>
      </c>
      <c r="K459" s="20">
        <f t="shared" si="58"/>
        <v>10.5</v>
      </c>
      <c r="L459" s="20">
        <f t="shared" si="58"/>
        <v>10.5</v>
      </c>
      <c r="M459" s="20">
        <f t="shared" si="58"/>
        <v>10.5</v>
      </c>
      <c r="N459" s="20">
        <f t="shared" si="58"/>
        <v>10.5</v>
      </c>
      <c r="O459" s="20">
        <f t="shared" si="58"/>
        <v>10.5</v>
      </c>
      <c r="P459" s="20">
        <f t="shared" si="58"/>
        <v>10.5</v>
      </c>
      <c r="Q459" s="20">
        <f t="shared" si="58"/>
        <v>10.5</v>
      </c>
    </row>
    <row r="460" spans="1:19" ht="51" customHeight="1" x14ac:dyDescent="0.25">
      <c r="A460" s="17" t="s">
        <v>130</v>
      </c>
      <c r="B460" s="17" t="s">
        <v>131</v>
      </c>
      <c r="C460" s="17" t="s">
        <v>132</v>
      </c>
      <c r="D460" s="17" t="s">
        <v>40</v>
      </c>
      <c r="E460" s="21">
        <f>SUM(F460:Q460)</f>
        <v>252000</v>
      </c>
      <c r="F460" s="21">
        <f>21000</f>
        <v>21000</v>
      </c>
      <c r="G460" s="21">
        <f>21000</f>
        <v>21000</v>
      </c>
      <c r="H460" s="21">
        <f>21000</f>
        <v>21000</v>
      </c>
      <c r="I460" s="21">
        <f>21000</f>
        <v>21000</v>
      </c>
      <c r="J460" s="21">
        <f>21000</f>
        <v>21000</v>
      </c>
      <c r="K460" s="21">
        <f>21000</f>
        <v>21000</v>
      </c>
      <c r="L460" s="21">
        <f>21000</f>
        <v>21000</v>
      </c>
      <c r="M460" s="21">
        <f>21000</f>
        <v>21000</v>
      </c>
      <c r="N460" s="21">
        <f>21000</f>
        <v>21000</v>
      </c>
      <c r="O460" s="21">
        <f>21000</f>
        <v>21000</v>
      </c>
      <c r="P460" s="21">
        <f>21000</f>
        <v>21000</v>
      </c>
      <c r="Q460" s="21">
        <f>21000</f>
        <v>21000</v>
      </c>
    </row>
    <row r="461" spans="1:19" ht="46.8" x14ac:dyDescent="0.25">
      <c r="A461" s="17" t="s">
        <v>133</v>
      </c>
      <c r="B461" s="17" t="s">
        <v>134</v>
      </c>
      <c r="C461" s="17" t="s">
        <v>135</v>
      </c>
      <c r="D461" s="17" t="s">
        <v>40</v>
      </c>
      <c r="E461" s="22">
        <f>AVERAGE(F461:Q461)</f>
        <v>5.0000000000000012E-4</v>
      </c>
      <c r="F461" s="23">
        <f>'Baseline Emissions'!F450</f>
        <v>5.0000000000000001E-4</v>
      </c>
      <c r="G461" s="23">
        <f>'Baseline Emissions'!G450</f>
        <v>5.0000000000000001E-4</v>
      </c>
      <c r="H461" s="23">
        <f>'Baseline Emissions'!H450</f>
        <v>5.0000000000000001E-4</v>
      </c>
      <c r="I461" s="23">
        <f>'Baseline Emissions'!I450</f>
        <v>5.0000000000000001E-4</v>
      </c>
      <c r="J461" s="23">
        <f>'Baseline Emissions'!J450</f>
        <v>5.0000000000000001E-4</v>
      </c>
      <c r="K461" s="23">
        <f>'Baseline Emissions'!K450</f>
        <v>5.0000000000000001E-4</v>
      </c>
      <c r="L461" s="23">
        <f>'Baseline Emissions'!L450</f>
        <v>5.0000000000000001E-4</v>
      </c>
      <c r="M461" s="23">
        <f>'Baseline Emissions'!M450</f>
        <v>5.0000000000000001E-4</v>
      </c>
      <c r="N461" s="23">
        <f>'Baseline Emissions'!N450</f>
        <v>5.0000000000000001E-4</v>
      </c>
      <c r="O461" s="23">
        <f>'Baseline Emissions'!O450</f>
        <v>5.0000000000000001E-4</v>
      </c>
      <c r="P461" s="23">
        <f>'Baseline Emissions'!P450</f>
        <v>5.0000000000000001E-4</v>
      </c>
      <c r="Q461" s="23">
        <f>'Baseline Emissions'!Q450</f>
        <v>5.0000000000000001E-4</v>
      </c>
    </row>
    <row r="462" spans="1:19" ht="46.8" x14ac:dyDescent="0.25">
      <c r="A462" s="17" t="s">
        <v>136</v>
      </c>
      <c r="B462" s="17" t="s">
        <v>38</v>
      </c>
      <c r="C462" s="17" t="s">
        <v>137</v>
      </c>
      <c r="D462" s="17" t="s">
        <v>356</v>
      </c>
      <c r="E462" s="20">
        <f>SUM(F462:Q462)</f>
        <v>10.0806</v>
      </c>
      <c r="F462" s="20">
        <f>SUM(F463*F464)</f>
        <v>0.84000000000000008</v>
      </c>
      <c r="G462" s="20">
        <f t="shared" ref="G462:Q462" si="59">SUM(G463*G464)</f>
        <v>0.84000000000000008</v>
      </c>
      <c r="H462" s="20">
        <f t="shared" si="59"/>
        <v>0.84004000000000012</v>
      </c>
      <c r="I462" s="20">
        <f t="shared" si="59"/>
        <v>0.84000000000000008</v>
      </c>
      <c r="J462" s="20">
        <f t="shared" si="59"/>
        <v>0.84008000000000005</v>
      </c>
      <c r="K462" s="20">
        <f t="shared" si="59"/>
        <v>0.84000000000000008</v>
      </c>
      <c r="L462" s="20">
        <f t="shared" si="59"/>
        <v>0.84012000000000009</v>
      </c>
      <c r="M462" s="20">
        <f t="shared" si="59"/>
        <v>0.84000000000000008</v>
      </c>
      <c r="N462" s="20">
        <f t="shared" si="59"/>
        <v>0.84016000000000002</v>
      </c>
      <c r="O462" s="20">
        <f t="shared" si="59"/>
        <v>0.84000000000000008</v>
      </c>
      <c r="P462" s="20">
        <f t="shared" si="59"/>
        <v>0.84020000000000006</v>
      </c>
      <c r="Q462" s="20">
        <f t="shared" si="59"/>
        <v>0.84000000000000008</v>
      </c>
    </row>
    <row r="463" spans="1:19" ht="31.2" x14ac:dyDescent="0.25">
      <c r="A463" s="17" t="s">
        <v>138</v>
      </c>
      <c r="B463" s="17" t="s">
        <v>131</v>
      </c>
      <c r="C463" s="17" t="s">
        <v>139</v>
      </c>
      <c r="D463" s="17" t="s">
        <v>40</v>
      </c>
      <c r="E463" s="21">
        <f>SUM(F463:Q463)</f>
        <v>252015</v>
      </c>
      <c r="F463" s="21">
        <v>21000</v>
      </c>
      <c r="G463" s="21">
        <f>21000</f>
        <v>21000</v>
      </c>
      <c r="H463" s="21">
        <v>21001</v>
      </c>
      <c r="I463" s="21">
        <f>21000</f>
        <v>21000</v>
      </c>
      <c r="J463" s="21">
        <v>21002</v>
      </c>
      <c r="K463" s="21">
        <f>21000</f>
        <v>21000</v>
      </c>
      <c r="L463" s="21">
        <v>21003</v>
      </c>
      <c r="M463" s="21">
        <f>21000</f>
        <v>21000</v>
      </c>
      <c r="N463" s="21">
        <v>21004</v>
      </c>
      <c r="O463" s="21">
        <f>21000</f>
        <v>21000</v>
      </c>
      <c r="P463" s="21">
        <v>21005</v>
      </c>
      <c r="Q463" s="21">
        <f>21000</f>
        <v>21000</v>
      </c>
    </row>
    <row r="464" spans="1:19" ht="46.8" x14ac:dyDescent="0.25">
      <c r="A464" s="17" t="s">
        <v>140</v>
      </c>
      <c r="B464" s="17" t="s">
        <v>134</v>
      </c>
      <c r="C464" s="17" t="s">
        <v>141</v>
      </c>
      <c r="D464" s="17" t="s">
        <v>40</v>
      </c>
      <c r="E464" s="24">
        <f>AVERAGE(F464:Q464)</f>
        <v>4.0000000000000003E-5</v>
      </c>
      <c r="F464" s="24">
        <f>'Baseline Emissions'!F451</f>
        <v>4.0000000000000003E-5</v>
      </c>
      <c r="G464" s="24">
        <f>'Baseline Emissions'!G451</f>
        <v>4.0000000000000003E-5</v>
      </c>
      <c r="H464" s="24">
        <f>'Baseline Emissions'!H451</f>
        <v>4.0000000000000003E-5</v>
      </c>
      <c r="I464" s="24">
        <f>'Baseline Emissions'!I451</f>
        <v>4.0000000000000003E-5</v>
      </c>
      <c r="J464" s="24">
        <f>'Baseline Emissions'!J451</f>
        <v>4.0000000000000003E-5</v>
      </c>
      <c r="K464" s="24">
        <f>'Baseline Emissions'!K451</f>
        <v>4.0000000000000003E-5</v>
      </c>
      <c r="L464" s="24">
        <f>'Baseline Emissions'!L451</f>
        <v>4.0000000000000003E-5</v>
      </c>
      <c r="M464" s="24">
        <f>'Baseline Emissions'!M451</f>
        <v>4.0000000000000003E-5</v>
      </c>
      <c r="N464" s="24">
        <f>'Baseline Emissions'!N451</f>
        <v>4.0000000000000003E-5</v>
      </c>
      <c r="O464" s="24">
        <f>'Baseline Emissions'!O451</f>
        <v>4.0000000000000003E-5</v>
      </c>
      <c r="P464" s="24">
        <f>'Baseline Emissions'!P451</f>
        <v>4.0000000000000003E-5</v>
      </c>
      <c r="Q464" s="24">
        <f>'Baseline Emissions'!Q451</f>
        <v>4.0000000000000003E-5</v>
      </c>
    </row>
    <row r="465" spans="1:17" ht="31.2" x14ac:dyDescent="0.25">
      <c r="A465" s="17" t="s">
        <v>142</v>
      </c>
      <c r="B465" s="17" t="s">
        <v>143</v>
      </c>
      <c r="C465" s="17" t="s">
        <v>31</v>
      </c>
      <c r="D465" s="17" t="s">
        <v>144</v>
      </c>
      <c r="E465" s="130">
        <v>28</v>
      </c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</row>
    <row r="466" spans="1:17" ht="64.8" x14ac:dyDescent="0.25">
      <c r="A466" s="17" t="s">
        <v>145</v>
      </c>
      <c r="B466" s="17" t="s">
        <v>33</v>
      </c>
      <c r="C466" s="17" t="s">
        <v>146</v>
      </c>
      <c r="D466" s="17" t="s">
        <v>373</v>
      </c>
      <c r="E466" s="130">
        <v>0.21</v>
      </c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</row>
    <row r="467" spans="1:17" ht="46.8" x14ac:dyDescent="0.25">
      <c r="A467" s="17" t="s">
        <v>147</v>
      </c>
      <c r="B467" s="17" t="s">
        <v>118</v>
      </c>
      <c r="C467" s="17" t="s">
        <v>148</v>
      </c>
      <c r="D467" s="17" t="s">
        <v>357</v>
      </c>
      <c r="E467" s="19">
        <f>SUM(F467:Q467)</f>
        <v>0</v>
      </c>
      <c r="F467" s="19">
        <f>$E$15*$E$16*F468*F462*F455</f>
        <v>0</v>
      </c>
      <c r="G467" s="19">
        <f t="shared" ref="G467:Q467" si="60">$E$15*$E$16*G468*G462*G455</f>
        <v>0</v>
      </c>
      <c r="H467" s="19">
        <f t="shared" si="60"/>
        <v>0</v>
      </c>
      <c r="I467" s="19">
        <f t="shared" si="60"/>
        <v>0</v>
      </c>
      <c r="J467" s="19">
        <f t="shared" si="60"/>
        <v>0</v>
      </c>
      <c r="K467" s="19">
        <f t="shared" si="60"/>
        <v>0</v>
      </c>
      <c r="L467" s="19">
        <f t="shared" si="60"/>
        <v>0</v>
      </c>
      <c r="M467" s="19">
        <f t="shared" si="60"/>
        <v>0</v>
      </c>
      <c r="N467" s="19">
        <f t="shared" si="60"/>
        <v>0</v>
      </c>
      <c r="O467" s="19">
        <f t="shared" si="60"/>
        <v>0</v>
      </c>
      <c r="P467" s="19">
        <f t="shared" si="60"/>
        <v>0</v>
      </c>
      <c r="Q467" s="19">
        <f t="shared" si="60"/>
        <v>0</v>
      </c>
    </row>
    <row r="468" spans="1:17" ht="18" x14ac:dyDescent="0.25">
      <c r="A468" s="17" t="s">
        <v>149</v>
      </c>
      <c r="B468" s="17" t="s">
        <v>52</v>
      </c>
      <c r="C468" s="17" t="s">
        <v>150</v>
      </c>
      <c r="D468" s="17" t="s">
        <v>358</v>
      </c>
      <c r="E468" s="26">
        <f>AVERAGE(F468:Q468)</f>
        <v>0</v>
      </c>
      <c r="F468" s="26">
        <f t="shared" ref="F468:Q468" si="61">F469*$E$20*0.89</f>
        <v>0</v>
      </c>
      <c r="G468" s="26">
        <f t="shared" si="61"/>
        <v>0</v>
      </c>
      <c r="H468" s="26">
        <f t="shared" si="61"/>
        <v>0</v>
      </c>
      <c r="I468" s="26">
        <f t="shared" si="61"/>
        <v>0</v>
      </c>
      <c r="J468" s="26">
        <f t="shared" si="61"/>
        <v>0</v>
      </c>
      <c r="K468" s="26">
        <f t="shared" si="61"/>
        <v>0</v>
      </c>
      <c r="L468" s="26">
        <f t="shared" si="61"/>
        <v>0</v>
      </c>
      <c r="M468" s="26">
        <f t="shared" si="61"/>
        <v>0</v>
      </c>
      <c r="N468" s="26">
        <f t="shared" si="61"/>
        <v>0</v>
      </c>
      <c r="O468" s="26">
        <f t="shared" si="61"/>
        <v>0</v>
      </c>
      <c r="P468" s="26">
        <f t="shared" si="61"/>
        <v>0</v>
      </c>
      <c r="Q468" s="26">
        <f t="shared" si="61"/>
        <v>0</v>
      </c>
    </row>
    <row r="469" spans="1:17" ht="31.2" x14ac:dyDescent="0.25">
      <c r="A469" s="17" t="s">
        <v>151</v>
      </c>
      <c r="B469" s="17" t="s">
        <v>52</v>
      </c>
      <c r="C469" s="17" t="s">
        <v>61</v>
      </c>
      <c r="D469" s="17" t="s">
        <v>359</v>
      </c>
      <c r="E469" s="25">
        <v>0</v>
      </c>
      <c r="F469" s="25">
        <v>0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>
        <v>0</v>
      </c>
      <c r="M469" s="25">
        <v>0</v>
      </c>
      <c r="N469" s="25">
        <v>0</v>
      </c>
      <c r="O469" s="25">
        <v>0</v>
      </c>
      <c r="P469" s="25">
        <v>0</v>
      </c>
      <c r="Q469" s="25">
        <v>0</v>
      </c>
    </row>
    <row r="470" spans="1:17" ht="31.2" x14ac:dyDescent="0.25">
      <c r="A470" s="17" t="s">
        <v>152</v>
      </c>
      <c r="B470" s="17" t="s">
        <v>216</v>
      </c>
      <c r="C470" s="17" t="s">
        <v>153</v>
      </c>
      <c r="D470" s="17" t="s">
        <v>360</v>
      </c>
      <c r="E470" s="148">
        <f>(F471*F476+G471*G476+H471*H476+I471*I476+J471*J476+K471*K476+L471*L476+M471*M476+N471*N476+O471*O476+P471*P476+Q471*Q476)/(F463*F464*F455+G464*G463*G455+H463*H464*H455+I464*I463*I455+J464*J463*J455+K464*K463*K455+L464*L463*L455+M464*M463*M455+N464*N463*N455+O463*O464*O455+P464*P463*P455+Q464*Q463*Q455)</f>
        <v>0.65109052359262765</v>
      </c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</row>
    <row r="471" spans="1:17" ht="31.2" x14ac:dyDescent="0.25">
      <c r="A471" s="17" t="s">
        <v>154</v>
      </c>
      <c r="B471" s="17" t="s">
        <v>52</v>
      </c>
      <c r="C471" s="17" t="s">
        <v>155</v>
      </c>
      <c r="D471" s="17" t="s">
        <v>347</v>
      </c>
      <c r="E471" s="27">
        <f>AVERAGE(F471:Q471)</f>
        <v>0.64941855920635227</v>
      </c>
      <c r="F471" s="27">
        <f>IF(F475&lt;283,0,IF(F475&gt;303,1,EXP(($E$22*(F475-$E$23))/($E$24*$E$23*F475))))</f>
        <v>0.26921004737855481</v>
      </c>
      <c r="G471" s="27">
        <f t="shared" ref="G471:Q471" si="62">IF(G475&lt;283,0,IF(G475&gt;303,1,EXP(($E$22*(G475-$E$23))/($E$24*$E$23*G475))))</f>
        <v>0.29505266129807517</v>
      </c>
      <c r="H471" s="27">
        <f t="shared" si="62"/>
        <v>0.42307437878932203</v>
      </c>
      <c r="I471" s="27">
        <f t="shared" si="62"/>
        <v>0.65487347206548807</v>
      </c>
      <c r="J471" s="27">
        <f t="shared" si="62"/>
        <v>0.84523513966163832</v>
      </c>
      <c r="K471" s="27">
        <f t="shared" si="62"/>
        <v>1</v>
      </c>
      <c r="L471" s="27">
        <f t="shared" si="62"/>
        <v>1</v>
      </c>
      <c r="M471" s="27">
        <f t="shared" si="62"/>
        <v>1</v>
      </c>
      <c r="N471" s="27">
        <f t="shared" si="62"/>
        <v>0.91923925774048054</v>
      </c>
      <c r="O471" s="27">
        <f t="shared" si="62"/>
        <v>0.65487347206548807</v>
      </c>
      <c r="P471" s="27">
        <f t="shared" si="62"/>
        <v>0.46225423409862509</v>
      </c>
      <c r="Q471" s="27">
        <f t="shared" si="62"/>
        <v>0.26921004737855481</v>
      </c>
    </row>
    <row r="472" spans="1:17" x14ac:dyDescent="0.25">
      <c r="A472" s="17" t="s">
        <v>66</v>
      </c>
      <c r="B472" s="17" t="s">
        <v>67</v>
      </c>
      <c r="C472" s="17" t="s">
        <v>68</v>
      </c>
      <c r="D472" s="17" t="s">
        <v>361</v>
      </c>
      <c r="E472" s="130">
        <v>15175</v>
      </c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</row>
    <row r="473" spans="1:17" ht="18" x14ac:dyDescent="0.25">
      <c r="A473" s="17" t="s">
        <v>156</v>
      </c>
      <c r="B473" s="17" t="s">
        <v>70</v>
      </c>
      <c r="C473" s="17" t="s">
        <v>71</v>
      </c>
      <c r="D473" s="17" t="s">
        <v>361</v>
      </c>
      <c r="E473" s="130">
        <v>303.16000000000003</v>
      </c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</row>
    <row r="474" spans="1:17" x14ac:dyDescent="0.25">
      <c r="A474" s="17" t="s">
        <v>72</v>
      </c>
      <c r="B474" s="17" t="s">
        <v>73</v>
      </c>
      <c r="C474" s="17" t="s">
        <v>74</v>
      </c>
      <c r="D474" s="17" t="s">
        <v>361</v>
      </c>
      <c r="E474" s="130">
        <v>1.9870000000000001</v>
      </c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</row>
    <row r="475" spans="1:17" ht="31.2" x14ac:dyDescent="0.25">
      <c r="A475" s="17" t="s">
        <v>157</v>
      </c>
      <c r="B475" s="17" t="s">
        <v>70</v>
      </c>
      <c r="C475" s="17" t="s">
        <v>158</v>
      </c>
      <c r="D475" s="17" t="s">
        <v>279</v>
      </c>
      <c r="E475" s="28">
        <f>AVERAGE(F475:Q475)</f>
        <v>296.81666666666672</v>
      </c>
      <c r="F475" s="25">
        <v>288.14999999999998</v>
      </c>
      <c r="G475" s="25">
        <v>289.14999999999998</v>
      </c>
      <c r="H475" s="25">
        <v>293.14999999999998</v>
      </c>
      <c r="I475" s="25">
        <v>298.14999999999998</v>
      </c>
      <c r="J475" s="25">
        <v>301.14999999999998</v>
      </c>
      <c r="K475" s="25">
        <v>303.14999999999998</v>
      </c>
      <c r="L475" s="25">
        <v>303.14999999999998</v>
      </c>
      <c r="M475" s="25">
        <v>303.14999999999998</v>
      </c>
      <c r="N475" s="25">
        <v>302.14999999999998</v>
      </c>
      <c r="O475" s="25">
        <v>298.14999999999998</v>
      </c>
      <c r="P475" s="25">
        <v>294.14999999999998</v>
      </c>
      <c r="Q475" s="25">
        <v>288.14999999999998</v>
      </c>
    </row>
    <row r="476" spans="1:17" ht="46.8" x14ac:dyDescent="0.25">
      <c r="A476" s="17" t="s">
        <v>159</v>
      </c>
      <c r="B476" s="17" t="s">
        <v>38</v>
      </c>
      <c r="C476" s="17" t="s">
        <v>160</v>
      </c>
      <c r="D476" s="17" t="s">
        <v>362</v>
      </c>
      <c r="E476" s="29">
        <f>SUM(F476:Q476)</f>
        <v>306.60000000000002</v>
      </c>
      <c r="F476" s="29">
        <f>F460*F464*'Project Emissions'!F455+(1-F471)*0</f>
        <v>26.040000000000003</v>
      </c>
      <c r="G476" s="29">
        <f>G460*G464*'Project Emissions'!G455+(1-G471)*0</f>
        <v>23.520000000000003</v>
      </c>
      <c r="H476" s="29">
        <f>H460*H464*'Project Emissions'!H455+(1-H471)*0</f>
        <v>26.040000000000003</v>
      </c>
      <c r="I476" s="29">
        <f>I460*I464*'Project Emissions'!I455+(1-I471)*0</f>
        <v>25.200000000000003</v>
      </c>
      <c r="J476" s="29">
        <f>J460*J464*'Project Emissions'!J455+(1-J471)*0</f>
        <v>26.040000000000003</v>
      </c>
      <c r="K476" s="29">
        <f>K460*K464*'Project Emissions'!K455+(1-K471)*0</f>
        <v>25.200000000000003</v>
      </c>
      <c r="L476" s="29">
        <f>L460*L464*'Project Emissions'!L455+(1-L471)*0</f>
        <v>26.040000000000003</v>
      </c>
      <c r="M476" s="29">
        <f>M460*M464*'Project Emissions'!M455+(1-M471)*0</f>
        <v>26.040000000000003</v>
      </c>
      <c r="N476" s="29">
        <f>N460*N464*'Project Emissions'!N455+(1-N471)*0</f>
        <v>25.200000000000003</v>
      </c>
      <c r="O476" s="29">
        <f>O460*O464*'Project Emissions'!O455+(1-O471)*0</f>
        <v>26.040000000000003</v>
      </c>
      <c r="P476" s="29">
        <f>P460*P464*'Project Emissions'!P455+(1-P471)*0</f>
        <v>25.200000000000003</v>
      </c>
      <c r="Q476" s="29">
        <f>Q460*Q464*'Project Emissions'!Q455+(1-Q471)*0</f>
        <v>26.040000000000003</v>
      </c>
    </row>
    <row r="477" spans="1:17" x14ac:dyDescent="0.3">
      <c r="A477" s="30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</row>
    <row r="478" spans="1:17" x14ac:dyDescent="0.25">
      <c r="A478" s="134" t="s">
        <v>161</v>
      </c>
      <c r="B478" s="134"/>
      <c r="C478" s="135"/>
      <c r="D478" s="135"/>
      <c r="E478" s="155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</row>
    <row r="479" spans="1:17" x14ac:dyDescent="0.25">
      <c r="A479" s="33" t="s">
        <v>9</v>
      </c>
      <c r="B479" s="33" t="s">
        <v>10</v>
      </c>
      <c r="C479" s="34" t="s">
        <v>11</v>
      </c>
      <c r="D479" s="34" t="s">
        <v>12</v>
      </c>
      <c r="E479" s="16" t="s">
        <v>80</v>
      </c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</row>
    <row r="480" spans="1:17" ht="46.8" x14ac:dyDescent="0.25">
      <c r="A480" s="15" t="s">
        <v>162</v>
      </c>
      <c r="B480" s="17" t="s">
        <v>110</v>
      </c>
      <c r="C480" s="35" t="s">
        <v>163</v>
      </c>
      <c r="D480" s="35" t="s">
        <v>83</v>
      </c>
      <c r="E480" s="16">
        <v>0</v>
      </c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</row>
    <row r="481" spans="1:19" x14ac:dyDescent="0.25">
      <c r="A481" s="36"/>
      <c r="B481" s="36"/>
      <c r="C481" s="37"/>
      <c r="D481" s="37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</row>
    <row r="482" spans="1:19" x14ac:dyDescent="0.25">
      <c r="A482" s="134" t="s">
        <v>164</v>
      </c>
      <c r="B482" s="134"/>
      <c r="C482" s="135"/>
      <c r="D482" s="135"/>
      <c r="E482" s="155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</row>
    <row r="483" spans="1:19" x14ac:dyDescent="0.25">
      <c r="A483" s="33" t="s">
        <v>9</v>
      </c>
      <c r="B483" s="33" t="s">
        <v>10</v>
      </c>
      <c r="C483" s="34" t="s">
        <v>11</v>
      </c>
      <c r="D483" s="34" t="s">
        <v>12</v>
      </c>
      <c r="E483" s="16" t="s">
        <v>80</v>
      </c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</row>
    <row r="484" spans="1:19" ht="46.8" x14ac:dyDescent="0.25">
      <c r="A484" s="15" t="s">
        <v>165</v>
      </c>
      <c r="B484" s="17" t="s">
        <v>110</v>
      </c>
      <c r="C484" s="35" t="s">
        <v>166</v>
      </c>
      <c r="D484" s="35" t="s">
        <v>83</v>
      </c>
      <c r="E484" s="16">
        <v>0</v>
      </c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</row>
    <row r="485" spans="1:19" x14ac:dyDescent="0.25"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</row>
    <row r="486" spans="1:19" x14ac:dyDescent="0.25">
      <c r="A486" s="134" t="s">
        <v>167</v>
      </c>
      <c r="B486" s="134"/>
      <c r="C486" s="135"/>
      <c r="D486" s="135"/>
      <c r="E486" s="155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</row>
    <row r="487" spans="1:19" s="10" customFormat="1" x14ac:dyDescent="0.25">
      <c r="A487" s="15" t="s">
        <v>9</v>
      </c>
      <c r="B487" s="15" t="s">
        <v>10</v>
      </c>
      <c r="C487" s="38" t="s">
        <v>11</v>
      </c>
      <c r="D487" s="38" t="s">
        <v>12</v>
      </c>
      <c r="E487" s="16" t="s">
        <v>80</v>
      </c>
      <c r="F487" s="32"/>
      <c r="G487" s="32"/>
      <c r="H487" s="39"/>
      <c r="I487" s="39"/>
      <c r="J487" s="39"/>
      <c r="K487" s="39"/>
      <c r="L487" s="39"/>
      <c r="M487" s="39"/>
      <c r="N487" s="39"/>
      <c r="O487" s="39"/>
      <c r="P487" s="39"/>
      <c r="Q487" s="39"/>
    </row>
    <row r="488" spans="1:19" s="10" customFormat="1" ht="18" x14ac:dyDescent="0.4">
      <c r="A488" s="40" t="s">
        <v>168</v>
      </c>
      <c r="B488" s="17" t="s">
        <v>118</v>
      </c>
      <c r="C488" s="35" t="s">
        <v>169</v>
      </c>
      <c r="D488" s="35" t="s">
        <v>170</v>
      </c>
      <c r="E488" s="41">
        <f>E489*E491*(1+E490)</f>
        <v>1905.6228960000003</v>
      </c>
      <c r="F488" s="32"/>
      <c r="G488" s="32"/>
      <c r="H488" s="39"/>
      <c r="I488" s="39"/>
      <c r="J488" s="39"/>
      <c r="K488" s="39"/>
      <c r="L488" s="39"/>
      <c r="M488" s="39"/>
      <c r="N488" s="39"/>
      <c r="O488" s="39"/>
      <c r="P488" s="39"/>
      <c r="Q488" s="39"/>
    </row>
    <row r="489" spans="1:19" ht="31.2" x14ac:dyDescent="0.25">
      <c r="A489" s="17" t="s">
        <v>171</v>
      </c>
      <c r="B489" s="17" t="s">
        <v>172</v>
      </c>
      <c r="C489" s="35" t="s">
        <v>173</v>
      </c>
      <c r="D489" s="35" t="s">
        <v>40</v>
      </c>
      <c r="E489" s="20">
        <v>3120.8</v>
      </c>
      <c r="G489" s="42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9"/>
      <c r="S489" s="9"/>
    </row>
    <row r="490" spans="1:19" ht="31.2" x14ac:dyDescent="0.25">
      <c r="A490" s="17" t="s">
        <v>174</v>
      </c>
      <c r="B490" s="17" t="s">
        <v>175</v>
      </c>
      <c r="C490" s="35" t="s">
        <v>176</v>
      </c>
      <c r="D490" s="35" t="s">
        <v>177</v>
      </c>
      <c r="E490" s="44">
        <v>0.2</v>
      </c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9"/>
      <c r="S490" s="9"/>
    </row>
    <row r="491" spans="1:19" ht="46.8" x14ac:dyDescent="0.25">
      <c r="A491" s="17" t="s">
        <v>178</v>
      </c>
      <c r="B491" s="17" t="s">
        <v>179</v>
      </c>
      <c r="C491" s="35" t="s">
        <v>180</v>
      </c>
      <c r="D491" s="35" t="s">
        <v>181</v>
      </c>
      <c r="E491" s="45">
        <f>0.5*0.8042+0.5*0.2135</f>
        <v>0.50885000000000002</v>
      </c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</row>
    <row r="492" spans="1:19" ht="31.2" x14ac:dyDescent="0.4">
      <c r="A492" s="40" t="s">
        <v>182</v>
      </c>
      <c r="B492" s="17" t="s">
        <v>118</v>
      </c>
      <c r="C492" s="35" t="s">
        <v>183</v>
      </c>
      <c r="D492" s="35" t="s">
        <v>184</v>
      </c>
      <c r="E492" s="47">
        <v>0</v>
      </c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9"/>
      <c r="S492" s="9"/>
    </row>
    <row r="493" spans="1:19" x14ac:dyDescent="0.3">
      <c r="A493" s="48"/>
      <c r="E493" s="49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9"/>
      <c r="S493" s="9"/>
    </row>
    <row r="494" spans="1:19" x14ac:dyDescent="0.25">
      <c r="A494" s="134" t="s">
        <v>185</v>
      </c>
      <c r="B494" s="134"/>
      <c r="C494" s="135"/>
      <c r="D494" s="135"/>
      <c r="E494" s="155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</row>
    <row r="495" spans="1:19" x14ac:dyDescent="0.25">
      <c r="A495" s="15" t="s">
        <v>9</v>
      </c>
      <c r="B495" s="15" t="s">
        <v>10</v>
      </c>
      <c r="C495" s="38" t="s">
        <v>11</v>
      </c>
      <c r="D495" s="38" t="s">
        <v>12</v>
      </c>
      <c r="E495" s="16" t="s">
        <v>80</v>
      </c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9"/>
      <c r="S495" s="9"/>
    </row>
    <row r="496" spans="1:19" ht="33.6" x14ac:dyDescent="0.4">
      <c r="A496" s="40" t="s">
        <v>186</v>
      </c>
      <c r="B496" s="17" t="s">
        <v>89</v>
      </c>
      <c r="C496" s="35" t="s">
        <v>187</v>
      </c>
      <c r="D496" s="35" t="s">
        <v>363</v>
      </c>
      <c r="E496" s="50">
        <f>E497*E500*E501*E502*E503*E504</f>
        <v>9.1264657972361292</v>
      </c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9"/>
      <c r="S496" s="9"/>
    </row>
    <row r="497" spans="1:19" ht="46.8" x14ac:dyDescent="0.4">
      <c r="A497" s="51" t="s">
        <v>188</v>
      </c>
      <c r="B497" s="17" t="s">
        <v>91</v>
      </c>
      <c r="C497" s="35" t="s">
        <v>189</v>
      </c>
      <c r="D497" s="35" t="s">
        <v>364</v>
      </c>
      <c r="E497" s="52">
        <f>E498/E499</f>
        <v>748.98</v>
      </c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9"/>
      <c r="S497" s="9"/>
    </row>
    <row r="498" spans="1:19" ht="31.2" x14ac:dyDescent="0.25">
      <c r="A498" s="17" t="s">
        <v>190</v>
      </c>
      <c r="B498" s="17" t="s">
        <v>93</v>
      </c>
      <c r="C498" s="35" t="s">
        <v>191</v>
      </c>
      <c r="D498" s="35" t="s">
        <v>40</v>
      </c>
      <c r="E498" s="52">
        <f>10.26*365</f>
        <v>3744.9</v>
      </c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9"/>
      <c r="S498" s="9"/>
    </row>
    <row r="499" spans="1:19" ht="31.2" x14ac:dyDescent="0.25">
      <c r="A499" s="17" t="s">
        <v>192</v>
      </c>
      <c r="B499" s="17" t="s">
        <v>95</v>
      </c>
      <c r="C499" s="35" t="s">
        <v>96</v>
      </c>
      <c r="D499" s="35" t="s">
        <v>40</v>
      </c>
      <c r="E499" s="25">
        <f>5</f>
        <v>5</v>
      </c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9"/>
      <c r="S499" s="9"/>
    </row>
    <row r="500" spans="1:19" ht="46.8" x14ac:dyDescent="0.25">
      <c r="A500" s="17" t="s">
        <v>193</v>
      </c>
      <c r="B500" s="17" t="s">
        <v>97</v>
      </c>
      <c r="C500" s="35" t="s">
        <v>194</v>
      </c>
      <c r="D500" s="35" t="s">
        <v>40</v>
      </c>
      <c r="E500" s="25">
        <f>9*2</f>
        <v>18</v>
      </c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9"/>
      <c r="S500" s="9"/>
    </row>
    <row r="501" spans="1:19" ht="141" x14ac:dyDescent="0.25">
      <c r="A501" s="17" t="s">
        <v>195</v>
      </c>
      <c r="B501" s="17" t="s">
        <v>99</v>
      </c>
      <c r="C501" s="35" t="s">
        <v>100</v>
      </c>
      <c r="D501" s="35" t="s">
        <v>330</v>
      </c>
      <c r="E501" s="25">
        <f>25.1/100</f>
        <v>0.251</v>
      </c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9"/>
      <c r="S501" s="9"/>
    </row>
    <row r="502" spans="1:19" ht="62.4" x14ac:dyDescent="0.25">
      <c r="A502" s="17" t="s">
        <v>101</v>
      </c>
      <c r="B502" s="17" t="s">
        <v>102</v>
      </c>
      <c r="C502" s="35" t="s">
        <v>101</v>
      </c>
      <c r="D502" s="35" t="s">
        <v>231</v>
      </c>
      <c r="E502" s="25">
        <f>0.84/1000</f>
        <v>8.3999999999999993E-4</v>
      </c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9"/>
      <c r="S502" s="9"/>
    </row>
    <row r="503" spans="1:19" ht="124.8" x14ac:dyDescent="0.25">
      <c r="A503" s="17" t="s">
        <v>196</v>
      </c>
      <c r="B503" s="17" t="s">
        <v>103</v>
      </c>
      <c r="C503" s="35" t="s">
        <v>104</v>
      </c>
      <c r="D503" s="35" t="s">
        <v>331</v>
      </c>
      <c r="E503" s="25">
        <f>43.33/1000</f>
        <v>4.333E-2</v>
      </c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9"/>
      <c r="S503" s="9"/>
    </row>
    <row r="504" spans="1:19" ht="33.6" x14ac:dyDescent="0.25">
      <c r="A504" s="17" t="s">
        <v>197</v>
      </c>
      <c r="B504" s="17" t="s">
        <v>105</v>
      </c>
      <c r="C504" s="35" t="s">
        <v>106</v>
      </c>
      <c r="D504" s="35" t="s">
        <v>107</v>
      </c>
      <c r="E504" s="25">
        <v>74.099999999999994</v>
      </c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9"/>
      <c r="S504" s="9"/>
    </row>
    <row r="506" spans="1:19" x14ac:dyDescent="0.25">
      <c r="A506" s="33" t="s">
        <v>9</v>
      </c>
      <c r="B506" s="33" t="s">
        <v>10</v>
      </c>
      <c r="C506" s="34" t="s">
        <v>11</v>
      </c>
      <c r="D506" s="34" t="s">
        <v>12</v>
      </c>
      <c r="E506" s="16" t="s">
        <v>80</v>
      </c>
    </row>
    <row r="507" spans="1:19" ht="18" x14ac:dyDescent="0.25">
      <c r="A507" s="15" t="s">
        <v>198</v>
      </c>
      <c r="B507" s="17" t="s">
        <v>118</v>
      </c>
      <c r="C507" s="35" t="s">
        <v>199</v>
      </c>
      <c r="D507" s="53" t="s">
        <v>365</v>
      </c>
      <c r="E507" s="18">
        <f>ROUNDUP(E456+E480+E484+E488+E496,0)</f>
        <v>1915</v>
      </c>
    </row>
    <row r="508" spans="1:19" s="157" customFormat="1" ht="38.4" customHeight="1" x14ac:dyDescent="0.25">
      <c r="A508" s="156" t="s">
        <v>251</v>
      </c>
    </row>
    <row r="509" spans="1:19" s="158" customFormat="1" ht="43.2" customHeight="1" x14ac:dyDescent="0.25">
      <c r="A509" s="158" t="s">
        <v>252</v>
      </c>
    </row>
    <row r="510" spans="1:19" ht="23.4" customHeight="1" x14ac:dyDescent="0.25">
      <c r="A510" s="153" t="s">
        <v>120</v>
      </c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4"/>
    </row>
    <row r="511" spans="1:19" s="10" customFormat="1" x14ac:dyDescent="0.25">
      <c r="A511" s="15" t="s">
        <v>9</v>
      </c>
      <c r="B511" s="15" t="s">
        <v>10</v>
      </c>
      <c r="C511" s="15" t="s">
        <v>11</v>
      </c>
      <c r="D511" s="15" t="s">
        <v>12</v>
      </c>
      <c r="E511" s="16" t="s">
        <v>13</v>
      </c>
      <c r="F511" s="16" t="s">
        <v>14</v>
      </c>
      <c r="G511" s="16" t="s">
        <v>15</v>
      </c>
      <c r="H511" s="16" t="s">
        <v>16</v>
      </c>
      <c r="I511" s="16" t="s">
        <v>17</v>
      </c>
      <c r="J511" s="16" t="s">
        <v>18</v>
      </c>
      <c r="K511" s="16" t="s">
        <v>19</v>
      </c>
      <c r="L511" s="16" t="s">
        <v>20</v>
      </c>
      <c r="M511" s="16" t="s">
        <v>21</v>
      </c>
      <c r="N511" s="16" t="s">
        <v>22</v>
      </c>
      <c r="O511" s="16" t="s">
        <v>23</v>
      </c>
      <c r="P511" s="16" t="s">
        <v>24</v>
      </c>
      <c r="Q511" s="16" t="s">
        <v>25</v>
      </c>
      <c r="R511" s="54"/>
      <c r="S511" s="54"/>
    </row>
    <row r="512" spans="1:19" s="10" customFormat="1" x14ac:dyDescent="0.25">
      <c r="A512" s="146" t="s">
        <v>121</v>
      </c>
      <c r="B512" s="146"/>
      <c r="C512" s="146"/>
      <c r="D512" s="146"/>
      <c r="E512" s="147"/>
      <c r="F512" s="16">
        <v>31</v>
      </c>
      <c r="G512" s="16">
        <v>28</v>
      </c>
      <c r="H512" s="16">
        <v>31</v>
      </c>
      <c r="I512" s="16">
        <v>30</v>
      </c>
      <c r="J512" s="16">
        <v>31</v>
      </c>
      <c r="K512" s="16">
        <v>30</v>
      </c>
      <c r="L512" s="16">
        <v>31</v>
      </c>
      <c r="M512" s="16">
        <v>31</v>
      </c>
      <c r="N512" s="16">
        <v>30</v>
      </c>
      <c r="O512" s="16">
        <v>31</v>
      </c>
      <c r="P512" s="16">
        <v>30</v>
      </c>
      <c r="Q512" s="16">
        <v>31</v>
      </c>
      <c r="R512" s="54"/>
      <c r="S512" s="54"/>
    </row>
    <row r="513" spans="1:19" s="10" customFormat="1" ht="31.2" x14ac:dyDescent="0.25">
      <c r="A513" s="15" t="s">
        <v>122</v>
      </c>
      <c r="B513" s="17" t="s">
        <v>118</v>
      </c>
      <c r="C513" s="17" t="s">
        <v>123</v>
      </c>
      <c r="D513" s="17" t="s">
        <v>353</v>
      </c>
      <c r="E513" s="18">
        <f>E514+E524</f>
        <v>0</v>
      </c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54"/>
      <c r="S513" s="54"/>
    </row>
    <row r="514" spans="1:19" ht="46.8" x14ac:dyDescent="0.25">
      <c r="A514" s="17" t="s">
        <v>124</v>
      </c>
      <c r="B514" s="17" t="s">
        <v>118</v>
      </c>
      <c r="C514" s="17" t="s">
        <v>125</v>
      </c>
      <c r="D514" s="17" t="s">
        <v>354</v>
      </c>
      <c r="E514" s="19">
        <f>SUM(F514:Q514)</f>
        <v>0</v>
      </c>
      <c r="F514" s="19">
        <f>IF(F515&gt;=0.8,0,$E$15*$E$16*0.4*(F516-F519)*F512)</f>
        <v>0</v>
      </c>
      <c r="G514" s="19">
        <f t="shared" ref="G514:Q514" si="63">IF(G515&gt;=0.8,0,$E$15*$E$16*0.4*(G516-G519)*G512)</f>
        <v>0</v>
      </c>
      <c r="H514" s="19">
        <f t="shared" si="63"/>
        <v>0</v>
      </c>
      <c r="I514" s="19">
        <f t="shared" si="63"/>
        <v>0</v>
      </c>
      <c r="J514" s="19">
        <f t="shared" si="63"/>
        <v>0</v>
      </c>
      <c r="K514" s="19">
        <f t="shared" si="63"/>
        <v>0</v>
      </c>
      <c r="L514" s="19">
        <f t="shared" si="63"/>
        <v>0</v>
      </c>
      <c r="M514" s="19">
        <f t="shared" si="63"/>
        <v>0</v>
      </c>
      <c r="N514" s="19">
        <f t="shared" si="63"/>
        <v>0</v>
      </c>
      <c r="O514" s="19">
        <f t="shared" si="63"/>
        <v>0</v>
      </c>
      <c r="P514" s="19">
        <f t="shared" si="63"/>
        <v>0</v>
      </c>
      <c r="Q514" s="19">
        <f t="shared" si="63"/>
        <v>0</v>
      </c>
    </row>
    <row r="515" spans="1:19" ht="62.4" x14ac:dyDescent="0.25">
      <c r="A515" s="17" t="s">
        <v>126</v>
      </c>
      <c r="B515" s="17" t="s">
        <v>52</v>
      </c>
      <c r="C515" s="17" t="s">
        <v>127</v>
      </c>
      <c r="D515" s="17" t="s">
        <v>355</v>
      </c>
      <c r="E515" s="20">
        <f>AVERAGE(F515:Q515)</f>
        <v>0.91111111111111132</v>
      </c>
      <c r="F515" s="20">
        <f>(F516-F519)/F516</f>
        <v>0.91111111111111098</v>
      </c>
      <c r="G515" s="20">
        <f t="shared" ref="G515:Q515" si="64">(G516-G519)/G516</f>
        <v>0.91111111111111098</v>
      </c>
      <c r="H515" s="20">
        <f t="shared" si="64"/>
        <v>0.91111111111111098</v>
      </c>
      <c r="I515" s="20">
        <f t="shared" si="64"/>
        <v>0.91111111111111098</v>
      </c>
      <c r="J515" s="20">
        <f t="shared" si="64"/>
        <v>0.91111111111111098</v>
      </c>
      <c r="K515" s="20">
        <f t="shared" si="64"/>
        <v>0.91111111111111098</v>
      </c>
      <c r="L515" s="20">
        <f t="shared" si="64"/>
        <v>0.91111111111111098</v>
      </c>
      <c r="M515" s="20">
        <f t="shared" si="64"/>
        <v>0.91111111111111098</v>
      </c>
      <c r="N515" s="20">
        <f t="shared" si="64"/>
        <v>0.91111111111111098</v>
      </c>
      <c r="O515" s="20">
        <f t="shared" si="64"/>
        <v>0.91111111111111098</v>
      </c>
      <c r="P515" s="20">
        <f t="shared" si="64"/>
        <v>0.91111111111111098</v>
      </c>
      <c r="Q515" s="20">
        <f t="shared" si="64"/>
        <v>0.91111111111111098</v>
      </c>
    </row>
    <row r="516" spans="1:19" ht="46.8" x14ac:dyDescent="0.25">
      <c r="A516" s="17" t="s">
        <v>128</v>
      </c>
      <c r="B516" s="17" t="s">
        <v>38</v>
      </c>
      <c r="C516" s="17" t="s">
        <v>129</v>
      </c>
      <c r="D516" s="17" t="s">
        <v>356</v>
      </c>
      <c r="E516" s="20">
        <f>SUM(F516:Q516)</f>
        <v>35.639999999999993</v>
      </c>
      <c r="F516" s="20">
        <f>F517*F518</f>
        <v>2.9699999999999998</v>
      </c>
      <c r="G516" s="20">
        <f t="shared" ref="G516:Q516" si="65">G517*G518</f>
        <v>2.9699999999999998</v>
      </c>
      <c r="H516" s="20">
        <f t="shared" si="65"/>
        <v>2.9699999999999998</v>
      </c>
      <c r="I516" s="20">
        <f t="shared" si="65"/>
        <v>2.9699999999999998</v>
      </c>
      <c r="J516" s="20">
        <f t="shared" si="65"/>
        <v>2.9699999999999998</v>
      </c>
      <c r="K516" s="20">
        <f t="shared" si="65"/>
        <v>2.9699999999999998</v>
      </c>
      <c r="L516" s="20">
        <f t="shared" si="65"/>
        <v>2.9699999999999998</v>
      </c>
      <c r="M516" s="20">
        <f t="shared" si="65"/>
        <v>2.9699999999999998</v>
      </c>
      <c r="N516" s="20">
        <f t="shared" si="65"/>
        <v>2.9699999999999998</v>
      </c>
      <c r="O516" s="20">
        <f t="shared" si="65"/>
        <v>2.9699999999999998</v>
      </c>
      <c r="P516" s="20">
        <f t="shared" si="65"/>
        <v>2.9699999999999998</v>
      </c>
      <c r="Q516" s="20">
        <f t="shared" si="65"/>
        <v>2.9699999999999998</v>
      </c>
    </row>
    <row r="517" spans="1:19" ht="51" customHeight="1" x14ac:dyDescent="0.25">
      <c r="A517" s="17" t="s">
        <v>130</v>
      </c>
      <c r="B517" s="17" t="s">
        <v>131</v>
      </c>
      <c r="C517" s="17" t="s">
        <v>132</v>
      </c>
      <c r="D517" s="17" t="s">
        <v>40</v>
      </c>
      <c r="E517" s="21">
        <f>SUM(F517:Q517)</f>
        <v>79200</v>
      </c>
      <c r="F517" s="21">
        <f>6600</f>
        <v>6600</v>
      </c>
      <c r="G517" s="21">
        <f>6600</f>
        <v>6600</v>
      </c>
      <c r="H517" s="21">
        <f>6600</f>
        <v>6600</v>
      </c>
      <c r="I517" s="21">
        <f>6600</f>
        <v>6600</v>
      </c>
      <c r="J517" s="21">
        <f>6600</f>
        <v>6600</v>
      </c>
      <c r="K517" s="21">
        <f>6600</f>
        <v>6600</v>
      </c>
      <c r="L517" s="21">
        <f>6600</f>
        <v>6600</v>
      </c>
      <c r="M517" s="21">
        <f>6600</f>
        <v>6600</v>
      </c>
      <c r="N517" s="21">
        <f>6600</f>
        <v>6600</v>
      </c>
      <c r="O517" s="21">
        <f>6600</f>
        <v>6600</v>
      </c>
      <c r="P517" s="21">
        <f>6600</f>
        <v>6600</v>
      </c>
      <c r="Q517" s="21">
        <f>6600</f>
        <v>6600</v>
      </c>
    </row>
    <row r="518" spans="1:19" ht="46.8" x14ac:dyDescent="0.25">
      <c r="A518" s="17" t="s">
        <v>133</v>
      </c>
      <c r="B518" s="17" t="s">
        <v>134</v>
      </c>
      <c r="C518" s="17" t="s">
        <v>135</v>
      </c>
      <c r="D518" s="17" t="s">
        <v>40</v>
      </c>
      <c r="E518" s="22">
        <f>AVERAGE(F518:Q518)</f>
        <v>4.4999999999999993E-4</v>
      </c>
      <c r="F518" s="23">
        <f>'Baseline Emissions'!F505</f>
        <v>4.4999999999999999E-4</v>
      </c>
      <c r="G518" s="23">
        <f>'Baseline Emissions'!G505</f>
        <v>4.4999999999999999E-4</v>
      </c>
      <c r="H518" s="23">
        <f>'Baseline Emissions'!H505</f>
        <v>4.4999999999999999E-4</v>
      </c>
      <c r="I518" s="23">
        <f>'Baseline Emissions'!I505</f>
        <v>4.4999999999999999E-4</v>
      </c>
      <c r="J518" s="23">
        <f>'Baseline Emissions'!J505</f>
        <v>4.4999999999999999E-4</v>
      </c>
      <c r="K518" s="23">
        <f>'Baseline Emissions'!K505</f>
        <v>4.4999999999999999E-4</v>
      </c>
      <c r="L518" s="23">
        <f>'Baseline Emissions'!L505</f>
        <v>4.4999999999999999E-4</v>
      </c>
      <c r="M518" s="23">
        <f>'Baseline Emissions'!M505</f>
        <v>4.4999999999999999E-4</v>
      </c>
      <c r="N518" s="23">
        <f>'Baseline Emissions'!N505</f>
        <v>4.4999999999999999E-4</v>
      </c>
      <c r="O518" s="23">
        <f>'Baseline Emissions'!O505</f>
        <v>4.4999999999999999E-4</v>
      </c>
      <c r="P518" s="23">
        <f>'Baseline Emissions'!P505</f>
        <v>4.4999999999999999E-4</v>
      </c>
      <c r="Q518" s="23">
        <f>'Baseline Emissions'!Q505</f>
        <v>4.4999999999999999E-4</v>
      </c>
    </row>
    <row r="519" spans="1:19" ht="46.8" x14ac:dyDescent="0.25">
      <c r="A519" s="17" t="s">
        <v>136</v>
      </c>
      <c r="B519" s="17" t="s">
        <v>38</v>
      </c>
      <c r="C519" s="17" t="s">
        <v>137</v>
      </c>
      <c r="D519" s="17" t="s">
        <v>356</v>
      </c>
      <c r="E519" s="20">
        <f>SUM(F519:Q519)</f>
        <v>3.168000000000001</v>
      </c>
      <c r="F519" s="20">
        <f>SUM(F520*F521)</f>
        <v>0.26400000000000001</v>
      </c>
      <c r="G519" s="20">
        <f t="shared" ref="G519:Q519" si="66">SUM(G520*G521)</f>
        <v>0.26400000000000001</v>
      </c>
      <c r="H519" s="20">
        <f t="shared" si="66"/>
        <v>0.26400000000000001</v>
      </c>
      <c r="I519" s="20">
        <f t="shared" si="66"/>
        <v>0.26400000000000001</v>
      </c>
      <c r="J519" s="20">
        <f t="shared" si="66"/>
        <v>0.26400000000000001</v>
      </c>
      <c r="K519" s="20">
        <f t="shared" si="66"/>
        <v>0.26400000000000001</v>
      </c>
      <c r="L519" s="20">
        <f t="shared" si="66"/>
        <v>0.26400000000000001</v>
      </c>
      <c r="M519" s="20">
        <f t="shared" si="66"/>
        <v>0.26400000000000001</v>
      </c>
      <c r="N519" s="20">
        <f t="shared" si="66"/>
        <v>0.26400000000000001</v>
      </c>
      <c r="O519" s="20">
        <f t="shared" si="66"/>
        <v>0.26400000000000001</v>
      </c>
      <c r="P519" s="20">
        <f t="shared" si="66"/>
        <v>0.26400000000000001</v>
      </c>
      <c r="Q519" s="20">
        <f t="shared" si="66"/>
        <v>0.26400000000000001</v>
      </c>
    </row>
    <row r="520" spans="1:19" ht="31.2" x14ac:dyDescent="0.25">
      <c r="A520" s="17" t="s">
        <v>138</v>
      </c>
      <c r="B520" s="17" t="s">
        <v>131</v>
      </c>
      <c r="C520" s="17" t="s">
        <v>139</v>
      </c>
      <c r="D520" s="17" t="s">
        <v>40</v>
      </c>
      <c r="E520" s="21">
        <f>SUM(F520:Q520)</f>
        <v>79200</v>
      </c>
      <c r="F520" s="21">
        <f>6600</f>
        <v>6600</v>
      </c>
      <c r="G520" s="21">
        <f>6600</f>
        <v>6600</v>
      </c>
      <c r="H520" s="21">
        <f>6600</f>
        <v>6600</v>
      </c>
      <c r="I520" s="21">
        <f>6600</f>
        <v>6600</v>
      </c>
      <c r="J520" s="21">
        <f>6600</f>
        <v>6600</v>
      </c>
      <c r="K520" s="21">
        <f>6600</f>
        <v>6600</v>
      </c>
      <c r="L520" s="21">
        <f>6600</f>
        <v>6600</v>
      </c>
      <c r="M520" s="21">
        <f>6600</f>
        <v>6600</v>
      </c>
      <c r="N520" s="21">
        <f>6600</f>
        <v>6600</v>
      </c>
      <c r="O520" s="21">
        <f>6600</f>
        <v>6600</v>
      </c>
      <c r="P520" s="21">
        <f>6600</f>
        <v>6600</v>
      </c>
      <c r="Q520" s="21">
        <f>6600</f>
        <v>6600</v>
      </c>
    </row>
    <row r="521" spans="1:19" ht="46.8" x14ac:dyDescent="0.25">
      <c r="A521" s="17" t="s">
        <v>140</v>
      </c>
      <c r="B521" s="17" t="s">
        <v>134</v>
      </c>
      <c r="C521" s="17" t="s">
        <v>141</v>
      </c>
      <c r="D521" s="17" t="s">
        <v>40</v>
      </c>
      <c r="E521" s="24">
        <f>AVERAGE(F521:Q521)</f>
        <v>4.0000000000000003E-5</v>
      </c>
      <c r="F521" s="24">
        <f>'Baseline Emissions'!F506</f>
        <v>4.0000000000000003E-5</v>
      </c>
      <c r="G521" s="24">
        <f>'Baseline Emissions'!G506</f>
        <v>4.0000000000000003E-5</v>
      </c>
      <c r="H521" s="24">
        <f>'Baseline Emissions'!H506</f>
        <v>4.0000000000000003E-5</v>
      </c>
      <c r="I521" s="24">
        <f>'Baseline Emissions'!I506</f>
        <v>4.0000000000000003E-5</v>
      </c>
      <c r="J521" s="24">
        <f>'Baseline Emissions'!J506</f>
        <v>4.0000000000000003E-5</v>
      </c>
      <c r="K521" s="24">
        <f>'Baseline Emissions'!K506</f>
        <v>4.0000000000000003E-5</v>
      </c>
      <c r="L521" s="24">
        <f>'Baseline Emissions'!L506</f>
        <v>4.0000000000000003E-5</v>
      </c>
      <c r="M521" s="24">
        <f>'Baseline Emissions'!M506</f>
        <v>4.0000000000000003E-5</v>
      </c>
      <c r="N521" s="24">
        <f>'Baseline Emissions'!N506</f>
        <v>4.0000000000000003E-5</v>
      </c>
      <c r="O521" s="24">
        <f>'Baseline Emissions'!O506</f>
        <v>4.0000000000000003E-5</v>
      </c>
      <c r="P521" s="24">
        <f>'Baseline Emissions'!P506</f>
        <v>4.0000000000000003E-5</v>
      </c>
      <c r="Q521" s="24">
        <f>'Baseline Emissions'!Q506</f>
        <v>4.0000000000000003E-5</v>
      </c>
    </row>
    <row r="522" spans="1:19" ht="31.2" x14ac:dyDescent="0.25">
      <c r="A522" s="17" t="s">
        <v>142</v>
      </c>
      <c r="B522" s="17" t="s">
        <v>143</v>
      </c>
      <c r="C522" s="17" t="s">
        <v>31</v>
      </c>
      <c r="D522" s="17" t="s">
        <v>144</v>
      </c>
      <c r="E522" s="130">
        <v>28</v>
      </c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</row>
    <row r="523" spans="1:19" ht="64.8" x14ac:dyDescent="0.25">
      <c r="A523" s="17" t="s">
        <v>145</v>
      </c>
      <c r="B523" s="17" t="s">
        <v>33</v>
      </c>
      <c r="C523" s="17" t="s">
        <v>146</v>
      </c>
      <c r="D523" s="17" t="s">
        <v>373</v>
      </c>
      <c r="E523" s="130">
        <v>0.21</v>
      </c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</row>
    <row r="524" spans="1:19" ht="46.8" x14ac:dyDescent="0.25">
      <c r="A524" s="17" t="s">
        <v>147</v>
      </c>
      <c r="B524" s="17" t="s">
        <v>118</v>
      </c>
      <c r="C524" s="17" t="s">
        <v>148</v>
      </c>
      <c r="D524" s="17" t="s">
        <v>357</v>
      </c>
      <c r="E524" s="19">
        <f>SUM(F524:Q524)</f>
        <v>0</v>
      </c>
      <c r="F524" s="19">
        <f>$E$15*$E$16*F525*F519*F512</f>
        <v>0</v>
      </c>
      <c r="G524" s="19">
        <f t="shared" ref="G524:Q524" si="67">$E$15*$E$16*G525*G519*G512</f>
        <v>0</v>
      </c>
      <c r="H524" s="19">
        <f t="shared" si="67"/>
        <v>0</v>
      </c>
      <c r="I524" s="19">
        <f t="shared" si="67"/>
        <v>0</v>
      </c>
      <c r="J524" s="19">
        <f t="shared" si="67"/>
        <v>0</v>
      </c>
      <c r="K524" s="19">
        <f t="shared" si="67"/>
        <v>0</v>
      </c>
      <c r="L524" s="19">
        <f t="shared" si="67"/>
        <v>0</v>
      </c>
      <c r="M524" s="19">
        <f t="shared" si="67"/>
        <v>0</v>
      </c>
      <c r="N524" s="19">
        <f t="shared" si="67"/>
        <v>0</v>
      </c>
      <c r="O524" s="19">
        <f t="shared" si="67"/>
        <v>0</v>
      </c>
      <c r="P524" s="19">
        <f t="shared" si="67"/>
        <v>0</v>
      </c>
      <c r="Q524" s="19">
        <f t="shared" si="67"/>
        <v>0</v>
      </c>
    </row>
    <row r="525" spans="1:19" ht="18" x14ac:dyDescent="0.25">
      <c r="A525" s="17" t="s">
        <v>149</v>
      </c>
      <c r="B525" s="17" t="s">
        <v>52</v>
      </c>
      <c r="C525" s="17" t="s">
        <v>150</v>
      </c>
      <c r="D525" s="17" t="s">
        <v>358</v>
      </c>
      <c r="E525" s="26">
        <f>AVERAGE(F525:Q525)</f>
        <v>0</v>
      </c>
      <c r="F525" s="26">
        <f t="shared" ref="F525:Q525" si="68">F526*$E$20*0.89</f>
        <v>0</v>
      </c>
      <c r="G525" s="26">
        <f t="shared" si="68"/>
        <v>0</v>
      </c>
      <c r="H525" s="26">
        <f t="shared" si="68"/>
        <v>0</v>
      </c>
      <c r="I525" s="26">
        <f t="shared" si="68"/>
        <v>0</v>
      </c>
      <c r="J525" s="26">
        <f t="shared" si="68"/>
        <v>0</v>
      </c>
      <c r="K525" s="26">
        <f t="shared" si="68"/>
        <v>0</v>
      </c>
      <c r="L525" s="26">
        <f t="shared" si="68"/>
        <v>0</v>
      </c>
      <c r="M525" s="26">
        <f t="shared" si="68"/>
        <v>0</v>
      </c>
      <c r="N525" s="26">
        <f t="shared" si="68"/>
        <v>0</v>
      </c>
      <c r="O525" s="26">
        <f t="shared" si="68"/>
        <v>0</v>
      </c>
      <c r="P525" s="26">
        <f t="shared" si="68"/>
        <v>0</v>
      </c>
      <c r="Q525" s="26">
        <f t="shared" si="68"/>
        <v>0</v>
      </c>
    </row>
    <row r="526" spans="1:19" ht="31.2" x14ac:dyDescent="0.25">
      <c r="A526" s="17" t="s">
        <v>151</v>
      </c>
      <c r="B526" s="17" t="s">
        <v>52</v>
      </c>
      <c r="C526" s="17" t="s">
        <v>61</v>
      </c>
      <c r="D526" s="17" t="s">
        <v>359</v>
      </c>
      <c r="E526" s="25">
        <v>0</v>
      </c>
      <c r="F526" s="25">
        <v>0</v>
      </c>
      <c r="G526" s="25">
        <v>0</v>
      </c>
      <c r="H526" s="25">
        <v>0</v>
      </c>
      <c r="I526" s="25">
        <v>0</v>
      </c>
      <c r="J526" s="25">
        <v>0</v>
      </c>
      <c r="K526" s="25">
        <v>0</v>
      </c>
      <c r="L526" s="25">
        <v>0</v>
      </c>
      <c r="M526" s="25">
        <v>0</v>
      </c>
      <c r="N526" s="25">
        <v>0</v>
      </c>
      <c r="O526" s="25">
        <v>0</v>
      </c>
      <c r="P526" s="25">
        <v>0</v>
      </c>
      <c r="Q526" s="25">
        <v>0</v>
      </c>
    </row>
    <row r="527" spans="1:19" ht="31.2" x14ac:dyDescent="0.25">
      <c r="A527" s="17" t="s">
        <v>152</v>
      </c>
      <c r="B527" s="17" t="s">
        <v>216</v>
      </c>
      <c r="C527" s="17" t="s">
        <v>153</v>
      </c>
      <c r="D527" s="17" t="s">
        <v>360</v>
      </c>
      <c r="E527" s="148">
        <f>(F528*F533+G528*G533+H528*H533+I528*I533+J528*J533+K528*K533+L528*L533+M528*M533+N528*N533+O528*O533+P528*P533+Q528*Q533)/(F520*F521*F512+G521*G520*G512+H520*H521*H512+I521*I520*I512+J521*J520*J512+K521*K520*K512+L521*L520*L512+M521*M520*M512+N521*N520*N512+O520*O521*O512+P521*P520*P512+Q521*Q520*Q512)</f>
        <v>0.62647871203107908</v>
      </c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</row>
    <row r="528" spans="1:19" ht="31.2" x14ac:dyDescent="0.25">
      <c r="A528" s="17" t="s">
        <v>154</v>
      </c>
      <c r="B528" s="17" t="s">
        <v>52</v>
      </c>
      <c r="C528" s="17" t="s">
        <v>155</v>
      </c>
      <c r="D528" s="17" t="s">
        <v>347</v>
      </c>
      <c r="E528" s="27">
        <f>AVERAGE(F528:Q528)</f>
        <v>0.6246384929124339</v>
      </c>
      <c r="F528" s="27">
        <f>IF(F532&lt;283,0,IF(F532&gt;303,1,EXP(($E$22*(F532-$E$23))/($E$24*$E$23*F532))))</f>
        <v>0.24547412919519337</v>
      </c>
      <c r="G528" s="27">
        <f t="shared" ref="G528:Q528" si="69">IF(G532&lt;283,0,IF(G532&gt;303,1,EXP(($E$22*(G532-$E$23))/($E$24*$E$23*G532))))</f>
        <v>0.26921004737855481</v>
      </c>
      <c r="H528" s="27">
        <f t="shared" si="69"/>
        <v>0.38698063689870399</v>
      </c>
      <c r="I528" s="27">
        <f t="shared" si="69"/>
        <v>0.55084569341606926</v>
      </c>
      <c r="J528" s="27">
        <f t="shared" si="69"/>
        <v>0.77675425208684001</v>
      </c>
      <c r="K528" s="27">
        <f t="shared" si="69"/>
        <v>1</v>
      </c>
      <c r="L528" s="27">
        <f t="shared" si="69"/>
        <v>1</v>
      </c>
      <c r="M528" s="27">
        <f t="shared" si="69"/>
        <v>1</v>
      </c>
      <c r="N528" s="27">
        <f t="shared" si="69"/>
        <v>0.91923925774048054</v>
      </c>
      <c r="O528" s="27">
        <f t="shared" si="69"/>
        <v>0.65487347206548807</v>
      </c>
      <c r="P528" s="27">
        <f t="shared" si="69"/>
        <v>0.42307437878932203</v>
      </c>
      <c r="Q528" s="27">
        <f t="shared" si="69"/>
        <v>0.26921004737855481</v>
      </c>
    </row>
    <row r="529" spans="1:17" x14ac:dyDescent="0.25">
      <c r="A529" s="17" t="s">
        <v>66</v>
      </c>
      <c r="B529" s="17" t="s">
        <v>67</v>
      </c>
      <c r="C529" s="17" t="s">
        <v>68</v>
      </c>
      <c r="D529" s="17" t="s">
        <v>361</v>
      </c>
      <c r="E529" s="130">
        <v>15175</v>
      </c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</row>
    <row r="530" spans="1:17" ht="18" x14ac:dyDescent="0.25">
      <c r="A530" s="17" t="s">
        <v>156</v>
      </c>
      <c r="B530" s="17" t="s">
        <v>70</v>
      </c>
      <c r="C530" s="17" t="s">
        <v>71</v>
      </c>
      <c r="D530" s="17" t="s">
        <v>361</v>
      </c>
      <c r="E530" s="130">
        <v>303.16000000000003</v>
      </c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</row>
    <row r="531" spans="1:17" x14ac:dyDescent="0.25">
      <c r="A531" s="17" t="s">
        <v>72</v>
      </c>
      <c r="B531" s="17" t="s">
        <v>73</v>
      </c>
      <c r="C531" s="17" t="s">
        <v>74</v>
      </c>
      <c r="D531" s="17" t="s">
        <v>361</v>
      </c>
      <c r="E531" s="130">
        <v>1.9870000000000001</v>
      </c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</row>
    <row r="532" spans="1:17" ht="31.2" x14ac:dyDescent="0.25">
      <c r="A532" s="17" t="s">
        <v>157</v>
      </c>
      <c r="B532" s="17" t="s">
        <v>70</v>
      </c>
      <c r="C532" s="17" t="s">
        <v>158</v>
      </c>
      <c r="D532" s="17" t="s">
        <v>280</v>
      </c>
      <c r="E532" s="28">
        <f>AVERAGE(F532:Q532)</f>
        <v>296.23333333333341</v>
      </c>
      <c r="F532" s="25">
        <v>287.14999999999998</v>
      </c>
      <c r="G532" s="25">
        <v>288.14999999999998</v>
      </c>
      <c r="H532" s="25">
        <v>292.14999999999998</v>
      </c>
      <c r="I532" s="25">
        <v>296.14999999999998</v>
      </c>
      <c r="J532" s="25">
        <v>300.14999999999998</v>
      </c>
      <c r="K532" s="25">
        <v>303.14999999999998</v>
      </c>
      <c r="L532" s="25">
        <v>303.14999999999998</v>
      </c>
      <c r="M532" s="25">
        <v>303.14999999999998</v>
      </c>
      <c r="N532" s="25">
        <v>302.14999999999998</v>
      </c>
      <c r="O532" s="25">
        <v>298.14999999999998</v>
      </c>
      <c r="P532" s="25">
        <v>293.14999999999998</v>
      </c>
      <c r="Q532" s="25">
        <v>288.14999999999998</v>
      </c>
    </row>
    <row r="533" spans="1:17" ht="46.8" x14ac:dyDescent="0.25">
      <c r="A533" s="17" t="s">
        <v>159</v>
      </c>
      <c r="B533" s="17" t="s">
        <v>38</v>
      </c>
      <c r="C533" s="17" t="s">
        <v>160</v>
      </c>
      <c r="D533" s="17" t="s">
        <v>362</v>
      </c>
      <c r="E533" s="29">
        <f>SUM(F533:Q533)</f>
        <v>96.36</v>
      </c>
      <c r="F533" s="29">
        <f>F517*F521*'Project Emissions'!F512+(1-F528)*0</f>
        <v>8.1840000000000011</v>
      </c>
      <c r="G533" s="29">
        <f>G517*G521*'Project Emissions'!G512+(1-G528)*0</f>
        <v>7.3920000000000003</v>
      </c>
      <c r="H533" s="29">
        <f>H517*H521*'Project Emissions'!H512+(1-H528)*0</f>
        <v>8.1840000000000011</v>
      </c>
      <c r="I533" s="29">
        <f>I517*I521*'Project Emissions'!I512+(1-I528)*0</f>
        <v>7.92</v>
      </c>
      <c r="J533" s="29">
        <f>J517*J521*'Project Emissions'!J512+(1-J528)*0</f>
        <v>8.1840000000000011</v>
      </c>
      <c r="K533" s="29">
        <f>K517*K521*'Project Emissions'!K512+(1-K528)*0</f>
        <v>7.92</v>
      </c>
      <c r="L533" s="29">
        <f>L517*L521*'Project Emissions'!L512+(1-L528)*0</f>
        <v>8.1840000000000011</v>
      </c>
      <c r="M533" s="29">
        <f>M517*M521*'Project Emissions'!M512+(1-M528)*0</f>
        <v>8.1840000000000011</v>
      </c>
      <c r="N533" s="29">
        <f>N517*N521*'Project Emissions'!N512+(1-N528)*0</f>
        <v>7.92</v>
      </c>
      <c r="O533" s="29">
        <f>O517*O521*'Project Emissions'!O512+(1-O528)*0</f>
        <v>8.1840000000000011</v>
      </c>
      <c r="P533" s="29">
        <f>P517*P521*'Project Emissions'!P512+(1-P528)*0</f>
        <v>7.92</v>
      </c>
      <c r="Q533" s="29">
        <f>Q517*Q521*'Project Emissions'!Q512+(1-Q528)*0</f>
        <v>8.1840000000000011</v>
      </c>
    </row>
    <row r="534" spans="1:17" x14ac:dyDescent="0.3">
      <c r="A534" s="30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</row>
    <row r="535" spans="1:17" x14ac:dyDescent="0.25">
      <c r="A535" s="134" t="s">
        <v>161</v>
      </c>
      <c r="B535" s="134"/>
      <c r="C535" s="135"/>
      <c r="D535" s="135"/>
      <c r="E535" s="155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</row>
    <row r="536" spans="1:17" x14ac:dyDescent="0.25">
      <c r="A536" s="33" t="s">
        <v>9</v>
      </c>
      <c r="B536" s="33" t="s">
        <v>10</v>
      </c>
      <c r="C536" s="34" t="s">
        <v>11</v>
      </c>
      <c r="D536" s="34" t="s">
        <v>12</v>
      </c>
      <c r="E536" s="16" t="s">
        <v>80</v>
      </c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</row>
    <row r="537" spans="1:17" ht="46.8" x14ac:dyDescent="0.25">
      <c r="A537" s="15" t="s">
        <v>162</v>
      </c>
      <c r="B537" s="17" t="s">
        <v>110</v>
      </c>
      <c r="C537" s="35" t="s">
        <v>163</v>
      </c>
      <c r="D537" s="35" t="s">
        <v>83</v>
      </c>
      <c r="E537" s="16">
        <v>0</v>
      </c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</row>
    <row r="538" spans="1:17" x14ac:dyDescent="0.25">
      <c r="A538" s="36"/>
      <c r="B538" s="36"/>
      <c r="C538" s="37"/>
      <c r="D538" s="37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</row>
    <row r="539" spans="1:17" x14ac:dyDescent="0.25">
      <c r="A539" s="134" t="s">
        <v>164</v>
      </c>
      <c r="B539" s="134"/>
      <c r="C539" s="135"/>
      <c r="D539" s="135"/>
      <c r="E539" s="155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</row>
    <row r="540" spans="1:17" x14ac:dyDescent="0.25">
      <c r="A540" s="33" t="s">
        <v>9</v>
      </c>
      <c r="B540" s="33" t="s">
        <v>10</v>
      </c>
      <c r="C540" s="34" t="s">
        <v>11</v>
      </c>
      <c r="D540" s="34" t="s">
        <v>12</v>
      </c>
      <c r="E540" s="16" t="s">
        <v>80</v>
      </c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</row>
    <row r="541" spans="1:17" ht="46.8" x14ac:dyDescent="0.25">
      <c r="A541" s="15" t="s">
        <v>165</v>
      </c>
      <c r="B541" s="17" t="s">
        <v>110</v>
      </c>
      <c r="C541" s="35" t="s">
        <v>166</v>
      </c>
      <c r="D541" s="35" t="s">
        <v>83</v>
      </c>
      <c r="E541" s="16">
        <v>0</v>
      </c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</row>
    <row r="542" spans="1:17" x14ac:dyDescent="0.25"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</row>
    <row r="543" spans="1:17" x14ac:dyDescent="0.25">
      <c r="A543" s="134" t="s">
        <v>167</v>
      </c>
      <c r="B543" s="134"/>
      <c r="C543" s="135"/>
      <c r="D543" s="135"/>
      <c r="E543" s="155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</row>
    <row r="544" spans="1:17" s="10" customFormat="1" x14ac:dyDescent="0.25">
      <c r="A544" s="15" t="s">
        <v>9</v>
      </c>
      <c r="B544" s="15" t="s">
        <v>10</v>
      </c>
      <c r="C544" s="38" t="s">
        <v>11</v>
      </c>
      <c r="D544" s="38" t="s">
        <v>12</v>
      </c>
      <c r="E544" s="16" t="s">
        <v>80</v>
      </c>
      <c r="F544" s="32"/>
      <c r="G544" s="32"/>
      <c r="H544" s="39"/>
      <c r="I544" s="39"/>
      <c r="J544" s="39"/>
      <c r="K544" s="39"/>
      <c r="L544" s="39"/>
      <c r="M544" s="39"/>
      <c r="N544" s="39"/>
      <c r="O544" s="39"/>
      <c r="P544" s="39"/>
      <c r="Q544" s="39"/>
    </row>
    <row r="545" spans="1:19" s="10" customFormat="1" ht="18" x14ac:dyDescent="0.4">
      <c r="A545" s="40" t="s">
        <v>168</v>
      </c>
      <c r="B545" s="17" t="s">
        <v>118</v>
      </c>
      <c r="C545" s="35" t="s">
        <v>169</v>
      </c>
      <c r="D545" s="35" t="s">
        <v>170</v>
      </c>
      <c r="E545" s="41">
        <f>E546*E548*(1+E547)</f>
        <v>399.69963960000007</v>
      </c>
      <c r="F545" s="32"/>
      <c r="G545" s="32"/>
      <c r="H545" s="39"/>
      <c r="I545" s="39"/>
      <c r="J545" s="39"/>
      <c r="K545" s="39"/>
      <c r="L545" s="39"/>
      <c r="M545" s="39"/>
      <c r="N545" s="39"/>
      <c r="O545" s="39"/>
      <c r="P545" s="39"/>
      <c r="Q545" s="39"/>
    </row>
    <row r="546" spans="1:19" ht="31.2" x14ac:dyDescent="0.25">
      <c r="A546" s="17" t="s">
        <v>171</v>
      </c>
      <c r="B546" s="17" t="s">
        <v>172</v>
      </c>
      <c r="C546" s="35" t="s">
        <v>173</v>
      </c>
      <c r="D546" s="35" t="s">
        <v>40</v>
      </c>
      <c r="E546" s="20">
        <v>654.58000000000004</v>
      </c>
      <c r="G546" s="42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9"/>
      <c r="S546" s="9"/>
    </row>
    <row r="547" spans="1:19" ht="31.2" x14ac:dyDescent="0.25">
      <c r="A547" s="17" t="s">
        <v>174</v>
      </c>
      <c r="B547" s="17" t="s">
        <v>175</v>
      </c>
      <c r="C547" s="35" t="s">
        <v>176</v>
      </c>
      <c r="D547" s="35" t="s">
        <v>177</v>
      </c>
      <c r="E547" s="44">
        <v>0.2</v>
      </c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9"/>
      <c r="S547" s="9"/>
    </row>
    <row r="548" spans="1:19" ht="46.8" x14ac:dyDescent="0.25">
      <c r="A548" s="17" t="s">
        <v>178</v>
      </c>
      <c r="B548" s="17" t="s">
        <v>179</v>
      </c>
      <c r="C548" s="35" t="s">
        <v>180</v>
      </c>
      <c r="D548" s="35" t="s">
        <v>181</v>
      </c>
      <c r="E548" s="45">
        <f>0.5*0.8042+0.5*0.2135</f>
        <v>0.50885000000000002</v>
      </c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</row>
    <row r="549" spans="1:19" ht="31.2" x14ac:dyDescent="0.4">
      <c r="A549" s="40" t="s">
        <v>182</v>
      </c>
      <c r="B549" s="17" t="s">
        <v>118</v>
      </c>
      <c r="C549" s="35" t="s">
        <v>183</v>
      </c>
      <c r="D549" s="35" t="s">
        <v>184</v>
      </c>
      <c r="E549" s="47">
        <v>0</v>
      </c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9"/>
      <c r="S549" s="9"/>
    </row>
    <row r="550" spans="1:19" x14ac:dyDescent="0.3">
      <c r="A550" s="48"/>
      <c r="E550" s="49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9"/>
      <c r="S550" s="9"/>
    </row>
    <row r="551" spans="1:19" x14ac:dyDescent="0.25">
      <c r="A551" s="134" t="s">
        <v>185</v>
      </c>
      <c r="B551" s="134"/>
      <c r="C551" s="135"/>
      <c r="D551" s="135"/>
      <c r="E551" s="155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</row>
    <row r="552" spans="1:19" x14ac:dyDescent="0.25">
      <c r="A552" s="15" t="s">
        <v>9</v>
      </c>
      <c r="B552" s="15" t="s">
        <v>10</v>
      </c>
      <c r="C552" s="38" t="s">
        <v>11</v>
      </c>
      <c r="D552" s="38" t="s">
        <v>12</v>
      </c>
      <c r="E552" s="16" t="s">
        <v>80</v>
      </c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9"/>
      <c r="S552" s="9"/>
    </row>
    <row r="553" spans="1:19" ht="33.6" x14ac:dyDescent="0.4">
      <c r="A553" s="40" t="s">
        <v>186</v>
      </c>
      <c r="B553" s="17" t="s">
        <v>89</v>
      </c>
      <c r="C553" s="35" t="s">
        <v>187</v>
      </c>
      <c r="D553" s="35" t="s">
        <v>363</v>
      </c>
      <c r="E553" s="50">
        <f>E554*E557*E558*E559*E560*E561</f>
        <v>24.983625993343612</v>
      </c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9"/>
      <c r="S553" s="9"/>
    </row>
    <row r="554" spans="1:19" ht="46.8" x14ac:dyDescent="0.4">
      <c r="A554" s="51" t="s">
        <v>188</v>
      </c>
      <c r="B554" s="17" t="s">
        <v>91</v>
      </c>
      <c r="C554" s="35" t="s">
        <v>189</v>
      </c>
      <c r="D554" s="35" t="s">
        <v>364</v>
      </c>
      <c r="E554" s="52">
        <f>E555/E556</f>
        <v>240.9</v>
      </c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9"/>
      <c r="S554" s="9"/>
    </row>
    <row r="555" spans="1:19" ht="31.2" x14ac:dyDescent="0.25">
      <c r="A555" s="17" t="s">
        <v>190</v>
      </c>
      <c r="B555" s="17" t="s">
        <v>93</v>
      </c>
      <c r="C555" s="35" t="s">
        <v>191</v>
      </c>
      <c r="D555" s="35" t="s">
        <v>40</v>
      </c>
      <c r="E555" s="52">
        <f>3.3*365</f>
        <v>1204.5</v>
      </c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9"/>
      <c r="S555" s="9"/>
    </row>
    <row r="556" spans="1:19" ht="31.2" x14ac:dyDescent="0.25">
      <c r="A556" s="17" t="s">
        <v>192</v>
      </c>
      <c r="B556" s="17" t="s">
        <v>95</v>
      </c>
      <c r="C556" s="35" t="s">
        <v>96</v>
      </c>
      <c r="D556" s="35" t="s">
        <v>40</v>
      </c>
      <c r="E556" s="25">
        <f>5</f>
        <v>5</v>
      </c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9"/>
      <c r="S556" s="9"/>
    </row>
    <row r="557" spans="1:19" ht="46.8" x14ac:dyDescent="0.25">
      <c r="A557" s="17" t="s">
        <v>193</v>
      </c>
      <c r="B557" s="17" t="s">
        <v>97</v>
      </c>
      <c r="C557" s="35" t="s">
        <v>194</v>
      </c>
      <c r="D557" s="35" t="s">
        <v>40</v>
      </c>
      <c r="E557" s="25">
        <f>76.6*2</f>
        <v>153.19999999999999</v>
      </c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9"/>
      <c r="S557" s="9"/>
    </row>
    <row r="558" spans="1:19" ht="141" x14ac:dyDescent="0.25">
      <c r="A558" s="17" t="s">
        <v>195</v>
      </c>
      <c r="B558" s="17" t="s">
        <v>99</v>
      </c>
      <c r="C558" s="35" t="s">
        <v>100</v>
      </c>
      <c r="D558" s="35" t="s">
        <v>330</v>
      </c>
      <c r="E558" s="25">
        <f>25.1/100</f>
        <v>0.251</v>
      </c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9"/>
      <c r="S558" s="9"/>
    </row>
    <row r="559" spans="1:19" ht="62.4" x14ac:dyDescent="0.25">
      <c r="A559" s="17" t="s">
        <v>101</v>
      </c>
      <c r="B559" s="17" t="s">
        <v>102</v>
      </c>
      <c r="C559" s="35" t="s">
        <v>101</v>
      </c>
      <c r="D559" s="35" t="s">
        <v>231</v>
      </c>
      <c r="E559" s="25">
        <f>0.84/1000</f>
        <v>8.3999999999999993E-4</v>
      </c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9"/>
      <c r="S559" s="9"/>
    </row>
    <row r="560" spans="1:19" ht="124.8" x14ac:dyDescent="0.25">
      <c r="A560" s="17" t="s">
        <v>196</v>
      </c>
      <c r="B560" s="17" t="s">
        <v>103</v>
      </c>
      <c r="C560" s="35" t="s">
        <v>104</v>
      </c>
      <c r="D560" s="35" t="s">
        <v>331</v>
      </c>
      <c r="E560" s="25">
        <f>43.33/1000</f>
        <v>4.333E-2</v>
      </c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9"/>
      <c r="S560" s="9"/>
    </row>
    <row r="561" spans="1:133" ht="33.6" x14ac:dyDescent="0.25">
      <c r="A561" s="17" t="s">
        <v>197</v>
      </c>
      <c r="B561" s="17" t="s">
        <v>105</v>
      </c>
      <c r="C561" s="35" t="s">
        <v>106</v>
      </c>
      <c r="D561" s="35" t="s">
        <v>107</v>
      </c>
      <c r="E561" s="25">
        <v>74.099999999999994</v>
      </c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9"/>
      <c r="S561" s="9"/>
    </row>
    <row r="563" spans="1:133" x14ac:dyDescent="0.25">
      <c r="A563" s="33" t="s">
        <v>9</v>
      </c>
      <c r="B563" s="33" t="s">
        <v>10</v>
      </c>
      <c r="C563" s="34" t="s">
        <v>11</v>
      </c>
      <c r="D563" s="34" t="s">
        <v>12</v>
      </c>
      <c r="E563" s="16" t="s">
        <v>80</v>
      </c>
    </row>
    <row r="564" spans="1:133" ht="18" x14ac:dyDescent="0.25">
      <c r="A564" s="15" t="s">
        <v>198</v>
      </c>
      <c r="B564" s="17" t="s">
        <v>118</v>
      </c>
      <c r="C564" s="35" t="s">
        <v>199</v>
      </c>
      <c r="D564" s="53" t="s">
        <v>365</v>
      </c>
      <c r="E564" s="18">
        <f>ROUNDUP(E513+E537+E541+E545+E553,0)</f>
        <v>425</v>
      </c>
    </row>
    <row r="565" spans="1:133" s="158" customFormat="1" ht="43.2" customHeight="1" x14ac:dyDescent="0.25">
      <c r="A565" s="160" t="s">
        <v>253</v>
      </c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1"/>
      <c r="BG565" s="161"/>
      <c r="BH565" s="161"/>
      <c r="BI565" s="161"/>
      <c r="BJ565" s="161"/>
      <c r="BK565" s="161"/>
      <c r="BL565" s="161"/>
      <c r="BM565" s="161"/>
      <c r="BN565" s="161"/>
      <c r="BO565" s="161"/>
      <c r="BP565" s="161"/>
      <c r="BQ565" s="161"/>
      <c r="BR565" s="161"/>
      <c r="BS565" s="161"/>
      <c r="BT565" s="161"/>
      <c r="BU565" s="161"/>
      <c r="BV565" s="161"/>
      <c r="BW565" s="161"/>
      <c r="BX565" s="161"/>
      <c r="BY565" s="161"/>
      <c r="BZ565" s="161"/>
      <c r="CA565" s="161"/>
      <c r="CB565" s="161"/>
      <c r="CC565" s="161"/>
      <c r="CD565" s="161"/>
      <c r="CE565" s="161"/>
      <c r="CF565" s="161"/>
      <c r="CG565" s="161"/>
      <c r="CH565" s="161"/>
      <c r="CI565" s="161"/>
      <c r="CJ565" s="161"/>
      <c r="CK565" s="161"/>
      <c r="CL565" s="161"/>
      <c r="CM565" s="161"/>
      <c r="CN565" s="161"/>
      <c r="CO565" s="161"/>
      <c r="CP565" s="161"/>
      <c r="CQ565" s="161"/>
      <c r="CR565" s="161"/>
      <c r="CS565" s="161"/>
      <c r="CT565" s="161"/>
      <c r="CU565" s="161"/>
      <c r="CV565" s="161"/>
      <c r="CW565" s="161"/>
      <c r="CX565" s="161"/>
      <c r="CY565" s="161"/>
      <c r="CZ565" s="161"/>
      <c r="DA565" s="161"/>
      <c r="DB565" s="161"/>
      <c r="DC565" s="161"/>
      <c r="DD565" s="161"/>
      <c r="DE565" s="161"/>
      <c r="DF565" s="161"/>
      <c r="DG565" s="161"/>
      <c r="DH565" s="161"/>
      <c r="DI565" s="161"/>
      <c r="DJ565" s="161"/>
      <c r="DK565" s="161"/>
      <c r="DL565" s="161"/>
      <c r="DM565" s="161"/>
      <c r="DN565" s="161"/>
      <c r="DO565" s="161"/>
      <c r="DP565" s="161"/>
      <c r="DQ565" s="161"/>
      <c r="DR565" s="161"/>
      <c r="DS565" s="161"/>
      <c r="DT565" s="161"/>
      <c r="DU565" s="161"/>
      <c r="DV565" s="161"/>
      <c r="DW565" s="161"/>
      <c r="DX565" s="161"/>
      <c r="DY565" s="161"/>
      <c r="DZ565" s="161"/>
      <c r="EA565" s="161"/>
      <c r="EB565" s="161"/>
      <c r="EC565" s="162"/>
    </row>
    <row r="566" spans="1:133" ht="23.4" customHeight="1" x14ac:dyDescent="0.25">
      <c r="A566" s="153" t="s">
        <v>120</v>
      </c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4"/>
    </row>
    <row r="567" spans="1:133" s="10" customFormat="1" x14ac:dyDescent="0.25">
      <c r="A567" s="15" t="s">
        <v>9</v>
      </c>
      <c r="B567" s="15" t="s">
        <v>10</v>
      </c>
      <c r="C567" s="15" t="s">
        <v>11</v>
      </c>
      <c r="D567" s="15" t="s">
        <v>12</v>
      </c>
      <c r="E567" s="16" t="s">
        <v>13</v>
      </c>
      <c r="F567" s="16" t="s">
        <v>14</v>
      </c>
      <c r="G567" s="16" t="s">
        <v>15</v>
      </c>
      <c r="H567" s="16" t="s">
        <v>16</v>
      </c>
      <c r="I567" s="16" t="s">
        <v>17</v>
      </c>
      <c r="J567" s="16" t="s">
        <v>18</v>
      </c>
      <c r="K567" s="16" t="s">
        <v>19</v>
      </c>
      <c r="L567" s="16" t="s">
        <v>20</v>
      </c>
      <c r="M567" s="16" t="s">
        <v>21</v>
      </c>
      <c r="N567" s="16" t="s">
        <v>22</v>
      </c>
      <c r="O567" s="16" t="s">
        <v>23</v>
      </c>
      <c r="P567" s="16" t="s">
        <v>24</v>
      </c>
      <c r="Q567" s="16" t="s">
        <v>25</v>
      </c>
      <c r="R567" s="54"/>
      <c r="S567" s="54"/>
    </row>
    <row r="568" spans="1:133" s="10" customFormat="1" x14ac:dyDescent="0.25">
      <c r="A568" s="146" t="s">
        <v>121</v>
      </c>
      <c r="B568" s="146"/>
      <c r="C568" s="146"/>
      <c r="D568" s="146"/>
      <c r="E568" s="147"/>
      <c r="F568" s="16">
        <v>31</v>
      </c>
      <c r="G568" s="16">
        <v>28</v>
      </c>
      <c r="H568" s="16">
        <v>31</v>
      </c>
      <c r="I568" s="16">
        <v>30</v>
      </c>
      <c r="J568" s="16">
        <v>31</v>
      </c>
      <c r="K568" s="16">
        <v>30</v>
      </c>
      <c r="L568" s="16">
        <v>31</v>
      </c>
      <c r="M568" s="16">
        <v>31</v>
      </c>
      <c r="N568" s="16">
        <v>30</v>
      </c>
      <c r="O568" s="16">
        <v>31</v>
      </c>
      <c r="P568" s="16">
        <v>30</v>
      </c>
      <c r="Q568" s="16">
        <v>31</v>
      </c>
      <c r="R568" s="54"/>
      <c r="S568" s="54"/>
    </row>
    <row r="569" spans="1:133" s="10" customFormat="1" ht="31.2" x14ac:dyDescent="0.25">
      <c r="A569" s="15" t="s">
        <v>122</v>
      </c>
      <c r="B569" s="17" t="s">
        <v>118</v>
      </c>
      <c r="C569" s="17" t="s">
        <v>123</v>
      </c>
      <c r="D569" s="17" t="s">
        <v>353</v>
      </c>
      <c r="E569" s="18">
        <f>E570+E580</f>
        <v>0</v>
      </c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54"/>
      <c r="S569" s="54"/>
    </row>
    <row r="570" spans="1:133" ht="46.8" x14ac:dyDescent="0.25">
      <c r="A570" s="17" t="s">
        <v>124</v>
      </c>
      <c r="B570" s="17" t="s">
        <v>118</v>
      </c>
      <c r="C570" s="17" t="s">
        <v>125</v>
      </c>
      <c r="D570" s="17" t="s">
        <v>354</v>
      </c>
      <c r="E570" s="19">
        <f>SUM(F570:Q570)</f>
        <v>0</v>
      </c>
      <c r="F570" s="19">
        <f>IF(F571&gt;=0.8,0,$E$15*$E$16*0.4*(F572-F575)*F568)</f>
        <v>0</v>
      </c>
      <c r="G570" s="19">
        <f t="shared" ref="G570:Q570" si="70">IF(G571&gt;=0.8,0,$E$15*$E$16*0.4*(G572-G575)*G568)</f>
        <v>0</v>
      </c>
      <c r="H570" s="19">
        <f t="shared" si="70"/>
        <v>0</v>
      </c>
      <c r="I570" s="19">
        <f t="shared" si="70"/>
        <v>0</v>
      </c>
      <c r="J570" s="19">
        <f t="shared" si="70"/>
        <v>0</v>
      </c>
      <c r="K570" s="19">
        <f t="shared" si="70"/>
        <v>0</v>
      </c>
      <c r="L570" s="19">
        <f t="shared" si="70"/>
        <v>0</v>
      </c>
      <c r="M570" s="19">
        <f t="shared" si="70"/>
        <v>0</v>
      </c>
      <c r="N570" s="19">
        <f t="shared" si="70"/>
        <v>0</v>
      </c>
      <c r="O570" s="19">
        <f t="shared" si="70"/>
        <v>0</v>
      </c>
      <c r="P570" s="19">
        <f t="shared" si="70"/>
        <v>0</v>
      </c>
      <c r="Q570" s="19">
        <f t="shared" si="70"/>
        <v>0</v>
      </c>
    </row>
    <row r="571" spans="1:133" ht="62.4" x14ac:dyDescent="0.25">
      <c r="A571" s="17" t="s">
        <v>126</v>
      </c>
      <c r="B571" s="17" t="s">
        <v>52</v>
      </c>
      <c r="C571" s="17" t="s">
        <v>127</v>
      </c>
      <c r="D571" s="17" t="s">
        <v>355</v>
      </c>
      <c r="E571" s="20">
        <f>AVERAGE(F571:Q571)</f>
        <v>0.91999999999999993</v>
      </c>
      <c r="F571" s="20">
        <f>(F572-F575)/F572</f>
        <v>0.91999999999999993</v>
      </c>
      <c r="G571" s="20">
        <f t="shared" ref="G571:Q571" si="71">(G572-G575)/G572</f>
        <v>0.91999999999999993</v>
      </c>
      <c r="H571" s="20">
        <f t="shared" si="71"/>
        <v>0.91999999999999993</v>
      </c>
      <c r="I571" s="20">
        <f t="shared" si="71"/>
        <v>0.91999999999999993</v>
      </c>
      <c r="J571" s="20">
        <f t="shared" si="71"/>
        <v>0.91999999999999993</v>
      </c>
      <c r="K571" s="20">
        <f t="shared" si="71"/>
        <v>0.91999999999999993</v>
      </c>
      <c r="L571" s="20">
        <f t="shared" si="71"/>
        <v>0.91999999999999993</v>
      </c>
      <c r="M571" s="20">
        <f t="shared" si="71"/>
        <v>0.91999999999999993</v>
      </c>
      <c r="N571" s="20">
        <f t="shared" si="71"/>
        <v>0.91999999999999993</v>
      </c>
      <c r="O571" s="20">
        <f t="shared" si="71"/>
        <v>0.91999999999999993</v>
      </c>
      <c r="P571" s="20">
        <f t="shared" si="71"/>
        <v>0.91999999999999993</v>
      </c>
      <c r="Q571" s="20">
        <f t="shared" si="71"/>
        <v>0.91999999999999993</v>
      </c>
    </row>
    <row r="572" spans="1:133" ht="46.8" x14ac:dyDescent="0.25">
      <c r="A572" s="17" t="s">
        <v>128</v>
      </c>
      <c r="B572" s="17" t="s">
        <v>38</v>
      </c>
      <c r="C572" s="17" t="s">
        <v>129</v>
      </c>
      <c r="D572" s="17" t="s">
        <v>356</v>
      </c>
      <c r="E572" s="20">
        <f>SUM(F572:Q572)</f>
        <v>42</v>
      </c>
      <c r="F572" s="20">
        <f>F573*F574</f>
        <v>3.5</v>
      </c>
      <c r="G572" s="20">
        <f t="shared" ref="G572:Q572" si="72">G573*G574</f>
        <v>3.5</v>
      </c>
      <c r="H572" s="20">
        <f t="shared" si="72"/>
        <v>3.5</v>
      </c>
      <c r="I572" s="20">
        <f t="shared" si="72"/>
        <v>3.5</v>
      </c>
      <c r="J572" s="20">
        <f t="shared" si="72"/>
        <v>3.5</v>
      </c>
      <c r="K572" s="20">
        <f t="shared" si="72"/>
        <v>3.5</v>
      </c>
      <c r="L572" s="20">
        <f t="shared" si="72"/>
        <v>3.5</v>
      </c>
      <c r="M572" s="20">
        <f t="shared" si="72"/>
        <v>3.5</v>
      </c>
      <c r="N572" s="20">
        <f t="shared" si="72"/>
        <v>3.5</v>
      </c>
      <c r="O572" s="20">
        <f t="shared" si="72"/>
        <v>3.5</v>
      </c>
      <c r="P572" s="20">
        <f t="shared" si="72"/>
        <v>3.5</v>
      </c>
      <c r="Q572" s="20">
        <f t="shared" si="72"/>
        <v>3.5</v>
      </c>
    </row>
    <row r="573" spans="1:133" ht="51" customHeight="1" x14ac:dyDescent="0.25">
      <c r="A573" s="17" t="s">
        <v>130</v>
      </c>
      <c r="B573" s="17" t="s">
        <v>131</v>
      </c>
      <c r="C573" s="17" t="s">
        <v>132</v>
      </c>
      <c r="D573" s="17" t="s">
        <v>40</v>
      </c>
      <c r="E573" s="21">
        <f>SUM(F573:Q573)</f>
        <v>84000</v>
      </c>
      <c r="F573" s="21">
        <f>7000</f>
        <v>7000</v>
      </c>
      <c r="G573" s="21">
        <f>7000</f>
        <v>7000</v>
      </c>
      <c r="H573" s="21">
        <f>7000</f>
        <v>7000</v>
      </c>
      <c r="I573" s="21">
        <f>7000</f>
        <v>7000</v>
      </c>
      <c r="J573" s="21">
        <f>7000</f>
        <v>7000</v>
      </c>
      <c r="K573" s="21">
        <f>7000</f>
        <v>7000</v>
      </c>
      <c r="L573" s="21">
        <f>7000</f>
        <v>7000</v>
      </c>
      <c r="M573" s="21">
        <f>7000</f>
        <v>7000</v>
      </c>
      <c r="N573" s="21">
        <f>7000</f>
        <v>7000</v>
      </c>
      <c r="O573" s="21">
        <f>7000</f>
        <v>7000</v>
      </c>
      <c r="P573" s="21">
        <f>7000</f>
        <v>7000</v>
      </c>
      <c r="Q573" s="21">
        <f>7000</f>
        <v>7000</v>
      </c>
    </row>
    <row r="574" spans="1:133" ht="46.8" x14ac:dyDescent="0.25">
      <c r="A574" s="17" t="s">
        <v>133</v>
      </c>
      <c r="B574" s="17" t="s">
        <v>134</v>
      </c>
      <c r="C574" s="17" t="s">
        <v>135</v>
      </c>
      <c r="D574" s="17" t="s">
        <v>40</v>
      </c>
      <c r="E574" s="22">
        <f>AVERAGE(F574:Q574)</f>
        <v>5.0000000000000012E-4</v>
      </c>
      <c r="F574" s="23">
        <f>'Baseline Emissions'!F559</f>
        <v>5.0000000000000001E-4</v>
      </c>
      <c r="G574" s="23">
        <f>'Baseline Emissions'!G559</f>
        <v>5.0000000000000001E-4</v>
      </c>
      <c r="H574" s="23">
        <f>'Baseline Emissions'!H559</f>
        <v>5.0000000000000001E-4</v>
      </c>
      <c r="I574" s="23">
        <f>'Baseline Emissions'!I559</f>
        <v>5.0000000000000001E-4</v>
      </c>
      <c r="J574" s="23">
        <f>'Baseline Emissions'!J559</f>
        <v>5.0000000000000001E-4</v>
      </c>
      <c r="K574" s="23">
        <f>'Baseline Emissions'!K559</f>
        <v>5.0000000000000001E-4</v>
      </c>
      <c r="L574" s="23">
        <f>'Baseline Emissions'!L559</f>
        <v>5.0000000000000001E-4</v>
      </c>
      <c r="M574" s="23">
        <f>'Baseline Emissions'!M559</f>
        <v>5.0000000000000001E-4</v>
      </c>
      <c r="N574" s="23">
        <f>'Baseline Emissions'!N559</f>
        <v>5.0000000000000001E-4</v>
      </c>
      <c r="O574" s="23">
        <f>'Baseline Emissions'!O559</f>
        <v>5.0000000000000001E-4</v>
      </c>
      <c r="P574" s="23">
        <f>'Baseline Emissions'!P559</f>
        <v>5.0000000000000001E-4</v>
      </c>
      <c r="Q574" s="23">
        <f>'Baseline Emissions'!Q559</f>
        <v>5.0000000000000001E-4</v>
      </c>
    </row>
    <row r="575" spans="1:133" ht="46.8" x14ac:dyDescent="0.25">
      <c r="A575" s="17" t="s">
        <v>136</v>
      </c>
      <c r="B575" s="17" t="s">
        <v>38</v>
      </c>
      <c r="C575" s="17" t="s">
        <v>137</v>
      </c>
      <c r="D575" s="17" t="s">
        <v>356</v>
      </c>
      <c r="E575" s="20">
        <f>SUM(F575:Q575)</f>
        <v>3.3600000000000012</v>
      </c>
      <c r="F575" s="20">
        <f>SUM(F576*F577)</f>
        <v>0.28000000000000003</v>
      </c>
      <c r="G575" s="20">
        <f t="shared" ref="G575:Q575" si="73">SUM(G576*G577)</f>
        <v>0.28000000000000003</v>
      </c>
      <c r="H575" s="20">
        <f t="shared" si="73"/>
        <v>0.28000000000000003</v>
      </c>
      <c r="I575" s="20">
        <f t="shared" si="73"/>
        <v>0.28000000000000003</v>
      </c>
      <c r="J575" s="20">
        <f t="shared" si="73"/>
        <v>0.28000000000000003</v>
      </c>
      <c r="K575" s="20">
        <f t="shared" si="73"/>
        <v>0.28000000000000003</v>
      </c>
      <c r="L575" s="20">
        <f t="shared" si="73"/>
        <v>0.28000000000000003</v>
      </c>
      <c r="M575" s="20">
        <f t="shared" si="73"/>
        <v>0.28000000000000003</v>
      </c>
      <c r="N575" s="20">
        <f t="shared" si="73"/>
        <v>0.28000000000000003</v>
      </c>
      <c r="O575" s="20">
        <f t="shared" si="73"/>
        <v>0.28000000000000003</v>
      </c>
      <c r="P575" s="20">
        <f t="shared" si="73"/>
        <v>0.28000000000000003</v>
      </c>
      <c r="Q575" s="20">
        <f t="shared" si="73"/>
        <v>0.28000000000000003</v>
      </c>
    </row>
    <row r="576" spans="1:133" ht="31.2" x14ac:dyDescent="0.25">
      <c r="A576" s="17" t="s">
        <v>138</v>
      </c>
      <c r="B576" s="17" t="s">
        <v>131</v>
      </c>
      <c r="C576" s="17" t="s">
        <v>139</v>
      </c>
      <c r="D576" s="17" t="s">
        <v>40</v>
      </c>
      <c r="E576" s="21">
        <f>SUM(F576:Q576)</f>
        <v>84000</v>
      </c>
      <c r="F576" s="21">
        <f>7000</f>
        <v>7000</v>
      </c>
      <c r="G576" s="21">
        <f>7000</f>
        <v>7000</v>
      </c>
      <c r="H576" s="21">
        <f>7000</f>
        <v>7000</v>
      </c>
      <c r="I576" s="21">
        <f>7000</f>
        <v>7000</v>
      </c>
      <c r="J576" s="21">
        <f>7000</f>
        <v>7000</v>
      </c>
      <c r="K576" s="21">
        <f>7000</f>
        <v>7000</v>
      </c>
      <c r="L576" s="21">
        <f>7000</f>
        <v>7000</v>
      </c>
      <c r="M576" s="21">
        <f>7000</f>
        <v>7000</v>
      </c>
      <c r="N576" s="21">
        <f>7000</f>
        <v>7000</v>
      </c>
      <c r="O576" s="21">
        <f>7000</f>
        <v>7000</v>
      </c>
      <c r="P576" s="21">
        <f>7000</f>
        <v>7000</v>
      </c>
      <c r="Q576" s="21">
        <f>7000</f>
        <v>7000</v>
      </c>
    </row>
    <row r="577" spans="1:17" ht="46.8" x14ac:dyDescent="0.25">
      <c r="A577" s="17" t="s">
        <v>140</v>
      </c>
      <c r="B577" s="17" t="s">
        <v>134</v>
      </c>
      <c r="C577" s="17" t="s">
        <v>141</v>
      </c>
      <c r="D577" s="17" t="s">
        <v>40</v>
      </c>
      <c r="E577" s="24">
        <f>AVERAGE(F577:Q577)</f>
        <v>4.0000000000000003E-5</v>
      </c>
      <c r="F577" s="24">
        <f>'Baseline Emissions'!F560</f>
        <v>4.0000000000000003E-5</v>
      </c>
      <c r="G577" s="24">
        <f>'Baseline Emissions'!G560</f>
        <v>4.0000000000000003E-5</v>
      </c>
      <c r="H577" s="24">
        <f>'Baseline Emissions'!H560</f>
        <v>4.0000000000000003E-5</v>
      </c>
      <c r="I577" s="24">
        <f>'Baseline Emissions'!I560</f>
        <v>4.0000000000000003E-5</v>
      </c>
      <c r="J577" s="24">
        <f>'Baseline Emissions'!J560</f>
        <v>4.0000000000000003E-5</v>
      </c>
      <c r="K577" s="24">
        <f>'Baseline Emissions'!K560</f>
        <v>4.0000000000000003E-5</v>
      </c>
      <c r="L577" s="24">
        <f>'Baseline Emissions'!L560</f>
        <v>4.0000000000000003E-5</v>
      </c>
      <c r="M577" s="24">
        <f>'Baseline Emissions'!M560</f>
        <v>4.0000000000000003E-5</v>
      </c>
      <c r="N577" s="24">
        <f>'Baseline Emissions'!N560</f>
        <v>4.0000000000000003E-5</v>
      </c>
      <c r="O577" s="24">
        <f>'Baseline Emissions'!O560</f>
        <v>4.0000000000000003E-5</v>
      </c>
      <c r="P577" s="24">
        <f>'Baseline Emissions'!P560</f>
        <v>4.0000000000000003E-5</v>
      </c>
      <c r="Q577" s="24">
        <f>'Baseline Emissions'!Q560</f>
        <v>4.0000000000000003E-5</v>
      </c>
    </row>
    <row r="578" spans="1:17" ht="31.2" x14ac:dyDescent="0.25">
      <c r="A578" s="17" t="s">
        <v>142</v>
      </c>
      <c r="B578" s="17" t="s">
        <v>143</v>
      </c>
      <c r="C578" s="17" t="s">
        <v>31</v>
      </c>
      <c r="D578" s="17" t="s">
        <v>144</v>
      </c>
      <c r="E578" s="130">
        <v>28</v>
      </c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</row>
    <row r="579" spans="1:17" ht="64.8" x14ac:dyDescent="0.25">
      <c r="A579" s="17" t="s">
        <v>145</v>
      </c>
      <c r="B579" s="17" t="s">
        <v>33</v>
      </c>
      <c r="C579" s="17" t="s">
        <v>146</v>
      </c>
      <c r="D579" s="17" t="s">
        <v>373</v>
      </c>
      <c r="E579" s="130">
        <v>0.21</v>
      </c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</row>
    <row r="580" spans="1:17" ht="46.8" x14ac:dyDescent="0.25">
      <c r="A580" s="17" t="s">
        <v>147</v>
      </c>
      <c r="B580" s="17" t="s">
        <v>118</v>
      </c>
      <c r="C580" s="17" t="s">
        <v>148</v>
      </c>
      <c r="D580" s="17" t="s">
        <v>357</v>
      </c>
      <c r="E580" s="19">
        <f>SUM(F580:Q580)</f>
        <v>0</v>
      </c>
      <c r="F580" s="19">
        <f>$E$15*$E$16*F581*F575*F568</f>
        <v>0</v>
      </c>
      <c r="G580" s="19">
        <f t="shared" ref="G580:Q580" si="74">$E$15*$E$16*G581*G575*G568</f>
        <v>0</v>
      </c>
      <c r="H580" s="19">
        <f t="shared" si="74"/>
        <v>0</v>
      </c>
      <c r="I580" s="19">
        <f t="shared" si="74"/>
        <v>0</v>
      </c>
      <c r="J580" s="19">
        <f t="shared" si="74"/>
        <v>0</v>
      </c>
      <c r="K580" s="19">
        <f t="shared" si="74"/>
        <v>0</v>
      </c>
      <c r="L580" s="19">
        <f t="shared" si="74"/>
        <v>0</v>
      </c>
      <c r="M580" s="19">
        <f t="shared" si="74"/>
        <v>0</v>
      </c>
      <c r="N580" s="19">
        <f t="shared" si="74"/>
        <v>0</v>
      </c>
      <c r="O580" s="19">
        <f t="shared" si="74"/>
        <v>0</v>
      </c>
      <c r="P580" s="19">
        <f t="shared" si="74"/>
        <v>0</v>
      </c>
      <c r="Q580" s="19">
        <f t="shared" si="74"/>
        <v>0</v>
      </c>
    </row>
    <row r="581" spans="1:17" ht="18" x14ac:dyDescent="0.25">
      <c r="A581" s="17" t="s">
        <v>149</v>
      </c>
      <c r="B581" s="17" t="s">
        <v>52</v>
      </c>
      <c r="C581" s="17" t="s">
        <v>150</v>
      </c>
      <c r="D581" s="17" t="s">
        <v>358</v>
      </c>
      <c r="E581" s="26">
        <f>AVERAGE(F581:Q581)</f>
        <v>0</v>
      </c>
      <c r="F581" s="26">
        <f t="shared" ref="F581:Q581" si="75">F582*$E$20*0.89</f>
        <v>0</v>
      </c>
      <c r="G581" s="26">
        <f t="shared" si="75"/>
        <v>0</v>
      </c>
      <c r="H581" s="26">
        <f t="shared" si="75"/>
        <v>0</v>
      </c>
      <c r="I581" s="26">
        <f t="shared" si="75"/>
        <v>0</v>
      </c>
      <c r="J581" s="26">
        <f t="shared" si="75"/>
        <v>0</v>
      </c>
      <c r="K581" s="26">
        <f t="shared" si="75"/>
        <v>0</v>
      </c>
      <c r="L581" s="26">
        <f t="shared" si="75"/>
        <v>0</v>
      </c>
      <c r="M581" s="26">
        <f t="shared" si="75"/>
        <v>0</v>
      </c>
      <c r="N581" s="26">
        <f t="shared" si="75"/>
        <v>0</v>
      </c>
      <c r="O581" s="26">
        <f t="shared" si="75"/>
        <v>0</v>
      </c>
      <c r="P581" s="26">
        <f t="shared" si="75"/>
        <v>0</v>
      </c>
      <c r="Q581" s="26">
        <f t="shared" si="75"/>
        <v>0</v>
      </c>
    </row>
    <row r="582" spans="1:17" ht="31.2" x14ac:dyDescent="0.25">
      <c r="A582" s="17" t="s">
        <v>151</v>
      </c>
      <c r="B582" s="17" t="s">
        <v>52</v>
      </c>
      <c r="C582" s="17" t="s">
        <v>61</v>
      </c>
      <c r="D582" s="17" t="s">
        <v>359</v>
      </c>
      <c r="E582" s="25">
        <v>0</v>
      </c>
      <c r="F582" s="25">
        <v>0</v>
      </c>
      <c r="G582" s="25">
        <v>0</v>
      </c>
      <c r="H582" s="25">
        <v>0</v>
      </c>
      <c r="I582" s="25">
        <v>0</v>
      </c>
      <c r="J582" s="25">
        <v>0</v>
      </c>
      <c r="K582" s="25">
        <v>0</v>
      </c>
      <c r="L582" s="25">
        <v>0</v>
      </c>
      <c r="M582" s="25">
        <v>0</v>
      </c>
      <c r="N582" s="25">
        <v>0</v>
      </c>
      <c r="O582" s="25">
        <v>0</v>
      </c>
      <c r="P582" s="25">
        <v>0</v>
      </c>
      <c r="Q582" s="25">
        <v>0</v>
      </c>
    </row>
    <row r="583" spans="1:17" ht="31.2" x14ac:dyDescent="0.25">
      <c r="A583" s="17" t="s">
        <v>152</v>
      </c>
      <c r="B583" s="17" t="s">
        <v>216</v>
      </c>
      <c r="C583" s="17" t="s">
        <v>153</v>
      </c>
      <c r="D583" s="17" t="s">
        <v>360</v>
      </c>
      <c r="E583" s="148">
        <f>(F584*F589+G584*G589+H584*H589+I584*I589+J584*J589+K584*K589+L584*L589+M584*M589+N584*N589+O584*O589+P584*P589+Q584*Q589)/(F576*F577*F568+G577*G576*G568+H576*H577*H568+I577*I576*I568+J577*J576*J568+K577*K576*K568+L577*L576*L568+M577*M576*M568+N577*N576*N568+O576*O577*O568+P577*P576*P568+Q577*Q576*Q568)</f>
        <v>0.62647871203107885</v>
      </c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</row>
    <row r="584" spans="1:17" ht="31.2" x14ac:dyDescent="0.25">
      <c r="A584" s="17" t="s">
        <v>154</v>
      </c>
      <c r="B584" s="17" t="s">
        <v>52</v>
      </c>
      <c r="C584" s="17" t="s">
        <v>155</v>
      </c>
      <c r="D584" s="17" t="s">
        <v>347</v>
      </c>
      <c r="E584" s="27">
        <f>AVERAGE(F584:Q584)</f>
        <v>0.6246384929124339</v>
      </c>
      <c r="F584" s="27">
        <f>IF(F588&lt;283,0,IF(F588&gt;303,1,EXP(($E$22*(F588-$E$23))/($E$24*$E$23*F588))))</f>
        <v>0.24547412919519337</v>
      </c>
      <c r="G584" s="27">
        <f t="shared" ref="G584:Q584" si="76">IF(G588&lt;283,0,IF(G588&gt;303,1,EXP(($E$22*(G588-$E$23))/($E$24*$E$23*G588))))</f>
        <v>0.26921004737855481</v>
      </c>
      <c r="H584" s="27">
        <f t="shared" si="76"/>
        <v>0.38698063689870399</v>
      </c>
      <c r="I584" s="27">
        <f t="shared" si="76"/>
        <v>0.55084569341606926</v>
      </c>
      <c r="J584" s="27">
        <f t="shared" si="76"/>
        <v>0.77675425208684001</v>
      </c>
      <c r="K584" s="27">
        <f t="shared" si="76"/>
        <v>1</v>
      </c>
      <c r="L584" s="27">
        <f t="shared" si="76"/>
        <v>1</v>
      </c>
      <c r="M584" s="27">
        <f t="shared" si="76"/>
        <v>1</v>
      </c>
      <c r="N584" s="27">
        <f t="shared" si="76"/>
        <v>0.91923925774048054</v>
      </c>
      <c r="O584" s="27">
        <f t="shared" si="76"/>
        <v>0.65487347206548807</v>
      </c>
      <c r="P584" s="27">
        <f t="shared" si="76"/>
        <v>0.42307437878932203</v>
      </c>
      <c r="Q584" s="27">
        <f t="shared" si="76"/>
        <v>0.26921004737855481</v>
      </c>
    </row>
    <row r="585" spans="1:17" x14ac:dyDescent="0.25">
      <c r="A585" s="17" t="s">
        <v>66</v>
      </c>
      <c r="B585" s="17" t="s">
        <v>67</v>
      </c>
      <c r="C585" s="17" t="s">
        <v>68</v>
      </c>
      <c r="D585" s="17" t="s">
        <v>361</v>
      </c>
      <c r="E585" s="130">
        <v>15175</v>
      </c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</row>
    <row r="586" spans="1:17" ht="18" x14ac:dyDescent="0.25">
      <c r="A586" s="17" t="s">
        <v>156</v>
      </c>
      <c r="B586" s="17" t="s">
        <v>70</v>
      </c>
      <c r="C586" s="17" t="s">
        <v>71</v>
      </c>
      <c r="D586" s="17" t="s">
        <v>361</v>
      </c>
      <c r="E586" s="130">
        <v>303.16000000000003</v>
      </c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</row>
    <row r="587" spans="1:17" x14ac:dyDescent="0.25">
      <c r="A587" s="17" t="s">
        <v>72</v>
      </c>
      <c r="B587" s="17" t="s">
        <v>73</v>
      </c>
      <c r="C587" s="17" t="s">
        <v>74</v>
      </c>
      <c r="D587" s="17" t="s">
        <v>361</v>
      </c>
      <c r="E587" s="130">
        <v>1.9870000000000001</v>
      </c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</row>
    <row r="588" spans="1:17" ht="31.2" x14ac:dyDescent="0.25">
      <c r="A588" s="17" t="s">
        <v>157</v>
      </c>
      <c r="B588" s="17" t="s">
        <v>70</v>
      </c>
      <c r="C588" s="17" t="s">
        <v>158</v>
      </c>
      <c r="D588" s="17" t="s">
        <v>280</v>
      </c>
      <c r="E588" s="28">
        <f>AVERAGE(F588:Q588)</f>
        <v>296.23333333333341</v>
      </c>
      <c r="F588" s="25">
        <v>287.14999999999998</v>
      </c>
      <c r="G588" s="25">
        <v>288.14999999999998</v>
      </c>
      <c r="H588" s="25">
        <v>292.14999999999998</v>
      </c>
      <c r="I588" s="25">
        <v>296.14999999999998</v>
      </c>
      <c r="J588" s="25">
        <v>300.14999999999998</v>
      </c>
      <c r="K588" s="25">
        <v>303.14999999999998</v>
      </c>
      <c r="L588" s="25">
        <v>303.14999999999998</v>
      </c>
      <c r="M588" s="25">
        <v>303.14999999999998</v>
      </c>
      <c r="N588" s="25">
        <v>302.14999999999998</v>
      </c>
      <c r="O588" s="25">
        <v>298.14999999999998</v>
      </c>
      <c r="P588" s="25">
        <v>293.14999999999998</v>
      </c>
      <c r="Q588" s="25">
        <v>288.14999999999998</v>
      </c>
    </row>
    <row r="589" spans="1:17" ht="46.8" x14ac:dyDescent="0.25">
      <c r="A589" s="17" t="s">
        <v>159</v>
      </c>
      <c r="B589" s="17" t="s">
        <v>38</v>
      </c>
      <c r="C589" s="17" t="s">
        <v>160</v>
      </c>
      <c r="D589" s="17" t="s">
        <v>362</v>
      </c>
      <c r="E589" s="29">
        <f>SUM(F589:Q589)</f>
        <v>102.20000000000003</v>
      </c>
      <c r="F589" s="29">
        <f>F573*F577*'Project Emissions'!F568+(1-F584)*0</f>
        <v>8.6800000000000015</v>
      </c>
      <c r="G589" s="29">
        <f>G573*G577*'Project Emissions'!G568+(1-G584)*0</f>
        <v>7.8400000000000007</v>
      </c>
      <c r="H589" s="29">
        <f>H573*H577*'Project Emissions'!H568+(1-H584)*0</f>
        <v>8.6800000000000015</v>
      </c>
      <c r="I589" s="29">
        <f>I573*I577*'Project Emissions'!I568+(1-I584)*0</f>
        <v>8.4</v>
      </c>
      <c r="J589" s="29">
        <f>J573*J577*'Project Emissions'!J568+(1-J584)*0</f>
        <v>8.6800000000000015</v>
      </c>
      <c r="K589" s="29">
        <f>K573*K577*'Project Emissions'!K568+(1-K584)*0</f>
        <v>8.4</v>
      </c>
      <c r="L589" s="29">
        <f>L573*L577*'Project Emissions'!L568+(1-L584)*0</f>
        <v>8.6800000000000015</v>
      </c>
      <c r="M589" s="29">
        <f>M573*M577*'Project Emissions'!M568+(1-M584)*0</f>
        <v>8.6800000000000015</v>
      </c>
      <c r="N589" s="29">
        <f>N573*N577*'Project Emissions'!N568+(1-N584)*0</f>
        <v>8.4</v>
      </c>
      <c r="O589" s="29">
        <f>O573*O577*'Project Emissions'!O568+(1-O584)*0</f>
        <v>8.6800000000000015</v>
      </c>
      <c r="P589" s="29">
        <f>P573*P577*'Project Emissions'!P568+(1-P584)*0</f>
        <v>8.4</v>
      </c>
      <c r="Q589" s="29">
        <f>Q573*Q577*'Project Emissions'!Q568+(1-Q584)*0</f>
        <v>8.6800000000000015</v>
      </c>
    </row>
    <row r="590" spans="1:17" x14ac:dyDescent="0.3">
      <c r="A590" s="30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</row>
    <row r="591" spans="1:17" x14ac:dyDescent="0.25">
      <c r="A591" s="134" t="s">
        <v>161</v>
      </c>
      <c r="B591" s="134"/>
      <c r="C591" s="135"/>
      <c r="D591" s="135"/>
      <c r="E591" s="155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</row>
    <row r="592" spans="1:17" x14ac:dyDescent="0.25">
      <c r="A592" s="33" t="s">
        <v>9</v>
      </c>
      <c r="B592" s="33" t="s">
        <v>10</v>
      </c>
      <c r="C592" s="34" t="s">
        <v>11</v>
      </c>
      <c r="D592" s="34" t="s">
        <v>12</v>
      </c>
      <c r="E592" s="16" t="s">
        <v>80</v>
      </c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</row>
    <row r="593" spans="1:19" ht="46.8" x14ac:dyDescent="0.25">
      <c r="A593" s="15" t="s">
        <v>162</v>
      </c>
      <c r="B593" s="17" t="s">
        <v>110</v>
      </c>
      <c r="C593" s="35" t="s">
        <v>163</v>
      </c>
      <c r="D593" s="35" t="s">
        <v>83</v>
      </c>
      <c r="E593" s="16">
        <v>0</v>
      </c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</row>
    <row r="594" spans="1:19" x14ac:dyDescent="0.25">
      <c r="A594" s="36"/>
      <c r="B594" s="36"/>
      <c r="C594" s="37"/>
      <c r="D594" s="37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</row>
    <row r="595" spans="1:19" x14ac:dyDescent="0.25">
      <c r="A595" s="134" t="s">
        <v>164</v>
      </c>
      <c r="B595" s="134"/>
      <c r="C595" s="135"/>
      <c r="D595" s="135"/>
      <c r="E595" s="155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</row>
    <row r="596" spans="1:19" x14ac:dyDescent="0.25">
      <c r="A596" s="33" t="s">
        <v>9</v>
      </c>
      <c r="B596" s="33" t="s">
        <v>10</v>
      </c>
      <c r="C596" s="34" t="s">
        <v>11</v>
      </c>
      <c r="D596" s="34" t="s">
        <v>12</v>
      </c>
      <c r="E596" s="16" t="s">
        <v>80</v>
      </c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</row>
    <row r="597" spans="1:19" ht="46.8" x14ac:dyDescent="0.25">
      <c r="A597" s="15" t="s">
        <v>165</v>
      </c>
      <c r="B597" s="17" t="s">
        <v>110</v>
      </c>
      <c r="C597" s="35" t="s">
        <v>166</v>
      </c>
      <c r="D597" s="35" t="s">
        <v>83</v>
      </c>
      <c r="E597" s="16">
        <v>0</v>
      </c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</row>
    <row r="598" spans="1:19" x14ac:dyDescent="0.25"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</row>
    <row r="599" spans="1:19" x14ac:dyDescent="0.25">
      <c r="A599" s="134" t="s">
        <v>167</v>
      </c>
      <c r="B599" s="134"/>
      <c r="C599" s="135"/>
      <c r="D599" s="135"/>
      <c r="E599" s="155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</row>
    <row r="600" spans="1:19" s="10" customFormat="1" x14ac:dyDescent="0.25">
      <c r="A600" s="15" t="s">
        <v>9</v>
      </c>
      <c r="B600" s="15" t="s">
        <v>10</v>
      </c>
      <c r="C600" s="38" t="s">
        <v>11</v>
      </c>
      <c r="D600" s="38" t="s">
        <v>12</v>
      </c>
      <c r="E600" s="16" t="s">
        <v>80</v>
      </c>
      <c r="F600" s="32"/>
      <c r="G600" s="32"/>
      <c r="H600" s="39"/>
      <c r="I600" s="39"/>
      <c r="J600" s="39"/>
      <c r="K600" s="39"/>
      <c r="L600" s="39"/>
      <c r="M600" s="39"/>
      <c r="N600" s="39"/>
      <c r="O600" s="39"/>
      <c r="P600" s="39"/>
      <c r="Q600" s="39"/>
    </row>
    <row r="601" spans="1:19" s="10" customFormat="1" ht="18" x14ac:dyDescent="0.4">
      <c r="A601" s="40" t="s">
        <v>168</v>
      </c>
      <c r="B601" s="17" t="s">
        <v>118</v>
      </c>
      <c r="C601" s="35" t="s">
        <v>169</v>
      </c>
      <c r="D601" s="35" t="s">
        <v>170</v>
      </c>
      <c r="E601" s="41">
        <f>E602*E604*(1+E603)</f>
        <v>442.24153500000006</v>
      </c>
      <c r="F601" s="32"/>
      <c r="G601" s="32"/>
      <c r="H601" s="39"/>
      <c r="I601" s="39"/>
      <c r="J601" s="39"/>
      <c r="K601" s="39"/>
      <c r="L601" s="39"/>
      <c r="M601" s="39"/>
      <c r="N601" s="39"/>
      <c r="O601" s="39"/>
      <c r="P601" s="39"/>
      <c r="Q601" s="39"/>
    </row>
    <row r="602" spans="1:19" ht="31.2" x14ac:dyDescent="0.25">
      <c r="A602" s="17" t="s">
        <v>171</v>
      </c>
      <c r="B602" s="17" t="s">
        <v>172</v>
      </c>
      <c r="C602" s="35" t="s">
        <v>173</v>
      </c>
      <c r="D602" s="35" t="s">
        <v>40</v>
      </c>
      <c r="E602" s="20">
        <v>724.25</v>
      </c>
      <c r="G602" s="42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9"/>
      <c r="S602" s="9"/>
    </row>
    <row r="603" spans="1:19" ht="31.2" x14ac:dyDescent="0.25">
      <c r="A603" s="17" t="s">
        <v>174</v>
      </c>
      <c r="B603" s="17" t="s">
        <v>175</v>
      </c>
      <c r="C603" s="35" t="s">
        <v>176</v>
      </c>
      <c r="D603" s="35" t="s">
        <v>177</v>
      </c>
      <c r="E603" s="44">
        <v>0.2</v>
      </c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9"/>
      <c r="S603" s="9"/>
    </row>
    <row r="604" spans="1:19" ht="46.8" x14ac:dyDescent="0.25">
      <c r="A604" s="17" t="s">
        <v>178</v>
      </c>
      <c r="B604" s="17" t="s">
        <v>179</v>
      </c>
      <c r="C604" s="35" t="s">
        <v>180</v>
      </c>
      <c r="D604" s="35" t="s">
        <v>181</v>
      </c>
      <c r="E604" s="45">
        <f>0.5*0.8042+0.5*0.2135</f>
        <v>0.50885000000000002</v>
      </c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</row>
    <row r="605" spans="1:19" ht="31.2" x14ac:dyDescent="0.4">
      <c r="A605" s="40" t="s">
        <v>182</v>
      </c>
      <c r="B605" s="17" t="s">
        <v>118</v>
      </c>
      <c r="C605" s="35" t="s">
        <v>183</v>
      </c>
      <c r="D605" s="35" t="s">
        <v>184</v>
      </c>
      <c r="E605" s="47">
        <v>0</v>
      </c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9"/>
      <c r="S605" s="9"/>
    </row>
    <row r="606" spans="1:19" x14ac:dyDescent="0.3">
      <c r="A606" s="48"/>
      <c r="E606" s="49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9"/>
      <c r="S606" s="9"/>
    </row>
    <row r="607" spans="1:19" x14ac:dyDescent="0.25">
      <c r="A607" s="134" t="s">
        <v>185</v>
      </c>
      <c r="B607" s="134"/>
      <c r="C607" s="135"/>
      <c r="D607" s="135"/>
      <c r="E607" s="155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</row>
    <row r="608" spans="1:19" x14ac:dyDescent="0.25">
      <c r="A608" s="15" t="s">
        <v>9</v>
      </c>
      <c r="B608" s="15" t="s">
        <v>10</v>
      </c>
      <c r="C608" s="38" t="s">
        <v>11</v>
      </c>
      <c r="D608" s="38" t="s">
        <v>12</v>
      </c>
      <c r="E608" s="16" t="s">
        <v>80</v>
      </c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9"/>
      <c r="S608" s="9"/>
    </row>
    <row r="609" spans="1:133" ht="33.6" x14ac:dyDescent="0.4">
      <c r="A609" s="40" t="s">
        <v>186</v>
      </c>
      <c r="B609" s="17" t="s">
        <v>89</v>
      </c>
      <c r="C609" s="35" t="s">
        <v>187</v>
      </c>
      <c r="D609" s="35" t="s">
        <v>363</v>
      </c>
      <c r="E609" s="50">
        <f>E610*E613*E614*E615*E616*E617</f>
        <v>25.321643245093103</v>
      </c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9"/>
      <c r="S609" s="9"/>
    </row>
    <row r="610" spans="1:133" ht="46.8" x14ac:dyDescent="0.4">
      <c r="A610" s="51" t="s">
        <v>188</v>
      </c>
      <c r="B610" s="17" t="s">
        <v>91</v>
      </c>
      <c r="C610" s="35" t="s">
        <v>189</v>
      </c>
      <c r="D610" s="35" t="s">
        <v>364</v>
      </c>
      <c r="E610" s="52">
        <f>E611/E612</f>
        <v>255.5</v>
      </c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9"/>
      <c r="S610" s="9"/>
    </row>
    <row r="611" spans="1:133" ht="31.2" x14ac:dyDescent="0.25">
      <c r="A611" s="17" t="s">
        <v>190</v>
      </c>
      <c r="B611" s="17" t="s">
        <v>93</v>
      </c>
      <c r="C611" s="35" t="s">
        <v>191</v>
      </c>
      <c r="D611" s="35" t="s">
        <v>40</v>
      </c>
      <c r="E611" s="52">
        <f>3.5*365</f>
        <v>1277.5</v>
      </c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9"/>
      <c r="S611" s="9"/>
    </row>
    <row r="612" spans="1:133" ht="31.2" x14ac:dyDescent="0.25">
      <c r="A612" s="17" t="s">
        <v>192</v>
      </c>
      <c r="B612" s="17" t="s">
        <v>95</v>
      </c>
      <c r="C612" s="35" t="s">
        <v>96</v>
      </c>
      <c r="D612" s="35" t="s">
        <v>40</v>
      </c>
      <c r="E612" s="25">
        <f>5</f>
        <v>5</v>
      </c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9"/>
      <c r="S612" s="9"/>
    </row>
    <row r="613" spans="1:133" ht="46.8" x14ac:dyDescent="0.25">
      <c r="A613" s="17" t="s">
        <v>193</v>
      </c>
      <c r="B613" s="17" t="s">
        <v>97</v>
      </c>
      <c r="C613" s="35" t="s">
        <v>194</v>
      </c>
      <c r="D613" s="35" t="s">
        <v>40</v>
      </c>
      <c r="E613" s="25">
        <f>73.2*2</f>
        <v>146.4</v>
      </c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9"/>
      <c r="S613" s="9"/>
    </row>
    <row r="614" spans="1:133" ht="141" x14ac:dyDescent="0.25">
      <c r="A614" s="17" t="s">
        <v>195</v>
      </c>
      <c r="B614" s="17" t="s">
        <v>99</v>
      </c>
      <c r="C614" s="35" t="s">
        <v>100</v>
      </c>
      <c r="D614" s="35" t="s">
        <v>330</v>
      </c>
      <c r="E614" s="25">
        <f>25.1/100</f>
        <v>0.251</v>
      </c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9"/>
      <c r="S614" s="9"/>
    </row>
    <row r="615" spans="1:133" ht="62.4" x14ac:dyDescent="0.25">
      <c r="A615" s="17" t="s">
        <v>101</v>
      </c>
      <c r="B615" s="17" t="s">
        <v>102</v>
      </c>
      <c r="C615" s="35" t="s">
        <v>101</v>
      </c>
      <c r="D615" s="35" t="s">
        <v>231</v>
      </c>
      <c r="E615" s="25">
        <f>0.84/1000</f>
        <v>8.3999999999999993E-4</v>
      </c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9"/>
      <c r="S615" s="9"/>
    </row>
    <row r="616" spans="1:133" ht="124.8" x14ac:dyDescent="0.25">
      <c r="A616" s="17" t="s">
        <v>196</v>
      </c>
      <c r="B616" s="17" t="s">
        <v>103</v>
      </c>
      <c r="C616" s="35" t="s">
        <v>104</v>
      </c>
      <c r="D616" s="35" t="s">
        <v>331</v>
      </c>
      <c r="E616" s="25">
        <f>43.33/1000</f>
        <v>4.333E-2</v>
      </c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9"/>
      <c r="S616" s="9"/>
    </row>
    <row r="617" spans="1:133" ht="33.6" x14ac:dyDescent="0.25">
      <c r="A617" s="17" t="s">
        <v>197</v>
      </c>
      <c r="B617" s="17" t="s">
        <v>105</v>
      </c>
      <c r="C617" s="35" t="s">
        <v>106</v>
      </c>
      <c r="D617" s="35" t="s">
        <v>107</v>
      </c>
      <c r="E617" s="25">
        <v>74.099999999999994</v>
      </c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9"/>
      <c r="S617" s="9"/>
    </row>
    <row r="619" spans="1:133" x14ac:dyDescent="0.25">
      <c r="A619" s="33" t="s">
        <v>9</v>
      </c>
      <c r="B619" s="33" t="s">
        <v>10</v>
      </c>
      <c r="C619" s="34" t="s">
        <v>11</v>
      </c>
      <c r="D619" s="34" t="s">
        <v>12</v>
      </c>
      <c r="E619" s="16" t="s">
        <v>80</v>
      </c>
    </row>
    <row r="620" spans="1:133" ht="18" x14ac:dyDescent="0.25">
      <c r="A620" s="15" t="s">
        <v>198</v>
      </c>
      <c r="B620" s="17" t="s">
        <v>118</v>
      </c>
      <c r="C620" s="35" t="s">
        <v>199</v>
      </c>
      <c r="D620" s="53" t="s">
        <v>365</v>
      </c>
      <c r="E620" s="18">
        <f>ROUNDUP(E569+E593+E597+E601+E609,0)</f>
        <v>468</v>
      </c>
    </row>
    <row r="621" spans="1:133" s="156" customFormat="1" ht="38.4" customHeight="1" x14ac:dyDescent="0.25">
      <c r="A621" s="163" t="s">
        <v>254</v>
      </c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  <c r="AG621" s="164"/>
      <c r="AH621" s="164"/>
      <c r="AI621" s="164"/>
      <c r="AJ621" s="164"/>
      <c r="AK621" s="164"/>
      <c r="AL621" s="164"/>
      <c r="AM621" s="164"/>
      <c r="AN621" s="164"/>
      <c r="AO621" s="164"/>
      <c r="AP621" s="164"/>
      <c r="AQ621" s="164"/>
      <c r="AR621" s="164"/>
      <c r="AS621" s="164"/>
      <c r="AT621" s="164"/>
      <c r="AU621" s="164"/>
      <c r="AV621" s="164"/>
      <c r="AW621" s="164"/>
      <c r="AX621" s="164"/>
      <c r="AY621" s="164"/>
      <c r="AZ621" s="164"/>
      <c r="BA621" s="164"/>
      <c r="BB621" s="164"/>
      <c r="BC621" s="164"/>
      <c r="BD621" s="164"/>
      <c r="BE621" s="164"/>
      <c r="BF621" s="164"/>
      <c r="BG621" s="164"/>
      <c r="BH621" s="164"/>
      <c r="BI621" s="164"/>
      <c r="BJ621" s="164"/>
      <c r="BK621" s="164"/>
      <c r="BL621" s="164"/>
      <c r="BM621" s="164"/>
      <c r="BN621" s="164"/>
      <c r="BO621" s="164"/>
      <c r="BP621" s="164"/>
      <c r="BQ621" s="164"/>
      <c r="BR621" s="164"/>
      <c r="BS621" s="164"/>
      <c r="BT621" s="164"/>
      <c r="BU621" s="164"/>
      <c r="BV621" s="164"/>
      <c r="BW621" s="164"/>
      <c r="BX621" s="164"/>
      <c r="BY621" s="164"/>
      <c r="BZ621" s="164"/>
      <c r="CA621" s="164"/>
      <c r="CB621" s="164"/>
      <c r="CC621" s="164"/>
      <c r="CD621" s="164"/>
      <c r="CE621" s="164"/>
      <c r="CF621" s="164"/>
      <c r="CG621" s="164"/>
      <c r="CH621" s="164"/>
      <c r="CI621" s="164"/>
      <c r="CJ621" s="164"/>
      <c r="CK621" s="164"/>
      <c r="CL621" s="164"/>
      <c r="CM621" s="164"/>
      <c r="CN621" s="164"/>
      <c r="CO621" s="164"/>
      <c r="CP621" s="164"/>
      <c r="CQ621" s="164"/>
      <c r="CR621" s="164"/>
      <c r="CS621" s="164"/>
      <c r="CT621" s="164"/>
      <c r="CU621" s="164"/>
      <c r="CV621" s="164"/>
      <c r="CW621" s="164"/>
      <c r="CX621" s="164"/>
      <c r="CY621" s="164"/>
      <c r="CZ621" s="164"/>
      <c r="DA621" s="164"/>
      <c r="DB621" s="164"/>
      <c r="DC621" s="164"/>
      <c r="DD621" s="164"/>
      <c r="DE621" s="164"/>
      <c r="DF621" s="164"/>
      <c r="DG621" s="164"/>
      <c r="DH621" s="164"/>
      <c r="DI621" s="164"/>
      <c r="DJ621" s="164"/>
      <c r="DK621" s="164"/>
      <c r="DL621" s="164"/>
      <c r="DM621" s="164"/>
      <c r="DN621" s="164"/>
      <c r="DO621" s="164"/>
      <c r="DP621" s="164"/>
      <c r="DQ621" s="164"/>
      <c r="DR621" s="164"/>
      <c r="DS621" s="164"/>
      <c r="DT621" s="164"/>
      <c r="DU621" s="164"/>
      <c r="DV621" s="164"/>
      <c r="DW621" s="164"/>
      <c r="DX621" s="164"/>
      <c r="DY621" s="164"/>
      <c r="DZ621" s="164"/>
      <c r="EA621" s="164"/>
      <c r="EB621" s="164"/>
      <c r="EC621" s="165"/>
    </row>
    <row r="622" spans="1:133" s="158" customFormat="1" ht="43.2" customHeight="1" x14ac:dyDescent="0.25">
      <c r="A622" s="160" t="s">
        <v>255</v>
      </c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  <c r="BA622" s="161"/>
      <c r="BB622" s="161"/>
      <c r="BC622" s="161"/>
      <c r="BD622" s="161"/>
      <c r="BE622" s="161"/>
      <c r="BF622" s="161"/>
      <c r="BG622" s="161"/>
      <c r="BH622" s="161"/>
      <c r="BI622" s="161"/>
      <c r="BJ622" s="161"/>
      <c r="BK622" s="161"/>
      <c r="BL622" s="161"/>
      <c r="BM622" s="161"/>
      <c r="BN622" s="161"/>
      <c r="BO622" s="161"/>
      <c r="BP622" s="161"/>
      <c r="BQ622" s="161"/>
      <c r="BR622" s="161"/>
      <c r="BS622" s="161"/>
      <c r="BT622" s="161"/>
      <c r="BU622" s="161"/>
      <c r="BV622" s="161"/>
      <c r="BW622" s="161"/>
      <c r="BX622" s="161"/>
      <c r="BY622" s="161"/>
      <c r="BZ622" s="161"/>
      <c r="CA622" s="161"/>
      <c r="CB622" s="161"/>
      <c r="CC622" s="161"/>
      <c r="CD622" s="161"/>
      <c r="CE622" s="161"/>
      <c r="CF622" s="161"/>
      <c r="CG622" s="161"/>
      <c r="CH622" s="161"/>
      <c r="CI622" s="161"/>
      <c r="CJ622" s="161"/>
      <c r="CK622" s="161"/>
      <c r="CL622" s="161"/>
      <c r="CM622" s="161"/>
      <c r="CN622" s="161"/>
      <c r="CO622" s="161"/>
      <c r="CP622" s="161"/>
      <c r="CQ622" s="161"/>
      <c r="CR622" s="161"/>
      <c r="CS622" s="161"/>
      <c r="CT622" s="161"/>
      <c r="CU622" s="161"/>
      <c r="CV622" s="161"/>
      <c r="CW622" s="161"/>
      <c r="CX622" s="161"/>
      <c r="CY622" s="161"/>
      <c r="CZ622" s="161"/>
      <c r="DA622" s="161"/>
      <c r="DB622" s="161"/>
      <c r="DC622" s="161"/>
      <c r="DD622" s="161"/>
      <c r="DE622" s="161"/>
      <c r="DF622" s="161"/>
      <c r="DG622" s="161"/>
      <c r="DH622" s="161"/>
      <c r="DI622" s="161"/>
      <c r="DJ622" s="161"/>
      <c r="DK622" s="161"/>
      <c r="DL622" s="161"/>
      <c r="DM622" s="161"/>
      <c r="DN622" s="161"/>
      <c r="DO622" s="161"/>
      <c r="DP622" s="161"/>
      <c r="DQ622" s="161"/>
      <c r="DR622" s="161"/>
      <c r="DS622" s="161"/>
      <c r="DT622" s="161"/>
      <c r="DU622" s="161"/>
      <c r="DV622" s="161"/>
      <c r="DW622" s="161"/>
      <c r="DX622" s="161"/>
      <c r="DY622" s="161"/>
      <c r="DZ622" s="161"/>
      <c r="EA622" s="161"/>
      <c r="EB622" s="161"/>
      <c r="EC622" s="162"/>
    </row>
    <row r="623" spans="1:133" ht="23.4" customHeight="1" x14ac:dyDescent="0.25">
      <c r="A623" s="153" t="s">
        <v>120</v>
      </c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4"/>
    </row>
    <row r="624" spans="1:133" s="10" customFormat="1" x14ac:dyDescent="0.25">
      <c r="A624" s="15" t="s">
        <v>9</v>
      </c>
      <c r="B624" s="15" t="s">
        <v>10</v>
      </c>
      <c r="C624" s="15" t="s">
        <v>11</v>
      </c>
      <c r="D624" s="15" t="s">
        <v>12</v>
      </c>
      <c r="E624" s="16" t="s">
        <v>13</v>
      </c>
      <c r="F624" s="16" t="s">
        <v>14</v>
      </c>
      <c r="G624" s="16" t="s">
        <v>15</v>
      </c>
      <c r="H624" s="16" t="s">
        <v>16</v>
      </c>
      <c r="I624" s="16" t="s">
        <v>17</v>
      </c>
      <c r="J624" s="16" t="s">
        <v>18</v>
      </c>
      <c r="K624" s="16" t="s">
        <v>19</v>
      </c>
      <c r="L624" s="16" t="s">
        <v>20</v>
      </c>
      <c r="M624" s="16" t="s">
        <v>21</v>
      </c>
      <c r="N624" s="16" t="s">
        <v>22</v>
      </c>
      <c r="O624" s="16" t="s">
        <v>23</v>
      </c>
      <c r="P624" s="16" t="s">
        <v>24</v>
      </c>
      <c r="Q624" s="16" t="s">
        <v>25</v>
      </c>
      <c r="R624" s="54"/>
      <c r="S624" s="54"/>
    </row>
    <row r="625" spans="1:19" s="10" customFormat="1" x14ac:dyDescent="0.25">
      <c r="A625" s="146" t="s">
        <v>121</v>
      </c>
      <c r="B625" s="146"/>
      <c r="C625" s="146"/>
      <c r="D625" s="146"/>
      <c r="E625" s="147"/>
      <c r="F625" s="16">
        <v>31</v>
      </c>
      <c r="G625" s="16">
        <v>28</v>
      </c>
      <c r="H625" s="16">
        <v>31</v>
      </c>
      <c r="I625" s="16">
        <v>30</v>
      </c>
      <c r="J625" s="16">
        <v>31</v>
      </c>
      <c r="K625" s="16">
        <v>30</v>
      </c>
      <c r="L625" s="16">
        <v>31</v>
      </c>
      <c r="M625" s="16">
        <v>31</v>
      </c>
      <c r="N625" s="16">
        <v>30</v>
      </c>
      <c r="O625" s="16">
        <v>31</v>
      </c>
      <c r="P625" s="16">
        <v>30</v>
      </c>
      <c r="Q625" s="16">
        <v>31</v>
      </c>
      <c r="R625" s="54"/>
      <c r="S625" s="54"/>
    </row>
    <row r="626" spans="1:19" s="10" customFormat="1" ht="31.2" x14ac:dyDescent="0.25">
      <c r="A626" s="15" t="s">
        <v>122</v>
      </c>
      <c r="B626" s="17" t="s">
        <v>118</v>
      </c>
      <c r="C626" s="17" t="s">
        <v>123</v>
      </c>
      <c r="D626" s="17" t="s">
        <v>353</v>
      </c>
      <c r="E626" s="18">
        <f>E627+E637</f>
        <v>0</v>
      </c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54"/>
      <c r="S626" s="54"/>
    </row>
    <row r="627" spans="1:19" ht="46.8" x14ac:dyDescent="0.25">
      <c r="A627" s="17" t="s">
        <v>124</v>
      </c>
      <c r="B627" s="17" t="s">
        <v>118</v>
      </c>
      <c r="C627" s="17" t="s">
        <v>125</v>
      </c>
      <c r="D627" s="17" t="s">
        <v>354</v>
      </c>
      <c r="E627" s="19">
        <f>SUM(F627:Q627)</f>
        <v>0</v>
      </c>
      <c r="F627" s="19">
        <f>IF(F628&gt;=0.8,0,$E$15*$E$16*0.4*(F629-F632)*F625)</f>
        <v>0</v>
      </c>
      <c r="G627" s="19">
        <f t="shared" ref="G627:Q627" si="77">IF(G628&gt;=0.8,0,$E$15*$E$16*0.4*(G629-G632)*G625)</f>
        <v>0</v>
      </c>
      <c r="H627" s="19">
        <f t="shared" si="77"/>
        <v>0</v>
      </c>
      <c r="I627" s="19">
        <f t="shared" si="77"/>
        <v>0</v>
      </c>
      <c r="J627" s="19">
        <f t="shared" si="77"/>
        <v>0</v>
      </c>
      <c r="K627" s="19">
        <f t="shared" si="77"/>
        <v>0</v>
      </c>
      <c r="L627" s="19">
        <f t="shared" si="77"/>
        <v>0</v>
      </c>
      <c r="M627" s="19">
        <f t="shared" si="77"/>
        <v>0</v>
      </c>
      <c r="N627" s="19">
        <f t="shared" si="77"/>
        <v>0</v>
      </c>
      <c r="O627" s="19">
        <f t="shared" si="77"/>
        <v>0</v>
      </c>
      <c r="P627" s="19">
        <f t="shared" si="77"/>
        <v>0</v>
      </c>
      <c r="Q627" s="19">
        <f t="shared" si="77"/>
        <v>0</v>
      </c>
    </row>
    <row r="628" spans="1:19" ht="62.4" x14ac:dyDescent="0.25">
      <c r="A628" s="17" t="s">
        <v>126</v>
      </c>
      <c r="B628" s="17" t="s">
        <v>52</v>
      </c>
      <c r="C628" s="17" t="s">
        <v>127</v>
      </c>
      <c r="D628" s="17" t="s">
        <v>355</v>
      </c>
      <c r="E628" s="20">
        <f>AVERAGE(F628:Q628)</f>
        <v>0.88571428571428601</v>
      </c>
      <c r="F628" s="20">
        <f>(F629-F632)/F629</f>
        <v>0.88571428571428568</v>
      </c>
      <c r="G628" s="20">
        <f t="shared" ref="G628:Q628" si="78">(G629-G632)/G629</f>
        <v>0.88571428571428568</v>
      </c>
      <c r="H628" s="20">
        <f t="shared" si="78"/>
        <v>0.88571428571428568</v>
      </c>
      <c r="I628" s="20">
        <f t="shared" si="78"/>
        <v>0.88571428571428568</v>
      </c>
      <c r="J628" s="20">
        <f t="shared" si="78"/>
        <v>0.88571428571428568</v>
      </c>
      <c r="K628" s="20">
        <f t="shared" si="78"/>
        <v>0.88571428571428568</v>
      </c>
      <c r="L628" s="20">
        <f t="shared" si="78"/>
        <v>0.88571428571428568</v>
      </c>
      <c r="M628" s="20">
        <f t="shared" si="78"/>
        <v>0.88571428571428568</v>
      </c>
      <c r="N628" s="20">
        <f t="shared" si="78"/>
        <v>0.88571428571428568</v>
      </c>
      <c r="O628" s="20">
        <f t="shared" si="78"/>
        <v>0.88571428571428568</v>
      </c>
      <c r="P628" s="20">
        <f t="shared" si="78"/>
        <v>0.88571428571428568</v>
      </c>
      <c r="Q628" s="20">
        <f t="shared" si="78"/>
        <v>0.88571428571428568</v>
      </c>
    </row>
    <row r="629" spans="1:19" ht="46.8" x14ac:dyDescent="0.25">
      <c r="A629" s="17" t="s">
        <v>128</v>
      </c>
      <c r="B629" s="17" t="s">
        <v>38</v>
      </c>
      <c r="C629" s="17" t="s">
        <v>129</v>
      </c>
      <c r="D629" s="17" t="s">
        <v>356</v>
      </c>
      <c r="E629" s="20">
        <f>SUM(F629:Q629)</f>
        <v>29.399999999999995</v>
      </c>
      <c r="F629" s="20">
        <f>F630*F631</f>
        <v>2.4500000000000002</v>
      </c>
      <c r="G629" s="20">
        <f t="shared" ref="G629:Q629" si="79">G630*G631</f>
        <v>2.4500000000000002</v>
      </c>
      <c r="H629" s="20">
        <f t="shared" si="79"/>
        <v>2.4500000000000002</v>
      </c>
      <c r="I629" s="20">
        <f t="shared" si="79"/>
        <v>2.4500000000000002</v>
      </c>
      <c r="J629" s="20">
        <f t="shared" si="79"/>
        <v>2.4500000000000002</v>
      </c>
      <c r="K629" s="20">
        <f t="shared" si="79"/>
        <v>2.4500000000000002</v>
      </c>
      <c r="L629" s="20">
        <f t="shared" si="79"/>
        <v>2.4500000000000002</v>
      </c>
      <c r="M629" s="20">
        <f t="shared" si="79"/>
        <v>2.4500000000000002</v>
      </c>
      <c r="N629" s="20">
        <f t="shared" si="79"/>
        <v>2.4500000000000002</v>
      </c>
      <c r="O629" s="20">
        <f t="shared" si="79"/>
        <v>2.4500000000000002</v>
      </c>
      <c r="P629" s="20">
        <f t="shared" si="79"/>
        <v>2.4500000000000002</v>
      </c>
      <c r="Q629" s="20">
        <f t="shared" si="79"/>
        <v>2.4500000000000002</v>
      </c>
    </row>
    <row r="630" spans="1:19" ht="51" customHeight="1" x14ac:dyDescent="0.25">
      <c r="A630" s="17" t="s">
        <v>130</v>
      </c>
      <c r="B630" s="17" t="s">
        <v>131</v>
      </c>
      <c r="C630" s="17" t="s">
        <v>132</v>
      </c>
      <c r="D630" s="17" t="s">
        <v>40</v>
      </c>
      <c r="E630" s="21">
        <f>SUM(F630:Q630)</f>
        <v>84000</v>
      </c>
      <c r="F630" s="21">
        <f>7000</f>
        <v>7000</v>
      </c>
      <c r="G630" s="21">
        <f>7000</f>
        <v>7000</v>
      </c>
      <c r="H630" s="21">
        <f>7000</f>
        <v>7000</v>
      </c>
      <c r="I630" s="21">
        <f>7000</f>
        <v>7000</v>
      </c>
      <c r="J630" s="21">
        <f>7000</f>
        <v>7000</v>
      </c>
      <c r="K630" s="21">
        <f>7000</f>
        <v>7000</v>
      </c>
      <c r="L630" s="21">
        <f>7000</f>
        <v>7000</v>
      </c>
      <c r="M630" s="21">
        <f>7000</f>
        <v>7000</v>
      </c>
      <c r="N630" s="21">
        <f>7000</f>
        <v>7000</v>
      </c>
      <c r="O630" s="21">
        <f>7000</f>
        <v>7000</v>
      </c>
      <c r="P630" s="21">
        <f>7000</f>
        <v>7000</v>
      </c>
      <c r="Q630" s="21">
        <f>7000</f>
        <v>7000</v>
      </c>
    </row>
    <row r="631" spans="1:19" ht="46.8" x14ac:dyDescent="0.25">
      <c r="A631" s="17" t="s">
        <v>133</v>
      </c>
      <c r="B631" s="17" t="s">
        <v>134</v>
      </c>
      <c r="C631" s="17" t="s">
        <v>135</v>
      </c>
      <c r="D631" s="17" t="s">
        <v>40</v>
      </c>
      <c r="E631" s="22">
        <f>AVERAGE(F631:Q631)</f>
        <v>3.5E-4</v>
      </c>
      <c r="F631" s="23">
        <f>'Baseline Emissions'!F614</f>
        <v>3.5E-4</v>
      </c>
      <c r="G631" s="23">
        <f>'Baseline Emissions'!G614</f>
        <v>3.5E-4</v>
      </c>
      <c r="H631" s="23">
        <f>'Baseline Emissions'!H614</f>
        <v>3.5E-4</v>
      </c>
      <c r="I631" s="23">
        <f>'Baseline Emissions'!I614</f>
        <v>3.5E-4</v>
      </c>
      <c r="J631" s="23">
        <f>'Baseline Emissions'!J614</f>
        <v>3.5E-4</v>
      </c>
      <c r="K631" s="23">
        <f>'Baseline Emissions'!K614</f>
        <v>3.5E-4</v>
      </c>
      <c r="L631" s="23">
        <f>'Baseline Emissions'!L614</f>
        <v>3.5E-4</v>
      </c>
      <c r="M631" s="23">
        <f>'Baseline Emissions'!M614</f>
        <v>3.5E-4</v>
      </c>
      <c r="N631" s="23">
        <f>'Baseline Emissions'!N614</f>
        <v>3.5E-4</v>
      </c>
      <c r="O631" s="23">
        <f>'Baseline Emissions'!O614</f>
        <v>3.5E-4</v>
      </c>
      <c r="P631" s="23">
        <f>'Baseline Emissions'!P614</f>
        <v>3.5E-4</v>
      </c>
      <c r="Q631" s="23">
        <f>'Baseline Emissions'!Q614</f>
        <v>3.5E-4</v>
      </c>
    </row>
    <row r="632" spans="1:19" ht="46.8" x14ac:dyDescent="0.25">
      <c r="A632" s="17" t="s">
        <v>136</v>
      </c>
      <c r="B632" s="17" t="s">
        <v>38</v>
      </c>
      <c r="C632" s="17" t="s">
        <v>137</v>
      </c>
      <c r="D632" s="17" t="s">
        <v>356</v>
      </c>
      <c r="E632" s="20">
        <f>SUM(F632:Q632)</f>
        <v>3.3600000000000012</v>
      </c>
      <c r="F632" s="20">
        <f>SUM(F633*F634)</f>
        <v>0.28000000000000003</v>
      </c>
      <c r="G632" s="20">
        <f t="shared" ref="G632:Q632" si="80">SUM(G633*G634)</f>
        <v>0.28000000000000003</v>
      </c>
      <c r="H632" s="20">
        <f t="shared" si="80"/>
        <v>0.28000000000000003</v>
      </c>
      <c r="I632" s="20">
        <f t="shared" si="80"/>
        <v>0.28000000000000003</v>
      </c>
      <c r="J632" s="20">
        <f t="shared" si="80"/>
        <v>0.28000000000000003</v>
      </c>
      <c r="K632" s="20">
        <f t="shared" si="80"/>
        <v>0.28000000000000003</v>
      </c>
      <c r="L632" s="20">
        <f t="shared" si="80"/>
        <v>0.28000000000000003</v>
      </c>
      <c r="M632" s="20">
        <f t="shared" si="80"/>
        <v>0.28000000000000003</v>
      </c>
      <c r="N632" s="20">
        <f t="shared" si="80"/>
        <v>0.28000000000000003</v>
      </c>
      <c r="O632" s="20">
        <f t="shared" si="80"/>
        <v>0.28000000000000003</v>
      </c>
      <c r="P632" s="20">
        <f t="shared" si="80"/>
        <v>0.28000000000000003</v>
      </c>
      <c r="Q632" s="20">
        <f t="shared" si="80"/>
        <v>0.28000000000000003</v>
      </c>
    </row>
    <row r="633" spans="1:19" ht="31.2" x14ac:dyDescent="0.25">
      <c r="A633" s="17" t="s">
        <v>138</v>
      </c>
      <c r="B633" s="17" t="s">
        <v>131</v>
      </c>
      <c r="C633" s="17" t="s">
        <v>139</v>
      </c>
      <c r="D633" s="17" t="s">
        <v>40</v>
      </c>
      <c r="E633" s="21">
        <f>SUM(F633:Q633)</f>
        <v>84000</v>
      </c>
      <c r="F633" s="21">
        <f>7000</f>
        <v>7000</v>
      </c>
      <c r="G633" s="21">
        <f>7000</f>
        <v>7000</v>
      </c>
      <c r="H633" s="21">
        <f>7000</f>
        <v>7000</v>
      </c>
      <c r="I633" s="21">
        <f>7000</f>
        <v>7000</v>
      </c>
      <c r="J633" s="21">
        <f>7000</f>
        <v>7000</v>
      </c>
      <c r="K633" s="21">
        <f>7000</f>
        <v>7000</v>
      </c>
      <c r="L633" s="21">
        <f>7000</f>
        <v>7000</v>
      </c>
      <c r="M633" s="21">
        <f>7000</f>
        <v>7000</v>
      </c>
      <c r="N633" s="21">
        <f>7000</f>
        <v>7000</v>
      </c>
      <c r="O633" s="21">
        <f>7000</f>
        <v>7000</v>
      </c>
      <c r="P633" s="21">
        <f>7000</f>
        <v>7000</v>
      </c>
      <c r="Q633" s="21">
        <f>7000</f>
        <v>7000</v>
      </c>
    </row>
    <row r="634" spans="1:19" ht="46.8" x14ac:dyDescent="0.25">
      <c r="A634" s="17" t="s">
        <v>140</v>
      </c>
      <c r="B634" s="17" t="s">
        <v>134</v>
      </c>
      <c r="C634" s="17" t="s">
        <v>141</v>
      </c>
      <c r="D634" s="17" t="s">
        <v>40</v>
      </c>
      <c r="E634" s="24">
        <f>AVERAGE(F634:Q634)</f>
        <v>4.0000000000000003E-5</v>
      </c>
      <c r="F634" s="24">
        <f>'Baseline Emissions'!F615</f>
        <v>4.0000000000000003E-5</v>
      </c>
      <c r="G634" s="24">
        <f>'Baseline Emissions'!G615</f>
        <v>4.0000000000000003E-5</v>
      </c>
      <c r="H634" s="24">
        <f>'Baseline Emissions'!H615</f>
        <v>4.0000000000000003E-5</v>
      </c>
      <c r="I634" s="24">
        <f>'Baseline Emissions'!I615</f>
        <v>4.0000000000000003E-5</v>
      </c>
      <c r="J634" s="24">
        <f>'Baseline Emissions'!J615</f>
        <v>4.0000000000000003E-5</v>
      </c>
      <c r="K634" s="24">
        <f>'Baseline Emissions'!K615</f>
        <v>4.0000000000000003E-5</v>
      </c>
      <c r="L634" s="24">
        <f>'Baseline Emissions'!L615</f>
        <v>4.0000000000000003E-5</v>
      </c>
      <c r="M634" s="24">
        <f>'Baseline Emissions'!M615</f>
        <v>4.0000000000000003E-5</v>
      </c>
      <c r="N634" s="24">
        <f>'Baseline Emissions'!N615</f>
        <v>4.0000000000000003E-5</v>
      </c>
      <c r="O634" s="24">
        <f>'Baseline Emissions'!O615</f>
        <v>4.0000000000000003E-5</v>
      </c>
      <c r="P634" s="24">
        <f>'Baseline Emissions'!P615</f>
        <v>4.0000000000000003E-5</v>
      </c>
      <c r="Q634" s="24">
        <f>'Baseline Emissions'!Q615</f>
        <v>4.0000000000000003E-5</v>
      </c>
    </row>
    <row r="635" spans="1:19" ht="31.2" x14ac:dyDescent="0.25">
      <c r="A635" s="17" t="s">
        <v>142</v>
      </c>
      <c r="B635" s="17" t="s">
        <v>143</v>
      </c>
      <c r="C635" s="17" t="s">
        <v>31</v>
      </c>
      <c r="D635" s="17" t="s">
        <v>144</v>
      </c>
      <c r="E635" s="130">
        <v>28</v>
      </c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</row>
    <row r="636" spans="1:19" ht="64.8" x14ac:dyDescent="0.25">
      <c r="A636" s="17" t="s">
        <v>145</v>
      </c>
      <c r="B636" s="17" t="s">
        <v>33</v>
      </c>
      <c r="C636" s="17" t="s">
        <v>146</v>
      </c>
      <c r="D636" s="17" t="s">
        <v>373</v>
      </c>
      <c r="E636" s="130">
        <v>0.21</v>
      </c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</row>
    <row r="637" spans="1:19" ht="46.8" x14ac:dyDescent="0.25">
      <c r="A637" s="17" t="s">
        <v>147</v>
      </c>
      <c r="B637" s="17" t="s">
        <v>118</v>
      </c>
      <c r="C637" s="17" t="s">
        <v>148</v>
      </c>
      <c r="D637" s="17" t="s">
        <v>357</v>
      </c>
      <c r="E637" s="19">
        <f>SUM(F637:Q637)</f>
        <v>0</v>
      </c>
      <c r="F637" s="19">
        <f>$E$15*$E$16*F638*F632*F625</f>
        <v>0</v>
      </c>
      <c r="G637" s="19">
        <f t="shared" ref="G637:Q637" si="81">$E$15*$E$16*G638*G632*G625</f>
        <v>0</v>
      </c>
      <c r="H637" s="19">
        <f t="shared" si="81"/>
        <v>0</v>
      </c>
      <c r="I637" s="19">
        <f t="shared" si="81"/>
        <v>0</v>
      </c>
      <c r="J637" s="19">
        <f t="shared" si="81"/>
        <v>0</v>
      </c>
      <c r="K637" s="19">
        <f t="shared" si="81"/>
        <v>0</v>
      </c>
      <c r="L637" s="19">
        <f t="shared" si="81"/>
        <v>0</v>
      </c>
      <c r="M637" s="19">
        <f t="shared" si="81"/>
        <v>0</v>
      </c>
      <c r="N637" s="19">
        <f t="shared" si="81"/>
        <v>0</v>
      </c>
      <c r="O637" s="19">
        <f t="shared" si="81"/>
        <v>0</v>
      </c>
      <c r="P637" s="19">
        <f t="shared" si="81"/>
        <v>0</v>
      </c>
      <c r="Q637" s="19">
        <f t="shared" si="81"/>
        <v>0</v>
      </c>
    </row>
    <row r="638" spans="1:19" ht="18" x14ac:dyDescent="0.25">
      <c r="A638" s="17" t="s">
        <v>149</v>
      </c>
      <c r="B638" s="17" t="s">
        <v>52</v>
      </c>
      <c r="C638" s="17" t="s">
        <v>150</v>
      </c>
      <c r="D638" s="17" t="s">
        <v>358</v>
      </c>
      <c r="E638" s="26">
        <f>AVERAGE(F638:Q638)</f>
        <v>0</v>
      </c>
      <c r="F638" s="26">
        <f t="shared" ref="F638:Q638" si="82">F639*$E$20*0.89</f>
        <v>0</v>
      </c>
      <c r="G638" s="26">
        <f t="shared" si="82"/>
        <v>0</v>
      </c>
      <c r="H638" s="26">
        <f t="shared" si="82"/>
        <v>0</v>
      </c>
      <c r="I638" s="26">
        <f t="shared" si="82"/>
        <v>0</v>
      </c>
      <c r="J638" s="26">
        <f t="shared" si="82"/>
        <v>0</v>
      </c>
      <c r="K638" s="26">
        <f t="shared" si="82"/>
        <v>0</v>
      </c>
      <c r="L638" s="26">
        <f t="shared" si="82"/>
        <v>0</v>
      </c>
      <c r="M638" s="26">
        <f t="shared" si="82"/>
        <v>0</v>
      </c>
      <c r="N638" s="26">
        <f t="shared" si="82"/>
        <v>0</v>
      </c>
      <c r="O638" s="26">
        <f t="shared" si="82"/>
        <v>0</v>
      </c>
      <c r="P638" s="26">
        <f t="shared" si="82"/>
        <v>0</v>
      </c>
      <c r="Q638" s="26">
        <f t="shared" si="82"/>
        <v>0</v>
      </c>
    </row>
    <row r="639" spans="1:19" ht="31.2" x14ac:dyDescent="0.25">
      <c r="A639" s="17" t="s">
        <v>151</v>
      </c>
      <c r="B639" s="17" t="s">
        <v>52</v>
      </c>
      <c r="C639" s="17" t="s">
        <v>61</v>
      </c>
      <c r="D639" s="17" t="s">
        <v>359</v>
      </c>
      <c r="E639" s="25">
        <v>0</v>
      </c>
      <c r="F639" s="25">
        <v>0</v>
      </c>
      <c r="G639" s="25">
        <v>0</v>
      </c>
      <c r="H639" s="25">
        <v>0</v>
      </c>
      <c r="I639" s="25">
        <v>0</v>
      </c>
      <c r="J639" s="25">
        <v>0</v>
      </c>
      <c r="K639" s="25">
        <v>0</v>
      </c>
      <c r="L639" s="25">
        <v>0</v>
      </c>
      <c r="M639" s="25">
        <v>0</v>
      </c>
      <c r="N639" s="25">
        <v>0</v>
      </c>
      <c r="O639" s="25">
        <v>0</v>
      </c>
      <c r="P639" s="25">
        <v>0</v>
      </c>
      <c r="Q639" s="25">
        <v>0</v>
      </c>
    </row>
    <row r="640" spans="1:19" ht="31.2" x14ac:dyDescent="0.25">
      <c r="A640" s="17" t="s">
        <v>152</v>
      </c>
      <c r="B640" s="17" t="s">
        <v>216</v>
      </c>
      <c r="C640" s="17" t="s">
        <v>153</v>
      </c>
      <c r="D640" s="17" t="s">
        <v>360</v>
      </c>
      <c r="E640" s="148">
        <f>(F641*F646+G641*G646+H641*H646+I641*I646+J641*J646+K641*K646+L641*L646+M641*M646+N641*N646+O641*O646+P641*P646+Q641*Q646)/(F633*F634*F625+G634*G633*G625+H633*H634*H625+I634*I633*I625+J634*J633*J625+K634*K633*K625+L634*L633*L625+M634*M633*M625+N634*N633*N625+O633*O634*O625+P634*P633*P625+Q634*Q633*Q625)</f>
        <v>0.59998303474056436</v>
      </c>
      <c r="F640" s="148"/>
      <c r="G640" s="148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</row>
    <row r="641" spans="1:17" ht="31.2" x14ac:dyDescent="0.25">
      <c r="A641" s="17" t="s">
        <v>154</v>
      </c>
      <c r="B641" s="17" t="s">
        <v>52</v>
      </c>
      <c r="C641" s="17" t="s">
        <v>155</v>
      </c>
      <c r="D641" s="17" t="s">
        <v>347</v>
      </c>
      <c r="E641" s="27">
        <f>AVERAGE(F641:Q641)</f>
        <v>0.59801195869818824</v>
      </c>
      <c r="F641" s="27">
        <f>IF(F645&lt;283,0,IF(F645&gt;303,1,EXP(($E$22*(F645-$E$23))/($E$24*$E$23*F645))))</f>
        <v>0.22368662668957603</v>
      </c>
      <c r="G641" s="27">
        <f t="shared" ref="G641:Q641" si="83">IF(G645&lt;283,0,IF(G645&gt;303,1,EXP(($E$22*(G645-$E$23))/($E$24*$E$23*G645))))</f>
        <v>0.24547412919519337</v>
      </c>
      <c r="H641" s="27">
        <f t="shared" si="83"/>
        <v>0.35374940126825682</v>
      </c>
      <c r="I641" s="27">
        <f t="shared" si="83"/>
        <v>0.50475941545474445</v>
      </c>
      <c r="J641" s="27">
        <f t="shared" si="83"/>
        <v>0.77675425208684001</v>
      </c>
      <c r="K641" s="27">
        <f t="shared" si="83"/>
        <v>0.91923925774048054</v>
      </c>
      <c r="L641" s="27">
        <f t="shared" si="83"/>
        <v>1</v>
      </c>
      <c r="M641" s="27">
        <f t="shared" si="83"/>
        <v>1</v>
      </c>
      <c r="N641" s="27">
        <f t="shared" si="83"/>
        <v>0.91923925774048054</v>
      </c>
      <c r="O641" s="27">
        <f t="shared" si="83"/>
        <v>0.60078639810878987</v>
      </c>
      <c r="P641" s="27">
        <f t="shared" si="83"/>
        <v>0.38698063689870399</v>
      </c>
      <c r="Q641" s="27">
        <f t="shared" si="83"/>
        <v>0.24547412919519337</v>
      </c>
    </row>
    <row r="642" spans="1:17" x14ac:dyDescent="0.25">
      <c r="A642" s="17" t="s">
        <v>66</v>
      </c>
      <c r="B642" s="17" t="s">
        <v>67</v>
      </c>
      <c r="C642" s="17" t="s">
        <v>68</v>
      </c>
      <c r="D642" s="17" t="s">
        <v>361</v>
      </c>
      <c r="E642" s="130">
        <v>15175</v>
      </c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</row>
    <row r="643" spans="1:17" ht="18" x14ac:dyDescent="0.25">
      <c r="A643" s="17" t="s">
        <v>156</v>
      </c>
      <c r="B643" s="17" t="s">
        <v>70</v>
      </c>
      <c r="C643" s="17" t="s">
        <v>71</v>
      </c>
      <c r="D643" s="17" t="s">
        <v>361</v>
      </c>
      <c r="E643" s="130">
        <v>303.16000000000003</v>
      </c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</row>
    <row r="644" spans="1:17" x14ac:dyDescent="0.25">
      <c r="A644" s="17" t="s">
        <v>72</v>
      </c>
      <c r="B644" s="17" t="s">
        <v>73</v>
      </c>
      <c r="C644" s="17" t="s">
        <v>74</v>
      </c>
      <c r="D644" s="17" t="s">
        <v>361</v>
      </c>
      <c r="E644" s="130">
        <v>1.9870000000000001</v>
      </c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</row>
    <row r="645" spans="1:17" ht="31.2" x14ac:dyDescent="0.25">
      <c r="A645" s="17" t="s">
        <v>157</v>
      </c>
      <c r="B645" s="17" t="s">
        <v>70</v>
      </c>
      <c r="C645" s="17" t="s">
        <v>158</v>
      </c>
      <c r="D645" s="17" t="s">
        <v>281</v>
      </c>
      <c r="E645" s="28">
        <f>AVERAGE(F645:Q645)</f>
        <v>295.56666666666672</v>
      </c>
      <c r="F645" s="25">
        <v>286.14999999999998</v>
      </c>
      <c r="G645" s="25">
        <v>287.14999999999998</v>
      </c>
      <c r="H645" s="25">
        <v>291.14999999999998</v>
      </c>
      <c r="I645" s="25">
        <v>295.14999999999998</v>
      </c>
      <c r="J645" s="25">
        <v>300.14999999999998</v>
      </c>
      <c r="K645" s="25">
        <v>302.14999999999998</v>
      </c>
      <c r="L645" s="25">
        <v>303.14999999999998</v>
      </c>
      <c r="M645" s="25">
        <v>303.14999999999998</v>
      </c>
      <c r="N645" s="25">
        <v>302.14999999999998</v>
      </c>
      <c r="O645" s="25">
        <v>297.14999999999998</v>
      </c>
      <c r="P645" s="25">
        <v>292.14999999999998</v>
      </c>
      <c r="Q645" s="25">
        <v>287.14999999999998</v>
      </c>
    </row>
    <row r="646" spans="1:17" ht="46.8" x14ac:dyDescent="0.25">
      <c r="A646" s="17" t="s">
        <v>159</v>
      </c>
      <c r="B646" s="17" t="s">
        <v>38</v>
      </c>
      <c r="C646" s="17" t="s">
        <v>160</v>
      </c>
      <c r="D646" s="17" t="s">
        <v>362</v>
      </c>
      <c r="E646" s="29">
        <f>SUM(F646:Q646)</f>
        <v>102.20000000000003</v>
      </c>
      <c r="F646" s="29">
        <f>F630*F634*'Project Emissions'!F625+(1-F641)*0</f>
        <v>8.6800000000000015</v>
      </c>
      <c r="G646" s="29">
        <f>G630*G634*'Project Emissions'!G625+(1-G641)*0</f>
        <v>7.8400000000000007</v>
      </c>
      <c r="H646" s="29">
        <f>H630*H634*'Project Emissions'!H625+(1-H641)*0</f>
        <v>8.6800000000000015</v>
      </c>
      <c r="I646" s="29">
        <f>I630*I634*'Project Emissions'!I625+(1-I641)*0</f>
        <v>8.4</v>
      </c>
      <c r="J646" s="29">
        <f>J630*J634*'Project Emissions'!J625+(1-J641)*0</f>
        <v>8.6800000000000015</v>
      </c>
      <c r="K646" s="29">
        <f>K630*K634*'Project Emissions'!K625+(1-K641)*0</f>
        <v>8.4</v>
      </c>
      <c r="L646" s="29">
        <f>L630*L634*'Project Emissions'!L625+(1-L641)*0</f>
        <v>8.6800000000000015</v>
      </c>
      <c r="M646" s="29">
        <f>M630*M634*'Project Emissions'!M625+(1-M641)*0</f>
        <v>8.6800000000000015</v>
      </c>
      <c r="N646" s="29">
        <f>N630*N634*'Project Emissions'!N625+(1-N641)*0</f>
        <v>8.4</v>
      </c>
      <c r="O646" s="29">
        <f>O630*O634*'Project Emissions'!O625+(1-O641)*0</f>
        <v>8.6800000000000015</v>
      </c>
      <c r="P646" s="29">
        <f>P630*P634*'Project Emissions'!P625+(1-P641)*0</f>
        <v>8.4</v>
      </c>
      <c r="Q646" s="29">
        <f>Q630*Q634*'Project Emissions'!Q625+(1-Q641)*0</f>
        <v>8.6800000000000015</v>
      </c>
    </row>
    <row r="647" spans="1:17" x14ac:dyDescent="0.3">
      <c r="A647" s="30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</row>
    <row r="648" spans="1:17" x14ac:dyDescent="0.25">
      <c r="A648" s="134" t="s">
        <v>161</v>
      </c>
      <c r="B648" s="134"/>
      <c r="C648" s="135"/>
      <c r="D648" s="135"/>
      <c r="E648" s="155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</row>
    <row r="649" spans="1:17" x14ac:dyDescent="0.25">
      <c r="A649" s="33" t="s">
        <v>9</v>
      </c>
      <c r="B649" s="33" t="s">
        <v>10</v>
      </c>
      <c r="C649" s="34" t="s">
        <v>11</v>
      </c>
      <c r="D649" s="34" t="s">
        <v>12</v>
      </c>
      <c r="E649" s="16" t="s">
        <v>80</v>
      </c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</row>
    <row r="650" spans="1:17" ht="46.8" x14ac:dyDescent="0.25">
      <c r="A650" s="15" t="s">
        <v>162</v>
      </c>
      <c r="B650" s="17" t="s">
        <v>110</v>
      </c>
      <c r="C650" s="35" t="s">
        <v>163</v>
      </c>
      <c r="D650" s="35" t="s">
        <v>83</v>
      </c>
      <c r="E650" s="16">
        <v>0</v>
      </c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</row>
    <row r="651" spans="1:17" x14ac:dyDescent="0.25">
      <c r="A651" s="36"/>
      <c r="B651" s="36"/>
      <c r="C651" s="37"/>
      <c r="D651" s="37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</row>
    <row r="652" spans="1:17" x14ac:dyDescent="0.25">
      <c r="A652" s="134" t="s">
        <v>164</v>
      </c>
      <c r="B652" s="134"/>
      <c r="C652" s="135"/>
      <c r="D652" s="135"/>
      <c r="E652" s="155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</row>
    <row r="653" spans="1:17" x14ac:dyDescent="0.25">
      <c r="A653" s="33" t="s">
        <v>9</v>
      </c>
      <c r="B653" s="33" t="s">
        <v>10</v>
      </c>
      <c r="C653" s="34" t="s">
        <v>11</v>
      </c>
      <c r="D653" s="34" t="s">
        <v>12</v>
      </c>
      <c r="E653" s="16" t="s">
        <v>80</v>
      </c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</row>
    <row r="654" spans="1:17" ht="46.8" x14ac:dyDescent="0.25">
      <c r="A654" s="15" t="s">
        <v>165</v>
      </c>
      <c r="B654" s="17" t="s">
        <v>110</v>
      </c>
      <c r="C654" s="35" t="s">
        <v>166</v>
      </c>
      <c r="D654" s="35" t="s">
        <v>83</v>
      </c>
      <c r="E654" s="16">
        <v>0</v>
      </c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</row>
    <row r="655" spans="1:17" x14ac:dyDescent="0.25"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</row>
    <row r="656" spans="1:17" x14ac:dyDescent="0.25">
      <c r="A656" s="134" t="s">
        <v>167</v>
      </c>
      <c r="B656" s="134"/>
      <c r="C656" s="135"/>
      <c r="D656" s="135"/>
      <c r="E656" s="155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</row>
    <row r="657" spans="1:19" s="10" customFormat="1" x14ac:dyDescent="0.25">
      <c r="A657" s="15" t="s">
        <v>9</v>
      </c>
      <c r="B657" s="15" t="s">
        <v>10</v>
      </c>
      <c r="C657" s="38" t="s">
        <v>11</v>
      </c>
      <c r="D657" s="38" t="s">
        <v>12</v>
      </c>
      <c r="E657" s="16" t="s">
        <v>80</v>
      </c>
      <c r="F657" s="32"/>
      <c r="G657" s="32"/>
      <c r="H657" s="39"/>
      <c r="I657" s="39"/>
      <c r="J657" s="39"/>
      <c r="K657" s="39"/>
      <c r="L657" s="39"/>
      <c r="M657" s="39"/>
      <c r="N657" s="39"/>
      <c r="O657" s="39"/>
      <c r="P657" s="39"/>
      <c r="Q657" s="39"/>
    </row>
    <row r="658" spans="1:19" s="10" customFormat="1" ht="18" x14ac:dyDescent="0.4">
      <c r="A658" s="40" t="s">
        <v>168</v>
      </c>
      <c r="B658" s="17" t="s">
        <v>118</v>
      </c>
      <c r="C658" s="35" t="s">
        <v>169</v>
      </c>
      <c r="D658" s="35" t="s">
        <v>170</v>
      </c>
      <c r="E658" s="41">
        <f>E659*E661*(1+E660)</f>
        <v>442.24153500000006</v>
      </c>
      <c r="F658" s="32"/>
      <c r="G658" s="32"/>
      <c r="H658" s="39"/>
      <c r="I658" s="39"/>
      <c r="J658" s="39"/>
      <c r="K658" s="39"/>
      <c r="L658" s="39"/>
      <c r="M658" s="39"/>
      <c r="N658" s="39"/>
      <c r="O658" s="39"/>
      <c r="P658" s="39"/>
      <c r="Q658" s="39"/>
    </row>
    <row r="659" spans="1:19" ht="31.2" x14ac:dyDescent="0.25">
      <c r="A659" s="17" t="s">
        <v>171</v>
      </c>
      <c r="B659" s="17" t="s">
        <v>172</v>
      </c>
      <c r="C659" s="35" t="s">
        <v>173</v>
      </c>
      <c r="D659" s="35" t="s">
        <v>40</v>
      </c>
      <c r="E659" s="20">
        <v>724.25</v>
      </c>
      <c r="G659" s="42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9"/>
      <c r="S659" s="9"/>
    </row>
    <row r="660" spans="1:19" ht="31.2" x14ac:dyDescent="0.25">
      <c r="A660" s="17" t="s">
        <v>174</v>
      </c>
      <c r="B660" s="17" t="s">
        <v>175</v>
      </c>
      <c r="C660" s="35" t="s">
        <v>176</v>
      </c>
      <c r="D660" s="35" t="s">
        <v>177</v>
      </c>
      <c r="E660" s="44">
        <v>0.2</v>
      </c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9"/>
      <c r="S660" s="9"/>
    </row>
    <row r="661" spans="1:19" ht="46.8" x14ac:dyDescent="0.25">
      <c r="A661" s="17" t="s">
        <v>178</v>
      </c>
      <c r="B661" s="17" t="s">
        <v>179</v>
      </c>
      <c r="C661" s="35" t="s">
        <v>180</v>
      </c>
      <c r="D661" s="35" t="s">
        <v>181</v>
      </c>
      <c r="E661" s="45">
        <f>0.5*0.8042+0.5*0.2135</f>
        <v>0.50885000000000002</v>
      </c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</row>
    <row r="662" spans="1:19" ht="31.2" x14ac:dyDescent="0.4">
      <c r="A662" s="40" t="s">
        <v>182</v>
      </c>
      <c r="B662" s="17" t="s">
        <v>118</v>
      </c>
      <c r="C662" s="35" t="s">
        <v>183</v>
      </c>
      <c r="D662" s="35" t="s">
        <v>184</v>
      </c>
      <c r="E662" s="47">
        <v>0</v>
      </c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9"/>
      <c r="S662" s="9"/>
    </row>
    <row r="663" spans="1:19" x14ac:dyDescent="0.3">
      <c r="A663" s="48"/>
      <c r="E663" s="49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9"/>
      <c r="S663" s="9"/>
    </row>
    <row r="664" spans="1:19" x14ac:dyDescent="0.25">
      <c r="A664" s="134" t="s">
        <v>185</v>
      </c>
      <c r="B664" s="134"/>
      <c r="C664" s="135"/>
      <c r="D664" s="135"/>
      <c r="E664" s="155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</row>
    <row r="665" spans="1:19" x14ac:dyDescent="0.25">
      <c r="A665" s="15" t="s">
        <v>9</v>
      </c>
      <c r="B665" s="15" t="s">
        <v>10</v>
      </c>
      <c r="C665" s="38" t="s">
        <v>11</v>
      </c>
      <c r="D665" s="38" t="s">
        <v>12</v>
      </c>
      <c r="E665" s="16" t="s">
        <v>80</v>
      </c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9"/>
      <c r="S665" s="9"/>
    </row>
    <row r="666" spans="1:19" ht="33.6" x14ac:dyDescent="0.4">
      <c r="A666" s="40" t="s">
        <v>186</v>
      </c>
      <c r="B666" s="17" t="s">
        <v>89</v>
      </c>
      <c r="C666" s="35" t="s">
        <v>187</v>
      </c>
      <c r="D666" s="35" t="s">
        <v>363</v>
      </c>
      <c r="E666" s="50">
        <f>E667*E670*E671*E672*E673*E674</f>
        <v>14.177748166362667</v>
      </c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9"/>
      <c r="S666" s="9"/>
    </row>
    <row r="667" spans="1:19" ht="46.8" x14ac:dyDescent="0.4">
      <c r="A667" s="51" t="s">
        <v>188</v>
      </c>
      <c r="B667" s="17" t="s">
        <v>91</v>
      </c>
      <c r="C667" s="35" t="s">
        <v>189</v>
      </c>
      <c r="D667" s="35" t="s">
        <v>364</v>
      </c>
      <c r="E667" s="52">
        <f>E668/E669</f>
        <v>251.11999999999998</v>
      </c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9"/>
      <c r="S667" s="9"/>
    </row>
    <row r="668" spans="1:19" ht="31.2" x14ac:dyDescent="0.25">
      <c r="A668" s="17" t="s">
        <v>190</v>
      </c>
      <c r="B668" s="17" t="s">
        <v>93</v>
      </c>
      <c r="C668" s="35" t="s">
        <v>191</v>
      </c>
      <c r="D668" s="35" t="s">
        <v>40</v>
      </c>
      <c r="E668" s="52">
        <f>3.44*365</f>
        <v>1255.5999999999999</v>
      </c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9"/>
      <c r="S668" s="9"/>
    </row>
    <row r="669" spans="1:19" ht="31.2" x14ac:dyDescent="0.25">
      <c r="A669" s="17" t="s">
        <v>192</v>
      </c>
      <c r="B669" s="17" t="s">
        <v>95</v>
      </c>
      <c r="C669" s="35" t="s">
        <v>96</v>
      </c>
      <c r="D669" s="35" t="s">
        <v>40</v>
      </c>
      <c r="E669" s="25">
        <f>5</f>
        <v>5</v>
      </c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9"/>
      <c r="S669" s="9"/>
    </row>
    <row r="670" spans="1:19" ht="46.8" x14ac:dyDescent="0.25">
      <c r="A670" s="17" t="s">
        <v>193</v>
      </c>
      <c r="B670" s="17" t="s">
        <v>97</v>
      </c>
      <c r="C670" s="35" t="s">
        <v>194</v>
      </c>
      <c r="D670" s="35" t="s">
        <v>40</v>
      </c>
      <c r="E670" s="25">
        <f>41.7*2</f>
        <v>83.4</v>
      </c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9"/>
      <c r="S670" s="9"/>
    </row>
    <row r="671" spans="1:19" ht="141" x14ac:dyDescent="0.25">
      <c r="A671" s="17" t="s">
        <v>195</v>
      </c>
      <c r="B671" s="17" t="s">
        <v>99</v>
      </c>
      <c r="C671" s="35" t="s">
        <v>100</v>
      </c>
      <c r="D671" s="35" t="s">
        <v>330</v>
      </c>
      <c r="E671" s="25">
        <f>25.1/100</f>
        <v>0.251</v>
      </c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9"/>
      <c r="S671" s="9"/>
    </row>
    <row r="672" spans="1:19" ht="62.4" x14ac:dyDescent="0.25">
      <c r="A672" s="17" t="s">
        <v>101</v>
      </c>
      <c r="B672" s="17" t="s">
        <v>102</v>
      </c>
      <c r="C672" s="35" t="s">
        <v>101</v>
      </c>
      <c r="D672" s="35" t="s">
        <v>231</v>
      </c>
      <c r="E672" s="25">
        <f>0.84/1000</f>
        <v>8.3999999999999993E-4</v>
      </c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9"/>
      <c r="S672" s="9"/>
    </row>
    <row r="673" spans="1:133" ht="124.8" x14ac:dyDescent="0.25">
      <c r="A673" s="17" t="s">
        <v>196</v>
      </c>
      <c r="B673" s="17" t="s">
        <v>103</v>
      </c>
      <c r="C673" s="35" t="s">
        <v>104</v>
      </c>
      <c r="D673" s="35" t="s">
        <v>331</v>
      </c>
      <c r="E673" s="25">
        <f>43.33/1000</f>
        <v>4.333E-2</v>
      </c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9"/>
      <c r="S673" s="9"/>
    </row>
    <row r="674" spans="1:133" ht="33.6" x14ac:dyDescent="0.25">
      <c r="A674" s="17" t="s">
        <v>197</v>
      </c>
      <c r="B674" s="17" t="s">
        <v>105</v>
      </c>
      <c r="C674" s="35" t="s">
        <v>106</v>
      </c>
      <c r="D674" s="35" t="s">
        <v>107</v>
      </c>
      <c r="E674" s="25">
        <v>74.099999999999994</v>
      </c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9"/>
      <c r="S674" s="9"/>
    </row>
    <row r="676" spans="1:133" x14ac:dyDescent="0.25">
      <c r="A676" s="33" t="s">
        <v>9</v>
      </c>
      <c r="B676" s="33" t="s">
        <v>10</v>
      </c>
      <c r="C676" s="34" t="s">
        <v>11</v>
      </c>
      <c r="D676" s="34" t="s">
        <v>12</v>
      </c>
      <c r="E676" s="16" t="s">
        <v>80</v>
      </c>
    </row>
    <row r="677" spans="1:133" ht="18" x14ac:dyDescent="0.25">
      <c r="A677" s="15" t="s">
        <v>198</v>
      </c>
      <c r="B677" s="17" t="s">
        <v>118</v>
      </c>
      <c r="C677" s="35" t="s">
        <v>199</v>
      </c>
      <c r="D677" s="53" t="s">
        <v>365</v>
      </c>
      <c r="E677" s="18">
        <f>ROUNDUP(E626+E650+E654+E658+E666,0)</f>
        <v>457</v>
      </c>
    </row>
    <row r="678" spans="1:133" s="158" customFormat="1" ht="43.2" customHeight="1" x14ac:dyDescent="0.25">
      <c r="A678" s="160" t="s">
        <v>256</v>
      </c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  <c r="BA678" s="161"/>
      <c r="BB678" s="161"/>
      <c r="BC678" s="161"/>
      <c r="BD678" s="161"/>
      <c r="BE678" s="161"/>
      <c r="BF678" s="161"/>
      <c r="BG678" s="161"/>
      <c r="BH678" s="161"/>
      <c r="BI678" s="161"/>
      <c r="BJ678" s="161"/>
      <c r="BK678" s="161"/>
      <c r="BL678" s="161"/>
      <c r="BM678" s="161"/>
      <c r="BN678" s="161"/>
      <c r="BO678" s="161"/>
      <c r="BP678" s="161"/>
      <c r="BQ678" s="161"/>
      <c r="BR678" s="161"/>
      <c r="BS678" s="161"/>
      <c r="BT678" s="161"/>
      <c r="BU678" s="161"/>
      <c r="BV678" s="161"/>
      <c r="BW678" s="161"/>
      <c r="BX678" s="161"/>
      <c r="BY678" s="161"/>
      <c r="BZ678" s="161"/>
      <c r="CA678" s="161"/>
      <c r="CB678" s="161"/>
      <c r="CC678" s="161"/>
      <c r="CD678" s="161"/>
      <c r="CE678" s="161"/>
      <c r="CF678" s="161"/>
      <c r="CG678" s="161"/>
      <c r="CH678" s="161"/>
      <c r="CI678" s="161"/>
      <c r="CJ678" s="161"/>
      <c r="CK678" s="161"/>
      <c r="CL678" s="161"/>
      <c r="CM678" s="161"/>
      <c r="CN678" s="161"/>
      <c r="CO678" s="161"/>
      <c r="CP678" s="161"/>
      <c r="CQ678" s="161"/>
      <c r="CR678" s="161"/>
      <c r="CS678" s="161"/>
      <c r="CT678" s="161"/>
      <c r="CU678" s="161"/>
      <c r="CV678" s="161"/>
      <c r="CW678" s="161"/>
      <c r="CX678" s="161"/>
      <c r="CY678" s="161"/>
      <c r="CZ678" s="161"/>
      <c r="DA678" s="161"/>
      <c r="DB678" s="161"/>
      <c r="DC678" s="161"/>
      <c r="DD678" s="161"/>
      <c r="DE678" s="161"/>
      <c r="DF678" s="161"/>
      <c r="DG678" s="161"/>
      <c r="DH678" s="161"/>
      <c r="DI678" s="161"/>
      <c r="DJ678" s="161"/>
      <c r="DK678" s="161"/>
      <c r="DL678" s="161"/>
      <c r="DM678" s="161"/>
      <c r="DN678" s="161"/>
      <c r="DO678" s="161"/>
      <c r="DP678" s="161"/>
      <c r="DQ678" s="161"/>
      <c r="DR678" s="161"/>
      <c r="DS678" s="161"/>
      <c r="DT678" s="161"/>
      <c r="DU678" s="161"/>
      <c r="DV678" s="161"/>
      <c r="DW678" s="161"/>
      <c r="DX678" s="161"/>
      <c r="DY678" s="161"/>
      <c r="DZ678" s="161"/>
      <c r="EA678" s="161"/>
      <c r="EB678" s="161"/>
      <c r="EC678" s="162"/>
    </row>
    <row r="679" spans="1:133" ht="23.4" customHeight="1" x14ac:dyDescent="0.25">
      <c r="A679" s="153" t="s">
        <v>120</v>
      </c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4"/>
    </row>
    <row r="680" spans="1:133" s="10" customFormat="1" x14ac:dyDescent="0.25">
      <c r="A680" s="15" t="s">
        <v>9</v>
      </c>
      <c r="B680" s="15" t="s">
        <v>10</v>
      </c>
      <c r="C680" s="15" t="s">
        <v>11</v>
      </c>
      <c r="D680" s="15" t="s">
        <v>12</v>
      </c>
      <c r="E680" s="16" t="s">
        <v>13</v>
      </c>
      <c r="F680" s="16" t="s">
        <v>14</v>
      </c>
      <c r="G680" s="16" t="s">
        <v>15</v>
      </c>
      <c r="H680" s="16" t="s">
        <v>16</v>
      </c>
      <c r="I680" s="16" t="s">
        <v>17</v>
      </c>
      <c r="J680" s="16" t="s">
        <v>18</v>
      </c>
      <c r="K680" s="16" t="s">
        <v>19</v>
      </c>
      <c r="L680" s="16" t="s">
        <v>20</v>
      </c>
      <c r="M680" s="16" t="s">
        <v>21</v>
      </c>
      <c r="N680" s="16" t="s">
        <v>22</v>
      </c>
      <c r="O680" s="16" t="s">
        <v>23</v>
      </c>
      <c r="P680" s="16" t="s">
        <v>24</v>
      </c>
      <c r="Q680" s="16" t="s">
        <v>25</v>
      </c>
      <c r="R680" s="54"/>
      <c r="S680" s="54"/>
    </row>
    <row r="681" spans="1:133" s="10" customFormat="1" x14ac:dyDescent="0.25">
      <c r="A681" s="146" t="s">
        <v>121</v>
      </c>
      <c r="B681" s="146"/>
      <c r="C681" s="146"/>
      <c r="D681" s="146"/>
      <c r="E681" s="147"/>
      <c r="F681" s="16">
        <v>31</v>
      </c>
      <c r="G681" s="16">
        <v>28</v>
      </c>
      <c r="H681" s="16">
        <v>31</v>
      </c>
      <c r="I681" s="16">
        <v>30</v>
      </c>
      <c r="J681" s="16">
        <v>31</v>
      </c>
      <c r="K681" s="16">
        <v>30</v>
      </c>
      <c r="L681" s="16">
        <v>31</v>
      </c>
      <c r="M681" s="16">
        <v>31</v>
      </c>
      <c r="N681" s="16">
        <v>30</v>
      </c>
      <c r="O681" s="16">
        <v>31</v>
      </c>
      <c r="P681" s="16">
        <v>30</v>
      </c>
      <c r="Q681" s="16">
        <v>31</v>
      </c>
      <c r="R681" s="54"/>
      <c r="S681" s="54"/>
    </row>
    <row r="682" spans="1:133" s="10" customFormat="1" ht="31.2" x14ac:dyDescent="0.25">
      <c r="A682" s="15" t="s">
        <v>122</v>
      </c>
      <c r="B682" s="17" t="s">
        <v>118</v>
      </c>
      <c r="C682" s="17" t="s">
        <v>123</v>
      </c>
      <c r="D682" s="17" t="s">
        <v>353</v>
      </c>
      <c r="E682" s="18">
        <f>E683+E693</f>
        <v>0</v>
      </c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54"/>
      <c r="S682" s="54"/>
    </row>
    <row r="683" spans="1:133" ht="46.8" x14ac:dyDescent="0.25">
      <c r="A683" s="17" t="s">
        <v>124</v>
      </c>
      <c r="B683" s="17" t="s">
        <v>118</v>
      </c>
      <c r="C683" s="17" t="s">
        <v>125</v>
      </c>
      <c r="D683" s="17" t="s">
        <v>354</v>
      </c>
      <c r="E683" s="19">
        <f>SUM(F683:Q683)</f>
        <v>0</v>
      </c>
      <c r="F683" s="19">
        <f>IF(F684&gt;=0.8,0,$E$15*$E$16*0.4*(F685-F688)*F681)</f>
        <v>0</v>
      </c>
      <c r="G683" s="19">
        <f t="shared" ref="G683:Q683" si="84">IF(G684&gt;=0.8,0,$E$15*$E$16*0.4*(G685-G688)*G681)</f>
        <v>0</v>
      </c>
      <c r="H683" s="19">
        <f t="shared" si="84"/>
        <v>0</v>
      </c>
      <c r="I683" s="19">
        <f t="shared" si="84"/>
        <v>0</v>
      </c>
      <c r="J683" s="19">
        <f t="shared" si="84"/>
        <v>0</v>
      </c>
      <c r="K683" s="19">
        <f t="shared" si="84"/>
        <v>0</v>
      </c>
      <c r="L683" s="19">
        <f t="shared" si="84"/>
        <v>0</v>
      </c>
      <c r="M683" s="19">
        <f t="shared" si="84"/>
        <v>0</v>
      </c>
      <c r="N683" s="19">
        <f t="shared" si="84"/>
        <v>0</v>
      </c>
      <c r="O683" s="19">
        <f t="shared" si="84"/>
        <v>0</v>
      </c>
      <c r="P683" s="19">
        <f t="shared" si="84"/>
        <v>0</v>
      </c>
      <c r="Q683" s="19">
        <f t="shared" si="84"/>
        <v>0</v>
      </c>
    </row>
    <row r="684" spans="1:133" ht="62.4" x14ac:dyDescent="0.25">
      <c r="A684" s="17" t="s">
        <v>126</v>
      </c>
      <c r="B684" s="17" t="s">
        <v>52</v>
      </c>
      <c r="C684" s="17" t="s">
        <v>127</v>
      </c>
      <c r="D684" s="17" t="s">
        <v>355</v>
      </c>
      <c r="E684" s="20">
        <f>AVERAGE(F684:Q684)</f>
        <v>0.92727272727272758</v>
      </c>
      <c r="F684" s="20">
        <f>(F685-F688)/F685</f>
        <v>0.92727272727272725</v>
      </c>
      <c r="G684" s="20">
        <f t="shared" ref="G684:Q684" si="85">(G685-G688)/G685</f>
        <v>0.92727272727272725</v>
      </c>
      <c r="H684" s="20">
        <f t="shared" si="85"/>
        <v>0.92727272727272725</v>
      </c>
      <c r="I684" s="20">
        <f t="shared" si="85"/>
        <v>0.92727272727272725</v>
      </c>
      <c r="J684" s="20">
        <f t="shared" si="85"/>
        <v>0.92727272727272725</v>
      </c>
      <c r="K684" s="20">
        <f t="shared" si="85"/>
        <v>0.92727272727272725</v>
      </c>
      <c r="L684" s="20">
        <f t="shared" si="85"/>
        <v>0.92727272727272725</v>
      </c>
      <c r="M684" s="20">
        <f t="shared" si="85"/>
        <v>0.92727272727272725</v>
      </c>
      <c r="N684" s="20">
        <f t="shared" si="85"/>
        <v>0.92727272727272725</v>
      </c>
      <c r="O684" s="20">
        <f t="shared" si="85"/>
        <v>0.92727272727272725</v>
      </c>
      <c r="P684" s="20">
        <f t="shared" si="85"/>
        <v>0.92727272727272725</v>
      </c>
      <c r="Q684" s="20">
        <f t="shared" si="85"/>
        <v>0.92727272727272725</v>
      </c>
    </row>
    <row r="685" spans="1:133" ht="46.8" x14ac:dyDescent="0.25">
      <c r="A685" s="17" t="s">
        <v>128</v>
      </c>
      <c r="B685" s="17" t="s">
        <v>38</v>
      </c>
      <c r="C685" s="17" t="s">
        <v>129</v>
      </c>
      <c r="D685" s="17" t="s">
        <v>356</v>
      </c>
      <c r="E685" s="20">
        <f>SUM(F685:Q685)</f>
        <v>58.410000000000004</v>
      </c>
      <c r="F685" s="20">
        <f>F686*F687</f>
        <v>4.8675000000000006</v>
      </c>
      <c r="G685" s="20">
        <f t="shared" ref="G685:Q685" si="86">G686*G687</f>
        <v>4.8675000000000006</v>
      </c>
      <c r="H685" s="20">
        <f t="shared" si="86"/>
        <v>4.8675000000000006</v>
      </c>
      <c r="I685" s="20">
        <f t="shared" si="86"/>
        <v>4.8675000000000006</v>
      </c>
      <c r="J685" s="20">
        <f t="shared" si="86"/>
        <v>4.8675000000000006</v>
      </c>
      <c r="K685" s="20">
        <f t="shared" si="86"/>
        <v>4.8675000000000006</v>
      </c>
      <c r="L685" s="20">
        <f t="shared" si="86"/>
        <v>4.8675000000000006</v>
      </c>
      <c r="M685" s="20">
        <f t="shared" si="86"/>
        <v>4.8675000000000006</v>
      </c>
      <c r="N685" s="20">
        <f t="shared" si="86"/>
        <v>4.8675000000000006</v>
      </c>
      <c r="O685" s="20">
        <f t="shared" si="86"/>
        <v>4.8675000000000006</v>
      </c>
      <c r="P685" s="20">
        <f t="shared" si="86"/>
        <v>4.8675000000000006</v>
      </c>
      <c r="Q685" s="20">
        <f t="shared" si="86"/>
        <v>4.8675000000000006</v>
      </c>
    </row>
    <row r="686" spans="1:133" ht="51" customHeight="1" x14ac:dyDescent="0.25">
      <c r="A686" s="17" t="s">
        <v>130</v>
      </c>
      <c r="B686" s="17" t="s">
        <v>131</v>
      </c>
      <c r="C686" s="17" t="s">
        <v>132</v>
      </c>
      <c r="D686" s="17" t="s">
        <v>40</v>
      </c>
      <c r="E686" s="21">
        <f>SUM(F686:Q686)</f>
        <v>106200</v>
      </c>
      <c r="F686" s="21">
        <f>8850</f>
        <v>8850</v>
      </c>
      <c r="G686" s="21">
        <f>8850</f>
        <v>8850</v>
      </c>
      <c r="H686" s="21">
        <f>8850</f>
        <v>8850</v>
      </c>
      <c r="I686" s="21">
        <f>8850</f>
        <v>8850</v>
      </c>
      <c r="J686" s="21">
        <f>8850</f>
        <v>8850</v>
      </c>
      <c r="K686" s="21">
        <f>8850</f>
        <v>8850</v>
      </c>
      <c r="L686" s="21">
        <f>8850</f>
        <v>8850</v>
      </c>
      <c r="M686" s="21">
        <f>8850</f>
        <v>8850</v>
      </c>
      <c r="N686" s="21">
        <f>8850</f>
        <v>8850</v>
      </c>
      <c r="O686" s="21">
        <f>8850</f>
        <v>8850</v>
      </c>
      <c r="P686" s="21">
        <f>8850</f>
        <v>8850</v>
      </c>
      <c r="Q686" s="21">
        <f>8850</f>
        <v>8850</v>
      </c>
    </row>
    <row r="687" spans="1:133" ht="46.8" x14ac:dyDescent="0.25">
      <c r="A687" s="17" t="s">
        <v>133</v>
      </c>
      <c r="B687" s="17" t="s">
        <v>134</v>
      </c>
      <c r="C687" s="17" t="s">
        <v>135</v>
      </c>
      <c r="D687" s="17" t="s">
        <v>40</v>
      </c>
      <c r="E687" s="22">
        <f>AVERAGE(F687:Q687)</f>
        <v>5.5000000000000003E-4</v>
      </c>
      <c r="F687" s="23">
        <f>'Baseline Emissions'!F668</f>
        <v>5.5000000000000003E-4</v>
      </c>
      <c r="G687" s="23">
        <f>'Baseline Emissions'!G668</f>
        <v>5.5000000000000003E-4</v>
      </c>
      <c r="H687" s="23">
        <f>'Baseline Emissions'!H668</f>
        <v>5.5000000000000003E-4</v>
      </c>
      <c r="I687" s="23">
        <f>'Baseline Emissions'!I668</f>
        <v>5.5000000000000003E-4</v>
      </c>
      <c r="J687" s="23">
        <f>'Baseline Emissions'!J668</f>
        <v>5.5000000000000003E-4</v>
      </c>
      <c r="K687" s="23">
        <f>'Baseline Emissions'!K668</f>
        <v>5.5000000000000003E-4</v>
      </c>
      <c r="L687" s="23">
        <f>'Baseline Emissions'!L668</f>
        <v>5.5000000000000003E-4</v>
      </c>
      <c r="M687" s="23">
        <f>'Baseline Emissions'!M668</f>
        <v>5.5000000000000003E-4</v>
      </c>
      <c r="N687" s="23">
        <f>'Baseline Emissions'!N668</f>
        <v>5.5000000000000003E-4</v>
      </c>
      <c r="O687" s="23">
        <f>'Baseline Emissions'!O668</f>
        <v>5.5000000000000003E-4</v>
      </c>
      <c r="P687" s="23">
        <f>'Baseline Emissions'!P668</f>
        <v>5.5000000000000003E-4</v>
      </c>
      <c r="Q687" s="23">
        <f>'Baseline Emissions'!Q668</f>
        <v>5.5000000000000003E-4</v>
      </c>
    </row>
    <row r="688" spans="1:133" ht="46.8" x14ac:dyDescent="0.25">
      <c r="A688" s="17" t="s">
        <v>136</v>
      </c>
      <c r="B688" s="17" t="s">
        <v>38</v>
      </c>
      <c r="C688" s="17" t="s">
        <v>137</v>
      </c>
      <c r="D688" s="17" t="s">
        <v>356</v>
      </c>
      <c r="E688" s="20">
        <f>SUM(F688:Q688)</f>
        <v>4.2480000000000002</v>
      </c>
      <c r="F688" s="20">
        <f>SUM(F689*F690)</f>
        <v>0.35400000000000004</v>
      </c>
      <c r="G688" s="20">
        <f t="shared" ref="G688:Q688" si="87">SUM(G689*G690)</f>
        <v>0.35400000000000004</v>
      </c>
      <c r="H688" s="20">
        <f t="shared" si="87"/>
        <v>0.35400000000000004</v>
      </c>
      <c r="I688" s="20">
        <f t="shared" si="87"/>
        <v>0.35400000000000004</v>
      </c>
      <c r="J688" s="20">
        <f t="shared" si="87"/>
        <v>0.35400000000000004</v>
      </c>
      <c r="K688" s="20">
        <f t="shared" si="87"/>
        <v>0.35400000000000004</v>
      </c>
      <c r="L688" s="20">
        <f t="shared" si="87"/>
        <v>0.35400000000000004</v>
      </c>
      <c r="M688" s="20">
        <f t="shared" si="87"/>
        <v>0.35400000000000004</v>
      </c>
      <c r="N688" s="20">
        <f t="shared" si="87"/>
        <v>0.35400000000000004</v>
      </c>
      <c r="O688" s="20">
        <f t="shared" si="87"/>
        <v>0.35400000000000004</v>
      </c>
      <c r="P688" s="20">
        <f t="shared" si="87"/>
        <v>0.35400000000000004</v>
      </c>
      <c r="Q688" s="20">
        <f t="shared" si="87"/>
        <v>0.35400000000000004</v>
      </c>
    </row>
    <row r="689" spans="1:17" ht="31.2" x14ac:dyDescent="0.25">
      <c r="A689" s="17" t="s">
        <v>138</v>
      </c>
      <c r="B689" s="17" t="s">
        <v>131</v>
      </c>
      <c r="C689" s="17" t="s">
        <v>139</v>
      </c>
      <c r="D689" s="17" t="s">
        <v>40</v>
      </c>
      <c r="E689" s="21">
        <f>SUM(F689:Q689)</f>
        <v>106200</v>
      </c>
      <c r="F689" s="21">
        <f>8850</f>
        <v>8850</v>
      </c>
      <c r="G689" s="21">
        <f>8850</f>
        <v>8850</v>
      </c>
      <c r="H689" s="21">
        <f>8850</f>
        <v>8850</v>
      </c>
      <c r="I689" s="21">
        <f>8850</f>
        <v>8850</v>
      </c>
      <c r="J689" s="21">
        <f>8850</f>
        <v>8850</v>
      </c>
      <c r="K689" s="21">
        <f>8850</f>
        <v>8850</v>
      </c>
      <c r="L689" s="21">
        <f>8850</f>
        <v>8850</v>
      </c>
      <c r="M689" s="21">
        <f>8850</f>
        <v>8850</v>
      </c>
      <c r="N689" s="21">
        <f>8850</f>
        <v>8850</v>
      </c>
      <c r="O689" s="21">
        <f>8850</f>
        <v>8850</v>
      </c>
      <c r="P689" s="21">
        <f>8850</f>
        <v>8850</v>
      </c>
      <c r="Q689" s="21">
        <f>8850</f>
        <v>8850</v>
      </c>
    </row>
    <row r="690" spans="1:17" ht="46.8" x14ac:dyDescent="0.25">
      <c r="A690" s="17" t="s">
        <v>140</v>
      </c>
      <c r="B690" s="17" t="s">
        <v>134</v>
      </c>
      <c r="C690" s="17" t="s">
        <v>141</v>
      </c>
      <c r="D690" s="17" t="s">
        <v>40</v>
      </c>
      <c r="E690" s="24">
        <f>AVERAGE(F690:Q690)</f>
        <v>4.0000000000000003E-5</v>
      </c>
      <c r="F690" s="24">
        <f>'Baseline Emissions'!F669</f>
        <v>4.0000000000000003E-5</v>
      </c>
      <c r="G690" s="24">
        <f>'Baseline Emissions'!G669</f>
        <v>4.0000000000000003E-5</v>
      </c>
      <c r="H690" s="24">
        <f>'Baseline Emissions'!H669</f>
        <v>4.0000000000000003E-5</v>
      </c>
      <c r="I690" s="24">
        <f>'Baseline Emissions'!I669</f>
        <v>4.0000000000000003E-5</v>
      </c>
      <c r="J690" s="24">
        <f>'Baseline Emissions'!J669</f>
        <v>4.0000000000000003E-5</v>
      </c>
      <c r="K690" s="24">
        <f>'Baseline Emissions'!K669</f>
        <v>4.0000000000000003E-5</v>
      </c>
      <c r="L690" s="24">
        <f>'Baseline Emissions'!L669</f>
        <v>4.0000000000000003E-5</v>
      </c>
      <c r="M690" s="24">
        <f>'Baseline Emissions'!M669</f>
        <v>4.0000000000000003E-5</v>
      </c>
      <c r="N690" s="24">
        <f>'Baseline Emissions'!N669</f>
        <v>4.0000000000000003E-5</v>
      </c>
      <c r="O690" s="24">
        <f>'Baseline Emissions'!O669</f>
        <v>4.0000000000000003E-5</v>
      </c>
      <c r="P690" s="24">
        <f>'Baseline Emissions'!P669</f>
        <v>4.0000000000000003E-5</v>
      </c>
      <c r="Q690" s="24">
        <f>'Baseline Emissions'!Q669</f>
        <v>4.0000000000000003E-5</v>
      </c>
    </row>
    <row r="691" spans="1:17" ht="31.2" x14ac:dyDescent="0.25">
      <c r="A691" s="17" t="s">
        <v>142</v>
      </c>
      <c r="B691" s="17" t="s">
        <v>143</v>
      </c>
      <c r="C691" s="17" t="s">
        <v>31</v>
      </c>
      <c r="D691" s="17" t="s">
        <v>144</v>
      </c>
      <c r="E691" s="130">
        <v>28</v>
      </c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</row>
    <row r="692" spans="1:17" ht="64.8" x14ac:dyDescent="0.25">
      <c r="A692" s="17" t="s">
        <v>145</v>
      </c>
      <c r="B692" s="17" t="s">
        <v>33</v>
      </c>
      <c r="C692" s="17" t="s">
        <v>146</v>
      </c>
      <c r="D692" s="17" t="s">
        <v>373</v>
      </c>
      <c r="E692" s="130">
        <v>0.21</v>
      </c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</row>
    <row r="693" spans="1:17" ht="46.8" x14ac:dyDescent="0.25">
      <c r="A693" s="17" t="s">
        <v>147</v>
      </c>
      <c r="B693" s="17" t="s">
        <v>118</v>
      </c>
      <c r="C693" s="17" t="s">
        <v>148</v>
      </c>
      <c r="D693" s="17" t="s">
        <v>357</v>
      </c>
      <c r="E693" s="19">
        <f>SUM(F693:Q693)</f>
        <v>0</v>
      </c>
      <c r="F693" s="19">
        <f>$E$15*$E$16*F694*F688*F681</f>
        <v>0</v>
      </c>
      <c r="G693" s="19">
        <f t="shared" ref="G693:Q693" si="88">$E$15*$E$16*G694*G688*G681</f>
        <v>0</v>
      </c>
      <c r="H693" s="19">
        <f t="shared" si="88"/>
        <v>0</v>
      </c>
      <c r="I693" s="19">
        <f t="shared" si="88"/>
        <v>0</v>
      </c>
      <c r="J693" s="19">
        <f t="shared" si="88"/>
        <v>0</v>
      </c>
      <c r="K693" s="19">
        <f t="shared" si="88"/>
        <v>0</v>
      </c>
      <c r="L693" s="19">
        <f t="shared" si="88"/>
        <v>0</v>
      </c>
      <c r="M693" s="19">
        <f t="shared" si="88"/>
        <v>0</v>
      </c>
      <c r="N693" s="19">
        <f t="shared" si="88"/>
        <v>0</v>
      </c>
      <c r="O693" s="19">
        <f t="shared" si="88"/>
        <v>0</v>
      </c>
      <c r="P693" s="19">
        <f t="shared" si="88"/>
        <v>0</v>
      </c>
      <c r="Q693" s="19">
        <f t="shared" si="88"/>
        <v>0</v>
      </c>
    </row>
    <row r="694" spans="1:17" ht="18" x14ac:dyDescent="0.25">
      <c r="A694" s="17" t="s">
        <v>149</v>
      </c>
      <c r="B694" s="17" t="s">
        <v>52</v>
      </c>
      <c r="C694" s="17" t="s">
        <v>150</v>
      </c>
      <c r="D694" s="17" t="s">
        <v>358</v>
      </c>
      <c r="E694" s="26">
        <f>AVERAGE(F694:Q694)</f>
        <v>0</v>
      </c>
      <c r="F694" s="26">
        <f t="shared" ref="F694:Q694" si="89">F695*$E$20*0.89</f>
        <v>0</v>
      </c>
      <c r="G694" s="26">
        <f t="shared" si="89"/>
        <v>0</v>
      </c>
      <c r="H694" s="26">
        <f t="shared" si="89"/>
        <v>0</v>
      </c>
      <c r="I694" s="26">
        <f t="shared" si="89"/>
        <v>0</v>
      </c>
      <c r="J694" s="26">
        <f t="shared" si="89"/>
        <v>0</v>
      </c>
      <c r="K694" s="26">
        <f t="shared" si="89"/>
        <v>0</v>
      </c>
      <c r="L694" s="26">
        <f t="shared" si="89"/>
        <v>0</v>
      </c>
      <c r="M694" s="26">
        <f t="shared" si="89"/>
        <v>0</v>
      </c>
      <c r="N694" s="26">
        <f t="shared" si="89"/>
        <v>0</v>
      </c>
      <c r="O694" s="26">
        <f t="shared" si="89"/>
        <v>0</v>
      </c>
      <c r="P694" s="26">
        <f t="shared" si="89"/>
        <v>0</v>
      </c>
      <c r="Q694" s="26">
        <f t="shared" si="89"/>
        <v>0</v>
      </c>
    </row>
    <row r="695" spans="1:17" ht="31.2" x14ac:dyDescent="0.25">
      <c r="A695" s="17" t="s">
        <v>151</v>
      </c>
      <c r="B695" s="17" t="s">
        <v>52</v>
      </c>
      <c r="C695" s="17" t="s">
        <v>61</v>
      </c>
      <c r="D695" s="17" t="s">
        <v>359</v>
      </c>
      <c r="E695" s="25">
        <v>0</v>
      </c>
      <c r="F695" s="25">
        <v>0</v>
      </c>
      <c r="G695" s="25">
        <v>0</v>
      </c>
      <c r="H695" s="25">
        <v>0</v>
      </c>
      <c r="I695" s="25">
        <v>0</v>
      </c>
      <c r="J695" s="25">
        <v>0</v>
      </c>
      <c r="K695" s="25">
        <v>0</v>
      </c>
      <c r="L695" s="25">
        <v>0</v>
      </c>
      <c r="M695" s="25">
        <v>0</v>
      </c>
      <c r="N695" s="25">
        <v>0</v>
      </c>
      <c r="O695" s="25">
        <v>0</v>
      </c>
      <c r="P695" s="25">
        <v>0</v>
      </c>
      <c r="Q695" s="25">
        <v>0</v>
      </c>
    </row>
    <row r="696" spans="1:17" ht="31.2" x14ac:dyDescent="0.25">
      <c r="A696" s="17" t="s">
        <v>152</v>
      </c>
      <c r="B696" s="17" t="s">
        <v>216</v>
      </c>
      <c r="C696" s="17" t="s">
        <v>153</v>
      </c>
      <c r="D696" s="17" t="s">
        <v>360</v>
      </c>
      <c r="E696" s="148">
        <f>(F697*F702+G697*G702+H697*H702+I697*I702+J697*J702+K697*K702+L697*L702+M697*M702+N697*N702+O697*O702+P697*P702+Q697*Q702)/(F689*F690*F681+G690*G689*G681+H689*H690*H681+I690*I689*I681+J690*J689*J681+K690*K689*K681+L690*L689*L681+M690*M689*M681+N690*N689*N681+O689*O690*O681+P690*P689*P681+Q690*Q689*Q681)</f>
        <v>0.59998303474056458</v>
      </c>
      <c r="F696" s="148"/>
      <c r="G696" s="148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</row>
    <row r="697" spans="1:17" ht="31.2" x14ac:dyDescent="0.25">
      <c r="A697" s="17" t="s">
        <v>154</v>
      </c>
      <c r="B697" s="17" t="s">
        <v>52</v>
      </c>
      <c r="C697" s="17" t="s">
        <v>155</v>
      </c>
      <c r="D697" s="17" t="s">
        <v>347</v>
      </c>
      <c r="E697" s="27">
        <f>AVERAGE(F697:Q697)</f>
        <v>0.59801195869818824</v>
      </c>
      <c r="F697" s="27">
        <f>IF(F701&lt;283,0,IF(F701&gt;303,1,EXP(($E$22*(F701-$E$23))/($E$24*$E$23*F701))))</f>
        <v>0.22368662668957603</v>
      </c>
      <c r="G697" s="27">
        <f t="shared" ref="G697:Q697" si="90">IF(G701&lt;283,0,IF(G701&gt;303,1,EXP(($E$22*(G701-$E$23))/($E$24*$E$23*G701))))</f>
        <v>0.24547412919519337</v>
      </c>
      <c r="H697" s="27">
        <f t="shared" si="90"/>
        <v>0.35374940126825682</v>
      </c>
      <c r="I697" s="27">
        <f t="shared" si="90"/>
        <v>0.50475941545474445</v>
      </c>
      <c r="J697" s="27">
        <f t="shared" si="90"/>
        <v>0.77675425208684001</v>
      </c>
      <c r="K697" s="27">
        <f t="shared" si="90"/>
        <v>0.91923925774048054</v>
      </c>
      <c r="L697" s="27">
        <f t="shared" si="90"/>
        <v>1</v>
      </c>
      <c r="M697" s="27">
        <f t="shared" si="90"/>
        <v>1</v>
      </c>
      <c r="N697" s="27">
        <f t="shared" si="90"/>
        <v>0.91923925774048054</v>
      </c>
      <c r="O697" s="27">
        <f t="shared" si="90"/>
        <v>0.60078639810878987</v>
      </c>
      <c r="P697" s="27">
        <f t="shared" si="90"/>
        <v>0.38698063689870399</v>
      </c>
      <c r="Q697" s="27">
        <f t="shared" si="90"/>
        <v>0.24547412919519337</v>
      </c>
    </row>
    <row r="698" spans="1:17" x14ac:dyDescent="0.25">
      <c r="A698" s="17" t="s">
        <v>66</v>
      </c>
      <c r="B698" s="17" t="s">
        <v>67</v>
      </c>
      <c r="C698" s="17" t="s">
        <v>68</v>
      </c>
      <c r="D698" s="17" t="s">
        <v>361</v>
      </c>
      <c r="E698" s="130">
        <v>15175</v>
      </c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</row>
    <row r="699" spans="1:17" ht="18" x14ac:dyDescent="0.25">
      <c r="A699" s="17" t="s">
        <v>156</v>
      </c>
      <c r="B699" s="17" t="s">
        <v>70</v>
      </c>
      <c r="C699" s="17" t="s">
        <v>71</v>
      </c>
      <c r="D699" s="17" t="s">
        <v>361</v>
      </c>
      <c r="E699" s="130">
        <v>303.16000000000003</v>
      </c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</row>
    <row r="700" spans="1:17" x14ac:dyDescent="0.25">
      <c r="A700" s="17" t="s">
        <v>72</v>
      </c>
      <c r="B700" s="17" t="s">
        <v>73</v>
      </c>
      <c r="C700" s="17" t="s">
        <v>74</v>
      </c>
      <c r="D700" s="17" t="s">
        <v>361</v>
      </c>
      <c r="E700" s="130">
        <v>1.9870000000000001</v>
      </c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</row>
    <row r="701" spans="1:17" ht="31.2" x14ac:dyDescent="0.25">
      <c r="A701" s="17" t="s">
        <v>157</v>
      </c>
      <c r="B701" s="17" t="s">
        <v>70</v>
      </c>
      <c r="C701" s="17" t="s">
        <v>158</v>
      </c>
      <c r="D701" s="17" t="s">
        <v>281</v>
      </c>
      <c r="E701" s="28">
        <f>AVERAGE(F701:Q701)</f>
        <v>295.56666666666672</v>
      </c>
      <c r="F701" s="25">
        <v>286.14999999999998</v>
      </c>
      <c r="G701" s="25">
        <v>287.14999999999998</v>
      </c>
      <c r="H701" s="25">
        <v>291.14999999999998</v>
      </c>
      <c r="I701" s="25">
        <v>295.14999999999998</v>
      </c>
      <c r="J701" s="25">
        <v>300.14999999999998</v>
      </c>
      <c r="K701" s="25">
        <v>302.14999999999998</v>
      </c>
      <c r="L701" s="25">
        <v>303.14999999999998</v>
      </c>
      <c r="M701" s="25">
        <v>303.14999999999998</v>
      </c>
      <c r="N701" s="25">
        <v>302.14999999999998</v>
      </c>
      <c r="O701" s="25">
        <v>297.14999999999998</v>
      </c>
      <c r="P701" s="25">
        <v>292.14999999999998</v>
      </c>
      <c r="Q701" s="25">
        <v>287.14999999999998</v>
      </c>
    </row>
    <row r="702" spans="1:17" ht="46.8" x14ac:dyDescent="0.25">
      <c r="A702" s="17" t="s">
        <v>159</v>
      </c>
      <c r="B702" s="17" t="s">
        <v>38</v>
      </c>
      <c r="C702" s="17" t="s">
        <v>160</v>
      </c>
      <c r="D702" s="17" t="s">
        <v>362</v>
      </c>
      <c r="E702" s="29">
        <f>SUM(F702:Q702)</f>
        <v>129.21000000000004</v>
      </c>
      <c r="F702" s="29">
        <f>F686*F690*'Project Emissions'!F681+(1-F697)*0</f>
        <v>10.974000000000002</v>
      </c>
      <c r="G702" s="29">
        <f>G686*G690*'Project Emissions'!G681+(1-G697)*0</f>
        <v>9.9120000000000008</v>
      </c>
      <c r="H702" s="29">
        <f>H686*H690*'Project Emissions'!H681+(1-H697)*0</f>
        <v>10.974000000000002</v>
      </c>
      <c r="I702" s="29">
        <f>I686*I690*'Project Emissions'!I681+(1-I697)*0</f>
        <v>10.620000000000001</v>
      </c>
      <c r="J702" s="29">
        <f>J686*J690*'Project Emissions'!J681+(1-J697)*0</f>
        <v>10.974000000000002</v>
      </c>
      <c r="K702" s="29">
        <f>K686*K690*'Project Emissions'!K681+(1-K697)*0</f>
        <v>10.620000000000001</v>
      </c>
      <c r="L702" s="29">
        <f>L686*L690*'Project Emissions'!L681+(1-L697)*0</f>
        <v>10.974000000000002</v>
      </c>
      <c r="M702" s="29">
        <f>M686*M690*'Project Emissions'!M681+(1-M697)*0</f>
        <v>10.974000000000002</v>
      </c>
      <c r="N702" s="29">
        <f>N686*N690*'Project Emissions'!N681+(1-N697)*0</f>
        <v>10.620000000000001</v>
      </c>
      <c r="O702" s="29">
        <f>O686*O690*'Project Emissions'!O681+(1-O697)*0</f>
        <v>10.974000000000002</v>
      </c>
      <c r="P702" s="29">
        <f>P686*P690*'Project Emissions'!P681+(1-P697)*0</f>
        <v>10.620000000000001</v>
      </c>
      <c r="Q702" s="29">
        <f>Q686*Q690*'Project Emissions'!Q681+(1-Q697)*0</f>
        <v>10.974000000000002</v>
      </c>
    </row>
    <row r="703" spans="1:17" x14ac:dyDescent="0.3">
      <c r="A703" s="30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</row>
    <row r="704" spans="1:17" x14ac:dyDescent="0.25">
      <c r="A704" s="134" t="s">
        <v>161</v>
      </c>
      <c r="B704" s="134"/>
      <c r="C704" s="135"/>
      <c r="D704" s="135"/>
      <c r="E704" s="155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</row>
    <row r="705" spans="1:19" x14ac:dyDescent="0.25">
      <c r="A705" s="33" t="s">
        <v>9</v>
      </c>
      <c r="B705" s="33" t="s">
        <v>10</v>
      </c>
      <c r="C705" s="34" t="s">
        <v>11</v>
      </c>
      <c r="D705" s="34" t="s">
        <v>12</v>
      </c>
      <c r="E705" s="16" t="s">
        <v>80</v>
      </c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</row>
    <row r="706" spans="1:19" ht="46.8" x14ac:dyDescent="0.25">
      <c r="A706" s="15" t="s">
        <v>162</v>
      </c>
      <c r="B706" s="17" t="s">
        <v>110</v>
      </c>
      <c r="C706" s="35" t="s">
        <v>163</v>
      </c>
      <c r="D706" s="35" t="s">
        <v>83</v>
      </c>
      <c r="E706" s="16">
        <v>0</v>
      </c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</row>
    <row r="707" spans="1:19" x14ac:dyDescent="0.25">
      <c r="A707" s="36"/>
      <c r="B707" s="36"/>
      <c r="C707" s="37"/>
      <c r="D707" s="37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</row>
    <row r="708" spans="1:19" x14ac:dyDescent="0.25">
      <c r="A708" s="134" t="s">
        <v>164</v>
      </c>
      <c r="B708" s="134"/>
      <c r="C708" s="135"/>
      <c r="D708" s="135"/>
      <c r="E708" s="155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</row>
    <row r="709" spans="1:19" x14ac:dyDescent="0.25">
      <c r="A709" s="33" t="s">
        <v>9</v>
      </c>
      <c r="B709" s="33" t="s">
        <v>10</v>
      </c>
      <c r="C709" s="34" t="s">
        <v>11</v>
      </c>
      <c r="D709" s="34" t="s">
        <v>12</v>
      </c>
      <c r="E709" s="16" t="s">
        <v>80</v>
      </c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</row>
    <row r="710" spans="1:19" ht="46.8" x14ac:dyDescent="0.25">
      <c r="A710" s="15" t="s">
        <v>165</v>
      </c>
      <c r="B710" s="17" t="s">
        <v>110</v>
      </c>
      <c r="C710" s="35" t="s">
        <v>166</v>
      </c>
      <c r="D710" s="35" t="s">
        <v>83</v>
      </c>
      <c r="E710" s="16">
        <v>0</v>
      </c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</row>
    <row r="711" spans="1:19" x14ac:dyDescent="0.25"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</row>
    <row r="712" spans="1:19" x14ac:dyDescent="0.25">
      <c r="A712" s="134" t="s">
        <v>167</v>
      </c>
      <c r="B712" s="134"/>
      <c r="C712" s="135"/>
      <c r="D712" s="135"/>
      <c r="E712" s="155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</row>
    <row r="713" spans="1:19" s="10" customFormat="1" x14ac:dyDescent="0.25">
      <c r="A713" s="15" t="s">
        <v>9</v>
      </c>
      <c r="B713" s="15" t="s">
        <v>10</v>
      </c>
      <c r="C713" s="38" t="s">
        <v>11</v>
      </c>
      <c r="D713" s="38" t="s">
        <v>12</v>
      </c>
      <c r="E713" s="16" t="s">
        <v>80</v>
      </c>
      <c r="F713" s="32"/>
      <c r="G713" s="32"/>
      <c r="H713" s="39"/>
      <c r="I713" s="39"/>
      <c r="J713" s="39"/>
      <c r="K713" s="39"/>
      <c r="L713" s="39"/>
      <c r="M713" s="39"/>
      <c r="N713" s="39"/>
      <c r="O713" s="39"/>
      <c r="P713" s="39"/>
      <c r="Q713" s="39"/>
    </row>
    <row r="714" spans="1:19" s="10" customFormat="1" ht="18" x14ac:dyDescent="0.4">
      <c r="A714" s="40" t="s">
        <v>168</v>
      </c>
      <c r="B714" s="17" t="s">
        <v>118</v>
      </c>
      <c r="C714" s="35" t="s">
        <v>169</v>
      </c>
      <c r="D714" s="35" t="s">
        <v>170</v>
      </c>
      <c r="E714" s="41">
        <f>E715*E717*(1+E716)</f>
        <v>535.96559880000007</v>
      </c>
      <c r="F714" s="32"/>
      <c r="G714" s="32"/>
      <c r="H714" s="39"/>
      <c r="I714" s="39"/>
      <c r="J714" s="39"/>
      <c r="K714" s="39"/>
      <c r="L714" s="39"/>
      <c r="M714" s="39"/>
      <c r="N714" s="39"/>
      <c r="O714" s="39"/>
      <c r="P714" s="39"/>
      <c r="Q714" s="39"/>
    </row>
    <row r="715" spans="1:19" ht="31.2" x14ac:dyDescent="0.25">
      <c r="A715" s="17" t="s">
        <v>171</v>
      </c>
      <c r="B715" s="17" t="s">
        <v>172</v>
      </c>
      <c r="C715" s="35" t="s">
        <v>173</v>
      </c>
      <c r="D715" s="35" t="s">
        <v>40</v>
      </c>
      <c r="E715" s="20">
        <v>877.74</v>
      </c>
      <c r="G715" s="42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9"/>
      <c r="S715" s="9"/>
    </row>
    <row r="716" spans="1:19" ht="31.2" x14ac:dyDescent="0.25">
      <c r="A716" s="17" t="s">
        <v>174</v>
      </c>
      <c r="B716" s="17" t="s">
        <v>175</v>
      </c>
      <c r="C716" s="35" t="s">
        <v>176</v>
      </c>
      <c r="D716" s="35" t="s">
        <v>177</v>
      </c>
      <c r="E716" s="44">
        <v>0.2</v>
      </c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9"/>
      <c r="S716" s="9"/>
    </row>
    <row r="717" spans="1:19" ht="46.8" x14ac:dyDescent="0.25">
      <c r="A717" s="17" t="s">
        <v>178</v>
      </c>
      <c r="B717" s="17" t="s">
        <v>179</v>
      </c>
      <c r="C717" s="35" t="s">
        <v>180</v>
      </c>
      <c r="D717" s="35" t="s">
        <v>181</v>
      </c>
      <c r="E717" s="45">
        <f>0.5*0.8042+0.5*0.2135</f>
        <v>0.50885000000000002</v>
      </c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</row>
    <row r="718" spans="1:19" ht="31.2" x14ac:dyDescent="0.4">
      <c r="A718" s="40" t="s">
        <v>182</v>
      </c>
      <c r="B718" s="17" t="s">
        <v>118</v>
      </c>
      <c r="C718" s="35" t="s">
        <v>183</v>
      </c>
      <c r="D718" s="35" t="s">
        <v>184</v>
      </c>
      <c r="E718" s="47">
        <v>0</v>
      </c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9"/>
      <c r="S718" s="9"/>
    </row>
    <row r="719" spans="1:19" x14ac:dyDescent="0.3">
      <c r="A719" s="48"/>
      <c r="E719" s="49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9"/>
      <c r="S719" s="9"/>
    </row>
    <row r="720" spans="1:19" x14ac:dyDescent="0.25">
      <c r="A720" s="134" t="s">
        <v>185</v>
      </c>
      <c r="B720" s="134"/>
      <c r="C720" s="135"/>
      <c r="D720" s="135"/>
      <c r="E720" s="155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</row>
    <row r="721" spans="1:133" x14ac:dyDescent="0.25">
      <c r="A721" s="15" t="s">
        <v>9</v>
      </c>
      <c r="B721" s="15" t="s">
        <v>10</v>
      </c>
      <c r="C721" s="38" t="s">
        <v>11</v>
      </c>
      <c r="D721" s="38" t="s">
        <v>12</v>
      </c>
      <c r="E721" s="16" t="s">
        <v>80</v>
      </c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9"/>
      <c r="S721" s="9"/>
    </row>
    <row r="722" spans="1:133" ht="33.6" x14ac:dyDescent="0.4">
      <c r="A722" s="40" t="s">
        <v>186</v>
      </c>
      <c r="B722" s="17" t="s">
        <v>89</v>
      </c>
      <c r="C722" s="35" t="s">
        <v>187</v>
      </c>
      <c r="D722" s="35" t="s">
        <v>363</v>
      </c>
      <c r="E722" s="50">
        <f>E723*E726*E727*E728*E729*E730</f>
        <v>18.358883200868593</v>
      </c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9"/>
      <c r="S722" s="9"/>
    </row>
    <row r="723" spans="1:133" ht="46.8" x14ac:dyDescent="0.4">
      <c r="A723" s="51" t="s">
        <v>188</v>
      </c>
      <c r="B723" s="17" t="s">
        <v>91</v>
      </c>
      <c r="C723" s="35" t="s">
        <v>189</v>
      </c>
      <c r="D723" s="35" t="s">
        <v>364</v>
      </c>
      <c r="E723" s="52">
        <f>E724/E725</f>
        <v>316.82</v>
      </c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9"/>
      <c r="S723" s="9"/>
    </row>
    <row r="724" spans="1:133" ht="31.2" x14ac:dyDescent="0.25">
      <c r="A724" s="17" t="s">
        <v>190</v>
      </c>
      <c r="B724" s="17" t="s">
        <v>93</v>
      </c>
      <c r="C724" s="35" t="s">
        <v>191</v>
      </c>
      <c r="D724" s="35" t="s">
        <v>40</v>
      </c>
      <c r="E724" s="52">
        <f>4.34*365</f>
        <v>1584.1</v>
      </c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9"/>
      <c r="S724" s="9"/>
    </row>
    <row r="725" spans="1:133" ht="31.2" x14ac:dyDescent="0.25">
      <c r="A725" s="17" t="s">
        <v>192</v>
      </c>
      <c r="B725" s="17" t="s">
        <v>95</v>
      </c>
      <c r="C725" s="35" t="s">
        <v>96</v>
      </c>
      <c r="D725" s="35" t="s">
        <v>40</v>
      </c>
      <c r="E725" s="25">
        <f>5</f>
        <v>5</v>
      </c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9"/>
      <c r="S725" s="9"/>
    </row>
    <row r="726" spans="1:133" ht="46.8" x14ac:dyDescent="0.25">
      <c r="A726" s="17" t="s">
        <v>193</v>
      </c>
      <c r="B726" s="17" t="s">
        <v>97</v>
      </c>
      <c r="C726" s="35" t="s">
        <v>194</v>
      </c>
      <c r="D726" s="35" t="s">
        <v>40</v>
      </c>
      <c r="E726" s="25">
        <f>42.8*2</f>
        <v>85.6</v>
      </c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9"/>
      <c r="S726" s="9"/>
    </row>
    <row r="727" spans="1:133" ht="141" x14ac:dyDescent="0.25">
      <c r="A727" s="17" t="s">
        <v>195</v>
      </c>
      <c r="B727" s="17" t="s">
        <v>99</v>
      </c>
      <c r="C727" s="35" t="s">
        <v>100</v>
      </c>
      <c r="D727" s="35" t="s">
        <v>330</v>
      </c>
      <c r="E727" s="25">
        <f>25.1/100</f>
        <v>0.251</v>
      </c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9"/>
      <c r="S727" s="9"/>
    </row>
    <row r="728" spans="1:133" ht="62.4" x14ac:dyDescent="0.25">
      <c r="A728" s="17" t="s">
        <v>101</v>
      </c>
      <c r="B728" s="17" t="s">
        <v>102</v>
      </c>
      <c r="C728" s="35" t="s">
        <v>101</v>
      </c>
      <c r="D728" s="35" t="s">
        <v>231</v>
      </c>
      <c r="E728" s="25">
        <f>0.84/1000</f>
        <v>8.3999999999999993E-4</v>
      </c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9"/>
      <c r="S728" s="9"/>
    </row>
    <row r="729" spans="1:133" ht="124.8" x14ac:dyDescent="0.25">
      <c r="A729" s="17" t="s">
        <v>196</v>
      </c>
      <c r="B729" s="17" t="s">
        <v>103</v>
      </c>
      <c r="C729" s="35" t="s">
        <v>104</v>
      </c>
      <c r="D729" s="35" t="s">
        <v>331</v>
      </c>
      <c r="E729" s="25">
        <f>43.33/1000</f>
        <v>4.333E-2</v>
      </c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9"/>
      <c r="S729" s="9"/>
    </row>
    <row r="730" spans="1:133" ht="33.6" x14ac:dyDescent="0.25">
      <c r="A730" s="17" t="s">
        <v>197</v>
      </c>
      <c r="B730" s="17" t="s">
        <v>105</v>
      </c>
      <c r="C730" s="35" t="s">
        <v>106</v>
      </c>
      <c r="D730" s="35" t="s">
        <v>107</v>
      </c>
      <c r="E730" s="25">
        <v>74.099999999999994</v>
      </c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9"/>
      <c r="S730" s="9"/>
    </row>
    <row r="732" spans="1:133" x14ac:dyDescent="0.25">
      <c r="A732" s="33" t="s">
        <v>9</v>
      </c>
      <c r="B732" s="33" t="s">
        <v>10</v>
      </c>
      <c r="C732" s="34" t="s">
        <v>11</v>
      </c>
      <c r="D732" s="34" t="s">
        <v>12</v>
      </c>
      <c r="E732" s="16" t="s">
        <v>80</v>
      </c>
    </row>
    <row r="733" spans="1:133" ht="18" x14ac:dyDescent="0.25">
      <c r="A733" s="15" t="s">
        <v>198</v>
      </c>
      <c r="B733" s="17" t="s">
        <v>118</v>
      </c>
      <c r="C733" s="35" t="s">
        <v>199</v>
      </c>
      <c r="D733" s="53" t="s">
        <v>365</v>
      </c>
      <c r="E733" s="18">
        <f>ROUNDUP(E682+E706+E710+E714+E722,0)</f>
        <v>555</v>
      </c>
    </row>
    <row r="734" spans="1:133" s="156" customFormat="1" ht="38.4" customHeight="1" x14ac:dyDescent="0.25">
      <c r="A734" s="163" t="s">
        <v>257</v>
      </c>
      <c r="B734" s="164"/>
      <c r="C734" s="164"/>
      <c r="D734" s="164"/>
      <c r="E734" s="164"/>
      <c r="F734" s="164"/>
      <c r="G734" s="164"/>
      <c r="H734" s="164"/>
      <c r="I734" s="164"/>
      <c r="J734" s="164"/>
      <c r="K734" s="164"/>
      <c r="L734" s="164"/>
      <c r="M734" s="164"/>
      <c r="N734" s="164"/>
      <c r="O734" s="164"/>
      <c r="P734" s="164"/>
      <c r="Q734" s="164"/>
      <c r="R734" s="164"/>
      <c r="S734" s="164"/>
      <c r="T734" s="164"/>
      <c r="U734" s="164"/>
      <c r="V734" s="164"/>
      <c r="W734" s="164"/>
      <c r="X734" s="164"/>
      <c r="Y734" s="164"/>
      <c r="Z734" s="164"/>
      <c r="AA734" s="164"/>
      <c r="AB734" s="164"/>
      <c r="AC734" s="164"/>
      <c r="AD734" s="164"/>
      <c r="AE734" s="164"/>
      <c r="AF734" s="164"/>
      <c r="AG734" s="164"/>
      <c r="AH734" s="164"/>
      <c r="AI734" s="164"/>
      <c r="AJ734" s="164"/>
      <c r="AK734" s="164"/>
      <c r="AL734" s="164"/>
      <c r="AM734" s="164"/>
      <c r="AN734" s="164"/>
      <c r="AO734" s="164"/>
      <c r="AP734" s="164"/>
      <c r="AQ734" s="164"/>
      <c r="AR734" s="164"/>
      <c r="AS734" s="164"/>
      <c r="AT734" s="164"/>
      <c r="AU734" s="164"/>
      <c r="AV734" s="164"/>
      <c r="AW734" s="164"/>
      <c r="AX734" s="164"/>
      <c r="AY734" s="164"/>
      <c r="AZ734" s="164"/>
      <c r="BA734" s="164"/>
      <c r="BB734" s="164"/>
      <c r="BC734" s="164"/>
      <c r="BD734" s="164"/>
      <c r="BE734" s="164"/>
      <c r="BF734" s="164"/>
      <c r="BG734" s="164"/>
      <c r="BH734" s="164"/>
      <c r="BI734" s="164"/>
      <c r="BJ734" s="164"/>
      <c r="BK734" s="164"/>
      <c r="BL734" s="164"/>
      <c r="BM734" s="164"/>
      <c r="BN734" s="164"/>
      <c r="BO734" s="164"/>
      <c r="BP734" s="164"/>
      <c r="BQ734" s="164"/>
      <c r="BR734" s="164"/>
      <c r="BS734" s="164"/>
      <c r="BT734" s="164"/>
      <c r="BU734" s="164"/>
      <c r="BV734" s="164"/>
      <c r="BW734" s="164"/>
      <c r="BX734" s="164"/>
      <c r="BY734" s="164"/>
      <c r="BZ734" s="164"/>
      <c r="CA734" s="164"/>
      <c r="CB734" s="164"/>
      <c r="CC734" s="164"/>
      <c r="CD734" s="164"/>
      <c r="CE734" s="164"/>
      <c r="CF734" s="164"/>
      <c r="CG734" s="164"/>
      <c r="CH734" s="164"/>
      <c r="CI734" s="164"/>
      <c r="CJ734" s="164"/>
      <c r="CK734" s="164"/>
      <c r="CL734" s="164"/>
      <c r="CM734" s="164"/>
      <c r="CN734" s="164"/>
      <c r="CO734" s="164"/>
      <c r="CP734" s="164"/>
      <c r="CQ734" s="164"/>
      <c r="CR734" s="164"/>
      <c r="CS734" s="164"/>
      <c r="CT734" s="164"/>
      <c r="CU734" s="164"/>
      <c r="CV734" s="164"/>
      <c r="CW734" s="164"/>
      <c r="CX734" s="164"/>
      <c r="CY734" s="164"/>
      <c r="CZ734" s="164"/>
      <c r="DA734" s="164"/>
      <c r="DB734" s="164"/>
      <c r="DC734" s="164"/>
      <c r="DD734" s="164"/>
      <c r="DE734" s="164"/>
      <c r="DF734" s="164"/>
      <c r="DG734" s="164"/>
      <c r="DH734" s="164"/>
      <c r="DI734" s="164"/>
      <c r="DJ734" s="164"/>
      <c r="DK734" s="164"/>
      <c r="DL734" s="164"/>
      <c r="DM734" s="164"/>
      <c r="DN734" s="164"/>
      <c r="DO734" s="164"/>
      <c r="DP734" s="164"/>
      <c r="DQ734" s="164"/>
      <c r="DR734" s="164"/>
      <c r="DS734" s="164"/>
      <c r="DT734" s="164"/>
      <c r="DU734" s="164"/>
      <c r="DV734" s="164"/>
      <c r="DW734" s="164"/>
      <c r="DX734" s="164"/>
      <c r="DY734" s="164"/>
      <c r="DZ734" s="164"/>
      <c r="EA734" s="164"/>
      <c r="EB734" s="164"/>
      <c r="EC734" s="165"/>
    </row>
    <row r="735" spans="1:133" s="158" customFormat="1" ht="43.2" customHeight="1" x14ac:dyDescent="0.25">
      <c r="A735" s="160" t="s">
        <v>258</v>
      </c>
      <c r="B735" s="161"/>
      <c r="C735" s="161"/>
      <c r="D735" s="161"/>
      <c r="E735" s="161"/>
      <c r="F735" s="161"/>
      <c r="G735" s="161"/>
      <c r="H735" s="161"/>
      <c r="I735" s="161"/>
      <c r="J735" s="161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  <c r="AA735" s="161"/>
      <c r="AB735" s="161"/>
      <c r="AC735" s="161"/>
      <c r="AD735" s="161"/>
      <c r="AE735" s="161"/>
      <c r="AF735" s="161"/>
      <c r="AG735" s="161"/>
      <c r="AH735" s="161"/>
      <c r="AI735" s="161"/>
      <c r="AJ735" s="161"/>
      <c r="AK735" s="161"/>
      <c r="AL735" s="161"/>
      <c r="AM735" s="161"/>
      <c r="AN735" s="161"/>
      <c r="AO735" s="161"/>
      <c r="AP735" s="161"/>
      <c r="AQ735" s="161"/>
      <c r="AR735" s="161"/>
      <c r="AS735" s="161"/>
      <c r="AT735" s="161"/>
      <c r="AU735" s="161"/>
      <c r="AV735" s="161"/>
      <c r="AW735" s="161"/>
      <c r="AX735" s="161"/>
      <c r="AY735" s="161"/>
      <c r="AZ735" s="161"/>
      <c r="BA735" s="161"/>
      <c r="BB735" s="161"/>
      <c r="BC735" s="161"/>
      <c r="BD735" s="161"/>
      <c r="BE735" s="161"/>
      <c r="BF735" s="161"/>
      <c r="BG735" s="161"/>
      <c r="BH735" s="161"/>
      <c r="BI735" s="161"/>
      <c r="BJ735" s="161"/>
      <c r="BK735" s="161"/>
      <c r="BL735" s="161"/>
      <c r="BM735" s="161"/>
      <c r="BN735" s="161"/>
      <c r="BO735" s="161"/>
      <c r="BP735" s="161"/>
      <c r="BQ735" s="161"/>
      <c r="BR735" s="161"/>
      <c r="BS735" s="161"/>
      <c r="BT735" s="161"/>
      <c r="BU735" s="161"/>
      <c r="BV735" s="161"/>
      <c r="BW735" s="161"/>
      <c r="BX735" s="161"/>
      <c r="BY735" s="161"/>
      <c r="BZ735" s="161"/>
      <c r="CA735" s="161"/>
      <c r="CB735" s="161"/>
      <c r="CC735" s="161"/>
      <c r="CD735" s="161"/>
      <c r="CE735" s="161"/>
      <c r="CF735" s="161"/>
      <c r="CG735" s="161"/>
      <c r="CH735" s="161"/>
      <c r="CI735" s="161"/>
      <c r="CJ735" s="161"/>
      <c r="CK735" s="161"/>
      <c r="CL735" s="161"/>
      <c r="CM735" s="161"/>
      <c r="CN735" s="161"/>
      <c r="CO735" s="161"/>
      <c r="CP735" s="161"/>
      <c r="CQ735" s="161"/>
      <c r="CR735" s="161"/>
      <c r="CS735" s="161"/>
      <c r="CT735" s="161"/>
      <c r="CU735" s="161"/>
      <c r="CV735" s="161"/>
      <c r="CW735" s="161"/>
      <c r="CX735" s="161"/>
      <c r="CY735" s="161"/>
      <c r="CZ735" s="161"/>
      <c r="DA735" s="161"/>
      <c r="DB735" s="161"/>
      <c r="DC735" s="161"/>
      <c r="DD735" s="161"/>
      <c r="DE735" s="161"/>
      <c r="DF735" s="161"/>
      <c r="DG735" s="161"/>
      <c r="DH735" s="161"/>
      <c r="DI735" s="161"/>
      <c r="DJ735" s="161"/>
      <c r="DK735" s="161"/>
      <c r="DL735" s="161"/>
      <c r="DM735" s="161"/>
      <c r="DN735" s="161"/>
      <c r="DO735" s="161"/>
      <c r="DP735" s="161"/>
      <c r="DQ735" s="161"/>
      <c r="DR735" s="161"/>
      <c r="DS735" s="161"/>
      <c r="DT735" s="161"/>
      <c r="DU735" s="161"/>
      <c r="DV735" s="161"/>
      <c r="DW735" s="161"/>
      <c r="DX735" s="161"/>
      <c r="DY735" s="161"/>
      <c r="DZ735" s="161"/>
      <c r="EA735" s="161"/>
      <c r="EB735" s="161"/>
      <c r="EC735" s="162"/>
    </row>
    <row r="736" spans="1:133" ht="23.4" customHeight="1" x14ac:dyDescent="0.25">
      <c r="A736" s="153" t="s">
        <v>120</v>
      </c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3"/>
      <c r="P736" s="153"/>
      <c r="Q736" s="154"/>
    </row>
    <row r="737" spans="1:19" s="10" customFormat="1" x14ac:dyDescent="0.25">
      <c r="A737" s="15" t="s">
        <v>9</v>
      </c>
      <c r="B737" s="15" t="s">
        <v>10</v>
      </c>
      <c r="C737" s="15" t="s">
        <v>11</v>
      </c>
      <c r="D737" s="15" t="s">
        <v>12</v>
      </c>
      <c r="E737" s="16" t="s">
        <v>13</v>
      </c>
      <c r="F737" s="16" t="s">
        <v>14</v>
      </c>
      <c r="G737" s="16" t="s">
        <v>15</v>
      </c>
      <c r="H737" s="16" t="s">
        <v>16</v>
      </c>
      <c r="I737" s="16" t="s">
        <v>17</v>
      </c>
      <c r="J737" s="16" t="s">
        <v>18</v>
      </c>
      <c r="K737" s="16" t="s">
        <v>19</v>
      </c>
      <c r="L737" s="16" t="s">
        <v>20</v>
      </c>
      <c r="M737" s="16" t="s">
        <v>21</v>
      </c>
      <c r="N737" s="16" t="s">
        <v>22</v>
      </c>
      <c r="O737" s="16" t="s">
        <v>23</v>
      </c>
      <c r="P737" s="16" t="s">
        <v>24</v>
      </c>
      <c r="Q737" s="16" t="s">
        <v>25</v>
      </c>
      <c r="R737" s="54"/>
      <c r="S737" s="54"/>
    </row>
    <row r="738" spans="1:19" s="10" customFormat="1" x14ac:dyDescent="0.25">
      <c r="A738" s="146" t="s">
        <v>121</v>
      </c>
      <c r="B738" s="146"/>
      <c r="C738" s="146"/>
      <c r="D738" s="146"/>
      <c r="E738" s="147"/>
      <c r="F738" s="16">
        <v>31</v>
      </c>
      <c r="G738" s="16">
        <v>28</v>
      </c>
      <c r="H738" s="16">
        <v>31</v>
      </c>
      <c r="I738" s="16">
        <v>30</v>
      </c>
      <c r="J738" s="16">
        <v>31</v>
      </c>
      <c r="K738" s="16">
        <v>30</v>
      </c>
      <c r="L738" s="16">
        <v>31</v>
      </c>
      <c r="M738" s="16">
        <v>31</v>
      </c>
      <c r="N738" s="16">
        <v>30</v>
      </c>
      <c r="O738" s="16">
        <v>31</v>
      </c>
      <c r="P738" s="16">
        <v>30</v>
      </c>
      <c r="Q738" s="16">
        <v>31</v>
      </c>
      <c r="R738" s="54"/>
      <c r="S738" s="54"/>
    </row>
    <row r="739" spans="1:19" s="10" customFormat="1" ht="31.2" x14ac:dyDescent="0.25">
      <c r="A739" s="15" t="s">
        <v>122</v>
      </c>
      <c r="B739" s="17" t="s">
        <v>118</v>
      </c>
      <c r="C739" s="17" t="s">
        <v>123</v>
      </c>
      <c r="D739" s="17" t="s">
        <v>353</v>
      </c>
      <c r="E739" s="18">
        <f>E740+E750</f>
        <v>0</v>
      </c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54"/>
      <c r="S739" s="54"/>
    </row>
    <row r="740" spans="1:19" ht="46.8" x14ac:dyDescent="0.25">
      <c r="A740" s="17" t="s">
        <v>124</v>
      </c>
      <c r="B740" s="17" t="s">
        <v>118</v>
      </c>
      <c r="C740" s="17" t="s">
        <v>125</v>
      </c>
      <c r="D740" s="17" t="s">
        <v>354</v>
      </c>
      <c r="E740" s="19">
        <f>SUM(F740:Q740)</f>
        <v>0</v>
      </c>
      <c r="F740" s="19">
        <f>IF(F741&gt;=0.8,0,$E$15*$E$16*0.4*(F742-F745)*F738)</f>
        <v>0</v>
      </c>
      <c r="G740" s="19">
        <f t="shared" ref="G740:Q740" si="91">IF(G741&gt;=0.8,0,$E$15*$E$16*0.4*(G742-G745)*G738)</f>
        <v>0</v>
      </c>
      <c r="H740" s="19">
        <f t="shared" si="91"/>
        <v>0</v>
      </c>
      <c r="I740" s="19">
        <f t="shared" si="91"/>
        <v>0</v>
      </c>
      <c r="J740" s="19">
        <f t="shared" si="91"/>
        <v>0</v>
      </c>
      <c r="K740" s="19">
        <f t="shared" si="91"/>
        <v>0</v>
      </c>
      <c r="L740" s="19">
        <f t="shared" si="91"/>
        <v>0</v>
      </c>
      <c r="M740" s="19">
        <f t="shared" si="91"/>
        <v>0</v>
      </c>
      <c r="N740" s="19">
        <f t="shared" si="91"/>
        <v>0</v>
      </c>
      <c r="O740" s="19">
        <f t="shared" si="91"/>
        <v>0</v>
      </c>
      <c r="P740" s="19">
        <f t="shared" si="91"/>
        <v>0</v>
      </c>
      <c r="Q740" s="19">
        <f t="shared" si="91"/>
        <v>0</v>
      </c>
    </row>
    <row r="741" spans="1:19" ht="62.4" x14ac:dyDescent="0.25">
      <c r="A741" s="17" t="s">
        <v>126</v>
      </c>
      <c r="B741" s="17" t="s">
        <v>52</v>
      </c>
      <c r="C741" s="17" t="s">
        <v>127</v>
      </c>
      <c r="D741" s="17" t="s">
        <v>355</v>
      </c>
      <c r="E741" s="20">
        <f>AVERAGE(F741:Q741)</f>
        <v>0.92727272727272758</v>
      </c>
      <c r="F741" s="20">
        <f>(F742-F745)/F742</f>
        <v>0.92727272727272736</v>
      </c>
      <c r="G741" s="20">
        <f t="shared" ref="G741:Q741" si="92">(G742-G745)/G742</f>
        <v>0.92727272727272736</v>
      </c>
      <c r="H741" s="20">
        <f t="shared" si="92"/>
        <v>0.92727272727272736</v>
      </c>
      <c r="I741" s="20">
        <f t="shared" si="92"/>
        <v>0.92727272727272736</v>
      </c>
      <c r="J741" s="20">
        <f t="shared" si="92"/>
        <v>0.92727272727272736</v>
      </c>
      <c r="K741" s="20">
        <f t="shared" si="92"/>
        <v>0.92727272727272736</v>
      </c>
      <c r="L741" s="20">
        <f t="shared" si="92"/>
        <v>0.92727272727272736</v>
      </c>
      <c r="M741" s="20">
        <f t="shared" si="92"/>
        <v>0.92727272727272736</v>
      </c>
      <c r="N741" s="20">
        <f t="shared" si="92"/>
        <v>0.92727272727272736</v>
      </c>
      <c r="O741" s="20">
        <f t="shared" si="92"/>
        <v>0.92727272727272736</v>
      </c>
      <c r="P741" s="20">
        <f t="shared" si="92"/>
        <v>0.92727272727272736</v>
      </c>
      <c r="Q741" s="20">
        <f t="shared" si="92"/>
        <v>0.92727272727272736</v>
      </c>
    </row>
    <row r="742" spans="1:19" ht="46.8" x14ac:dyDescent="0.25">
      <c r="A742" s="17" t="s">
        <v>128</v>
      </c>
      <c r="B742" s="17" t="s">
        <v>38</v>
      </c>
      <c r="C742" s="17" t="s">
        <v>129</v>
      </c>
      <c r="D742" s="17" t="s">
        <v>356</v>
      </c>
      <c r="E742" s="20">
        <f>SUM(F742:Q742)</f>
        <v>184.80000000000004</v>
      </c>
      <c r="F742" s="20">
        <f>F743*F744</f>
        <v>15.4</v>
      </c>
      <c r="G742" s="20">
        <f t="shared" ref="G742:Q742" si="93">G743*G744</f>
        <v>15.4</v>
      </c>
      <c r="H742" s="20">
        <f t="shared" si="93"/>
        <v>15.4</v>
      </c>
      <c r="I742" s="20">
        <f t="shared" si="93"/>
        <v>15.4</v>
      </c>
      <c r="J742" s="20">
        <f t="shared" si="93"/>
        <v>15.4</v>
      </c>
      <c r="K742" s="20">
        <f t="shared" si="93"/>
        <v>15.4</v>
      </c>
      <c r="L742" s="20">
        <f t="shared" si="93"/>
        <v>15.4</v>
      </c>
      <c r="M742" s="20">
        <f t="shared" si="93"/>
        <v>15.4</v>
      </c>
      <c r="N742" s="20">
        <f t="shared" si="93"/>
        <v>15.4</v>
      </c>
      <c r="O742" s="20">
        <f t="shared" si="93"/>
        <v>15.4</v>
      </c>
      <c r="P742" s="20">
        <f t="shared" si="93"/>
        <v>15.4</v>
      </c>
      <c r="Q742" s="20">
        <f t="shared" si="93"/>
        <v>15.4</v>
      </c>
    </row>
    <row r="743" spans="1:19" ht="51" customHeight="1" x14ac:dyDescent="0.25">
      <c r="A743" s="17" t="s">
        <v>130</v>
      </c>
      <c r="B743" s="17" t="s">
        <v>131</v>
      </c>
      <c r="C743" s="17" t="s">
        <v>132</v>
      </c>
      <c r="D743" s="17" t="s">
        <v>40</v>
      </c>
      <c r="E743" s="21">
        <f>SUM(F743:Q743)</f>
        <v>336000</v>
      </c>
      <c r="F743" s="21">
        <f>28000</f>
        <v>28000</v>
      </c>
      <c r="G743" s="21">
        <f>28000</f>
        <v>28000</v>
      </c>
      <c r="H743" s="21">
        <f>28000</f>
        <v>28000</v>
      </c>
      <c r="I743" s="21">
        <f>28000</f>
        <v>28000</v>
      </c>
      <c r="J743" s="21">
        <f>28000</f>
        <v>28000</v>
      </c>
      <c r="K743" s="21">
        <f>28000</f>
        <v>28000</v>
      </c>
      <c r="L743" s="21">
        <f>28000</f>
        <v>28000</v>
      </c>
      <c r="M743" s="21">
        <f>28000</f>
        <v>28000</v>
      </c>
      <c r="N743" s="21">
        <f>28000</f>
        <v>28000</v>
      </c>
      <c r="O743" s="21">
        <f>28000</f>
        <v>28000</v>
      </c>
      <c r="P743" s="21">
        <f>28000</f>
        <v>28000</v>
      </c>
      <c r="Q743" s="21">
        <f>28000</f>
        <v>28000</v>
      </c>
    </row>
    <row r="744" spans="1:19" ht="46.8" x14ac:dyDescent="0.25">
      <c r="A744" s="17" t="s">
        <v>133</v>
      </c>
      <c r="B744" s="17" t="s">
        <v>134</v>
      </c>
      <c r="C744" s="17" t="s">
        <v>135</v>
      </c>
      <c r="D744" s="17" t="s">
        <v>40</v>
      </c>
      <c r="E744" s="22">
        <f>AVERAGE(F744:Q744)</f>
        <v>5.5000000000000003E-4</v>
      </c>
      <c r="F744" s="23">
        <f>'Baseline Emissions'!F723</f>
        <v>5.5000000000000003E-4</v>
      </c>
      <c r="G744" s="23">
        <f>'Baseline Emissions'!G723</f>
        <v>5.5000000000000003E-4</v>
      </c>
      <c r="H744" s="23">
        <f>'Baseline Emissions'!H723</f>
        <v>5.5000000000000003E-4</v>
      </c>
      <c r="I744" s="23">
        <f>'Baseline Emissions'!I723</f>
        <v>5.5000000000000003E-4</v>
      </c>
      <c r="J744" s="23">
        <f>'Baseline Emissions'!J723</f>
        <v>5.5000000000000003E-4</v>
      </c>
      <c r="K744" s="23">
        <f>'Baseline Emissions'!K723</f>
        <v>5.5000000000000003E-4</v>
      </c>
      <c r="L744" s="23">
        <f>'Baseline Emissions'!L723</f>
        <v>5.5000000000000003E-4</v>
      </c>
      <c r="M744" s="23">
        <f>'Baseline Emissions'!M723</f>
        <v>5.5000000000000003E-4</v>
      </c>
      <c r="N744" s="23">
        <f>'Baseline Emissions'!N723</f>
        <v>5.5000000000000003E-4</v>
      </c>
      <c r="O744" s="23">
        <f>'Baseline Emissions'!O723</f>
        <v>5.5000000000000003E-4</v>
      </c>
      <c r="P744" s="23">
        <f>'Baseline Emissions'!P723</f>
        <v>5.5000000000000003E-4</v>
      </c>
      <c r="Q744" s="23">
        <f>'Baseline Emissions'!Q723</f>
        <v>5.5000000000000003E-4</v>
      </c>
    </row>
    <row r="745" spans="1:19" ht="46.8" x14ac:dyDescent="0.25">
      <c r="A745" s="17" t="s">
        <v>136</v>
      </c>
      <c r="B745" s="17" t="s">
        <v>38</v>
      </c>
      <c r="C745" s="17" t="s">
        <v>137</v>
      </c>
      <c r="D745" s="17" t="s">
        <v>356</v>
      </c>
      <c r="E745" s="20">
        <f>SUM(F745:Q745)</f>
        <v>13.440000000000005</v>
      </c>
      <c r="F745" s="20">
        <f>SUM(F746*F747)</f>
        <v>1.1200000000000001</v>
      </c>
      <c r="G745" s="20">
        <f t="shared" ref="G745:Q745" si="94">SUM(G746*G747)</f>
        <v>1.1200000000000001</v>
      </c>
      <c r="H745" s="20">
        <f t="shared" si="94"/>
        <v>1.1200000000000001</v>
      </c>
      <c r="I745" s="20">
        <f t="shared" si="94"/>
        <v>1.1200000000000001</v>
      </c>
      <c r="J745" s="20">
        <f t="shared" si="94"/>
        <v>1.1200000000000001</v>
      </c>
      <c r="K745" s="20">
        <f t="shared" si="94"/>
        <v>1.1200000000000001</v>
      </c>
      <c r="L745" s="20">
        <f t="shared" si="94"/>
        <v>1.1200000000000001</v>
      </c>
      <c r="M745" s="20">
        <f t="shared" si="94"/>
        <v>1.1200000000000001</v>
      </c>
      <c r="N745" s="20">
        <f t="shared" si="94"/>
        <v>1.1200000000000001</v>
      </c>
      <c r="O745" s="20">
        <f t="shared" si="94"/>
        <v>1.1200000000000001</v>
      </c>
      <c r="P745" s="20">
        <f t="shared" si="94"/>
        <v>1.1200000000000001</v>
      </c>
      <c r="Q745" s="20">
        <f t="shared" si="94"/>
        <v>1.1200000000000001</v>
      </c>
    </row>
    <row r="746" spans="1:19" ht="31.2" x14ac:dyDescent="0.25">
      <c r="A746" s="17" t="s">
        <v>138</v>
      </c>
      <c r="B746" s="17" t="s">
        <v>131</v>
      </c>
      <c r="C746" s="17" t="s">
        <v>139</v>
      </c>
      <c r="D746" s="17" t="s">
        <v>40</v>
      </c>
      <c r="E746" s="21">
        <f>SUM(F746:Q746)</f>
        <v>336000</v>
      </c>
      <c r="F746" s="21">
        <v>28000</v>
      </c>
      <c r="G746" s="21">
        <v>28000</v>
      </c>
      <c r="H746" s="21">
        <v>28000</v>
      </c>
      <c r="I746" s="21">
        <v>28000</v>
      </c>
      <c r="J746" s="21">
        <v>28000</v>
      </c>
      <c r="K746" s="21">
        <v>28000</v>
      </c>
      <c r="L746" s="21">
        <v>28000</v>
      </c>
      <c r="M746" s="21">
        <v>28000</v>
      </c>
      <c r="N746" s="21">
        <v>28000</v>
      </c>
      <c r="O746" s="21">
        <v>28000</v>
      </c>
      <c r="P746" s="21">
        <v>28000</v>
      </c>
      <c r="Q746" s="21">
        <v>28000</v>
      </c>
    </row>
    <row r="747" spans="1:19" ht="46.8" x14ac:dyDescent="0.25">
      <c r="A747" s="17" t="s">
        <v>140</v>
      </c>
      <c r="B747" s="17" t="s">
        <v>134</v>
      </c>
      <c r="C747" s="17" t="s">
        <v>141</v>
      </c>
      <c r="D747" s="17" t="s">
        <v>40</v>
      </c>
      <c r="E747" s="24">
        <f>AVERAGE(F747:Q747)</f>
        <v>4.0000000000000003E-5</v>
      </c>
      <c r="F747" s="24">
        <f>'Baseline Emissions'!F724</f>
        <v>4.0000000000000003E-5</v>
      </c>
      <c r="G747" s="24">
        <f>'Baseline Emissions'!G724</f>
        <v>4.0000000000000003E-5</v>
      </c>
      <c r="H747" s="24">
        <f>'Baseline Emissions'!H724</f>
        <v>4.0000000000000003E-5</v>
      </c>
      <c r="I747" s="24">
        <f>'Baseline Emissions'!I724</f>
        <v>4.0000000000000003E-5</v>
      </c>
      <c r="J747" s="24">
        <f>'Baseline Emissions'!J724</f>
        <v>4.0000000000000003E-5</v>
      </c>
      <c r="K747" s="24">
        <f>'Baseline Emissions'!K724</f>
        <v>4.0000000000000003E-5</v>
      </c>
      <c r="L747" s="24">
        <f>'Baseline Emissions'!L724</f>
        <v>4.0000000000000003E-5</v>
      </c>
      <c r="M747" s="24">
        <f>'Baseline Emissions'!M724</f>
        <v>4.0000000000000003E-5</v>
      </c>
      <c r="N747" s="24">
        <f>'Baseline Emissions'!N724</f>
        <v>4.0000000000000003E-5</v>
      </c>
      <c r="O747" s="24">
        <f>'Baseline Emissions'!O724</f>
        <v>4.0000000000000003E-5</v>
      </c>
      <c r="P747" s="24">
        <f>'Baseline Emissions'!P724</f>
        <v>4.0000000000000003E-5</v>
      </c>
      <c r="Q747" s="24">
        <f>'Baseline Emissions'!Q724</f>
        <v>4.0000000000000003E-5</v>
      </c>
    </row>
    <row r="748" spans="1:19" ht="31.2" x14ac:dyDescent="0.25">
      <c r="A748" s="17" t="s">
        <v>142</v>
      </c>
      <c r="B748" s="17" t="s">
        <v>143</v>
      </c>
      <c r="C748" s="17" t="s">
        <v>31</v>
      </c>
      <c r="D748" s="17" t="s">
        <v>144</v>
      </c>
      <c r="E748" s="130">
        <v>28</v>
      </c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</row>
    <row r="749" spans="1:19" ht="64.8" x14ac:dyDescent="0.25">
      <c r="A749" s="17" t="s">
        <v>145</v>
      </c>
      <c r="B749" s="17" t="s">
        <v>33</v>
      </c>
      <c r="C749" s="17" t="s">
        <v>146</v>
      </c>
      <c r="D749" s="17" t="s">
        <v>373</v>
      </c>
      <c r="E749" s="130">
        <v>0.21</v>
      </c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</row>
    <row r="750" spans="1:19" ht="46.8" x14ac:dyDescent="0.25">
      <c r="A750" s="17" t="s">
        <v>147</v>
      </c>
      <c r="B750" s="17" t="s">
        <v>118</v>
      </c>
      <c r="C750" s="17" t="s">
        <v>148</v>
      </c>
      <c r="D750" s="17" t="s">
        <v>357</v>
      </c>
      <c r="E750" s="19">
        <f>SUM(F750:Q750)</f>
        <v>0</v>
      </c>
      <c r="F750" s="19">
        <f>$E$15*$E$16*F751*F745*F738</f>
        <v>0</v>
      </c>
      <c r="G750" s="19">
        <f t="shared" ref="G750:Q750" si="95">$E$15*$E$16*G751*G745*G738</f>
        <v>0</v>
      </c>
      <c r="H750" s="19">
        <f t="shared" si="95"/>
        <v>0</v>
      </c>
      <c r="I750" s="19">
        <f t="shared" si="95"/>
        <v>0</v>
      </c>
      <c r="J750" s="19">
        <f t="shared" si="95"/>
        <v>0</v>
      </c>
      <c r="K750" s="19">
        <f t="shared" si="95"/>
        <v>0</v>
      </c>
      <c r="L750" s="19">
        <f t="shared" si="95"/>
        <v>0</v>
      </c>
      <c r="M750" s="19">
        <f t="shared" si="95"/>
        <v>0</v>
      </c>
      <c r="N750" s="19">
        <f t="shared" si="95"/>
        <v>0</v>
      </c>
      <c r="O750" s="19">
        <f t="shared" si="95"/>
        <v>0</v>
      </c>
      <c r="P750" s="19">
        <f t="shared" si="95"/>
        <v>0</v>
      </c>
      <c r="Q750" s="19">
        <f t="shared" si="95"/>
        <v>0</v>
      </c>
    </row>
    <row r="751" spans="1:19" ht="18" x14ac:dyDescent="0.25">
      <c r="A751" s="17" t="s">
        <v>149</v>
      </c>
      <c r="B751" s="17" t="s">
        <v>52</v>
      </c>
      <c r="C751" s="17" t="s">
        <v>150</v>
      </c>
      <c r="D751" s="17" t="s">
        <v>358</v>
      </c>
      <c r="E751" s="26">
        <f>AVERAGE(F751:Q751)</f>
        <v>0</v>
      </c>
      <c r="F751" s="26">
        <f t="shared" ref="F751:Q751" si="96">F752*$E$20*0.89</f>
        <v>0</v>
      </c>
      <c r="G751" s="26">
        <f t="shared" si="96"/>
        <v>0</v>
      </c>
      <c r="H751" s="26">
        <f t="shared" si="96"/>
        <v>0</v>
      </c>
      <c r="I751" s="26">
        <f t="shared" si="96"/>
        <v>0</v>
      </c>
      <c r="J751" s="26">
        <f t="shared" si="96"/>
        <v>0</v>
      </c>
      <c r="K751" s="26">
        <f t="shared" si="96"/>
        <v>0</v>
      </c>
      <c r="L751" s="26">
        <f t="shared" si="96"/>
        <v>0</v>
      </c>
      <c r="M751" s="26">
        <f t="shared" si="96"/>
        <v>0</v>
      </c>
      <c r="N751" s="26">
        <f t="shared" si="96"/>
        <v>0</v>
      </c>
      <c r="O751" s="26">
        <f t="shared" si="96"/>
        <v>0</v>
      </c>
      <c r="P751" s="26">
        <f t="shared" si="96"/>
        <v>0</v>
      </c>
      <c r="Q751" s="26">
        <f t="shared" si="96"/>
        <v>0</v>
      </c>
    </row>
    <row r="752" spans="1:19" ht="31.2" x14ac:dyDescent="0.25">
      <c r="A752" s="17" t="s">
        <v>151</v>
      </c>
      <c r="B752" s="17" t="s">
        <v>52</v>
      </c>
      <c r="C752" s="17" t="s">
        <v>61</v>
      </c>
      <c r="D752" s="17" t="s">
        <v>359</v>
      </c>
      <c r="E752" s="25">
        <v>0</v>
      </c>
      <c r="F752" s="25">
        <v>0</v>
      </c>
      <c r="G752" s="25">
        <v>0</v>
      </c>
      <c r="H752" s="25">
        <v>0</v>
      </c>
      <c r="I752" s="25">
        <v>0</v>
      </c>
      <c r="J752" s="25">
        <v>0</v>
      </c>
      <c r="K752" s="25">
        <v>0</v>
      </c>
      <c r="L752" s="25">
        <v>0</v>
      </c>
      <c r="M752" s="25">
        <v>0</v>
      </c>
      <c r="N752" s="25">
        <v>0</v>
      </c>
      <c r="O752" s="25">
        <v>0</v>
      </c>
      <c r="P752" s="25">
        <v>0</v>
      </c>
      <c r="Q752" s="25">
        <v>0</v>
      </c>
    </row>
    <row r="753" spans="1:17" ht="31.2" x14ac:dyDescent="0.25">
      <c r="A753" s="17" t="s">
        <v>152</v>
      </c>
      <c r="B753" s="17" t="s">
        <v>216</v>
      </c>
      <c r="C753" s="17" t="s">
        <v>153</v>
      </c>
      <c r="D753" s="17" t="s">
        <v>360</v>
      </c>
      <c r="E753" s="148">
        <f>(F754*F759+G754*G759+H754*H759+I754*I759+J754*J759+K754*K759+L754*L759+M754*M759+N754*N759+O754*O759+P754*P759+Q754*Q759)/(F746*F747*F738+G747*G746*G738+H746*H747*H738+I747*I746*I738+J747*J746*J738+K747*K746*K738+L747*L746*L738+M747*M746*M738+N747*N746*N738+O746*O747*O738+P747*P746*P738+Q747*Q746*Q738)</f>
        <v>0.63759550987946811</v>
      </c>
      <c r="F753" s="148"/>
      <c r="G753" s="148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</row>
    <row r="754" spans="1:17" ht="31.2" x14ac:dyDescent="0.25">
      <c r="A754" s="17" t="s">
        <v>154</v>
      </c>
      <c r="B754" s="17" t="s">
        <v>52</v>
      </c>
      <c r="C754" s="17" t="s">
        <v>155</v>
      </c>
      <c r="D754" s="17" t="s">
        <v>347</v>
      </c>
      <c r="E754" s="27">
        <f>AVERAGE(F754:Q754)</f>
        <v>0.63610765135267333</v>
      </c>
      <c r="F754" s="27">
        <f>IF(F758&lt;283,0,IF(F758&gt;303,1,EXP(($E$22*(F758-$E$23))/($E$24*$E$23*F758))))</f>
        <v>0.29505266129807517</v>
      </c>
      <c r="G754" s="27">
        <f t="shared" ref="G754:Q754" si="97">IF(G758&lt;283,0,IF(G758&gt;303,1,EXP(($E$22*(G758-$E$23))/($E$24*$E$23*G758))))</f>
        <v>0.32317176495848171</v>
      </c>
      <c r="H754" s="27">
        <f t="shared" si="97"/>
        <v>0.42307437878932203</v>
      </c>
      <c r="I754" s="27">
        <f t="shared" si="97"/>
        <v>0.55084569341606926</v>
      </c>
      <c r="J754" s="27">
        <f t="shared" si="97"/>
        <v>0.77675425208684001</v>
      </c>
      <c r="K754" s="27">
        <f t="shared" si="97"/>
        <v>0.91923925774048054</v>
      </c>
      <c r="L754" s="27">
        <f t="shared" si="97"/>
        <v>0.91923925774048054</v>
      </c>
      <c r="M754" s="27">
        <f t="shared" si="97"/>
        <v>0.91923925774048054</v>
      </c>
      <c r="N754" s="27">
        <f t="shared" si="97"/>
        <v>0.91923925774048054</v>
      </c>
      <c r="O754" s="27">
        <f t="shared" si="97"/>
        <v>0.71341857634681827</v>
      </c>
      <c r="P754" s="27">
        <f t="shared" si="97"/>
        <v>0.55084569341606926</v>
      </c>
      <c r="Q754" s="27">
        <f t="shared" si="97"/>
        <v>0.32317176495848171</v>
      </c>
    </row>
    <row r="755" spans="1:17" x14ac:dyDescent="0.25">
      <c r="A755" s="17" t="s">
        <v>66</v>
      </c>
      <c r="B755" s="17" t="s">
        <v>67</v>
      </c>
      <c r="C755" s="17" t="s">
        <v>68</v>
      </c>
      <c r="D755" s="17" t="s">
        <v>361</v>
      </c>
      <c r="E755" s="130">
        <v>15175</v>
      </c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</row>
    <row r="756" spans="1:17" ht="18" x14ac:dyDescent="0.25">
      <c r="A756" s="17" t="s">
        <v>156</v>
      </c>
      <c r="B756" s="17" t="s">
        <v>70</v>
      </c>
      <c r="C756" s="17" t="s">
        <v>71</v>
      </c>
      <c r="D756" s="17" t="s">
        <v>361</v>
      </c>
      <c r="E756" s="130">
        <v>303.16000000000003</v>
      </c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</row>
    <row r="757" spans="1:17" x14ac:dyDescent="0.25">
      <c r="A757" s="17" t="s">
        <v>72</v>
      </c>
      <c r="B757" s="17" t="s">
        <v>73</v>
      </c>
      <c r="C757" s="17" t="s">
        <v>74</v>
      </c>
      <c r="D757" s="17" t="s">
        <v>361</v>
      </c>
      <c r="E757" s="130">
        <v>1.9870000000000001</v>
      </c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</row>
    <row r="758" spans="1:17" ht="31.2" x14ac:dyDescent="0.25">
      <c r="A758" s="17" t="s">
        <v>157</v>
      </c>
      <c r="B758" s="17" t="s">
        <v>70</v>
      </c>
      <c r="C758" s="17" t="s">
        <v>158</v>
      </c>
      <c r="D758" s="17" t="s">
        <v>282</v>
      </c>
      <c r="E758" s="28">
        <f>AVERAGE(F758:Q758)</f>
        <v>296.90000000000003</v>
      </c>
      <c r="F758" s="25">
        <v>289.14999999999998</v>
      </c>
      <c r="G758" s="25">
        <v>290.14999999999998</v>
      </c>
      <c r="H758" s="25">
        <v>293.14999999999998</v>
      </c>
      <c r="I758" s="25">
        <v>296.14999999999998</v>
      </c>
      <c r="J758" s="25">
        <v>300.14999999999998</v>
      </c>
      <c r="K758" s="25">
        <v>302.14999999999998</v>
      </c>
      <c r="L758" s="25">
        <v>302.14999999999998</v>
      </c>
      <c r="M758" s="25">
        <v>302.14999999999998</v>
      </c>
      <c r="N758" s="25">
        <v>302.14999999999998</v>
      </c>
      <c r="O758" s="25">
        <v>299.14999999999998</v>
      </c>
      <c r="P758" s="25">
        <v>296.14999999999998</v>
      </c>
      <c r="Q758" s="25">
        <v>290.14999999999998</v>
      </c>
    </row>
    <row r="759" spans="1:17" ht="46.8" x14ac:dyDescent="0.25">
      <c r="A759" s="17" t="s">
        <v>159</v>
      </c>
      <c r="B759" s="17" t="s">
        <v>38</v>
      </c>
      <c r="C759" s="17" t="s">
        <v>160</v>
      </c>
      <c r="D759" s="17" t="s">
        <v>362</v>
      </c>
      <c r="E759" s="29">
        <f>SUM(F759:Q759)</f>
        <v>408.80000000000013</v>
      </c>
      <c r="F759" s="29">
        <f>F743*F747*'Project Emissions'!F738+(1-F754)*0</f>
        <v>34.720000000000006</v>
      </c>
      <c r="G759" s="29">
        <f>G743*G747*'Project Emissions'!G738+(1-G754)*0</f>
        <v>31.360000000000003</v>
      </c>
      <c r="H759" s="29">
        <f>H743*H747*'Project Emissions'!H738+(1-H754)*0</f>
        <v>34.720000000000006</v>
      </c>
      <c r="I759" s="29">
        <f>I743*I747*'Project Emissions'!I738+(1-I754)*0</f>
        <v>33.6</v>
      </c>
      <c r="J759" s="29">
        <f>J743*J747*'Project Emissions'!J738+(1-J754)*0</f>
        <v>34.720000000000006</v>
      </c>
      <c r="K759" s="29">
        <f>K743*K747*'Project Emissions'!K738+(1-K754)*0</f>
        <v>33.6</v>
      </c>
      <c r="L759" s="29">
        <f>L743*L747*'Project Emissions'!L738+(1-L754)*0</f>
        <v>34.720000000000006</v>
      </c>
      <c r="M759" s="29">
        <f>M743*M747*'Project Emissions'!M738+(1-M754)*0</f>
        <v>34.720000000000006</v>
      </c>
      <c r="N759" s="29">
        <f>N743*N747*'Project Emissions'!N738+(1-N754)*0</f>
        <v>33.6</v>
      </c>
      <c r="O759" s="29">
        <f>O743*O747*'Project Emissions'!O738+(1-O754)*0</f>
        <v>34.720000000000006</v>
      </c>
      <c r="P759" s="29">
        <f>P743*P747*'Project Emissions'!P738+(1-P754)*0</f>
        <v>33.6</v>
      </c>
      <c r="Q759" s="29">
        <f>Q743*Q747*'Project Emissions'!Q738+(1-Q754)*0</f>
        <v>34.720000000000006</v>
      </c>
    </row>
    <row r="760" spans="1:17" x14ac:dyDescent="0.3">
      <c r="A760" s="30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</row>
    <row r="761" spans="1:17" x14ac:dyDescent="0.25">
      <c r="A761" s="134" t="s">
        <v>161</v>
      </c>
      <c r="B761" s="134"/>
      <c r="C761" s="135"/>
      <c r="D761" s="135"/>
      <c r="E761" s="155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</row>
    <row r="762" spans="1:17" x14ac:dyDescent="0.25">
      <c r="A762" s="33" t="s">
        <v>9</v>
      </c>
      <c r="B762" s="33" t="s">
        <v>10</v>
      </c>
      <c r="C762" s="34" t="s">
        <v>11</v>
      </c>
      <c r="D762" s="34" t="s">
        <v>12</v>
      </c>
      <c r="E762" s="16" t="s">
        <v>80</v>
      </c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</row>
    <row r="763" spans="1:17" ht="46.8" x14ac:dyDescent="0.25">
      <c r="A763" s="15" t="s">
        <v>162</v>
      </c>
      <c r="B763" s="17" t="s">
        <v>110</v>
      </c>
      <c r="C763" s="35" t="s">
        <v>163</v>
      </c>
      <c r="D763" s="35" t="s">
        <v>83</v>
      </c>
      <c r="E763" s="16">
        <v>0</v>
      </c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</row>
    <row r="764" spans="1:17" x14ac:dyDescent="0.25">
      <c r="A764" s="36"/>
      <c r="B764" s="36"/>
      <c r="C764" s="37"/>
      <c r="D764" s="37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</row>
    <row r="765" spans="1:17" x14ac:dyDescent="0.25">
      <c r="A765" s="134" t="s">
        <v>164</v>
      </c>
      <c r="B765" s="134"/>
      <c r="C765" s="135"/>
      <c r="D765" s="135"/>
      <c r="E765" s="155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</row>
    <row r="766" spans="1:17" x14ac:dyDescent="0.25">
      <c r="A766" s="33" t="s">
        <v>9</v>
      </c>
      <c r="B766" s="33" t="s">
        <v>10</v>
      </c>
      <c r="C766" s="34" t="s">
        <v>11</v>
      </c>
      <c r="D766" s="34" t="s">
        <v>12</v>
      </c>
      <c r="E766" s="16" t="s">
        <v>80</v>
      </c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</row>
    <row r="767" spans="1:17" ht="46.8" x14ac:dyDescent="0.25">
      <c r="A767" s="15" t="s">
        <v>165</v>
      </c>
      <c r="B767" s="17" t="s">
        <v>110</v>
      </c>
      <c r="C767" s="35" t="s">
        <v>166</v>
      </c>
      <c r="D767" s="35" t="s">
        <v>83</v>
      </c>
      <c r="E767" s="16">
        <v>0</v>
      </c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</row>
    <row r="768" spans="1:17" x14ac:dyDescent="0.25"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</row>
    <row r="769" spans="1:19" x14ac:dyDescent="0.25">
      <c r="A769" s="134" t="s">
        <v>167</v>
      </c>
      <c r="B769" s="134"/>
      <c r="C769" s="135"/>
      <c r="D769" s="135"/>
      <c r="E769" s="155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</row>
    <row r="770" spans="1:19" s="10" customFormat="1" x14ac:dyDescent="0.25">
      <c r="A770" s="15" t="s">
        <v>9</v>
      </c>
      <c r="B770" s="15" t="s">
        <v>10</v>
      </c>
      <c r="C770" s="38" t="s">
        <v>11</v>
      </c>
      <c r="D770" s="38" t="s">
        <v>12</v>
      </c>
      <c r="E770" s="16" t="s">
        <v>80</v>
      </c>
      <c r="F770" s="32"/>
      <c r="G770" s="32"/>
      <c r="H770" s="39"/>
      <c r="I770" s="39"/>
      <c r="J770" s="39"/>
      <c r="K770" s="39"/>
      <c r="L770" s="39"/>
      <c r="M770" s="39"/>
      <c r="N770" s="39"/>
      <c r="O770" s="39"/>
      <c r="P770" s="39"/>
      <c r="Q770" s="39"/>
    </row>
    <row r="771" spans="1:19" s="10" customFormat="1" ht="18" x14ac:dyDescent="0.4">
      <c r="A771" s="40" t="s">
        <v>168</v>
      </c>
      <c r="B771" s="17" t="s">
        <v>118</v>
      </c>
      <c r="C771" s="35" t="s">
        <v>169</v>
      </c>
      <c r="D771" s="35" t="s">
        <v>170</v>
      </c>
      <c r="E771" s="41">
        <f>E772*E774*(1+E773)</f>
        <v>1677.3853524000001</v>
      </c>
      <c r="F771" s="32"/>
      <c r="G771" s="32"/>
      <c r="H771" s="39"/>
      <c r="I771" s="39"/>
      <c r="J771" s="39"/>
      <c r="K771" s="39"/>
      <c r="L771" s="39"/>
      <c r="M771" s="39"/>
      <c r="N771" s="39"/>
      <c r="O771" s="39"/>
      <c r="P771" s="39"/>
      <c r="Q771" s="39"/>
    </row>
    <row r="772" spans="1:19" ht="31.2" x14ac:dyDescent="0.25">
      <c r="A772" s="17" t="s">
        <v>171</v>
      </c>
      <c r="B772" s="17" t="s">
        <v>172</v>
      </c>
      <c r="C772" s="35" t="s">
        <v>173</v>
      </c>
      <c r="D772" s="35" t="s">
        <v>40</v>
      </c>
      <c r="E772" s="20">
        <v>2747.02</v>
      </c>
      <c r="G772" s="42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9"/>
      <c r="S772" s="9"/>
    </row>
    <row r="773" spans="1:19" ht="31.2" x14ac:dyDescent="0.25">
      <c r="A773" s="17" t="s">
        <v>174</v>
      </c>
      <c r="B773" s="17" t="s">
        <v>175</v>
      </c>
      <c r="C773" s="35" t="s">
        <v>176</v>
      </c>
      <c r="D773" s="35" t="s">
        <v>177</v>
      </c>
      <c r="E773" s="44">
        <v>0.2</v>
      </c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9"/>
      <c r="S773" s="9"/>
    </row>
    <row r="774" spans="1:19" ht="46.8" x14ac:dyDescent="0.25">
      <c r="A774" s="17" t="s">
        <v>178</v>
      </c>
      <c r="B774" s="17" t="s">
        <v>179</v>
      </c>
      <c r="C774" s="35" t="s">
        <v>180</v>
      </c>
      <c r="D774" s="35" t="s">
        <v>181</v>
      </c>
      <c r="E774" s="45">
        <f>0.5*0.8042+0.5*0.2135</f>
        <v>0.50885000000000002</v>
      </c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</row>
    <row r="775" spans="1:19" ht="31.2" x14ac:dyDescent="0.4">
      <c r="A775" s="40" t="s">
        <v>182</v>
      </c>
      <c r="B775" s="17" t="s">
        <v>118</v>
      </c>
      <c r="C775" s="35" t="s">
        <v>183</v>
      </c>
      <c r="D775" s="35" t="s">
        <v>184</v>
      </c>
      <c r="E775" s="47">
        <v>0</v>
      </c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9"/>
      <c r="S775" s="9"/>
    </row>
    <row r="776" spans="1:19" x14ac:dyDescent="0.3">
      <c r="A776" s="48"/>
      <c r="E776" s="49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9"/>
      <c r="S776" s="9"/>
    </row>
    <row r="777" spans="1:19" x14ac:dyDescent="0.25">
      <c r="A777" s="134" t="s">
        <v>185</v>
      </c>
      <c r="B777" s="134"/>
      <c r="C777" s="135"/>
      <c r="D777" s="135"/>
      <c r="E777" s="155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</row>
    <row r="778" spans="1:19" x14ac:dyDescent="0.25">
      <c r="A778" s="15" t="s">
        <v>9</v>
      </c>
      <c r="B778" s="15" t="s">
        <v>10</v>
      </c>
      <c r="C778" s="38" t="s">
        <v>11</v>
      </c>
      <c r="D778" s="38" t="s">
        <v>12</v>
      </c>
      <c r="E778" s="16" t="s">
        <v>80</v>
      </c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9"/>
      <c r="S778" s="9"/>
    </row>
    <row r="779" spans="1:19" ht="33.6" x14ac:dyDescent="0.4">
      <c r="A779" s="40" t="s">
        <v>186</v>
      </c>
      <c r="B779" s="17" t="s">
        <v>89</v>
      </c>
      <c r="C779" s="35" t="s">
        <v>187</v>
      </c>
      <c r="D779" s="35" t="s">
        <v>363</v>
      </c>
      <c r="E779" s="50">
        <f>E780*E783*E784*E785*E786*E787</f>
        <v>49.937996692383756</v>
      </c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9"/>
      <c r="S779" s="9"/>
    </row>
    <row r="780" spans="1:19" ht="46.8" x14ac:dyDescent="0.4">
      <c r="A780" s="51" t="s">
        <v>188</v>
      </c>
      <c r="B780" s="17" t="s">
        <v>91</v>
      </c>
      <c r="C780" s="35" t="s">
        <v>189</v>
      </c>
      <c r="D780" s="35" t="s">
        <v>364</v>
      </c>
      <c r="E780" s="52">
        <f>E781/E782</f>
        <v>1002.29</v>
      </c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9"/>
      <c r="S780" s="9"/>
    </row>
    <row r="781" spans="1:19" ht="31.2" x14ac:dyDescent="0.25">
      <c r="A781" s="17" t="s">
        <v>190</v>
      </c>
      <c r="B781" s="17" t="s">
        <v>93</v>
      </c>
      <c r="C781" s="35" t="s">
        <v>191</v>
      </c>
      <c r="D781" s="35" t="s">
        <v>40</v>
      </c>
      <c r="E781" s="52">
        <f>13.73*365</f>
        <v>5011.45</v>
      </c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9"/>
      <c r="S781" s="9"/>
    </row>
    <row r="782" spans="1:19" ht="31.2" x14ac:dyDescent="0.25">
      <c r="A782" s="17" t="s">
        <v>192</v>
      </c>
      <c r="B782" s="17" t="s">
        <v>95</v>
      </c>
      <c r="C782" s="35" t="s">
        <v>96</v>
      </c>
      <c r="D782" s="35" t="s">
        <v>40</v>
      </c>
      <c r="E782" s="25">
        <f>5</f>
        <v>5</v>
      </c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9"/>
      <c r="S782" s="9"/>
    </row>
    <row r="783" spans="1:19" ht="46.8" x14ac:dyDescent="0.25">
      <c r="A783" s="17" t="s">
        <v>193</v>
      </c>
      <c r="B783" s="17" t="s">
        <v>97</v>
      </c>
      <c r="C783" s="35" t="s">
        <v>194</v>
      </c>
      <c r="D783" s="35" t="s">
        <v>40</v>
      </c>
      <c r="E783" s="25">
        <f>36.8*2</f>
        <v>73.599999999999994</v>
      </c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9"/>
      <c r="S783" s="9"/>
    </row>
    <row r="784" spans="1:19" ht="141" x14ac:dyDescent="0.25">
      <c r="A784" s="17" t="s">
        <v>195</v>
      </c>
      <c r="B784" s="17" t="s">
        <v>99</v>
      </c>
      <c r="C784" s="35" t="s">
        <v>100</v>
      </c>
      <c r="D784" s="35" t="s">
        <v>330</v>
      </c>
      <c r="E784" s="25">
        <f>25.1/100</f>
        <v>0.251</v>
      </c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9"/>
      <c r="S784" s="9"/>
    </row>
    <row r="785" spans="1:133" ht="62.4" x14ac:dyDescent="0.25">
      <c r="A785" s="17" t="s">
        <v>101</v>
      </c>
      <c r="B785" s="17" t="s">
        <v>102</v>
      </c>
      <c r="C785" s="35" t="s">
        <v>101</v>
      </c>
      <c r="D785" s="35" t="s">
        <v>231</v>
      </c>
      <c r="E785" s="25">
        <f>0.84/1000</f>
        <v>8.3999999999999993E-4</v>
      </c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9"/>
      <c r="S785" s="9"/>
    </row>
    <row r="786" spans="1:133" ht="124.8" x14ac:dyDescent="0.25">
      <c r="A786" s="17" t="s">
        <v>196</v>
      </c>
      <c r="B786" s="17" t="s">
        <v>103</v>
      </c>
      <c r="C786" s="35" t="s">
        <v>104</v>
      </c>
      <c r="D786" s="35" t="s">
        <v>331</v>
      </c>
      <c r="E786" s="25">
        <f>43.33/1000</f>
        <v>4.333E-2</v>
      </c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9"/>
      <c r="S786" s="9"/>
    </row>
    <row r="787" spans="1:133" ht="33.6" x14ac:dyDescent="0.25">
      <c r="A787" s="17" t="s">
        <v>197</v>
      </c>
      <c r="B787" s="17" t="s">
        <v>105</v>
      </c>
      <c r="C787" s="35" t="s">
        <v>106</v>
      </c>
      <c r="D787" s="35" t="s">
        <v>107</v>
      </c>
      <c r="E787" s="25">
        <v>74.099999999999994</v>
      </c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9"/>
      <c r="S787" s="9"/>
    </row>
    <row r="789" spans="1:133" x14ac:dyDescent="0.25">
      <c r="A789" s="33" t="s">
        <v>9</v>
      </c>
      <c r="B789" s="33" t="s">
        <v>10</v>
      </c>
      <c r="C789" s="34" t="s">
        <v>11</v>
      </c>
      <c r="D789" s="34" t="s">
        <v>12</v>
      </c>
      <c r="E789" s="16" t="s">
        <v>80</v>
      </c>
    </row>
    <row r="790" spans="1:133" ht="18" x14ac:dyDescent="0.25">
      <c r="A790" s="15" t="s">
        <v>198</v>
      </c>
      <c r="B790" s="17" t="s">
        <v>118</v>
      </c>
      <c r="C790" s="35" t="s">
        <v>199</v>
      </c>
      <c r="D790" s="53" t="s">
        <v>365</v>
      </c>
      <c r="E790" s="18">
        <f>ROUNDUP(E739+E763+E767+E771+E779,0)</f>
        <v>1728</v>
      </c>
    </row>
    <row r="791" spans="1:133" s="158" customFormat="1" ht="43.2" customHeight="1" x14ac:dyDescent="0.25">
      <c r="A791" s="160" t="s">
        <v>296</v>
      </c>
      <c r="B791" s="161"/>
      <c r="C791" s="161"/>
      <c r="D791" s="161"/>
      <c r="E791" s="161"/>
      <c r="F791" s="161"/>
      <c r="G791" s="161"/>
      <c r="H791" s="161"/>
      <c r="I791" s="161"/>
      <c r="J791" s="161"/>
      <c r="K791" s="161"/>
      <c r="L791" s="161"/>
      <c r="M791" s="161"/>
      <c r="N791" s="161"/>
      <c r="O791" s="161"/>
      <c r="P791" s="161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  <c r="AA791" s="161"/>
      <c r="AB791" s="161"/>
      <c r="AC791" s="161"/>
      <c r="AD791" s="161"/>
      <c r="AE791" s="161"/>
      <c r="AF791" s="161"/>
      <c r="AG791" s="161"/>
      <c r="AH791" s="161"/>
      <c r="AI791" s="161"/>
      <c r="AJ791" s="161"/>
      <c r="AK791" s="161"/>
      <c r="AL791" s="161"/>
      <c r="AM791" s="161"/>
      <c r="AN791" s="161"/>
      <c r="AO791" s="161"/>
      <c r="AP791" s="161"/>
      <c r="AQ791" s="161"/>
      <c r="AR791" s="161"/>
      <c r="AS791" s="161"/>
      <c r="AT791" s="161"/>
      <c r="AU791" s="161"/>
      <c r="AV791" s="161"/>
      <c r="AW791" s="161"/>
      <c r="AX791" s="161"/>
      <c r="AY791" s="161"/>
      <c r="AZ791" s="161"/>
      <c r="BA791" s="161"/>
      <c r="BB791" s="161"/>
      <c r="BC791" s="161"/>
      <c r="BD791" s="161"/>
      <c r="BE791" s="161"/>
      <c r="BF791" s="161"/>
      <c r="BG791" s="161"/>
      <c r="BH791" s="161"/>
      <c r="BI791" s="161"/>
      <c r="BJ791" s="161"/>
      <c r="BK791" s="161"/>
      <c r="BL791" s="161"/>
      <c r="BM791" s="161"/>
      <c r="BN791" s="161"/>
      <c r="BO791" s="161"/>
      <c r="BP791" s="161"/>
      <c r="BQ791" s="161"/>
      <c r="BR791" s="161"/>
      <c r="BS791" s="161"/>
      <c r="BT791" s="161"/>
      <c r="BU791" s="161"/>
      <c r="BV791" s="161"/>
      <c r="BW791" s="161"/>
      <c r="BX791" s="161"/>
      <c r="BY791" s="161"/>
      <c r="BZ791" s="161"/>
      <c r="CA791" s="161"/>
      <c r="CB791" s="161"/>
      <c r="CC791" s="161"/>
      <c r="CD791" s="161"/>
      <c r="CE791" s="161"/>
      <c r="CF791" s="161"/>
      <c r="CG791" s="161"/>
      <c r="CH791" s="161"/>
      <c r="CI791" s="161"/>
      <c r="CJ791" s="161"/>
      <c r="CK791" s="161"/>
      <c r="CL791" s="161"/>
      <c r="CM791" s="161"/>
      <c r="CN791" s="161"/>
      <c r="CO791" s="161"/>
      <c r="CP791" s="161"/>
      <c r="CQ791" s="161"/>
      <c r="CR791" s="161"/>
      <c r="CS791" s="161"/>
      <c r="CT791" s="161"/>
      <c r="CU791" s="161"/>
      <c r="CV791" s="161"/>
      <c r="CW791" s="161"/>
      <c r="CX791" s="161"/>
      <c r="CY791" s="161"/>
      <c r="CZ791" s="161"/>
      <c r="DA791" s="161"/>
      <c r="DB791" s="161"/>
      <c r="DC791" s="161"/>
      <c r="DD791" s="161"/>
      <c r="DE791" s="161"/>
      <c r="DF791" s="161"/>
      <c r="DG791" s="161"/>
      <c r="DH791" s="161"/>
      <c r="DI791" s="161"/>
      <c r="DJ791" s="161"/>
      <c r="DK791" s="161"/>
      <c r="DL791" s="161"/>
      <c r="DM791" s="161"/>
      <c r="DN791" s="161"/>
      <c r="DO791" s="161"/>
      <c r="DP791" s="161"/>
      <c r="DQ791" s="161"/>
      <c r="DR791" s="161"/>
      <c r="DS791" s="161"/>
      <c r="DT791" s="161"/>
      <c r="DU791" s="161"/>
      <c r="DV791" s="161"/>
      <c r="DW791" s="161"/>
      <c r="DX791" s="161"/>
      <c r="DY791" s="161"/>
      <c r="DZ791" s="161"/>
      <c r="EA791" s="161"/>
      <c r="EB791" s="161"/>
      <c r="EC791" s="162"/>
    </row>
    <row r="792" spans="1:133" ht="23.4" customHeight="1" x14ac:dyDescent="0.25">
      <c r="A792" s="153" t="s">
        <v>120</v>
      </c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4"/>
    </row>
    <row r="793" spans="1:133" s="10" customFormat="1" x14ac:dyDescent="0.25">
      <c r="A793" s="15" t="s">
        <v>9</v>
      </c>
      <c r="B793" s="15" t="s">
        <v>10</v>
      </c>
      <c r="C793" s="15" t="s">
        <v>11</v>
      </c>
      <c r="D793" s="15" t="s">
        <v>12</v>
      </c>
      <c r="E793" s="16" t="s">
        <v>13</v>
      </c>
      <c r="F793" s="16" t="s">
        <v>14</v>
      </c>
      <c r="G793" s="16" t="s">
        <v>15</v>
      </c>
      <c r="H793" s="16" t="s">
        <v>16</v>
      </c>
      <c r="I793" s="16" t="s">
        <v>17</v>
      </c>
      <c r="J793" s="16" t="s">
        <v>18</v>
      </c>
      <c r="K793" s="16" t="s">
        <v>19</v>
      </c>
      <c r="L793" s="16" t="s">
        <v>20</v>
      </c>
      <c r="M793" s="16" t="s">
        <v>21</v>
      </c>
      <c r="N793" s="16" t="s">
        <v>22</v>
      </c>
      <c r="O793" s="16" t="s">
        <v>23</v>
      </c>
      <c r="P793" s="16" t="s">
        <v>24</v>
      </c>
      <c r="Q793" s="16" t="s">
        <v>25</v>
      </c>
      <c r="R793" s="54"/>
      <c r="S793" s="54"/>
    </row>
    <row r="794" spans="1:133" s="10" customFormat="1" x14ac:dyDescent="0.25">
      <c r="A794" s="146" t="s">
        <v>121</v>
      </c>
      <c r="B794" s="146"/>
      <c r="C794" s="146"/>
      <c r="D794" s="146"/>
      <c r="E794" s="147"/>
      <c r="F794" s="16">
        <v>31</v>
      </c>
      <c r="G794" s="16">
        <v>28</v>
      </c>
      <c r="H794" s="16">
        <v>31</v>
      </c>
      <c r="I794" s="16">
        <v>30</v>
      </c>
      <c r="J794" s="16">
        <v>31</v>
      </c>
      <c r="K794" s="16">
        <v>30</v>
      </c>
      <c r="L794" s="16">
        <v>31</v>
      </c>
      <c r="M794" s="16">
        <v>31</v>
      </c>
      <c r="N794" s="16">
        <v>30</v>
      </c>
      <c r="O794" s="16">
        <v>31</v>
      </c>
      <c r="P794" s="16">
        <v>30</v>
      </c>
      <c r="Q794" s="16">
        <v>31</v>
      </c>
      <c r="R794" s="54"/>
      <c r="S794" s="54"/>
    </row>
    <row r="795" spans="1:133" s="10" customFormat="1" ht="31.2" x14ac:dyDescent="0.25">
      <c r="A795" s="15" t="s">
        <v>122</v>
      </c>
      <c r="B795" s="17" t="s">
        <v>118</v>
      </c>
      <c r="C795" s="17" t="s">
        <v>123</v>
      </c>
      <c r="D795" s="17" t="s">
        <v>353</v>
      </c>
      <c r="E795" s="18">
        <f>E796+E806</f>
        <v>0</v>
      </c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54"/>
      <c r="S795" s="54"/>
    </row>
    <row r="796" spans="1:133" ht="46.8" x14ac:dyDescent="0.25">
      <c r="A796" s="17" t="s">
        <v>124</v>
      </c>
      <c r="B796" s="17" t="s">
        <v>118</v>
      </c>
      <c r="C796" s="17" t="s">
        <v>125</v>
      </c>
      <c r="D796" s="17" t="s">
        <v>354</v>
      </c>
      <c r="E796" s="19">
        <f>SUM(F796:Q796)</f>
        <v>0</v>
      </c>
      <c r="F796" s="19">
        <f>IF(F797&gt;=0.8,0,$E$15*$E$16*0.4*(F798-F801)*F794)</f>
        <v>0</v>
      </c>
      <c r="G796" s="19">
        <f t="shared" ref="G796:Q796" si="98">IF(G797&gt;=0.8,0,$E$15*$E$16*0.4*(G798-G801)*G794)</f>
        <v>0</v>
      </c>
      <c r="H796" s="19">
        <f t="shared" si="98"/>
        <v>0</v>
      </c>
      <c r="I796" s="19">
        <f t="shared" si="98"/>
        <v>0</v>
      </c>
      <c r="J796" s="19">
        <f t="shared" si="98"/>
        <v>0</v>
      </c>
      <c r="K796" s="19">
        <f t="shared" si="98"/>
        <v>0</v>
      </c>
      <c r="L796" s="19">
        <f t="shared" si="98"/>
        <v>0</v>
      </c>
      <c r="M796" s="19">
        <f t="shared" si="98"/>
        <v>0</v>
      </c>
      <c r="N796" s="19">
        <f t="shared" si="98"/>
        <v>0</v>
      </c>
      <c r="O796" s="19">
        <f t="shared" si="98"/>
        <v>0</v>
      </c>
      <c r="P796" s="19">
        <f t="shared" si="98"/>
        <v>0</v>
      </c>
      <c r="Q796" s="19">
        <f t="shared" si="98"/>
        <v>0</v>
      </c>
    </row>
    <row r="797" spans="1:133" ht="62.4" x14ac:dyDescent="0.25">
      <c r="A797" s="17" t="s">
        <v>126</v>
      </c>
      <c r="B797" s="17" t="s">
        <v>52</v>
      </c>
      <c r="C797" s="17" t="s">
        <v>127</v>
      </c>
      <c r="D797" s="17" t="s">
        <v>355</v>
      </c>
      <c r="E797" s="20">
        <f>AVERAGE(F797:Q797)</f>
        <v>0.92727272727272758</v>
      </c>
      <c r="F797" s="20">
        <f>(F798-F801)/F798</f>
        <v>0.92727272727272736</v>
      </c>
      <c r="G797" s="20">
        <f t="shared" ref="G797:Q797" si="99">(G798-G801)/G798</f>
        <v>0.92727272727272736</v>
      </c>
      <c r="H797" s="20">
        <f t="shared" si="99"/>
        <v>0.92727272727272736</v>
      </c>
      <c r="I797" s="20">
        <f t="shared" si="99"/>
        <v>0.92727272727272736</v>
      </c>
      <c r="J797" s="20">
        <f t="shared" si="99"/>
        <v>0.92727272727272736</v>
      </c>
      <c r="K797" s="20">
        <f t="shared" si="99"/>
        <v>0.92727272727272736</v>
      </c>
      <c r="L797" s="20">
        <f t="shared" si="99"/>
        <v>0.92727272727272736</v>
      </c>
      <c r="M797" s="20">
        <f t="shared" si="99"/>
        <v>0.92727272727272736</v>
      </c>
      <c r="N797" s="20">
        <f t="shared" si="99"/>
        <v>0.92727272727272736</v>
      </c>
      <c r="O797" s="20">
        <f t="shared" si="99"/>
        <v>0.92727272727272736</v>
      </c>
      <c r="P797" s="20">
        <f t="shared" si="99"/>
        <v>0.92727272727272736</v>
      </c>
      <c r="Q797" s="20">
        <f t="shared" si="99"/>
        <v>0.92727272727272736</v>
      </c>
    </row>
    <row r="798" spans="1:133" ht="46.8" x14ac:dyDescent="0.25">
      <c r="A798" s="17" t="s">
        <v>128</v>
      </c>
      <c r="B798" s="17" t="s">
        <v>38</v>
      </c>
      <c r="C798" s="17" t="s">
        <v>129</v>
      </c>
      <c r="D798" s="17" t="s">
        <v>356</v>
      </c>
      <c r="E798" s="20">
        <f>SUM(F798:Q798)</f>
        <v>184.80000000000004</v>
      </c>
      <c r="F798" s="20">
        <f>F799*F800</f>
        <v>15.4</v>
      </c>
      <c r="G798" s="20">
        <f t="shared" ref="G798:Q798" si="100">G799*G800</f>
        <v>15.4</v>
      </c>
      <c r="H798" s="20">
        <f t="shared" si="100"/>
        <v>15.4</v>
      </c>
      <c r="I798" s="20">
        <f t="shared" si="100"/>
        <v>15.4</v>
      </c>
      <c r="J798" s="20">
        <f t="shared" si="100"/>
        <v>15.4</v>
      </c>
      <c r="K798" s="20">
        <f t="shared" si="100"/>
        <v>15.4</v>
      </c>
      <c r="L798" s="20">
        <f t="shared" si="100"/>
        <v>15.4</v>
      </c>
      <c r="M798" s="20">
        <f t="shared" si="100"/>
        <v>15.4</v>
      </c>
      <c r="N798" s="20">
        <f t="shared" si="100"/>
        <v>15.4</v>
      </c>
      <c r="O798" s="20">
        <f t="shared" si="100"/>
        <v>15.4</v>
      </c>
      <c r="P798" s="20">
        <f t="shared" si="100"/>
        <v>15.4</v>
      </c>
      <c r="Q798" s="20">
        <f t="shared" si="100"/>
        <v>15.4</v>
      </c>
    </row>
    <row r="799" spans="1:133" ht="51" customHeight="1" x14ac:dyDescent="0.25">
      <c r="A799" s="17" t="s">
        <v>130</v>
      </c>
      <c r="B799" s="17" t="s">
        <v>131</v>
      </c>
      <c r="C799" s="17" t="s">
        <v>132</v>
      </c>
      <c r="D799" s="17" t="s">
        <v>40</v>
      </c>
      <c r="E799" s="21">
        <f>SUM(F799:Q799)</f>
        <v>336000</v>
      </c>
      <c r="F799" s="21">
        <v>28000</v>
      </c>
      <c r="G799" s="21">
        <v>28000</v>
      </c>
      <c r="H799" s="21">
        <v>28000</v>
      </c>
      <c r="I799" s="21">
        <v>28000</v>
      </c>
      <c r="J799" s="21">
        <v>28000</v>
      </c>
      <c r="K799" s="21">
        <v>28000</v>
      </c>
      <c r="L799" s="21">
        <v>28000</v>
      </c>
      <c r="M799" s="21">
        <v>28000</v>
      </c>
      <c r="N799" s="21">
        <v>28000</v>
      </c>
      <c r="O799" s="21">
        <v>28000</v>
      </c>
      <c r="P799" s="21">
        <v>28000</v>
      </c>
      <c r="Q799" s="21">
        <v>28000</v>
      </c>
    </row>
    <row r="800" spans="1:133" ht="46.8" x14ac:dyDescent="0.25">
      <c r="A800" s="17" t="s">
        <v>133</v>
      </c>
      <c r="B800" s="17" t="s">
        <v>134</v>
      </c>
      <c r="C800" s="17" t="s">
        <v>135</v>
      </c>
      <c r="D800" s="17" t="s">
        <v>40</v>
      </c>
      <c r="E800" s="22">
        <f>AVERAGE(F800:Q800)</f>
        <v>5.5000000000000003E-4</v>
      </c>
      <c r="F800" s="23">
        <f>'Baseline Emissions'!F777</f>
        <v>5.5000000000000003E-4</v>
      </c>
      <c r="G800" s="23">
        <f>'Baseline Emissions'!G777</f>
        <v>5.5000000000000003E-4</v>
      </c>
      <c r="H800" s="23">
        <f>'Baseline Emissions'!H777</f>
        <v>5.5000000000000003E-4</v>
      </c>
      <c r="I800" s="23">
        <f>'Baseline Emissions'!I777</f>
        <v>5.5000000000000003E-4</v>
      </c>
      <c r="J800" s="23">
        <f>'Baseline Emissions'!J777</f>
        <v>5.5000000000000003E-4</v>
      </c>
      <c r="K800" s="23">
        <f>'Baseline Emissions'!K777</f>
        <v>5.5000000000000003E-4</v>
      </c>
      <c r="L800" s="23">
        <f>'Baseline Emissions'!L777</f>
        <v>5.5000000000000003E-4</v>
      </c>
      <c r="M800" s="23">
        <f>'Baseline Emissions'!M777</f>
        <v>5.5000000000000003E-4</v>
      </c>
      <c r="N800" s="23">
        <f>'Baseline Emissions'!N777</f>
        <v>5.5000000000000003E-4</v>
      </c>
      <c r="O800" s="23">
        <f>'Baseline Emissions'!O777</f>
        <v>5.5000000000000003E-4</v>
      </c>
      <c r="P800" s="23">
        <f>'Baseline Emissions'!P777</f>
        <v>5.5000000000000003E-4</v>
      </c>
      <c r="Q800" s="23">
        <f>'Baseline Emissions'!Q777</f>
        <v>5.5000000000000003E-4</v>
      </c>
    </row>
    <row r="801" spans="1:17" ht="46.8" x14ac:dyDescent="0.25">
      <c r="A801" s="17" t="s">
        <v>136</v>
      </c>
      <c r="B801" s="17" t="s">
        <v>38</v>
      </c>
      <c r="C801" s="17" t="s">
        <v>137</v>
      </c>
      <c r="D801" s="17" t="s">
        <v>356</v>
      </c>
      <c r="E801" s="20">
        <f>SUM(F801:Q801)</f>
        <v>13.440000000000005</v>
      </c>
      <c r="F801" s="20">
        <f>SUM(F802*F803)</f>
        <v>1.1200000000000001</v>
      </c>
      <c r="G801" s="20">
        <f t="shared" ref="G801:Q801" si="101">SUM(G802*G803)</f>
        <v>1.1200000000000001</v>
      </c>
      <c r="H801" s="20">
        <f t="shared" si="101"/>
        <v>1.1200000000000001</v>
      </c>
      <c r="I801" s="20">
        <f t="shared" si="101"/>
        <v>1.1200000000000001</v>
      </c>
      <c r="J801" s="20">
        <f t="shared" si="101"/>
        <v>1.1200000000000001</v>
      </c>
      <c r="K801" s="20">
        <f t="shared" si="101"/>
        <v>1.1200000000000001</v>
      </c>
      <c r="L801" s="20">
        <f t="shared" si="101"/>
        <v>1.1200000000000001</v>
      </c>
      <c r="M801" s="20">
        <f t="shared" si="101"/>
        <v>1.1200000000000001</v>
      </c>
      <c r="N801" s="20">
        <f t="shared" si="101"/>
        <v>1.1200000000000001</v>
      </c>
      <c r="O801" s="20">
        <f t="shared" si="101"/>
        <v>1.1200000000000001</v>
      </c>
      <c r="P801" s="20">
        <f t="shared" si="101"/>
        <v>1.1200000000000001</v>
      </c>
      <c r="Q801" s="20">
        <f t="shared" si="101"/>
        <v>1.1200000000000001</v>
      </c>
    </row>
    <row r="802" spans="1:17" ht="31.2" x14ac:dyDescent="0.25">
      <c r="A802" s="17" t="s">
        <v>138</v>
      </c>
      <c r="B802" s="17" t="s">
        <v>131</v>
      </c>
      <c r="C802" s="17" t="s">
        <v>139</v>
      </c>
      <c r="D802" s="17" t="s">
        <v>40</v>
      </c>
      <c r="E802" s="21">
        <f>SUM(F802:Q802)</f>
        <v>336000</v>
      </c>
      <c r="F802" s="21">
        <v>28000</v>
      </c>
      <c r="G802" s="21">
        <v>28000</v>
      </c>
      <c r="H802" s="21">
        <v>28000</v>
      </c>
      <c r="I802" s="21">
        <v>28000</v>
      </c>
      <c r="J802" s="21">
        <v>28000</v>
      </c>
      <c r="K802" s="21">
        <v>28000</v>
      </c>
      <c r="L802" s="21">
        <v>28000</v>
      </c>
      <c r="M802" s="21">
        <v>28000</v>
      </c>
      <c r="N802" s="21">
        <v>28000</v>
      </c>
      <c r="O802" s="21">
        <v>28000</v>
      </c>
      <c r="P802" s="21">
        <v>28000</v>
      </c>
      <c r="Q802" s="21">
        <v>28000</v>
      </c>
    </row>
    <row r="803" spans="1:17" ht="46.8" x14ac:dyDescent="0.25">
      <c r="A803" s="17" t="s">
        <v>140</v>
      </c>
      <c r="B803" s="17" t="s">
        <v>134</v>
      </c>
      <c r="C803" s="17" t="s">
        <v>141</v>
      </c>
      <c r="D803" s="17" t="s">
        <v>40</v>
      </c>
      <c r="E803" s="24">
        <f>AVERAGE(F803:Q803)</f>
        <v>4.0000000000000003E-5</v>
      </c>
      <c r="F803" s="24">
        <f>'Baseline Emissions'!F778</f>
        <v>4.0000000000000003E-5</v>
      </c>
      <c r="G803" s="24">
        <f>'Baseline Emissions'!G778</f>
        <v>4.0000000000000003E-5</v>
      </c>
      <c r="H803" s="24">
        <f>'Baseline Emissions'!H778</f>
        <v>4.0000000000000003E-5</v>
      </c>
      <c r="I803" s="24">
        <f>'Baseline Emissions'!I778</f>
        <v>4.0000000000000003E-5</v>
      </c>
      <c r="J803" s="24">
        <f>'Baseline Emissions'!J778</f>
        <v>4.0000000000000003E-5</v>
      </c>
      <c r="K803" s="24">
        <f>'Baseline Emissions'!K778</f>
        <v>4.0000000000000003E-5</v>
      </c>
      <c r="L803" s="24">
        <f>'Baseline Emissions'!L778</f>
        <v>4.0000000000000003E-5</v>
      </c>
      <c r="M803" s="24">
        <f>'Baseline Emissions'!M778</f>
        <v>4.0000000000000003E-5</v>
      </c>
      <c r="N803" s="24">
        <f>'Baseline Emissions'!N778</f>
        <v>4.0000000000000003E-5</v>
      </c>
      <c r="O803" s="24">
        <f>'Baseline Emissions'!O778</f>
        <v>4.0000000000000003E-5</v>
      </c>
      <c r="P803" s="24">
        <f>'Baseline Emissions'!P778</f>
        <v>4.0000000000000003E-5</v>
      </c>
      <c r="Q803" s="24">
        <f>'Baseline Emissions'!Q778</f>
        <v>4.0000000000000003E-5</v>
      </c>
    </row>
    <row r="804" spans="1:17" ht="31.2" x14ac:dyDescent="0.25">
      <c r="A804" s="17" t="s">
        <v>142</v>
      </c>
      <c r="B804" s="17" t="s">
        <v>143</v>
      </c>
      <c r="C804" s="17" t="s">
        <v>31</v>
      </c>
      <c r="D804" s="17" t="s">
        <v>144</v>
      </c>
      <c r="E804" s="130">
        <v>28</v>
      </c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</row>
    <row r="805" spans="1:17" ht="64.8" x14ac:dyDescent="0.25">
      <c r="A805" s="17" t="s">
        <v>145</v>
      </c>
      <c r="B805" s="17" t="s">
        <v>33</v>
      </c>
      <c r="C805" s="17" t="s">
        <v>146</v>
      </c>
      <c r="D805" s="17" t="s">
        <v>373</v>
      </c>
      <c r="E805" s="130">
        <v>0.21</v>
      </c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</row>
    <row r="806" spans="1:17" ht="46.8" x14ac:dyDescent="0.25">
      <c r="A806" s="17" t="s">
        <v>147</v>
      </c>
      <c r="B806" s="17" t="s">
        <v>118</v>
      </c>
      <c r="C806" s="17" t="s">
        <v>148</v>
      </c>
      <c r="D806" s="17" t="s">
        <v>357</v>
      </c>
      <c r="E806" s="19">
        <f>SUM(F806:Q806)</f>
        <v>0</v>
      </c>
      <c r="F806" s="19">
        <f>$E$15*$E$16*F807*F801*F794</f>
        <v>0</v>
      </c>
      <c r="G806" s="19">
        <f t="shared" ref="G806:Q806" si="102">$E$15*$E$16*G807*G801*G794</f>
        <v>0</v>
      </c>
      <c r="H806" s="19">
        <f t="shared" si="102"/>
        <v>0</v>
      </c>
      <c r="I806" s="19">
        <f t="shared" si="102"/>
        <v>0</v>
      </c>
      <c r="J806" s="19">
        <f t="shared" si="102"/>
        <v>0</v>
      </c>
      <c r="K806" s="19">
        <f t="shared" si="102"/>
        <v>0</v>
      </c>
      <c r="L806" s="19">
        <f t="shared" si="102"/>
        <v>0</v>
      </c>
      <c r="M806" s="19">
        <f t="shared" si="102"/>
        <v>0</v>
      </c>
      <c r="N806" s="19">
        <f t="shared" si="102"/>
        <v>0</v>
      </c>
      <c r="O806" s="19">
        <f t="shared" si="102"/>
        <v>0</v>
      </c>
      <c r="P806" s="19">
        <f t="shared" si="102"/>
        <v>0</v>
      </c>
      <c r="Q806" s="19">
        <f t="shared" si="102"/>
        <v>0</v>
      </c>
    </row>
    <row r="807" spans="1:17" ht="18" x14ac:dyDescent="0.25">
      <c r="A807" s="17" t="s">
        <v>149</v>
      </c>
      <c r="B807" s="17" t="s">
        <v>52</v>
      </c>
      <c r="C807" s="17" t="s">
        <v>150</v>
      </c>
      <c r="D807" s="17" t="s">
        <v>358</v>
      </c>
      <c r="E807" s="26">
        <f>AVERAGE(F807:Q807)</f>
        <v>0</v>
      </c>
      <c r="F807" s="26">
        <f t="shared" ref="F807:Q807" si="103">F808*$E$20*0.89</f>
        <v>0</v>
      </c>
      <c r="G807" s="26">
        <f t="shared" si="103"/>
        <v>0</v>
      </c>
      <c r="H807" s="26">
        <f t="shared" si="103"/>
        <v>0</v>
      </c>
      <c r="I807" s="26">
        <f t="shared" si="103"/>
        <v>0</v>
      </c>
      <c r="J807" s="26">
        <f t="shared" si="103"/>
        <v>0</v>
      </c>
      <c r="K807" s="26">
        <f t="shared" si="103"/>
        <v>0</v>
      </c>
      <c r="L807" s="26">
        <f t="shared" si="103"/>
        <v>0</v>
      </c>
      <c r="M807" s="26">
        <f t="shared" si="103"/>
        <v>0</v>
      </c>
      <c r="N807" s="26">
        <f t="shared" si="103"/>
        <v>0</v>
      </c>
      <c r="O807" s="26">
        <f t="shared" si="103"/>
        <v>0</v>
      </c>
      <c r="P807" s="26">
        <f t="shared" si="103"/>
        <v>0</v>
      </c>
      <c r="Q807" s="26">
        <f t="shared" si="103"/>
        <v>0</v>
      </c>
    </row>
    <row r="808" spans="1:17" ht="31.2" x14ac:dyDescent="0.25">
      <c r="A808" s="17" t="s">
        <v>151</v>
      </c>
      <c r="B808" s="17" t="s">
        <v>52</v>
      </c>
      <c r="C808" s="17" t="s">
        <v>61</v>
      </c>
      <c r="D808" s="17" t="s">
        <v>359</v>
      </c>
      <c r="E808" s="25">
        <v>0</v>
      </c>
      <c r="F808" s="25">
        <v>0</v>
      </c>
      <c r="G808" s="25">
        <v>0</v>
      </c>
      <c r="H808" s="25">
        <v>0</v>
      </c>
      <c r="I808" s="25">
        <v>0</v>
      </c>
      <c r="J808" s="25">
        <v>0</v>
      </c>
      <c r="K808" s="25">
        <v>0</v>
      </c>
      <c r="L808" s="25">
        <v>0</v>
      </c>
      <c r="M808" s="25">
        <v>0</v>
      </c>
      <c r="N808" s="25">
        <v>0</v>
      </c>
      <c r="O808" s="25">
        <v>0</v>
      </c>
      <c r="P808" s="25">
        <v>0</v>
      </c>
      <c r="Q808" s="25">
        <v>0</v>
      </c>
    </row>
    <row r="809" spans="1:17" ht="31.2" x14ac:dyDescent="0.25">
      <c r="A809" s="17" t="s">
        <v>152</v>
      </c>
      <c r="B809" s="17" t="s">
        <v>216</v>
      </c>
      <c r="C809" s="17" t="s">
        <v>153</v>
      </c>
      <c r="D809" s="17" t="s">
        <v>360</v>
      </c>
      <c r="E809" s="148">
        <f>(F810*F815+G810*G815+H810*H815+I810*I815+J810*J815+K810*K815+L810*L815+M810*M815+N810*N815+O810*O815+P810*P815+Q810*Q815)/(F802*F803*F794+G803*G802*G794+H802*H803*H794+I803*I802*I794+J803*J802*J794+K803*K802*K794+L803*L802*L794+M803*M802*M794+N803*N802*N794+O802*O803*O794+P803*P802*P794+Q803*Q802*Q794)</f>
        <v>0.63759550987946811</v>
      </c>
      <c r="F809" s="148"/>
      <c r="G809" s="148"/>
      <c r="H809" s="148"/>
      <c r="I809" s="148"/>
      <c r="J809" s="148"/>
      <c r="K809" s="148"/>
      <c r="L809" s="148"/>
      <c r="M809" s="148"/>
      <c r="N809" s="148"/>
      <c r="O809" s="148"/>
      <c r="P809" s="148"/>
      <c r="Q809" s="148"/>
    </row>
    <row r="810" spans="1:17" ht="31.2" x14ac:dyDescent="0.25">
      <c r="A810" s="17" t="s">
        <v>154</v>
      </c>
      <c r="B810" s="17" t="s">
        <v>52</v>
      </c>
      <c r="C810" s="17" t="s">
        <v>155</v>
      </c>
      <c r="D810" s="17" t="s">
        <v>347</v>
      </c>
      <c r="E810" s="27">
        <f>AVERAGE(F810:Q810)</f>
        <v>0.63610765135267333</v>
      </c>
      <c r="F810" s="27">
        <f>IF(F814&lt;283,0,IF(F814&gt;303,1,EXP(($E$22*(F814-$E$23))/($E$24*$E$23*F814))))</f>
        <v>0.29505266129807517</v>
      </c>
      <c r="G810" s="27">
        <f t="shared" ref="G810:Q810" si="104">IF(G814&lt;283,0,IF(G814&gt;303,1,EXP(($E$22*(G814-$E$23))/($E$24*$E$23*G814))))</f>
        <v>0.32317176495848171</v>
      </c>
      <c r="H810" s="27">
        <f t="shared" si="104"/>
        <v>0.42307437878932203</v>
      </c>
      <c r="I810" s="27">
        <f t="shared" si="104"/>
        <v>0.55084569341606926</v>
      </c>
      <c r="J810" s="27">
        <f t="shared" si="104"/>
        <v>0.77675425208684001</v>
      </c>
      <c r="K810" s="27">
        <f t="shared" si="104"/>
        <v>0.91923925774048054</v>
      </c>
      <c r="L810" s="27">
        <f t="shared" si="104"/>
        <v>0.91923925774048054</v>
      </c>
      <c r="M810" s="27">
        <f t="shared" si="104"/>
        <v>0.91923925774048054</v>
      </c>
      <c r="N810" s="27">
        <f t="shared" si="104"/>
        <v>0.91923925774048054</v>
      </c>
      <c r="O810" s="27">
        <f t="shared" si="104"/>
        <v>0.71341857634681827</v>
      </c>
      <c r="P810" s="27">
        <f t="shared" si="104"/>
        <v>0.55084569341606926</v>
      </c>
      <c r="Q810" s="27">
        <f t="shared" si="104"/>
        <v>0.32317176495848171</v>
      </c>
    </row>
    <row r="811" spans="1:17" x14ac:dyDescent="0.25">
      <c r="A811" s="17" t="s">
        <v>66</v>
      </c>
      <c r="B811" s="17" t="s">
        <v>67</v>
      </c>
      <c r="C811" s="17" t="s">
        <v>68</v>
      </c>
      <c r="D811" s="17" t="s">
        <v>361</v>
      </c>
      <c r="E811" s="130">
        <v>15175</v>
      </c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</row>
    <row r="812" spans="1:17" ht="18" x14ac:dyDescent="0.25">
      <c r="A812" s="17" t="s">
        <v>156</v>
      </c>
      <c r="B812" s="17" t="s">
        <v>70</v>
      </c>
      <c r="C812" s="17" t="s">
        <v>71</v>
      </c>
      <c r="D812" s="17" t="s">
        <v>361</v>
      </c>
      <c r="E812" s="130">
        <v>303.16000000000003</v>
      </c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</row>
    <row r="813" spans="1:17" x14ac:dyDescent="0.25">
      <c r="A813" s="17" t="s">
        <v>72</v>
      </c>
      <c r="B813" s="17" t="s">
        <v>73</v>
      </c>
      <c r="C813" s="17" t="s">
        <v>74</v>
      </c>
      <c r="D813" s="17" t="s">
        <v>361</v>
      </c>
      <c r="E813" s="130">
        <v>1.9870000000000001</v>
      </c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</row>
    <row r="814" spans="1:17" ht="31.2" x14ac:dyDescent="0.25">
      <c r="A814" s="17" t="s">
        <v>157</v>
      </c>
      <c r="B814" s="17" t="s">
        <v>70</v>
      </c>
      <c r="C814" s="17" t="s">
        <v>158</v>
      </c>
      <c r="D814" s="17" t="s">
        <v>282</v>
      </c>
      <c r="E814" s="28">
        <f>AVERAGE(F814:Q814)</f>
        <v>296.90000000000003</v>
      </c>
      <c r="F814" s="25">
        <v>289.14999999999998</v>
      </c>
      <c r="G814" s="25">
        <v>290.14999999999998</v>
      </c>
      <c r="H814" s="25">
        <v>293.14999999999998</v>
      </c>
      <c r="I814" s="25">
        <v>296.14999999999998</v>
      </c>
      <c r="J814" s="25">
        <v>300.14999999999998</v>
      </c>
      <c r="K814" s="25">
        <v>302.14999999999998</v>
      </c>
      <c r="L814" s="25">
        <v>302.14999999999998</v>
      </c>
      <c r="M814" s="25">
        <v>302.14999999999998</v>
      </c>
      <c r="N814" s="25">
        <v>302.14999999999998</v>
      </c>
      <c r="O814" s="25">
        <v>299.14999999999998</v>
      </c>
      <c r="P814" s="25">
        <v>296.14999999999998</v>
      </c>
      <c r="Q814" s="25">
        <v>290.14999999999998</v>
      </c>
    </row>
    <row r="815" spans="1:17" ht="46.8" x14ac:dyDescent="0.25">
      <c r="A815" s="17" t="s">
        <v>159</v>
      </c>
      <c r="B815" s="17" t="s">
        <v>38</v>
      </c>
      <c r="C815" s="17" t="s">
        <v>160</v>
      </c>
      <c r="D815" s="17" t="s">
        <v>362</v>
      </c>
      <c r="E815" s="29">
        <f>SUM(F815:Q815)</f>
        <v>408.80000000000013</v>
      </c>
      <c r="F815" s="29">
        <f>F799*F803*'Project Emissions'!F794+(1-F810)*0</f>
        <v>34.720000000000006</v>
      </c>
      <c r="G815" s="29">
        <f>G799*G803*'Project Emissions'!G794+(1-G810)*0</f>
        <v>31.360000000000003</v>
      </c>
      <c r="H815" s="29">
        <f>H799*H803*'Project Emissions'!H794+(1-H810)*0</f>
        <v>34.720000000000006</v>
      </c>
      <c r="I815" s="29">
        <f>I799*I803*'Project Emissions'!I794+(1-I810)*0</f>
        <v>33.6</v>
      </c>
      <c r="J815" s="29">
        <f>J799*J803*'Project Emissions'!J794+(1-J810)*0</f>
        <v>34.720000000000006</v>
      </c>
      <c r="K815" s="29">
        <f>K799*K803*'Project Emissions'!K794+(1-K810)*0</f>
        <v>33.6</v>
      </c>
      <c r="L815" s="29">
        <f>L799*L803*'Project Emissions'!L794+(1-L810)*0</f>
        <v>34.720000000000006</v>
      </c>
      <c r="M815" s="29">
        <f>M799*M803*'Project Emissions'!M794+(1-M810)*0</f>
        <v>34.720000000000006</v>
      </c>
      <c r="N815" s="29">
        <f>N799*N803*'Project Emissions'!N794+(1-N810)*0</f>
        <v>33.6</v>
      </c>
      <c r="O815" s="29">
        <f>O799*O803*'Project Emissions'!O794+(1-O810)*0</f>
        <v>34.720000000000006</v>
      </c>
      <c r="P815" s="29">
        <f>P799*P803*'Project Emissions'!P794+(1-P810)*0</f>
        <v>33.6</v>
      </c>
      <c r="Q815" s="29">
        <f>Q799*Q803*'Project Emissions'!Q794+(1-Q810)*0</f>
        <v>34.720000000000006</v>
      </c>
    </row>
    <row r="816" spans="1:17" x14ac:dyDescent="0.3">
      <c r="A816" s="30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</row>
    <row r="817" spans="1:19" x14ac:dyDescent="0.25">
      <c r="A817" s="134" t="s">
        <v>161</v>
      </c>
      <c r="B817" s="134"/>
      <c r="C817" s="135"/>
      <c r="D817" s="135"/>
      <c r="E817" s="155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</row>
    <row r="818" spans="1:19" x14ac:dyDescent="0.25">
      <c r="A818" s="33" t="s">
        <v>9</v>
      </c>
      <c r="B818" s="33" t="s">
        <v>10</v>
      </c>
      <c r="C818" s="34" t="s">
        <v>11</v>
      </c>
      <c r="D818" s="34" t="s">
        <v>12</v>
      </c>
      <c r="E818" s="16" t="s">
        <v>80</v>
      </c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</row>
    <row r="819" spans="1:19" ht="46.8" x14ac:dyDescent="0.25">
      <c r="A819" s="15" t="s">
        <v>162</v>
      </c>
      <c r="B819" s="17" t="s">
        <v>110</v>
      </c>
      <c r="C819" s="35" t="s">
        <v>163</v>
      </c>
      <c r="D819" s="35" t="s">
        <v>83</v>
      </c>
      <c r="E819" s="16">
        <v>0</v>
      </c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</row>
    <row r="820" spans="1:19" x14ac:dyDescent="0.25">
      <c r="A820" s="36"/>
      <c r="B820" s="36"/>
      <c r="C820" s="37"/>
      <c r="D820" s="37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</row>
    <row r="821" spans="1:19" x14ac:dyDescent="0.25">
      <c r="A821" s="134" t="s">
        <v>164</v>
      </c>
      <c r="B821" s="134"/>
      <c r="C821" s="135"/>
      <c r="D821" s="135"/>
      <c r="E821" s="155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</row>
    <row r="822" spans="1:19" x14ac:dyDescent="0.25">
      <c r="A822" s="33" t="s">
        <v>9</v>
      </c>
      <c r="B822" s="33" t="s">
        <v>10</v>
      </c>
      <c r="C822" s="34" t="s">
        <v>11</v>
      </c>
      <c r="D822" s="34" t="s">
        <v>12</v>
      </c>
      <c r="E822" s="16" t="s">
        <v>80</v>
      </c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</row>
    <row r="823" spans="1:19" ht="46.8" x14ac:dyDescent="0.25">
      <c r="A823" s="15" t="s">
        <v>165</v>
      </c>
      <c r="B823" s="17" t="s">
        <v>110</v>
      </c>
      <c r="C823" s="35" t="s">
        <v>166</v>
      </c>
      <c r="D823" s="35" t="s">
        <v>83</v>
      </c>
      <c r="E823" s="16">
        <v>0</v>
      </c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</row>
    <row r="824" spans="1:19" x14ac:dyDescent="0.25"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</row>
    <row r="825" spans="1:19" x14ac:dyDescent="0.25">
      <c r="A825" s="134" t="s">
        <v>167</v>
      </c>
      <c r="B825" s="134"/>
      <c r="C825" s="135"/>
      <c r="D825" s="135"/>
      <c r="E825" s="155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</row>
    <row r="826" spans="1:19" s="10" customFormat="1" x14ac:dyDescent="0.25">
      <c r="A826" s="15" t="s">
        <v>9</v>
      </c>
      <c r="B826" s="15" t="s">
        <v>10</v>
      </c>
      <c r="C826" s="38" t="s">
        <v>11</v>
      </c>
      <c r="D826" s="38" t="s">
        <v>12</v>
      </c>
      <c r="E826" s="16" t="s">
        <v>80</v>
      </c>
      <c r="F826" s="32"/>
      <c r="G826" s="32"/>
      <c r="H826" s="39"/>
      <c r="I826" s="39"/>
      <c r="J826" s="39"/>
      <c r="K826" s="39"/>
      <c r="L826" s="39"/>
      <c r="M826" s="39"/>
      <c r="N826" s="39"/>
      <c r="O826" s="39"/>
      <c r="P826" s="39"/>
      <c r="Q826" s="39"/>
    </row>
    <row r="827" spans="1:19" s="10" customFormat="1" ht="18" x14ac:dyDescent="0.4">
      <c r="A827" s="40" t="s">
        <v>168</v>
      </c>
      <c r="B827" s="17" t="s">
        <v>118</v>
      </c>
      <c r="C827" s="35" t="s">
        <v>169</v>
      </c>
      <c r="D827" s="35" t="s">
        <v>170</v>
      </c>
      <c r="E827" s="41">
        <f>E828*E830*(1+E829)</f>
        <v>1695.7039524000002</v>
      </c>
      <c r="F827" s="32"/>
      <c r="G827" s="32"/>
      <c r="H827" s="39"/>
      <c r="I827" s="39"/>
      <c r="J827" s="39"/>
      <c r="K827" s="39"/>
      <c r="L827" s="39"/>
      <c r="M827" s="39"/>
      <c r="N827" s="39"/>
      <c r="O827" s="39"/>
      <c r="P827" s="39"/>
      <c r="Q827" s="39"/>
    </row>
    <row r="828" spans="1:19" ht="31.2" x14ac:dyDescent="0.25">
      <c r="A828" s="17" t="s">
        <v>171</v>
      </c>
      <c r="B828" s="17" t="s">
        <v>172</v>
      </c>
      <c r="C828" s="35" t="s">
        <v>173</v>
      </c>
      <c r="D828" s="35" t="s">
        <v>40</v>
      </c>
      <c r="E828" s="20">
        <v>2777.02</v>
      </c>
      <c r="G828" s="42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9"/>
      <c r="S828" s="9"/>
    </row>
    <row r="829" spans="1:19" ht="31.2" x14ac:dyDescent="0.25">
      <c r="A829" s="17" t="s">
        <v>174</v>
      </c>
      <c r="B829" s="17" t="s">
        <v>175</v>
      </c>
      <c r="C829" s="35" t="s">
        <v>176</v>
      </c>
      <c r="D829" s="35" t="s">
        <v>177</v>
      </c>
      <c r="E829" s="44">
        <v>0.2</v>
      </c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9"/>
      <c r="S829" s="9"/>
    </row>
    <row r="830" spans="1:19" ht="46.8" x14ac:dyDescent="0.25">
      <c r="A830" s="17" t="s">
        <v>178</v>
      </c>
      <c r="B830" s="17" t="s">
        <v>179</v>
      </c>
      <c r="C830" s="35" t="s">
        <v>180</v>
      </c>
      <c r="D830" s="35" t="s">
        <v>181</v>
      </c>
      <c r="E830" s="45">
        <f>0.5*0.8042+0.5*0.2135</f>
        <v>0.50885000000000002</v>
      </c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</row>
    <row r="831" spans="1:19" ht="31.2" x14ac:dyDescent="0.4">
      <c r="A831" s="40" t="s">
        <v>182</v>
      </c>
      <c r="B831" s="17" t="s">
        <v>118</v>
      </c>
      <c r="C831" s="35" t="s">
        <v>183</v>
      </c>
      <c r="D831" s="35" t="s">
        <v>184</v>
      </c>
      <c r="E831" s="47">
        <v>0</v>
      </c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9"/>
      <c r="S831" s="9"/>
    </row>
    <row r="832" spans="1:19" x14ac:dyDescent="0.3">
      <c r="A832" s="48"/>
      <c r="E832" s="49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9"/>
      <c r="S832" s="9"/>
    </row>
    <row r="833" spans="1:133" x14ac:dyDescent="0.25">
      <c r="A833" s="134" t="s">
        <v>185</v>
      </c>
      <c r="B833" s="134"/>
      <c r="C833" s="135"/>
      <c r="D833" s="135"/>
      <c r="E833" s="155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</row>
    <row r="834" spans="1:133" x14ac:dyDescent="0.25">
      <c r="A834" s="15" t="s">
        <v>9</v>
      </c>
      <c r="B834" s="15" t="s">
        <v>10</v>
      </c>
      <c r="C834" s="38" t="s">
        <v>11</v>
      </c>
      <c r="D834" s="38" t="s">
        <v>12</v>
      </c>
      <c r="E834" s="16" t="s">
        <v>80</v>
      </c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9"/>
      <c r="S834" s="9"/>
    </row>
    <row r="835" spans="1:133" ht="33.6" x14ac:dyDescent="0.4">
      <c r="A835" s="40" t="s">
        <v>186</v>
      </c>
      <c r="B835" s="17" t="s">
        <v>89</v>
      </c>
      <c r="C835" s="35" t="s">
        <v>187</v>
      </c>
      <c r="D835" s="35" t="s">
        <v>363</v>
      </c>
      <c r="E835" s="50">
        <f>E836*E839*E840*E841*E842*E843</f>
        <v>29.331891780103447</v>
      </c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9"/>
      <c r="S835" s="9"/>
    </row>
    <row r="836" spans="1:133" ht="46.8" x14ac:dyDescent="0.4">
      <c r="A836" s="51" t="s">
        <v>188</v>
      </c>
      <c r="B836" s="17" t="s">
        <v>91</v>
      </c>
      <c r="C836" s="35" t="s">
        <v>189</v>
      </c>
      <c r="D836" s="35" t="s">
        <v>364</v>
      </c>
      <c r="E836" s="52">
        <f>E837/E838</f>
        <v>962.86999999999989</v>
      </c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9"/>
      <c r="S836" s="9"/>
    </row>
    <row r="837" spans="1:133" ht="31.2" x14ac:dyDescent="0.25">
      <c r="A837" s="17" t="s">
        <v>190</v>
      </c>
      <c r="B837" s="17" t="s">
        <v>93</v>
      </c>
      <c r="C837" s="35" t="s">
        <v>191</v>
      </c>
      <c r="D837" s="35" t="s">
        <v>40</v>
      </c>
      <c r="E837" s="52">
        <f>13.19*365</f>
        <v>4814.3499999999995</v>
      </c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9"/>
      <c r="S837" s="9"/>
    </row>
    <row r="838" spans="1:133" ht="31.2" x14ac:dyDescent="0.25">
      <c r="A838" s="17" t="s">
        <v>192</v>
      </c>
      <c r="B838" s="17" t="s">
        <v>95</v>
      </c>
      <c r="C838" s="35" t="s">
        <v>96</v>
      </c>
      <c r="D838" s="35" t="s">
        <v>40</v>
      </c>
      <c r="E838" s="25">
        <f>5</f>
        <v>5</v>
      </c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9"/>
      <c r="S838" s="9"/>
    </row>
    <row r="839" spans="1:133" ht="46.8" x14ac:dyDescent="0.25">
      <c r="A839" s="17" t="s">
        <v>193</v>
      </c>
      <c r="B839" s="17" t="s">
        <v>97</v>
      </c>
      <c r="C839" s="35" t="s">
        <v>194</v>
      </c>
      <c r="D839" s="35" t="s">
        <v>40</v>
      </c>
      <c r="E839" s="25">
        <f>22.5*2</f>
        <v>45</v>
      </c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9"/>
      <c r="S839" s="9"/>
    </row>
    <row r="840" spans="1:133" ht="141" x14ac:dyDescent="0.25">
      <c r="A840" s="17" t="s">
        <v>195</v>
      </c>
      <c r="B840" s="17" t="s">
        <v>99</v>
      </c>
      <c r="C840" s="35" t="s">
        <v>100</v>
      </c>
      <c r="D840" s="35" t="s">
        <v>330</v>
      </c>
      <c r="E840" s="25">
        <f>25.1/100</f>
        <v>0.251</v>
      </c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9"/>
      <c r="S840" s="9"/>
    </row>
    <row r="841" spans="1:133" ht="62.4" x14ac:dyDescent="0.25">
      <c r="A841" s="17" t="s">
        <v>101</v>
      </c>
      <c r="B841" s="17" t="s">
        <v>102</v>
      </c>
      <c r="C841" s="35" t="s">
        <v>101</v>
      </c>
      <c r="D841" s="35" t="s">
        <v>231</v>
      </c>
      <c r="E841" s="25">
        <f>0.84/1000</f>
        <v>8.3999999999999993E-4</v>
      </c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9"/>
      <c r="S841" s="9"/>
    </row>
    <row r="842" spans="1:133" ht="124.8" x14ac:dyDescent="0.25">
      <c r="A842" s="17" t="s">
        <v>196</v>
      </c>
      <c r="B842" s="17" t="s">
        <v>103</v>
      </c>
      <c r="C842" s="35" t="s">
        <v>104</v>
      </c>
      <c r="D842" s="35" t="s">
        <v>331</v>
      </c>
      <c r="E842" s="25">
        <f>43.33/1000</f>
        <v>4.333E-2</v>
      </c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9"/>
      <c r="S842" s="9"/>
    </row>
    <row r="843" spans="1:133" ht="33.6" x14ac:dyDescent="0.25">
      <c r="A843" s="17" t="s">
        <v>197</v>
      </c>
      <c r="B843" s="17" t="s">
        <v>105</v>
      </c>
      <c r="C843" s="35" t="s">
        <v>106</v>
      </c>
      <c r="D843" s="35" t="s">
        <v>107</v>
      </c>
      <c r="E843" s="25">
        <v>74.099999999999994</v>
      </c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9"/>
      <c r="S843" s="9"/>
    </row>
    <row r="845" spans="1:133" x14ac:dyDescent="0.25">
      <c r="A845" s="33" t="s">
        <v>9</v>
      </c>
      <c r="B845" s="33" t="s">
        <v>10</v>
      </c>
      <c r="C845" s="34" t="s">
        <v>11</v>
      </c>
      <c r="D845" s="34" t="s">
        <v>12</v>
      </c>
      <c r="E845" s="16" t="s">
        <v>80</v>
      </c>
    </row>
    <row r="846" spans="1:133" ht="18" x14ac:dyDescent="0.25">
      <c r="A846" s="15" t="s">
        <v>198</v>
      </c>
      <c r="B846" s="17" t="s">
        <v>118</v>
      </c>
      <c r="C846" s="35" t="s">
        <v>199</v>
      </c>
      <c r="D846" s="53" t="s">
        <v>365</v>
      </c>
      <c r="E846" s="18">
        <f>ROUNDUP(E795+E819+E823+E827+E835,0)</f>
        <v>1726</v>
      </c>
    </row>
    <row r="847" spans="1:133" s="158" customFormat="1" ht="43.2" customHeight="1" x14ac:dyDescent="0.25">
      <c r="A847" s="160" t="s">
        <v>262</v>
      </c>
      <c r="B847" s="161"/>
      <c r="C847" s="161"/>
      <c r="D847" s="161"/>
      <c r="E847" s="161"/>
      <c r="F847" s="161"/>
      <c r="G847" s="161"/>
      <c r="H847" s="161"/>
      <c r="I847" s="161"/>
      <c r="J847" s="161"/>
      <c r="K847" s="161"/>
      <c r="L847" s="161"/>
      <c r="M847" s="161"/>
      <c r="N847" s="161"/>
      <c r="O847" s="161"/>
      <c r="P847" s="161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  <c r="AA847" s="161"/>
      <c r="AB847" s="161"/>
      <c r="AC847" s="161"/>
      <c r="AD847" s="161"/>
      <c r="AE847" s="161"/>
      <c r="AF847" s="161"/>
      <c r="AG847" s="161"/>
      <c r="AH847" s="161"/>
      <c r="AI847" s="161"/>
      <c r="AJ847" s="161"/>
      <c r="AK847" s="161"/>
      <c r="AL847" s="161"/>
      <c r="AM847" s="161"/>
      <c r="AN847" s="161"/>
      <c r="AO847" s="161"/>
      <c r="AP847" s="161"/>
      <c r="AQ847" s="161"/>
      <c r="AR847" s="161"/>
      <c r="AS847" s="161"/>
      <c r="AT847" s="161"/>
      <c r="AU847" s="161"/>
      <c r="AV847" s="161"/>
      <c r="AW847" s="161"/>
      <c r="AX847" s="161"/>
      <c r="AY847" s="161"/>
      <c r="AZ847" s="161"/>
      <c r="BA847" s="161"/>
      <c r="BB847" s="161"/>
      <c r="BC847" s="161"/>
      <c r="BD847" s="161"/>
      <c r="BE847" s="161"/>
      <c r="BF847" s="161"/>
      <c r="BG847" s="161"/>
      <c r="BH847" s="161"/>
      <c r="BI847" s="161"/>
      <c r="BJ847" s="161"/>
      <c r="BK847" s="161"/>
      <c r="BL847" s="161"/>
      <c r="BM847" s="161"/>
      <c r="BN847" s="161"/>
      <c r="BO847" s="161"/>
      <c r="BP847" s="161"/>
      <c r="BQ847" s="161"/>
      <c r="BR847" s="161"/>
      <c r="BS847" s="161"/>
      <c r="BT847" s="161"/>
      <c r="BU847" s="161"/>
      <c r="BV847" s="161"/>
      <c r="BW847" s="161"/>
      <c r="BX847" s="161"/>
      <c r="BY847" s="161"/>
      <c r="BZ847" s="161"/>
      <c r="CA847" s="161"/>
      <c r="CB847" s="161"/>
      <c r="CC847" s="161"/>
      <c r="CD847" s="161"/>
      <c r="CE847" s="161"/>
      <c r="CF847" s="161"/>
      <c r="CG847" s="161"/>
      <c r="CH847" s="161"/>
      <c r="CI847" s="161"/>
      <c r="CJ847" s="161"/>
      <c r="CK847" s="161"/>
      <c r="CL847" s="161"/>
      <c r="CM847" s="161"/>
      <c r="CN847" s="161"/>
      <c r="CO847" s="161"/>
      <c r="CP847" s="161"/>
      <c r="CQ847" s="161"/>
      <c r="CR847" s="161"/>
      <c r="CS847" s="161"/>
      <c r="CT847" s="161"/>
      <c r="CU847" s="161"/>
      <c r="CV847" s="161"/>
      <c r="CW847" s="161"/>
      <c r="CX847" s="161"/>
      <c r="CY847" s="161"/>
      <c r="CZ847" s="161"/>
      <c r="DA847" s="161"/>
      <c r="DB847" s="161"/>
      <c r="DC847" s="161"/>
      <c r="DD847" s="161"/>
      <c r="DE847" s="161"/>
      <c r="DF847" s="161"/>
      <c r="DG847" s="161"/>
      <c r="DH847" s="161"/>
      <c r="DI847" s="161"/>
      <c r="DJ847" s="161"/>
      <c r="DK847" s="161"/>
      <c r="DL847" s="161"/>
      <c r="DM847" s="161"/>
      <c r="DN847" s="161"/>
      <c r="DO847" s="161"/>
      <c r="DP847" s="161"/>
      <c r="DQ847" s="161"/>
      <c r="DR847" s="161"/>
      <c r="DS847" s="161"/>
      <c r="DT847" s="161"/>
      <c r="DU847" s="161"/>
      <c r="DV847" s="161"/>
      <c r="DW847" s="161"/>
      <c r="DX847" s="161"/>
      <c r="DY847" s="161"/>
      <c r="DZ847" s="161"/>
      <c r="EA847" s="161"/>
      <c r="EB847" s="161"/>
      <c r="EC847" s="162"/>
    </row>
    <row r="848" spans="1:133" ht="23.4" customHeight="1" x14ac:dyDescent="0.25">
      <c r="A848" s="153" t="s">
        <v>120</v>
      </c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  <c r="O848" s="153"/>
      <c r="P848" s="153"/>
      <c r="Q848" s="154"/>
    </row>
    <row r="849" spans="1:19" s="10" customFormat="1" x14ac:dyDescent="0.25">
      <c r="A849" s="15" t="s">
        <v>9</v>
      </c>
      <c r="B849" s="15" t="s">
        <v>10</v>
      </c>
      <c r="C849" s="15" t="s">
        <v>11</v>
      </c>
      <c r="D849" s="15" t="s">
        <v>12</v>
      </c>
      <c r="E849" s="16" t="s">
        <v>13</v>
      </c>
      <c r="F849" s="16" t="s">
        <v>14</v>
      </c>
      <c r="G849" s="16" t="s">
        <v>15</v>
      </c>
      <c r="H849" s="16" t="s">
        <v>16</v>
      </c>
      <c r="I849" s="16" t="s">
        <v>17</v>
      </c>
      <c r="J849" s="16" t="s">
        <v>18</v>
      </c>
      <c r="K849" s="16" t="s">
        <v>19</v>
      </c>
      <c r="L849" s="16" t="s">
        <v>20</v>
      </c>
      <c r="M849" s="16" t="s">
        <v>21</v>
      </c>
      <c r="N849" s="16" t="s">
        <v>22</v>
      </c>
      <c r="O849" s="16" t="s">
        <v>23</v>
      </c>
      <c r="P849" s="16" t="s">
        <v>24</v>
      </c>
      <c r="Q849" s="16" t="s">
        <v>25</v>
      </c>
      <c r="R849" s="54"/>
      <c r="S849" s="54"/>
    </row>
    <row r="850" spans="1:19" s="10" customFormat="1" x14ac:dyDescent="0.25">
      <c r="A850" s="146" t="s">
        <v>121</v>
      </c>
      <c r="B850" s="146"/>
      <c r="C850" s="146"/>
      <c r="D850" s="146"/>
      <c r="E850" s="147"/>
      <c r="F850" s="16">
        <v>31</v>
      </c>
      <c r="G850" s="16">
        <v>28</v>
      </c>
      <c r="H850" s="16">
        <v>31</v>
      </c>
      <c r="I850" s="16">
        <v>30</v>
      </c>
      <c r="J850" s="16">
        <v>31</v>
      </c>
      <c r="K850" s="16">
        <v>30</v>
      </c>
      <c r="L850" s="16">
        <v>31</v>
      </c>
      <c r="M850" s="16">
        <v>31</v>
      </c>
      <c r="N850" s="16">
        <v>30</v>
      </c>
      <c r="O850" s="16">
        <v>31</v>
      </c>
      <c r="P850" s="16">
        <v>30</v>
      </c>
      <c r="Q850" s="16">
        <v>31</v>
      </c>
      <c r="R850" s="54"/>
      <c r="S850" s="54"/>
    </row>
    <row r="851" spans="1:19" s="10" customFormat="1" ht="31.2" x14ac:dyDescent="0.25">
      <c r="A851" s="15" t="s">
        <v>122</v>
      </c>
      <c r="B851" s="17" t="s">
        <v>118</v>
      </c>
      <c r="C851" s="17" t="s">
        <v>123</v>
      </c>
      <c r="D851" s="17" t="s">
        <v>353</v>
      </c>
      <c r="E851" s="18">
        <f>E852+E862</f>
        <v>0</v>
      </c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54"/>
      <c r="S851" s="54"/>
    </row>
    <row r="852" spans="1:19" ht="46.8" x14ac:dyDescent="0.25">
      <c r="A852" s="17" t="s">
        <v>124</v>
      </c>
      <c r="B852" s="17" t="s">
        <v>118</v>
      </c>
      <c r="C852" s="17" t="s">
        <v>125</v>
      </c>
      <c r="D852" s="17" t="s">
        <v>354</v>
      </c>
      <c r="E852" s="19">
        <f>SUM(F852:Q852)</f>
        <v>0</v>
      </c>
      <c r="F852" s="19">
        <f>IF(F853&gt;=0.8,0,$E$15*$E$16*0.4*(F854-F857)*F850)</f>
        <v>0</v>
      </c>
      <c r="G852" s="19">
        <f t="shared" ref="G852:Q852" si="105">IF(G853&gt;=0.8,0,$E$15*$E$16*0.4*(G854-G857)*G850)</f>
        <v>0</v>
      </c>
      <c r="H852" s="19">
        <f t="shared" si="105"/>
        <v>0</v>
      </c>
      <c r="I852" s="19">
        <f t="shared" si="105"/>
        <v>0</v>
      </c>
      <c r="J852" s="19">
        <f t="shared" si="105"/>
        <v>0</v>
      </c>
      <c r="K852" s="19">
        <f t="shared" si="105"/>
        <v>0</v>
      </c>
      <c r="L852" s="19">
        <f t="shared" si="105"/>
        <v>0</v>
      </c>
      <c r="M852" s="19">
        <f t="shared" si="105"/>
        <v>0</v>
      </c>
      <c r="N852" s="19">
        <f t="shared" si="105"/>
        <v>0</v>
      </c>
      <c r="O852" s="19">
        <f t="shared" si="105"/>
        <v>0</v>
      </c>
      <c r="P852" s="19">
        <f t="shared" si="105"/>
        <v>0</v>
      </c>
      <c r="Q852" s="19">
        <f t="shared" si="105"/>
        <v>0</v>
      </c>
    </row>
    <row r="853" spans="1:19" ht="62.4" x14ac:dyDescent="0.25">
      <c r="A853" s="17" t="s">
        <v>126</v>
      </c>
      <c r="B853" s="17" t="s">
        <v>52</v>
      </c>
      <c r="C853" s="17" t="s">
        <v>127</v>
      </c>
      <c r="D853" s="17" t="s">
        <v>355</v>
      </c>
      <c r="E853" s="20">
        <f>AVERAGE(F853:Q853)</f>
        <v>0.91111111111111132</v>
      </c>
      <c r="F853" s="20">
        <f>(F854-F857)/F854</f>
        <v>0.91111111111111098</v>
      </c>
      <c r="G853" s="20">
        <f t="shared" ref="G853:Q853" si="106">(G854-G857)/G854</f>
        <v>0.91111111111111098</v>
      </c>
      <c r="H853" s="20">
        <f t="shared" si="106"/>
        <v>0.91111111111111098</v>
      </c>
      <c r="I853" s="20">
        <f t="shared" si="106"/>
        <v>0.91111111111111098</v>
      </c>
      <c r="J853" s="20">
        <f t="shared" si="106"/>
        <v>0.91111111111111098</v>
      </c>
      <c r="K853" s="20">
        <f t="shared" si="106"/>
        <v>0.91111111111111098</v>
      </c>
      <c r="L853" s="20">
        <f t="shared" si="106"/>
        <v>0.91111111111111098</v>
      </c>
      <c r="M853" s="20">
        <f t="shared" si="106"/>
        <v>0.91111111111111098</v>
      </c>
      <c r="N853" s="20">
        <f t="shared" si="106"/>
        <v>0.91111111111111098</v>
      </c>
      <c r="O853" s="20">
        <f t="shared" si="106"/>
        <v>0.91111111111111098</v>
      </c>
      <c r="P853" s="20">
        <f t="shared" si="106"/>
        <v>0.91111111111111098</v>
      </c>
      <c r="Q853" s="20">
        <f t="shared" si="106"/>
        <v>0.91111111111111098</v>
      </c>
    </row>
    <row r="854" spans="1:19" ht="46.8" x14ac:dyDescent="0.25">
      <c r="A854" s="17" t="s">
        <v>128</v>
      </c>
      <c r="B854" s="17" t="s">
        <v>38</v>
      </c>
      <c r="C854" s="17" t="s">
        <v>129</v>
      </c>
      <c r="D854" s="17" t="s">
        <v>356</v>
      </c>
      <c r="E854" s="20">
        <f>SUM(F854:Q854)</f>
        <v>34.559999999999995</v>
      </c>
      <c r="F854" s="20">
        <f>F855*F856</f>
        <v>2.88</v>
      </c>
      <c r="G854" s="20">
        <f t="shared" ref="G854:Q854" si="107">G855*G856</f>
        <v>2.88</v>
      </c>
      <c r="H854" s="20">
        <f t="shared" si="107"/>
        <v>2.88</v>
      </c>
      <c r="I854" s="20">
        <f t="shared" si="107"/>
        <v>2.88</v>
      </c>
      <c r="J854" s="20">
        <f t="shared" si="107"/>
        <v>2.88</v>
      </c>
      <c r="K854" s="20">
        <f t="shared" si="107"/>
        <v>2.88</v>
      </c>
      <c r="L854" s="20">
        <f t="shared" si="107"/>
        <v>2.88</v>
      </c>
      <c r="M854" s="20">
        <f t="shared" si="107"/>
        <v>2.88</v>
      </c>
      <c r="N854" s="20">
        <f t="shared" si="107"/>
        <v>2.88</v>
      </c>
      <c r="O854" s="20">
        <f t="shared" si="107"/>
        <v>2.88</v>
      </c>
      <c r="P854" s="20">
        <f t="shared" si="107"/>
        <v>2.88</v>
      </c>
      <c r="Q854" s="20">
        <f t="shared" si="107"/>
        <v>2.88</v>
      </c>
    </row>
    <row r="855" spans="1:19" ht="51" customHeight="1" x14ac:dyDescent="0.25">
      <c r="A855" s="17" t="s">
        <v>130</v>
      </c>
      <c r="B855" s="17" t="s">
        <v>131</v>
      </c>
      <c r="C855" s="17" t="s">
        <v>132</v>
      </c>
      <c r="D855" s="17" t="s">
        <v>40</v>
      </c>
      <c r="E855" s="21">
        <f>SUM(F855:Q855)</f>
        <v>76800</v>
      </c>
      <c r="F855" s="21">
        <f>6400</f>
        <v>6400</v>
      </c>
      <c r="G855" s="21">
        <f>6400</f>
        <v>6400</v>
      </c>
      <c r="H855" s="21">
        <f>6400</f>
        <v>6400</v>
      </c>
      <c r="I855" s="21">
        <f>6400</f>
        <v>6400</v>
      </c>
      <c r="J855" s="21">
        <f>6400</f>
        <v>6400</v>
      </c>
      <c r="K855" s="21">
        <f>6400</f>
        <v>6400</v>
      </c>
      <c r="L855" s="21">
        <f>6400</f>
        <v>6400</v>
      </c>
      <c r="M855" s="21">
        <f>6400</f>
        <v>6400</v>
      </c>
      <c r="N855" s="21">
        <f>6400</f>
        <v>6400</v>
      </c>
      <c r="O855" s="21">
        <f>6400</f>
        <v>6400</v>
      </c>
      <c r="P855" s="21">
        <f>6400</f>
        <v>6400</v>
      </c>
      <c r="Q855" s="21">
        <f>6400</f>
        <v>6400</v>
      </c>
    </row>
    <row r="856" spans="1:19" ht="46.8" x14ac:dyDescent="0.25">
      <c r="A856" s="17" t="s">
        <v>133</v>
      </c>
      <c r="B856" s="17" t="s">
        <v>134</v>
      </c>
      <c r="C856" s="17" t="s">
        <v>135</v>
      </c>
      <c r="D856" s="17" t="s">
        <v>40</v>
      </c>
      <c r="E856" s="22">
        <f>AVERAGE(F856:Q856)</f>
        <v>4.4999999999999993E-4</v>
      </c>
      <c r="F856" s="23">
        <f>'Baseline Emissions'!F831</f>
        <v>4.4999999999999999E-4</v>
      </c>
      <c r="G856" s="23">
        <f>'Baseline Emissions'!G831</f>
        <v>4.4999999999999999E-4</v>
      </c>
      <c r="H856" s="23">
        <f>'Baseline Emissions'!H831</f>
        <v>4.4999999999999999E-4</v>
      </c>
      <c r="I856" s="23">
        <f>'Baseline Emissions'!I831</f>
        <v>4.4999999999999999E-4</v>
      </c>
      <c r="J856" s="23">
        <f>'Baseline Emissions'!J831</f>
        <v>4.4999999999999999E-4</v>
      </c>
      <c r="K856" s="23">
        <f>'Baseline Emissions'!K831</f>
        <v>4.4999999999999999E-4</v>
      </c>
      <c r="L856" s="23">
        <f>'Baseline Emissions'!L831</f>
        <v>4.4999999999999999E-4</v>
      </c>
      <c r="M856" s="23">
        <f>'Baseline Emissions'!M831</f>
        <v>4.4999999999999999E-4</v>
      </c>
      <c r="N856" s="23">
        <f>'Baseline Emissions'!N831</f>
        <v>4.4999999999999999E-4</v>
      </c>
      <c r="O856" s="23">
        <f>'Baseline Emissions'!O831</f>
        <v>4.4999999999999999E-4</v>
      </c>
      <c r="P856" s="23">
        <f>'Baseline Emissions'!P831</f>
        <v>4.4999999999999999E-4</v>
      </c>
      <c r="Q856" s="23">
        <f>'Baseline Emissions'!Q831</f>
        <v>4.4999999999999999E-4</v>
      </c>
    </row>
    <row r="857" spans="1:19" ht="46.8" x14ac:dyDescent="0.25">
      <c r="A857" s="17" t="s">
        <v>136</v>
      </c>
      <c r="B857" s="17" t="s">
        <v>38</v>
      </c>
      <c r="C857" s="17" t="s">
        <v>137</v>
      </c>
      <c r="D857" s="17" t="s">
        <v>356</v>
      </c>
      <c r="E857" s="20">
        <f>SUM(F857:Q857)</f>
        <v>3.072000000000001</v>
      </c>
      <c r="F857" s="20">
        <f>SUM(F858*F859)</f>
        <v>0.25600000000000001</v>
      </c>
      <c r="G857" s="20">
        <f t="shared" ref="G857:Q857" si="108">SUM(G858*G859)</f>
        <v>0.25600000000000001</v>
      </c>
      <c r="H857" s="20">
        <f t="shared" si="108"/>
        <v>0.25600000000000001</v>
      </c>
      <c r="I857" s="20">
        <f t="shared" si="108"/>
        <v>0.25600000000000001</v>
      </c>
      <c r="J857" s="20">
        <f t="shared" si="108"/>
        <v>0.25600000000000001</v>
      </c>
      <c r="K857" s="20">
        <f t="shared" si="108"/>
        <v>0.25600000000000001</v>
      </c>
      <c r="L857" s="20">
        <f t="shared" si="108"/>
        <v>0.25600000000000001</v>
      </c>
      <c r="M857" s="20">
        <f t="shared" si="108"/>
        <v>0.25600000000000001</v>
      </c>
      <c r="N857" s="20">
        <f t="shared" si="108"/>
        <v>0.25600000000000001</v>
      </c>
      <c r="O857" s="20">
        <f t="shared" si="108"/>
        <v>0.25600000000000001</v>
      </c>
      <c r="P857" s="20">
        <f t="shared" si="108"/>
        <v>0.25600000000000001</v>
      </c>
      <c r="Q857" s="20">
        <f t="shared" si="108"/>
        <v>0.25600000000000001</v>
      </c>
    </row>
    <row r="858" spans="1:19" ht="31.2" x14ac:dyDescent="0.25">
      <c r="A858" s="17" t="s">
        <v>138</v>
      </c>
      <c r="B858" s="17" t="s">
        <v>131</v>
      </c>
      <c r="C858" s="17" t="s">
        <v>139</v>
      </c>
      <c r="D858" s="17" t="s">
        <v>40</v>
      </c>
      <c r="E858" s="21">
        <f>SUM(F858:Q858)</f>
        <v>76800</v>
      </c>
      <c r="F858" s="21">
        <v>6400</v>
      </c>
      <c r="G858" s="21">
        <v>6400</v>
      </c>
      <c r="H858" s="21">
        <v>6400</v>
      </c>
      <c r="I858" s="21">
        <v>6400</v>
      </c>
      <c r="J858" s="21">
        <v>6400</v>
      </c>
      <c r="K858" s="21">
        <v>6400</v>
      </c>
      <c r="L858" s="21">
        <v>6400</v>
      </c>
      <c r="M858" s="21">
        <v>6400</v>
      </c>
      <c r="N858" s="21">
        <v>6400</v>
      </c>
      <c r="O858" s="21">
        <v>6400</v>
      </c>
      <c r="P858" s="21">
        <v>6400</v>
      </c>
      <c r="Q858" s="21">
        <v>6400</v>
      </c>
    </row>
    <row r="859" spans="1:19" ht="46.8" x14ac:dyDescent="0.25">
      <c r="A859" s="17" t="s">
        <v>140</v>
      </c>
      <c r="B859" s="17" t="s">
        <v>134</v>
      </c>
      <c r="C859" s="17" t="s">
        <v>141</v>
      </c>
      <c r="D859" s="17" t="s">
        <v>40</v>
      </c>
      <c r="E859" s="24">
        <f>AVERAGE(F859:Q859)</f>
        <v>4.0000000000000003E-5</v>
      </c>
      <c r="F859" s="24">
        <f>'Baseline Emissions'!F832</f>
        <v>4.0000000000000003E-5</v>
      </c>
      <c r="G859" s="24">
        <f>'Baseline Emissions'!G832</f>
        <v>4.0000000000000003E-5</v>
      </c>
      <c r="H859" s="24">
        <f>'Baseline Emissions'!H832</f>
        <v>4.0000000000000003E-5</v>
      </c>
      <c r="I859" s="24">
        <f>'Baseline Emissions'!I832</f>
        <v>4.0000000000000003E-5</v>
      </c>
      <c r="J859" s="24">
        <f>'Baseline Emissions'!J832</f>
        <v>4.0000000000000003E-5</v>
      </c>
      <c r="K859" s="24">
        <f>'Baseline Emissions'!K832</f>
        <v>4.0000000000000003E-5</v>
      </c>
      <c r="L859" s="24">
        <f>'Baseline Emissions'!L832</f>
        <v>4.0000000000000003E-5</v>
      </c>
      <c r="M859" s="24">
        <f>'Baseline Emissions'!M832</f>
        <v>4.0000000000000003E-5</v>
      </c>
      <c r="N859" s="24">
        <f>'Baseline Emissions'!N832</f>
        <v>4.0000000000000003E-5</v>
      </c>
      <c r="O859" s="24">
        <f>'Baseline Emissions'!O832</f>
        <v>4.0000000000000003E-5</v>
      </c>
      <c r="P859" s="24">
        <f>'Baseline Emissions'!P832</f>
        <v>4.0000000000000003E-5</v>
      </c>
      <c r="Q859" s="24">
        <f>'Baseline Emissions'!Q832</f>
        <v>4.0000000000000003E-5</v>
      </c>
    </row>
    <row r="860" spans="1:19" ht="31.2" x14ac:dyDescent="0.25">
      <c r="A860" s="17" t="s">
        <v>142</v>
      </c>
      <c r="B860" s="17" t="s">
        <v>143</v>
      </c>
      <c r="C860" s="17" t="s">
        <v>31</v>
      </c>
      <c r="D860" s="17" t="s">
        <v>144</v>
      </c>
      <c r="E860" s="130">
        <v>28</v>
      </c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</row>
    <row r="861" spans="1:19" ht="64.8" x14ac:dyDescent="0.25">
      <c r="A861" s="17" t="s">
        <v>145</v>
      </c>
      <c r="B861" s="17" t="s">
        <v>33</v>
      </c>
      <c r="C861" s="17" t="s">
        <v>146</v>
      </c>
      <c r="D861" s="17" t="s">
        <v>373</v>
      </c>
      <c r="E861" s="130">
        <v>0.21</v>
      </c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</row>
    <row r="862" spans="1:19" ht="46.8" x14ac:dyDescent="0.25">
      <c r="A862" s="17" t="s">
        <v>147</v>
      </c>
      <c r="B862" s="17" t="s">
        <v>118</v>
      </c>
      <c r="C862" s="17" t="s">
        <v>148</v>
      </c>
      <c r="D862" s="17" t="s">
        <v>357</v>
      </c>
      <c r="E862" s="19">
        <f>SUM(F862:Q862)</f>
        <v>0</v>
      </c>
      <c r="F862" s="19">
        <f>$E$15*$E$16*F863*F857*F850</f>
        <v>0</v>
      </c>
      <c r="G862" s="19">
        <f t="shared" ref="G862:Q862" si="109">$E$15*$E$16*G863*G857*G850</f>
        <v>0</v>
      </c>
      <c r="H862" s="19">
        <f t="shared" si="109"/>
        <v>0</v>
      </c>
      <c r="I862" s="19">
        <f t="shared" si="109"/>
        <v>0</v>
      </c>
      <c r="J862" s="19">
        <f t="shared" si="109"/>
        <v>0</v>
      </c>
      <c r="K862" s="19">
        <f t="shared" si="109"/>
        <v>0</v>
      </c>
      <c r="L862" s="19">
        <f t="shared" si="109"/>
        <v>0</v>
      </c>
      <c r="M862" s="19">
        <f t="shared" si="109"/>
        <v>0</v>
      </c>
      <c r="N862" s="19">
        <f t="shared" si="109"/>
        <v>0</v>
      </c>
      <c r="O862" s="19">
        <f t="shared" si="109"/>
        <v>0</v>
      </c>
      <c r="P862" s="19">
        <f t="shared" si="109"/>
        <v>0</v>
      </c>
      <c r="Q862" s="19">
        <f t="shared" si="109"/>
        <v>0</v>
      </c>
    </row>
    <row r="863" spans="1:19" ht="18" x14ac:dyDescent="0.25">
      <c r="A863" s="17" t="s">
        <v>149</v>
      </c>
      <c r="B863" s="17" t="s">
        <v>52</v>
      </c>
      <c r="C863" s="17" t="s">
        <v>150</v>
      </c>
      <c r="D863" s="17" t="s">
        <v>358</v>
      </c>
      <c r="E863" s="26">
        <f>AVERAGE(F863:Q863)</f>
        <v>0</v>
      </c>
      <c r="F863" s="26">
        <f t="shared" ref="F863:Q863" si="110">F864*$E$20*0.89</f>
        <v>0</v>
      </c>
      <c r="G863" s="26">
        <f t="shared" si="110"/>
        <v>0</v>
      </c>
      <c r="H863" s="26">
        <f t="shared" si="110"/>
        <v>0</v>
      </c>
      <c r="I863" s="26">
        <f t="shared" si="110"/>
        <v>0</v>
      </c>
      <c r="J863" s="26">
        <f t="shared" si="110"/>
        <v>0</v>
      </c>
      <c r="K863" s="26">
        <f t="shared" si="110"/>
        <v>0</v>
      </c>
      <c r="L863" s="26">
        <f t="shared" si="110"/>
        <v>0</v>
      </c>
      <c r="M863" s="26">
        <f t="shared" si="110"/>
        <v>0</v>
      </c>
      <c r="N863" s="26">
        <f t="shared" si="110"/>
        <v>0</v>
      </c>
      <c r="O863" s="26">
        <f t="shared" si="110"/>
        <v>0</v>
      </c>
      <c r="P863" s="26">
        <f t="shared" si="110"/>
        <v>0</v>
      </c>
      <c r="Q863" s="26">
        <f t="shared" si="110"/>
        <v>0</v>
      </c>
    </row>
    <row r="864" spans="1:19" ht="31.2" x14ac:dyDescent="0.25">
      <c r="A864" s="17" t="s">
        <v>151</v>
      </c>
      <c r="B864" s="17" t="s">
        <v>52</v>
      </c>
      <c r="C864" s="17" t="s">
        <v>61</v>
      </c>
      <c r="D864" s="17" t="s">
        <v>359</v>
      </c>
      <c r="E864" s="25">
        <v>0</v>
      </c>
      <c r="F864" s="25">
        <v>0</v>
      </c>
      <c r="G864" s="25">
        <v>0</v>
      </c>
      <c r="H864" s="25">
        <v>0</v>
      </c>
      <c r="I864" s="25">
        <v>0</v>
      </c>
      <c r="J864" s="25">
        <v>0</v>
      </c>
      <c r="K864" s="25">
        <v>0</v>
      </c>
      <c r="L864" s="25">
        <v>0</v>
      </c>
      <c r="M864" s="25">
        <v>0</v>
      </c>
      <c r="N864" s="25">
        <v>0</v>
      </c>
      <c r="O864" s="25">
        <v>0</v>
      </c>
      <c r="P864" s="25">
        <v>0</v>
      </c>
      <c r="Q864" s="25">
        <v>0</v>
      </c>
    </row>
    <row r="865" spans="1:17" ht="31.2" x14ac:dyDescent="0.25">
      <c r="A865" s="17" t="s">
        <v>152</v>
      </c>
      <c r="B865" s="17" t="s">
        <v>216</v>
      </c>
      <c r="C865" s="17" t="s">
        <v>153</v>
      </c>
      <c r="D865" s="17" t="s">
        <v>360</v>
      </c>
      <c r="E865" s="148">
        <f>(F866*F871+G866*G871+H866*H871+I866*I871+J866*J871+K866*K871+L866*L871+M866*M871+N866*N871+O866*O871+P866*P871+Q866*Q871)/(F858*F859*F850+G859*G858*G850+H858*H859*H850+I859*I858*I850+J859*J858*J850+K859*K858*K850+L859*L858*L850+M859*M858*M850+N859*N858*N850+O858*O859*O850+P859*P858*P850+Q859*Q858*Q850)</f>
        <v>0.63759550987946811</v>
      </c>
      <c r="F865" s="148"/>
      <c r="G865" s="148"/>
      <c r="H865" s="148"/>
      <c r="I865" s="148"/>
      <c r="J865" s="148"/>
      <c r="K865" s="148"/>
      <c r="L865" s="148"/>
      <c r="M865" s="148"/>
      <c r="N865" s="148"/>
      <c r="O865" s="148"/>
      <c r="P865" s="148"/>
      <c r="Q865" s="148"/>
    </row>
    <row r="866" spans="1:17" ht="31.2" x14ac:dyDescent="0.25">
      <c r="A866" s="17" t="s">
        <v>154</v>
      </c>
      <c r="B866" s="17" t="s">
        <v>52</v>
      </c>
      <c r="C866" s="17" t="s">
        <v>155</v>
      </c>
      <c r="D866" s="17" t="s">
        <v>347</v>
      </c>
      <c r="E866" s="27">
        <f>AVERAGE(F866:Q866)</f>
        <v>0.63610765135267333</v>
      </c>
      <c r="F866" s="27">
        <f>IF(F870&lt;283,0,IF(F870&gt;303,1,EXP(($E$22*(F870-$E$23))/($E$24*$E$23*F870))))</f>
        <v>0.29505266129807517</v>
      </c>
      <c r="G866" s="27">
        <f t="shared" ref="G866:Q866" si="111">IF(G870&lt;283,0,IF(G870&gt;303,1,EXP(($E$22*(G870-$E$23))/($E$24*$E$23*G870))))</f>
        <v>0.32317176495848171</v>
      </c>
      <c r="H866" s="27">
        <f t="shared" si="111"/>
        <v>0.42307437878932203</v>
      </c>
      <c r="I866" s="27">
        <f t="shared" si="111"/>
        <v>0.55084569341606926</v>
      </c>
      <c r="J866" s="27">
        <f t="shared" si="111"/>
        <v>0.77675425208684001</v>
      </c>
      <c r="K866" s="27">
        <f t="shared" si="111"/>
        <v>0.91923925774048054</v>
      </c>
      <c r="L866" s="27">
        <f t="shared" si="111"/>
        <v>0.91923925774048054</v>
      </c>
      <c r="M866" s="27">
        <f t="shared" si="111"/>
        <v>0.91923925774048054</v>
      </c>
      <c r="N866" s="27">
        <f t="shared" si="111"/>
        <v>0.91923925774048054</v>
      </c>
      <c r="O866" s="27">
        <f t="shared" si="111"/>
        <v>0.71341857634681827</v>
      </c>
      <c r="P866" s="27">
        <f t="shared" si="111"/>
        <v>0.55084569341606926</v>
      </c>
      <c r="Q866" s="27">
        <f t="shared" si="111"/>
        <v>0.32317176495848171</v>
      </c>
    </row>
    <row r="867" spans="1:17" x14ac:dyDescent="0.25">
      <c r="A867" s="17" t="s">
        <v>66</v>
      </c>
      <c r="B867" s="17" t="s">
        <v>67</v>
      </c>
      <c r="C867" s="17" t="s">
        <v>68</v>
      </c>
      <c r="D867" s="17" t="s">
        <v>361</v>
      </c>
      <c r="E867" s="130">
        <v>15175</v>
      </c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</row>
    <row r="868" spans="1:17" ht="18" x14ac:dyDescent="0.25">
      <c r="A868" s="17" t="s">
        <v>156</v>
      </c>
      <c r="B868" s="17" t="s">
        <v>70</v>
      </c>
      <c r="C868" s="17" t="s">
        <v>71</v>
      </c>
      <c r="D868" s="17" t="s">
        <v>361</v>
      </c>
      <c r="E868" s="130">
        <v>303.16000000000003</v>
      </c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</row>
    <row r="869" spans="1:17" x14ac:dyDescent="0.25">
      <c r="A869" s="17" t="s">
        <v>72</v>
      </c>
      <c r="B869" s="17" t="s">
        <v>73</v>
      </c>
      <c r="C869" s="17" t="s">
        <v>74</v>
      </c>
      <c r="D869" s="17" t="s">
        <v>361</v>
      </c>
      <c r="E869" s="130">
        <v>1.9870000000000001</v>
      </c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</row>
    <row r="870" spans="1:17" ht="31.2" x14ac:dyDescent="0.25">
      <c r="A870" s="17" t="s">
        <v>157</v>
      </c>
      <c r="B870" s="17" t="s">
        <v>70</v>
      </c>
      <c r="C870" s="17" t="s">
        <v>158</v>
      </c>
      <c r="D870" s="17" t="s">
        <v>282</v>
      </c>
      <c r="E870" s="28">
        <f>AVERAGE(F870:Q870)</f>
        <v>296.90000000000003</v>
      </c>
      <c r="F870" s="25">
        <v>289.14999999999998</v>
      </c>
      <c r="G870" s="25">
        <v>290.14999999999998</v>
      </c>
      <c r="H870" s="25">
        <v>293.14999999999998</v>
      </c>
      <c r="I870" s="25">
        <v>296.14999999999998</v>
      </c>
      <c r="J870" s="25">
        <v>300.14999999999998</v>
      </c>
      <c r="K870" s="25">
        <v>302.14999999999998</v>
      </c>
      <c r="L870" s="25">
        <v>302.14999999999998</v>
      </c>
      <c r="M870" s="25">
        <v>302.14999999999998</v>
      </c>
      <c r="N870" s="25">
        <v>302.14999999999998</v>
      </c>
      <c r="O870" s="25">
        <v>299.14999999999998</v>
      </c>
      <c r="P870" s="25">
        <v>296.14999999999998</v>
      </c>
      <c r="Q870" s="25">
        <v>290.14999999999998</v>
      </c>
    </row>
    <row r="871" spans="1:17" ht="46.8" x14ac:dyDescent="0.25">
      <c r="A871" s="17" t="s">
        <v>159</v>
      </c>
      <c r="B871" s="17" t="s">
        <v>38</v>
      </c>
      <c r="C871" s="17" t="s">
        <v>160</v>
      </c>
      <c r="D871" s="17" t="s">
        <v>362</v>
      </c>
      <c r="E871" s="29">
        <f>SUM(F871:Q871)</f>
        <v>93.440000000000026</v>
      </c>
      <c r="F871" s="29">
        <f>F855*F859*'Project Emissions'!F850+(1-F866)*0</f>
        <v>7.9359999999999999</v>
      </c>
      <c r="G871" s="29">
        <f>G855*G859*'Project Emissions'!G850+(1-G866)*0</f>
        <v>7.1680000000000001</v>
      </c>
      <c r="H871" s="29">
        <f>H855*H859*'Project Emissions'!H850+(1-H866)*0</f>
        <v>7.9359999999999999</v>
      </c>
      <c r="I871" s="29">
        <f>I855*I859*'Project Emissions'!I850+(1-I866)*0</f>
        <v>7.68</v>
      </c>
      <c r="J871" s="29">
        <f>J855*J859*'Project Emissions'!J850+(1-J866)*0</f>
        <v>7.9359999999999999</v>
      </c>
      <c r="K871" s="29">
        <f>K855*K859*'Project Emissions'!K850+(1-K866)*0</f>
        <v>7.68</v>
      </c>
      <c r="L871" s="29">
        <f>L855*L859*'Project Emissions'!L850+(1-L866)*0</f>
        <v>7.9359999999999999</v>
      </c>
      <c r="M871" s="29">
        <f>M855*M859*'Project Emissions'!M850+(1-M866)*0</f>
        <v>7.9359999999999999</v>
      </c>
      <c r="N871" s="29">
        <f>N855*N859*'Project Emissions'!N850+(1-N866)*0</f>
        <v>7.68</v>
      </c>
      <c r="O871" s="29">
        <f>O855*O859*'Project Emissions'!O850+(1-O866)*0</f>
        <v>7.9359999999999999</v>
      </c>
      <c r="P871" s="29">
        <f>P855*P859*'Project Emissions'!P850+(1-P866)*0</f>
        <v>7.68</v>
      </c>
      <c r="Q871" s="29">
        <f>Q855*Q859*'Project Emissions'!Q850+(1-Q866)*0</f>
        <v>7.9359999999999999</v>
      </c>
    </row>
    <row r="872" spans="1:17" x14ac:dyDescent="0.3">
      <c r="A872" s="30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</row>
    <row r="873" spans="1:17" x14ac:dyDescent="0.25">
      <c r="A873" s="134" t="s">
        <v>161</v>
      </c>
      <c r="B873" s="134"/>
      <c r="C873" s="135"/>
      <c r="D873" s="135"/>
      <c r="E873" s="155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</row>
    <row r="874" spans="1:17" x14ac:dyDescent="0.25">
      <c r="A874" s="33" t="s">
        <v>9</v>
      </c>
      <c r="B874" s="33" t="s">
        <v>10</v>
      </c>
      <c r="C874" s="34" t="s">
        <v>11</v>
      </c>
      <c r="D874" s="34" t="s">
        <v>12</v>
      </c>
      <c r="E874" s="16" t="s">
        <v>80</v>
      </c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</row>
    <row r="875" spans="1:17" ht="46.8" x14ac:dyDescent="0.25">
      <c r="A875" s="15" t="s">
        <v>162</v>
      </c>
      <c r="B875" s="17" t="s">
        <v>110</v>
      </c>
      <c r="C875" s="35" t="s">
        <v>163</v>
      </c>
      <c r="D875" s="35" t="s">
        <v>83</v>
      </c>
      <c r="E875" s="16">
        <v>0</v>
      </c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</row>
    <row r="876" spans="1:17" x14ac:dyDescent="0.25">
      <c r="A876" s="36"/>
      <c r="B876" s="36"/>
      <c r="C876" s="37"/>
      <c r="D876" s="37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</row>
    <row r="877" spans="1:17" x14ac:dyDescent="0.25">
      <c r="A877" s="134" t="s">
        <v>164</v>
      </c>
      <c r="B877" s="134"/>
      <c r="C877" s="135"/>
      <c r="D877" s="135"/>
      <c r="E877" s="155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</row>
    <row r="878" spans="1:17" x14ac:dyDescent="0.25">
      <c r="A878" s="33" t="s">
        <v>9</v>
      </c>
      <c r="B878" s="33" t="s">
        <v>10</v>
      </c>
      <c r="C878" s="34" t="s">
        <v>11</v>
      </c>
      <c r="D878" s="34" t="s">
        <v>12</v>
      </c>
      <c r="E878" s="16" t="s">
        <v>80</v>
      </c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</row>
    <row r="879" spans="1:17" ht="46.8" x14ac:dyDescent="0.25">
      <c r="A879" s="15" t="s">
        <v>165</v>
      </c>
      <c r="B879" s="17" t="s">
        <v>110</v>
      </c>
      <c r="C879" s="35" t="s">
        <v>166</v>
      </c>
      <c r="D879" s="35" t="s">
        <v>83</v>
      </c>
      <c r="E879" s="16">
        <v>0</v>
      </c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</row>
    <row r="880" spans="1:17" x14ac:dyDescent="0.25"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</row>
    <row r="881" spans="1:19" x14ac:dyDescent="0.25">
      <c r="A881" s="134" t="s">
        <v>167</v>
      </c>
      <c r="B881" s="134"/>
      <c r="C881" s="135"/>
      <c r="D881" s="135"/>
      <c r="E881" s="155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</row>
    <row r="882" spans="1:19" s="10" customFormat="1" x14ac:dyDescent="0.25">
      <c r="A882" s="15" t="s">
        <v>9</v>
      </c>
      <c r="B882" s="15" t="s">
        <v>10</v>
      </c>
      <c r="C882" s="38" t="s">
        <v>11</v>
      </c>
      <c r="D882" s="38" t="s">
        <v>12</v>
      </c>
      <c r="E882" s="16" t="s">
        <v>80</v>
      </c>
      <c r="F882" s="32"/>
      <c r="G882" s="32"/>
      <c r="H882" s="39"/>
      <c r="I882" s="39"/>
      <c r="J882" s="39"/>
      <c r="K882" s="39"/>
      <c r="L882" s="39"/>
      <c r="M882" s="39"/>
      <c r="N882" s="39"/>
      <c r="O882" s="39"/>
      <c r="P882" s="39"/>
      <c r="Q882" s="39"/>
    </row>
    <row r="883" spans="1:19" s="10" customFormat="1" ht="18" x14ac:dyDescent="0.4">
      <c r="A883" s="40" t="s">
        <v>168</v>
      </c>
      <c r="B883" s="17" t="s">
        <v>118</v>
      </c>
      <c r="C883" s="35" t="s">
        <v>169</v>
      </c>
      <c r="D883" s="35" t="s">
        <v>170</v>
      </c>
      <c r="E883" s="41">
        <f>E884*E886*(1+E885)</f>
        <v>367.77642599999996</v>
      </c>
      <c r="F883" s="32"/>
      <c r="G883" s="32"/>
      <c r="H883" s="39"/>
      <c r="I883" s="39"/>
      <c r="J883" s="39"/>
      <c r="K883" s="39"/>
      <c r="L883" s="39"/>
      <c r="M883" s="39"/>
      <c r="N883" s="39"/>
      <c r="O883" s="39"/>
      <c r="P883" s="39"/>
      <c r="Q883" s="39"/>
    </row>
    <row r="884" spans="1:19" ht="31.2" x14ac:dyDescent="0.25">
      <c r="A884" s="17" t="s">
        <v>171</v>
      </c>
      <c r="B884" s="17" t="s">
        <v>172</v>
      </c>
      <c r="C884" s="35" t="s">
        <v>173</v>
      </c>
      <c r="D884" s="35" t="s">
        <v>40</v>
      </c>
      <c r="E884" s="20">
        <v>602.29999999999995</v>
      </c>
      <c r="G884" s="42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9"/>
      <c r="S884" s="9"/>
    </row>
    <row r="885" spans="1:19" ht="31.2" x14ac:dyDescent="0.25">
      <c r="A885" s="17" t="s">
        <v>174</v>
      </c>
      <c r="B885" s="17" t="s">
        <v>175</v>
      </c>
      <c r="C885" s="35" t="s">
        <v>176</v>
      </c>
      <c r="D885" s="35" t="s">
        <v>177</v>
      </c>
      <c r="E885" s="44">
        <v>0.2</v>
      </c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9"/>
      <c r="S885" s="9"/>
    </row>
    <row r="886" spans="1:19" ht="46.8" x14ac:dyDescent="0.25">
      <c r="A886" s="17" t="s">
        <v>178</v>
      </c>
      <c r="B886" s="17" t="s">
        <v>179</v>
      </c>
      <c r="C886" s="35" t="s">
        <v>180</v>
      </c>
      <c r="D886" s="35" t="s">
        <v>181</v>
      </c>
      <c r="E886" s="45">
        <f>0.5*0.8042+0.5*0.2135</f>
        <v>0.50885000000000002</v>
      </c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</row>
    <row r="887" spans="1:19" ht="31.2" x14ac:dyDescent="0.4">
      <c r="A887" s="40" t="s">
        <v>182</v>
      </c>
      <c r="B887" s="17" t="s">
        <v>118</v>
      </c>
      <c r="C887" s="35" t="s">
        <v>183</v>
      </c>
      <c r="D887" s="35" t="s">
        <v>184</v>
      </c>
      <c r="E887" s="47">
        <v>0</v>
      </c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9"/>
      <c r="S887" s="9"/>
    </row>
    <row r="888" spans="1:19" x14ac:dyDescent="0.3">
      <c r="A888" s="48"/>
      <c r="E888" s="49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9"/>
      <c r="S888" s="9"/>
    </row>
    <row r="889" spans="1:19" x14ac:dyDescent="0.25">
      <c r="A889" s="134" t="s">
        <v>185</v>
      </c>
      <c r="B889" s="134"/>
      <c r="C889" s="135"/>
      <c r="D889" s="135"/>
      <c r="E889" s="155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</row>
    <row r="890" spans="1:19" x14ac:dyDescent="0.25">
      <c r="A890" s="15" t="s">
        <v>9</v>
      </c>
      <c r="B890" s="15" t="s">
        <v>10</v>
      </c>
      <c r="C890" s="38" t="s">
        <v>11</v>
      </c>
      <c r="D890" s="38" t="s">
        <v>12</v>
      </c>
      <c r="E890" s="16" t="s">
        <v>80</v>
      </c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9"/>
      <c r="S890" s="9"/>
    </row>
    <row r="891" spans="1:19" ht="33.6" x14ac:dyDescent="0.4">
      <c r="A891" s="40" t="s">
        <v>186</v>
      </c>
      <c r="B891" s="17" t="s">
        <v>89</v>
      </c>
      <c r="C891" s="35" t="s">
        <v>187</v>
      </c>
      <c r="D891" s="35" t="s">
        <v>363</v>
      </c>
      <c r="E891" s="50">
        <f>E892*E895*E896*E897*E898*E899</f>
        <v>5.7413515070548726</v>
      </c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9"/>
      <c r="S891" s="9"/>
    </row>
    <row r="892" spans="1:19" ht="46.8" x14ac:dyDescent="0.4">
      <c r="A892" s="51" t="s">
        <v>188</v>
      </c>
      <c r="B892" s="17" t="s">
        <v>91</v>
      </c>
      <c r="C892" s="35" t="s">
        <v>189</v>
      </c>
      <c r="D892" s="35" t="s">
        <v>364</v>
      </c>
      <c r="E892" s="52">
        <f>E893/E894</f>
        <v>229.22000000000003</v>
      </c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9"/>
      <c r="S892" s="9"/>
    </row>
    <row r="893" spans="1:19" ht="31.2" x14ac:dyDescent="0.25">
      <c r="A893" s="17" t="s">
        <v>190</v>
      </c>
      <c r="B893" s="17" t="s">
        <v>93</v>
      </c>
      <c r="C893" s="35" t="s">
        <v>191</v>
      </c>
      <c r="D893" s="35" t="s">
        <v>40</v>
      </c>
      <c r="E893" s="52">
        <f>3.14*365</f>
        <v>1146.1000000000001</v>
      </c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9"/>
      <c r="S893" s="9"/>
    </row>
    <row r="894" spans="1:19" ht="31.2" x14ac:dyDescent="0.25">
      <c r="A894" s="17" t="s">
        <v>192</v>
      </c>
      <c r="B894" s="17" t="s">
        <v>95</v>
      </c>
      <c r="C894" s="35" t="s">
        <v>96</v>
      </c>
      <c r="D894" s="35" t="s">
        <v>40</v>
      </c>
      <c r="E894" s="25">
        <f>5</f>
        <v>5</v>
      </c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9"/>
      <c r="S894" s="9"/>
    </row>
    <row r="895" spans="1:19" ht="46.8" x14ac:dyDescent="0.25">
      <c r="A895" s="17" t="s">
        <v>193</v>
      </c>
      <c r="B895" s="17" t="s">
        <v>97</v>
      </c>
      <c r="C895" s="35" t="s">
        <v>194</v>
      </c>
      <c r="D895" s="35" t="s">
        <v>40</v>
      </c>
      <c r="E895" s="25">
        <f>18.5*2</f>
        <v>37</v>
      </c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9"/>
      <c r="S895" s="9"/>
    </row>
    <row r="896" spans="1:19" ht="141" x14ac:dyDescent="0.25">
      <c r="A896" s="17" t="s">
        <v>195</v>
      </c>
      <c r="B896" s="17" t="s">
        <v>99</v>
      </c>
      <c r="C896" s="35" t="s">
        <v>100</v>
      </c>
      <c r="D896" s="35" t="s">
        <v>330</v>
      </c>
      <c r="E896" s="25">
        <f>25.1/100</f>
        <v>0.251</v>
      </c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9"/>
      <c r="S896" s="9"/>
    </row>
    <row r="897" spans="1:19" ht="62.4" x14ac:dyDescent="0.25">
      <c r="A897" s="17" t="s">
        <v>101</v>
      </c>
      <c r="B897" s="17" t="s">
        <v>102</v>
      </c>
      <c r="C897" s="35" t="s">
        <v>101</v>
      </c>
      <c r="D897" s="35" t="s">
        <v>231</v>
      </c>
      <c r="E897" s="25">
        <f>0.84/1000</f>
        <v>8.3999999999999993E-4</v>
      </c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9"/>
      <c r="S897" s="9"/>
    </row>
    <row r="898" spans="1:19" ht="124.8" x14ac:dyDescent="0.25">
      <c r="A898" s="17" t="s">
        <v>196</v>
      </c>
      <c r="B898" s="17" t="s">
        <v>103</v>
      </c>
      <c r="C898" s="35" t="s">
        <v>104</v>
      </c>
      <c r="D898" s="35" t="s">
        <v>331</v>
      </c>
      <c r="E898" s="25">
        <f>43.33/1000</f>
        <v>4.333E-2</v>
      </c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9"/>
      <c r="S898" s="9"/>
    </row>
    <row r="899" spans="1:19" ht="33.6" x14ac:dyDescent="0.25">
      <c r="A899" s="17" t="s">
        <v>197</v>
      </c>
      <c r="B899" s="17" t="s">
        <v>105</v>
      </c>
      <c r="C899" s="35" t="s">
        <v>106</v>
      </c>
      <c r="D899" s="35" t="s">
        <v>107</v>
      </c>
      <c r="E899" s="25">
        <v>74.099999999999994</v>
      </c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9"/>
      <c r="S899" s="9"/>
    </row>
    <row r="901" spans="1:19" x14ac:dyDescent="0.25">
      <c r="A901" s="33" t="s">
        <v>9</v>
      </c>
      <c r="B901" s="33" t="s">
        <v>10</v>
      </c>
      <c r="C901" s="34" t="s">
        <v>11</v>
      </c>
      <c r="D901" s="34" t="s">
        <v>12</v>
      </c>
      <c r="E901" s="16" t="s">
        <v>80</v>
      </c>
    </row>
    <row r="902" spans="1:19" ht="18" x14ac:dyDescent="0.25">
      <c r="A902" s="15" t="s">
        <v>198</v>
      </c>
      <c r="B902" s="17" t="s">
        <v>118</v>
      </c>
      <c r="C902" s="35" t="s">
        <v>199</v>
      </c>
      <c r="D902" s="53" t="s">
        <v>365</v>
      </c>
      <c r="E902" s="18">
        <f>ROUNDUP(E851+E875+E879+E883+E891,0)</f>
        <v>374</v>
      </c>
    </row>
    <row r="905" spans="1:19" x14ac:dyDescent="0.25">
      <c r="D905" s="13"/>
    </row>
    <row r="906" spans="1:19" x14ac:dyDescent="0.25">
      <c r="D906" s="32"/>
      <c r="E906" s="101"/>
    </row>
  </sheetData>
  <mergeCells count="214">
    <mergeCell ref="A877:E877"/>
    <mergeCell ref="A881:E881"/>
    <mergeCell ref="A889:E889"/>
    <mergeCell ref="E865:Q865"/>
    <mergeCell ref="E867:Q867"/>
    <mergeCell ref="E868:Q868"/>
    <mergeCell ref="E869:Q869"/>
    <mergeCell ref="A873:E873"/>
    <mergeCell ref="A847:XFD847"/>
    <mergeCell ref="A848:Q848"/>
    <mergeCell ref="A850:E850"/>
    <mergeCell ref="E860:Q860"/>
    <mergeCell ref="E861:Q861"/>
    <mergeCell ref="E813:Q813"/>
    <mergeCell ref="A817:E817"/>
    <mergeCell ref="A821:E821"/>
    <mergeCell ref="A825:E825"/>
    <mergeCell ref="A833:E833"/>
    <mergeCell ref="E804:Q804"/>
    <mergeCell ref="E805:Q805"/>
    <mergeCell ref="E809:Q809"/>
    <mergeCell ref="E811:Q811"/>
    <mergeCell ref="E812:Q812"/>
    <mergeCell ref="A769:E769"/>
    <mergeCell ref="A777:E777"/>
    <mergeCell ref="A791:XFD791"/>
    <mergeCell ref="A792:Q792"/>
    <mergeCell ref="A794:E794"/>
    <mergeCell ref="E755:Q755"/>
    <mergeCell ref="E756:Q756"/>
    <mergeCell ref="E757:Q757"/>
    <mergeCell ref="A761:E761"/>
    <mergeCell ref="A765:E765"/>
    <mergeCell ref="A736:Q736"/>
    <mergeCell ref="A738:E738"/>
    <mergeCell ref="E748:Q748"/>
    <mergeCell ref="E749:Q749"/>
    <mergeCell ref="E753:Q753"/>
    <mergeCell ref="A708:E708"/>
    <mergeCell ref="A712:E712"/>
    <mergeCell ref="A720:E720"/>
    <mergeCell ref="A734:XFD734"/>
    <mergeCell ref="A735:XFD735"/>
    <mergeCell ref="E696:Q696"/>
    <mergeCell ref="E698:Q698"/>
    <mergeCell ref="E699:Q699"/>
    <mergeCell ref="E700:Q700"/>
    <mergeCell ref="A704:E704"/>
    <mergeCell ref="A678:XFD678"/>
    <mergeCell ref="A679:Q679"/>
    <mergeCell ref="A681:E681"/>
    <mergeCell ref="E691:Q691"/>
    <mergeCell ref="E692:Q692"/>
    <mergeCell ref="E644:Q644"/>
    <mergeCell ref="A648:E648"/>
    <mergeCell ref="A652:E652"/>
    <mergeCell ref="A656:E656"/>
    <mergeCell ref="A664:E664"/>
    <mergeCell ref="E635:Q635"/>
    <mergeCell ref="E636:Q636"/>
    <mergeCell ref="E640:Q640"/>
    <mergeCell ref="E642:Q642"/>
    <mergeCell ref="E643:Q643"/>
    <mergeCell ref="A607:E607"/>
    <mergeCell ref="A621:XFD621"/>
    <mergeCell ref="A622:XFD622"/>
    <mergeCell ref="A623:Q623"/>
    <mergeCell ref="A625:E625"/>
    <mergeCell ref="E586:Q586"/>
    <mergeCell ref="E587:Q587"/>
    <mergeCell ref="A591:E591"/>
    <mergeCell ref="A595:E595"/>
    <mergeCell ref="A599:E599"/>
    <mergeCell ref="A568:E568"/>
    <mergeCell ref="E578:Q578"/>
    <mergeCell ref="E579:Q579"/>
    <mergeCell ref="E583:Q583"/>
    <mergeCell ref="E585:Q585"/>
    <mergeCell ref="A539:E539"/>
    <mergeCell ref="A543:E543"/>
    <mergeCell ref="A551:E551"/>
    <mergeCell ref="A565:XFD565"/>
    <mergeCell ref="A566:Q566"/>
    <mergeCell ref="E527:Q527"/>
    <mergeCell ref="E529:Q529"/>
    <mergeCell ref="E530:Q530"/>
    <mergeCell ref="E531:Q531"/>
    <mergeCell ref="A535:E535"/>
    <mergeCell ref="A509:XFD509"/>
    <mergeCell ref="A510:Q510"/>
    <mergeCell ref="A512:E512"/>
    <mergeCell ref="E522:Q522"/>
    <mergeCell ref="E523:Q523"/>
    <mergeCell ref="A478:E478"/>
    <mergeCell ref="A482:E482"/>
    <mergeCell ref="A486:E486"/>
    <mergeCell ref="A494:E494"/>
    <mergeCell ref="A508:XFD508"/>
    <mergeCell ref="E466:Q466"/>
    <mergeCell ref="E470:Q470"/>
    <mergeCell ref="E472:Q472"/>
    <mergeCell ref="E473:Q473"/>
    <mergeCell ref="E474:Q474"/>
    <mergeCell ref="A438:E438"/>
    <mergeCell ref="A452:XFD452"/>
    <mergeCell ref="A453:Q453"/>
    <mergeCell ref="A455:E455"/>
    <mergeCell ref="E465:Q465"/>
    <mergeCell ref="E417:Q417"/>
    <mergeCell ref="E418:Q418"/>
    <mergeCell ref="A422:E422"/>
    <mergeCell ref="A426:E426"/>
    <mergeCell ref="A430:E430"/>
    <mergeCell ref="A399:E399"/>
    <mergeCell ref="E409:Q409"/>
    <mergeCell ref="E410:Q410"/>
    <mergeCell ref="E414:Q414"/>
    <mergeCell ref="E416:Q416"/>
    <mergeCell ref="A370:E370"/>
    <mergeCell ref="A374:E374"/>
    <mergeCell ref="A382:E382"/>
    <mergeCell ref="A396:XFD396"/>
    <mergeCell ref="A397:Q397"/>
    <mergeCell ref="E358:Q358"/>
    <mergeCell ref="E360:Q360"/>
    <mergeCell ref="E361:Q361"/>
    <mergeCell ref="E362:Q362"/>
    <mergeCell ref="A366:E366"/>
    <mergeCell ref="A340:XFD340"/>
    <mergeCell ref="A341:Q341"/>
    <mergeCell ref="A343:E343"/>
    <mergeCell ref="E353:Q353"/>
    <mergeCell ref="E354:Q354"/>
    <mergeCell ref="E306:Q306"/>
    <mergeCell ref="A310:E310"/>
    <mergeCell ref="A314:E314"/>
    <mergeCell ref="A318:E318"/>
    <mergeCell ref="A326:E326"/>
    <mergeCell ref="E297:Q297"/>
    <mergeCell ref="E298:Q298"/>
    <mergeCell ref="E302:Q302"/>
    <mergeCell ref="E304:Q304"/>
    <mergeCell ref="E305:Q305"/>
    <mergeCell ref="A262:E262"/>
    <mergeCell ref="A270:E270"/>
    <mergeCell ref="A284:XFD284"/>
    <mergeCell ref="A285:Q285"/>
    <mergeCell ref="A287:E287"/>
    <mergeCell ref="E248:Q248"/>
    <mergeCell ref="E249:Q249"/>
    <mergeCell ref="E250:Q250"/>
    <mergeCell ref="A254:E254"/>
    <mergeCell ref="A258:E258"/>
    <mergeCell ref="A229:Q229"/>
    <mergeCell ref="A231:E231"/>
    <mergeCell ref="E241:Q241"/>
    <mergeCell ref="E242:Q242"/>
    <mergeCell ref="E246:Q246"/>
    <mergeCell ref="A201:E201"/>
    <mergeCell ref="A205:E205"/>
    <mergeCell ref="A213:E213"/>
    <mergeCell ref="A227:XFD227"/>
    <mergeCell ref="A228:XFD228"/>
    <mergeCell ref="E189:Q189"/>
    <mergeCell ref="E191:Q191"/>
    <mergeCell ref="E192:Q192"/>
    <mergeCell ref="E193:Q193"/>
    <mergeCell ref="A197:E197"/>
    <mergeCell ref="A171:XFD171"/>
    <mergeCell ref="A172:Q172"/>
    <mergeCell ref="A174:E174"/>
    <mergeCell ref="E184:Q184"/>
    <mergeCell ref="E185:Q185"/>
    <mergeCell ref="E137:Q137"/>
    <mergeCell ref="A141:E141"/>
    <mergeCell ref="A145:E145"/>
    <mergeCell ref="A149:E149"/>
    <mergeCell ref="A157:E157"/>
    <mergeCell ref="E128:Q128"/>
    <mergeCell ref="E129:Q129"/>
    <mergeCell ref="E133:Q133"/>
    <mergeCell ref="E135:Q135"/>
    <mergeCell ref="E136:Q136"/>
    <mergeCell ref="A100:E100"/>
    <mergeCell ref="A114:XFD114"/>
    <mergeCell ref="A115:XFD115"/>
    <mergeCell ref="A116:Q116"/>
    <mergeCell ref="A118:E118"/>
    <mergeCell ref="E79:Q79"/>
    <mergeCell ref="E80:Q80"/>
    <mergeCell ref="A84:E84"/>
    <mergeCell ref="A88:E88"/>
    <mergeCell ref="A92:E92"/>
    <mergeCell ref="A61:E61"/>
    <mergeCell ref="E71:Q71"/>
    <mergeCell ref="E72:Q72"/>
    <mergeCell ref="E76:Q76"/>
    <mergeCell ref="E78:Q78"/>
    <mergeCell ref="A1:XFD1"/>
    <mergeCell ref="A2:Q2"/>
    <mergeCell ref="A58:XFD58"/>
    <mergeCell ref="A59:Q59"/>
    <mergeCell ref="A3:Q3"/>
    <mergeCell ref="A5:E5"/>
    <mergeCell ref="E15:Q15"/>
    <mergeCell ref="E16:Q16"/>
    <mergeCell ref="E20:Q20"/>
    <mergeCell ref="A36:E36"/>
    <mergeCell ref="A44:E44"/>
    <mergeCell ref="E22:Q22"/>
    <mergeCell ref="E23:Q23"/>
    <mergeCell ref="E24:Q24"/>
    <mergeCell ref="A28:E28"/>
    <mergeCell ref="A32:E32"/>
  </mergeCells>
  <phoneticPr fontId="24" type="noConversion"/>
  <hyperlinks>
    <hyperlink ref="D52" r:id="rId1" display="https://baike.baidu.com/item/%E6%9F%B4%E6%B2%B9%E5%AF%86%E5%BA%A6/298487" xr:uid="{00000000-0004-0000-0200-000000000000}"/>
    <hyperlink ref="D25" r:id="rId2" xr:uid="{00000000-0004-0000-0200-000001000000}"/>
    <hyperlink ref="D41" r:id="rId3" xr:uid="{00000000-0004-0000-0200-000002000000}"/>
    <hyperlink ref="D81" r:id="rId4" xr:uid="{150CC446-7F6F-4C4D-953F-A9D420E8DFDB}"/>
    <hyperlink ref="D97" r:id="rId5" xr:uid="{9896F895-A52D-442C-9B30-4BA5A40E9A7C}"/>
    <hyperlink ref="D138" r:id="rId6" xr:uid="{2CEBCD11-7AD2-415A-8D6D-BA6E5242CDDA}"/>
    <hyperlink ref="D154" r:id="rId7" xr:uid="{D2A87AD4-127E-4C06-B173-565689540387}"/>
    <hyperlink ref="D194" r:id="rId8" xr:uid="{057ACD26-D3E0-4711-BA7D-8B69518DF09B}"/>
    <hyperlink ref="D210" r:id="rId9" xr:uid="{23EE1AE7-3E94-453C-8CEB-CFACF052245D}"/>
    <hyperlink ref="D251" r:id="rId10" xr:uid="{99A06198-E167-421A-A456-FE54ECE24020}"/>
    <hyperlink ref="D267" r:id="rId11" xr:uid="{D47AA996-0E9B-4F6A-A19D-2BAE72A90188}"/>
    <hyperlink ref="D307" r:id="rId12" xr:uid="{52E3C5FC-EE34-4D36-9675-7750E87880B3}"/>
    <hyperlink ref="D323" r:id="rId13" xr:uid="{5375C133-137D-4812-A029-6B38A58CBF84}"/>
    <hyperlink ref="D363" r:id="rId14" xr:uid="{A69F3D3A-E2F1-4F58-819C-C0C2F63AC29D}"/>
    <hyperlink ref="D379" r:id="rId15" xr:uid="{E2FF56E9-8EDB-48F0-9C7F-95782B275B1E}"/>
    <hyperlink ref="D419" r:id="rId16" xr:uid="{EAAEAEB3-32BA-4AFA-B0A4-7B6CAF2097E8}"/>
    <hyperlink ref="D435" r:id="rId17" xr:uid="{B21C2252-71A2-4113-B952-162E21C4C659}"/>
    <hyperlink ref="D475" r:id="rId18" xr:uid="{18B2FF7A-4D0F-4BB2-BCC0-26155BA81CD2}"/>
    <hyperlink ref="D491" r:id="rId19" xr:uid="{FDB09650-724C-490D-9F9C-92B8D7207EF7}"/>
    <hyperlink ref="D532" r:id="rId20" xr:uid="{3A328893-E9FC-42A7-8873-9BA2E73E42D1}"/>
    <hyperlink ref="D548" r:id="rId21" xr:uid="{D68172CA-E934-42B7-B6D5-62E2F1741CA7}"/>
    <hyperlink ref="D588" r:id="rId22" xr:uid="{8EED80F6-0340-41DB-BE0C-DD52D4150A3B}"/>
    <hyperlink ref="D604" r:id="rId23" xr:uid="{05385614-099D-4750-8B07-CEC19B83649B}"/>
    <hyperlink ref="D645" r:id="rId24" xr:uid="{7F01498F-F37F-42CA-8F18-6594AD0E8375}"/>
    <hyperlink ref="D661" r:id="rId25" xr:uid="{A6A5AE5D-767A-44E5-8B3A-7D4516C35ECD}"/>
    <hyperlink ref="D701" r:id="rId26" xr:uid="{D7156FB0-BE55-4893-B6A1-7072799F9076}"/>
    <hyperlink ref="D717" r:id="rId27" xr:uid="{FABDE527-5644-4CCB-94BC-465A8915DA17}"/>
    <hyperlink ref="D758" r:id="rId28" xr:uid="{72D3781E-7760-4F79-94D3-6695CE0E7497}"/>
    <hyperlink ref="D774" r:id="rId29" xr:uid="{FBFBFFB5-0106-4951-8CFF-3B28C92DE8D2}"/>
    <hyperlink ref="D814" r:id="rId30" xr:uid="{8763A5FC-36FE-46C3-B41A-41D7048402B3}"/>
    <hyperlink ref="D830" r:id="rId31" xr:uid="{5388CE60-81B1-4B6D-B1F1-DE116D18A9EF}"/>
    <hyperlink ref="D870" r:id="rId32" xr:uid="{5FD54818-8A53-4168-AEE1-E0105E0F6952}"/>
    <hyperlink ref="D886" r:id="rId33" xr:uid="{1B3936A5-1CCB-44F4-889E-25D963683608}"/>
    <hyperlink ref="D108" r:id="rId34" display="https://baike.baidu.com/item/%E6%9F%B4%E6%B2%B9%E5%AF%86%E5%BA%A6/298487" xr:uid="{62517AC3-26C6-4839-9D27-D02B8D0A1C96}"/>
    <hyperlink ref="D165" r:id="rId35" display="https://baike.baidu.com/item/%E6%9F%B4%E6%B2%B9%E5%AF%86%E5%BA%A6/298487" xr:uid="{33801717-BAC4-4D26-8D50-AF8B41F6B42A}"/>
    <hyperlink ref="D221" r:id="rId36" display="https://baike.baidu.com/item/%E6%9F%B4%E6%B2%B9%E5%AF%86%E5%BA%A6/298487" xr:uid="{DF114D64-FF60-4DC4-AD79-F64F4F9DC34A}"/>
    <hyperlink ref="D278" r:id="rId37" display="https://baike.baidu.com/item/%E6%9F%B4%E6%B2%B9%E5%AF%86%E5%BA%A6/298487" xr:uid="{BB23A3CA-C4D6-47FC-9660-7729933B63CC}"/>
    <hyperlink ref="D334" r:id="rId38" display="https://baike.baidu.com/item/%E6%9F%B4%E6%B2%B9%E5%AF%86%E5%BA%A6/298487" xr:uid="{00E88967-87B6-4328-B659-B0F46F8909A2}"/>
    <hyperlink ref="D390" r:id="rId39" display="https://baike.baidu.com/item/%E6%9F%B4%E6%B2%B9%E5%AF%86%E5%BA%A6/298487" xr:uid="{08AC437D-46D6-427D-9AA1-C8E63E43E502}"/>
    <hyperlink ref="D446" r:id="rId40" display="https://baike.baidu.com/item/%E6%9F%B4%E6%B2%B9%E5%AF%86%E5%BA%A6/298487" xr:uid="{7BDA06C1-5F33-460D-9936-DB4641972882}"/>
    <hyperlink ref="D502" r:id="rId41" display="https://baike.baidu.com/item/%E6%9F%B4%E6%B2%B9%E5%AF%86%E5%BA%A6/298487" xr:uid="{CD999406-74A8-42E8-960A-B71DC270F952}"/>
    <hyperlink ref="D559" r:id="rId42" display="https://baike.baidu.com/item/%E6%9F%B4%E6%B2%B9%E5%AF%86%E5%BA%A6/298487" xr:uid="{E4F0CEC5-0201-4F6E-8C53-B98B269A097C}"/>
    <hyperlink ref="D615" r:id="rId43" display="https://baike.baidu.com/item/%E6%9F%B4%E6%B2%B9%E5%AF%86%E5%BA%A6/298487" xr:uid="{E3BB40C0-0785-492D-ABFF-1179FF8BB077}"/>
    <hyperlink ref="D672" r:id="rId44" display="https://baike.baidu.com/item/%E6%9F%B4%E6%B2%B9%E5%AF%86%E5%BA%A6/298487" xr:uid="{860C7CAA-FFA9-4DB5-9725-6761BAB33C2E}"/>
    <hyperlink ref="D728" r:id="rId45" display="https://baike.baidu.com/item/%E6%9F%B4%E6%B2%B9%E5%AF%86%E5%BA%A6/298487" xr:uid="{0814D6C4-ED6B-43D5-8AB0-1DC3CE5EAA37}"/>
    <hyperlink ref="D785" r:id="rId46" display="https://baike.baidu.com/item/%E6%9F%B4%E6%B2%B9%E5%AF%86%E5%BA%A6/298487" xr:uid="{3FAB1AF4-E9A7-40FD-A414-125360BC8F35}"/>
    <hyperlink ref="D841" r:id="rId47" display="https://baike.baidu.com/item/%E6%9F%B4%E6%B2%B9%E5%AF%86%E5%BA%A6/298487" xr:uid="{27257A69-127B-4EC9-A2B1-9AFE61185417}"/>
    <hyperlink ref="D897" r:id="rId48" display="https://baike.baidu.com/item/%E6%9F%B4%E6%B2%B9%E5%AF%86%E5%BA%A6/298487" xr:uid="{D470B4FD-34C9-499D-9798-A2A6097F6BC7}"/>
  </hyperlinks>
  <pageMargins left="0.7" right="0.7" top="0.75" bottom="0.75" header="0.3" footer="0.3"/>
  <pageSetup paperSize="9" orientation="portrait" horizontalDpi="300" verticalDpi="300" r:id="rId49"/>
  <ignoredErrors>
    <ignoredError sqref="E11 E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40"/>
  <sheetViews>
    <sheetView zoomScale="90" zoomScaleNormal="90" workbookViewId="0">
      <selection activeCell="F240" sqref="F240"/>
    </sheetView>
  </sheetViews>
  <sheetFormatPr defaultColWidth="11.44140625" defaultRowHeight="15.6" x14ac:dyDescent="0.3"/>
  <cols>
    <col min="1" max="1" width="6.6640625" style="1" customWidth="1"/>
    <col min="2" max="2" width="32.109375" style="2" customWidth="1"/>
    <col min="3" max="3" width="13.6640625" style="2" customWidth="1"/>
    <col min="4" max="4" width="13.88671875" style="2" customWidth="1"/>
    <col min="5" max="6" width="13.6640625" style="2" customWidth="1"/>
    <col min="7" max="16384" width="11.44140625" style="1"/>
  </cols>
  <sheetData>
    <row r="1" spans="2:9" s="104" customFormat="1" ht="21" customHeight="1" x14ac:dyDescent="0.25">
      <c r="B1" s="168" t="s">
        <v>299</v>
      </c>
      <c r="C1" s="169"/>
      <c r="D1" s="169"/>
      <c r="E1" s="169"/>
      <c r="F1" s="169"/>
    </row>
    <row r="2" spans="2:9" ht="18" x14ac:dyDescent="0.3">
      <c r="B2" s="3" t="s">
        <v>200</v>
      </c>
      <c r="C2" s="3" t="s">
        <v>201</v>
      </c>
      <c r="D2" s="3" t="s">
        <v>202</v>
      </c>
      <c r="E2" s="3" t="s">
        <v>203</v>
      </c>
      <c r="F2" s="3" t="s">
        <v>204</v>
      </c>
    </row>
    <row r="3" spans="2:9" ht="16.95" customHeight="1" x14ac:dyDescent="0.3">
      <c r="B3" s="4" t="s">
        <v>302</v>
      </c>
      <c r="C3" s="5">
        <f>ROUND(C4*118/365,0)</f>
        <v>881</v>
      </c>
      <c r="D3" s="5">
        <f>ROUND(D4*118/365,0)</f>
        <v>120</v>
      </c>
      <c r="E3" s="6">
        <v>0</v>
      </c>
      <c r="F3" s="5">
        <f>C3-D3-E3</f>
        <v>761</v>
      </c>
      <c r="I3" s="105"/>
    </row>
    <row r="4" spans="2:9" x14ac:dyDescent="0.3">
      <c r="B4" s="4" t="s">
        <v>232</v>
      </c>
      <c r="C4" s="5">
        <f>'Baseline Emissions'!$E$55</f>
        <v>2725</v>
      </c>
      <c r="D4" s="5">
        <f>'Project Emissions'!$E$57</f>
        <v>372</v>
      </c>
      <c r="E4" s="6">
        <v>0</v>
      </c>
      <c r="F4" s="5">
        <f t="shared" ref="F4:F13" si="0">C4-D4-E4</f>
        <v>2353</v>
      </c>
    </row>
    <row r="5" spans="2:9" x14ac:dyDescent="0.3">
      <c r="B5" s="4" t="s">
        <v>233</v>
      </c>
      <c r="C5" s="5">
        <f>'Baseline Emissions'!$E$55</f>
        <v>2725</v>
      </c>
      <c r="D5" s="5">
        <f>'Project Emissions'!$E$57</f>
        <v>372</v>
      </c>
      <c r="E5" s="6">
        <v>0</v>
      </c>
      <c r="F5" s="5">
        <f t="shared" si="0"/>
        <v>2353</v>
      </c>
    </row>
    <row r="6" spans="2:9" x14ac:dyDescent="0.3">
      <c r="B6" s="4" t="s">
        <v>234</v>
      </c>
      <c r="C6" s="5">
        <f>'Baseline Emissions'!$E$55</f>
        <v>2725</v>
      </c>
      <c r="D6" s="5">
        <f>'Project Emissions'!$E$57</f>
        <v>372</v>
      </c>
      <c r="E6" s="6">
        <v>0</v>
      </c>
      <c r="F6" s="5">
        <f t="shared" si="0"/>
        <v>2353</v>
      </c>
    </row>
    <row r="7" spans="2:9" x14ac:dyDescent="0.3">
      <c r="B7" s="4" t="s">
        <v>235</v>
      </c>
      <c r="C7" s="5">
        <f>'Baseline Emissions'!$E$55</f>
        <v>2725</v>
      </c>
      <c r="D7" s="5">
        <f>'Project Emissions'!$E$57</f>
        <v>372</v>
      </c>
      <c r="E7" s="6">
        <v>0</v>
      </c>
      <c r="F7" s="5">
        <f t="shared" si="0"/>
        <v>2353</v>
      </c>
    </row>
    <row r="8" spans="2:9" x14ac:dyDescent="0.3">
      <c r="B8" s="4" t="s">
        <v>236</v>
      </c>
      <c r="C8" s="5">
        <f>'Baseline Emissions'!$E$55</f>
        <v>2725</v>
      </c>
      <c r="D8" s="5">
        <f>'Project Emissions'!$E$57</f>
        <v>372</v>
      </c>
      <c r="E8" s="6">
        <v>0</v>
      </c>
      <c r="F8" s="5">
        <f t="shared" si="0"/>
        <v>2353</v>
      </c>
    </row>
    <row r="9" spans="2:9" x14ac:dyDescent="0.3">
      <c r="B9" s="4" t="s">
        <v>237</v>
      </c>
      <c r="C9" s="5">
        <f>'Baseline Emissions'!$E$55</f>
        <v>2725</v>
      </c>
      <c r="D9" s="5">
        <f>'Project Emissions'!$E$57</f>
        <v>372</v>
      </c>
      <c r="E9" s="6">
        <v>0</v>
      </c>
      <c r="F9" s="5">
        <f t="shared" si="0"/>
        <v>2353</v>
      </c>
    </row>
    <row r="10" spans="2:9" x14ac:dyDescent="0.3">
      <c r="B10" s="4" t="s">
        <v>238</v>
      </c>
      <c r="C10" s="5">
        <f>'Baseline Emissions'!$E$55</f>
        <v>2725</v>
      </c>
      <c r="D10" s="5">
        <f>'Project Emissions'!$E$57</f>
        <v>372</v>
      </c>
      <c r="E10" s="6">
        <v>0</v>
      </c>
      <c r="F10" s="5">
        <f t="shared" si="0"/>
        <v>2353</v>
      </c>
    </row>
    <row r="11" spans="2:9" x14ac:dyDescent="0.3">
      <c r="B11" s="4" t="s">
        <v>239</v>
      </c>
      <c r="C11" s="5">
        <f>'Baseline Emissions'!$E$55</f>
        <v>2725</v>
      </c>
      <c r="D11" s="5">
        <f>'Project Emissions'!$E$57</f>
        <v>372</v>
      </c>
      <c r="E11" s="6">
        <v>0</v>
      </c>
      <c r="F11" s="5">
        <f t="shared" si="0"/>
        <v>2353</v>
      </c>
    </row>
    <row r="12" spans="2:9" x14ac:dyDescent="0.3">
      <c r="B12" s="4" t="s">
        <v>240</v>
      </c>
      <c r="C12" s="5">
        <f>'Baseline Emissions'!$E$55</f>
        <v>2725</v>
      </c>
      <c r="D12" s="5">
        <f>'Project Emissions'!$E$57</f>
        <v>372</v>
      </c>
      <c r="E12" s="6">
        <v>0</v>
      </c>
      <c r="F12" s="5">
        <f t="shared" si="0"/>
        <v>2353</v>
      </c>
    </row>
    <row r="13" spans="2:9" x14ac:dyDescent="0.3">
      <c r="B13" s="107" t="s">
        <v>301</v>
      </c>
      <c r="C13" s="5">
        <f>ROUND(C4*245/365,0)</f>
        <v>1829</v>
      </c>
      <c r="D13" s="5">
        <f>ROUND(D4*245/365,0)</f>
        <v>250</v>
      </c>
      <c r="E13" s="5">
        <v>0</v>
      </c>
      <c r="F13" s="5">
        <f t="shared" si="0"/>
        <v>1579</v>
      </c>
    </row>
    <row r="14" spans="2:9" ht="18" x14ac:dyDescent="0.3">
      <c r="B14" s="7" t="s">
        <v>205</v>
      </c>
      <c r="C14" s="8">
        <f>SUM(C3:C13)</f>
        <v>27235</v>
      </c>
      <c r="D14" s="8">
        <f>SUM(D3:D13)</f>
        <v>3718</v>
      </c>
      <c r="E14" s="8">
        <f>SUM(E3:E13)</f>
        <v>0</v>
      </c>
      <c r="F14" s="8">
        <f>SUM(F3:F13)</f>
        <v>23517</v>
      </c>
    </row>
    <row r="15" spans="2:9" x14ac:dyDescent="0.3">
      <c r="B15" s="166" t="s">
        <v>283</v>
      </c>
      <c r="C15" s="166"/>
      <c r="D15" s="166"/>
      <c r="E15" s="166"/>
      <c r="F15" s="166"/>
    </row>
    <row r="16" spans="2:9" ht="18" x14ac:dyDescent="0.3">
      <c r="B16" s="3" t="s">
        <v>200</v>
      </c>
      <c r="C16" s="3" t="s">
        <v>201</v>
      </c>
      <c r="D16" s="3" t="s">
        <v>202</v>
      </c>
      <c r="E16" s="3" t="s">
        <v>203</v>
      </c>
      <c r="F16" s="3" t="s">
        <v>204</v>
      </c>
    </row>
    <row r="17" spans="2:8" x14ac:dyDescent="0.3">
      <c r="B17" s="4" t="s">
        <v>303</v>
      </c>
      <c r="C17" s="5">
        <f>ROUND(C20*115/365,0)</f>
        <v>1213</v>
      </c>
      <c r="D17" s="5">
        <f>ROUND(D20*115/365,0)</f>
        <v>149</v>
      </c>
      <c r="E17" s="6">
        <v>0</v>
      </c>
      <c r="F17" s="5">
        <f>C17-D17-E17</f>
        <v>1064</v>
      </c>
    </row>
    <row r="18" spans="2:8" x14ac:dyDescent="0.3">
      <c r="B18" s="4" t="s">
        <v>232</v>
      </c>
      <c r="C18" s="5">
        <f>'Baseline Emissions'!$E$110</f>
        <v>3850</v>
      </c>
      <c r="D18" s="5">
        <f>'Project Emissions'!$E$113</f>
        <v>473</v>
      </c>
      <c r="E18" s="6">
        <v>0</v>
      </c>
      <c r="F18" s="5">
        <f t="shared" ref="F18:F27" si="1">C18-D18-E18</f>
        <v>3377</v>
      </c>
    </row>
    <row r="19" spans="2:8" x14ac:dyDescent="0.3">
      <c r="B19" s="4" t="s">
        <v>233</v>
      </c>
      <c r="C19" s="5">
        <f>'Baseline Emissions'!$E$110</f>
        <v>3850</v>
      </c>
      <c r="D19" s="5">
        <f>'Project Emissions'!$E$113</f>
        <v>473</v>
      </c>
      <c r="E19" s="6">
        <v>0</v>
      </c>
      <c r="F19" s="5">
        <f t="shared" si="1"/>
        <v>3377</v>
      </c>
    </row>
    <row r="20" spans="2:8" x14ac:dyDescent="0.3">
      <c r="B20" s="4" t="s">
        <v>234</v>
      </c>
      <c r="C20" s="5">
        <f>'Baseline Emissions'!$E$110</f>
        <v>3850</v>
      </c>
      <c r="D20" s="5">
        <f>'Project Emissions'!$E$113</f>
        <v>473</v>
      </c>
      <c r="E20" s="6">
        <v>0</v>
      </c>
      <c r="F20" s="5">
        <f t="shared" si="1"/>
        <v>3377</v>
      </c>
      <c r="G20" s="90"/>
    </row>
    <row r="21" spans="2:8" x14ac:dyDescent="0.3">
      <c r="B21" s="4" t="s">
        <v>235</v>
      </c>
      <c r="C21" s="5">
        <f>'Baseline Emissions'!$E$110</f>
        <v>3850</v>
      </c>
      <c r="D21" s="5">
        <f>'Project Emissions'!$E$113</f>
        <v>473</v>
      </c>
      <c r="E21" s="6">
        <v>0</v>
      </c>
      <c r="F21" s="5">
        <f t="shared" si="1"/>
        <v>3377</v>
      </c>
      <c r="G21" s="90"/>
    </row>
    <row r="22" spans="2:8" x14ac:dyDescent="0.3">
      <c r="B22" s="4" t="s">
        <v>236</v>
      </c>
      <c r="C22" s="5">
        <f>'Baseline Emissions'!$E$110</f>
        <v>3850</v>
      </c>
      <c r="D22" s="5">
        <f>'Project Emissions'!$E$113</f>
        <v>473</v>
      </c>
      <c r="E22" s="6">
        <v>0</v>
      </c>
      <c r="F22" s="5">
        <f t="shared" si="1"/>
        <v>3377</v>
      </c>
    </row>
    <row r="23" spans="2:8" x14ac:dyDescent="0.3">
      <c r="B23" s="4" t="s">
        <v>237</v>
      </c>
      <c r="C23" s="5">
        <f>'Baseline Emissions'!$E$110</f>
        <v>3850</v>
      </c>
      <c r="D23" s="5">
        <f>'Project Emissions'!$E$113</f>
        <v>473</v>
      </c>
      <c r="E23" s="6">
        <v>0</v>
      </c>
      <c r="F23" s="5">
        <f t="shared" si="1"/>
        <v>3377</v>
      </c>
    </row>
    <row r="24" spans="2:8" x14ac:dyDescent="0.3">
      <c r="B24" s="4" t="s">
        <v>238</v>
      </c>
      <c r="C24" s="5">
        <f>'Baseline Emissions'!$E$110</f>
        <v>3850</v>
      </c>
      <c r="D24" s="5">
        <f>'Project Emissions'!$E$113</f>
        <v>473</v>
      </c>
      <c r="E24" s="6">
        <v>0</v>
      </c>
      <c r="F24" s="5">
        <f t="shared" si="1"/>
        <v>3377</v>
      </c>
    </row>
    <row r="25" spans="2:8" x14ac:dyDescent="0.3">
      <c r="B25" s="4" t="s">
        <v>239</v>
      </c>
      <c r="C25" s="5">
        <f>'Baseline Emissions'!$E$110</f>
        <v>3850</v>
      </c>
      <c r="D25" s="5">
        <f>'Project Emissions'!$E$113</f>
        <v>473</v>
      </c>
      <c r="E25" s="6">
        <v>0</v>
      </c>
      <c r="F25" s="5">
        <f t="shared" si="1"/>
        <v>3377</v>
      </c>
    </row>
    <row r="26" spans="2:8" x14ac:dyDescent="0.3">
      <c r="B26" s="4" t="s">
        <v>240</v>
      </c>
      <c r="C26" s="5">
        <f>'Baseline Emissions'!$E$110</f>
        <v>3850</v>
      </c>
      <c r="D26" s="5">
        <f>'Project Emissions'!$E$113</f>
        <v>473</v>
      </c>
      <c r="E26" s="6">
        <v>0</v>
      </c>
      <c r="F26" s="5">
        <f t="shared" si="1"/>
        <v>3377</v>
      </c>
    </row>
    <row r="27" spans="2:8" x14ac:dyDescent="0.3">
      <c r="B27" s="107" t="s">
        <v>301</v>
      </c>
      <c r="C27" s="5">
        <f>ROUND(C20*245/365,0)</f>
        <v>2584</v>
      </c>
      <c r="D27" s="5">
        <f>ROUND(D20*245/365,0)</f>
        <v>317</v>
      </c>
      <c r="E27" s="6">
        <v>0</v>
      </c>
      <c r="F27" s="5">
        <f t="shared" si="1"/>
        <v>2267</v>
      </c>
    </row>
    <row r="28" spans="2:8" ht="18" x14ac:dyDescent="0.3">
      <c r="B28" s="7" t="s">
        <v>205</v>
      </c>
      <c r="C28" s="8">
        <f>SUM(C17:C27)</f>
        <v>38447</v>
      </c>
      <c r="D28" s="8">
        <f>SUM(D17:D27)</f>
        <v>4723</v>
      </c>
      <c r="E28" s="8">
        <f>SUM(E17:E27)</f>
        <v>0</v>
      </c>
      <c r="F28" s="8">
        <f>SUM(F17:F27)</f>
        <v>33724</v>
      </c>
    </row>
    <row r="29" spans="2:8" x14ac:dyDescent="0.3">
      <c r="B29" s="170" t="s">
        <v>284</v>
      </c>
      <c r="C29" s="170"/>
      <c r="D29" s="170"/>
      <c r="E29" s="170"/>
      <c r="F29" s="170"/>
    </row>
    <row r="30" spans="2:8" ht="18" x14ac:dyDescent="0.3">
      <c r="B30" s="3" t="s">
        <v>200</v>
      </c>
      <c r="C30" s="3" t="s">
        <v>201</v>
      </c>
      <c r="D30" s="3" t="s">
        <v>202</v>
      </c>
      <c r="E30" s="3" t="s">
        <v>203</v>
      </c>
      <c r="F30" s="3" t="s">
        <v>204</v>
      </c>
    </row>
    <row r="31" spans="2:8" x14ac:dyDescent="0.3">
      <c r="B31" s="4" t="s">
        <v>300</v>
      </c>
      <c r="C31" s="5">
        <f>ROUND(C33*120/365,0)</f>
        <v>398</v>
      </c>
      <c r="D31" s="5">
        <f>ROUND(D33*119/365,0)</f>
        <v>82</v>
      </c>
      <c r="E31" s="6">
        <v>0</v>
      </c>
      <c r="F31" s="5">
        <f>C31-D31-E31</f>
        <v>316</v>
      </c>
      <c r="H31" s="106"/>
    </row>
    <row r="32" spans="2:8" x14ac:dyDescent="0.3">
      <c r="B32" s="4" t="s">
        <v>232</v>
      </c>
      <c r="C32" s="5">
        <f>'Baseline Emissions'!$E$165</f>
        <v>1212</v>
      </c>
      <c r="D32" s="5">
        <f>'Project Emissions'!$E$170</f>
        <v>252</v>
      </c>
      <c r="E32" s="6">
        <v>0</v>
      </c>
      <c r="F32" s="5">
        <f t="shared" ref="F32:F41" si="2">C32-D32-E32</f>
        <v>960</v>
      </c>
    </row>
    <row r="33" spans="2:6" x14ac:dyDescent="0.3">
      <c r="B33" s="4" t="s">
        <v>233</v>
      </c>
      <c r="C33" s="5">
        <f>'Baseline Emissions'!$E$165</f>
        <v>1212</v>
      </c>
      <c r="D33" s="5">
        <f>'Project Emissions'!$E$170</f>
        <v>252</v>
      </c>
      <c r="E33" s="6">
        <v>0</v>
      </c>
      <c r="F33" s="5">
        <f t="shared" si="2"/>
        <v>960</v>
      </c>
    </row>
    <row r="34" spans="2:6" x14ac:dyDescent="0.3">
      <c r="B34" s="4" t="s">
        <v>234</v>
      </c>
      <c r="C34" s="5">
        <f>'Baseline Emissions'!$E$165</f>
        <v>1212</v>
      </c>
      <c r="D34" s="5">
        <f>'Project Emissions'!$E$170</f>
        <v>252</v>
      </c>
      <c r="E34" s="6">
        <v>0</v>
      </c>
      <c r="F34" s="5">
        <f t="shared" si="2"/>
        <v>960</v>
      </c>
    </row>
    <row r="35" spans="2:6" x14ac:dyDescent="0.3">
      <c r="B35" s="4" t="s">
        <v>235</v>
      </c>
      <c r="C35" s="5">
        <f>'Baseline Emissions'!$E$165</f>
        <v>1212</v>
      </c>
      <c r="D35" s="5">
        <f>'Project Emissions'!$E$170</f>
        <v>252</v>
      </c>
      <c r="E35" s="6">
        <v>0</v>
      </c>
      <c r="F35" s="5">
        <f t="shared" si="2"/>
        <v>960</v>
      </c>
    </row>
    <row r="36" spans="2:6" x14ac:dyDescent="0.3">
      <c r="B36" s="4" t="s">
        <v>236</v>
      </c>
      <c r="C36" s="5">
        <f>'Baseline Emissions'!$E$165</f>
        <v>1212</v>
      </c>
      <c r="D36" s="5">
        <f>'Project Emissions'!$E$170</f>
        <v>252</v>
      </c>
      <c r="E36" s="6">
        <v>0</v>
      </c>
      <c r="F36" s="5">
        <f t="shared" si="2"/>
        <v>960</v>
      </c>
    </row>
    <row r="37" spans="2:6" x14ac:dyDescent="0.3">
      <c r="B37" s="4" t="s">
        <v>237</v>
      </c>
      <c r="C37" s="5">
        <f>'Baseline Emissions'!$E$165</f>
        <v>1212</v>
      </c>
      <c r="D37" s="5">
        <f>'Project Emissions'!$E$170</f>
        <v>252</v>
      </c>
      <c r="E37" s="6">
        <v>0</v>
      </c>
      <c r="F37" s="5">
        <f t="shared" si="2"/>
        <v>960</v>
      </c>
    </row>
    <row r="38" spans="2:6" x14ac:dyDescent="0.3">
      <c r="B38" s="4" t="s">
        <v>238</v>
      </c>
      <c r="C38" s="5">
        <f>'Baseline Emissions'!$E$165</f>
        <v>1212</v>
      </c>
      <c r="D38" s="5">
        <f>'Project Emissions'!$E$170</f>
        <v>252</v>
      </c>
      <c r="E38" s="6">
        <v>0</v>
      </c>
      <c r="F38" s="5">
        <f t="shared" si="2"/>
        <v>960</v>
      </c>
    </row>
    <row r="39" spans="2:6" x14ac:dyDescent="0.3">
      <c r="B39" s="4" t="s">
        <v>239</v>
      </c>
      <c r="C39" s="5">
        <f>'Baseline Emissions'!$E$165</f>
        <v>1212</v>
      </c>
      <c r="D39" s="5">
        <f>'Project Emissions'!$E$170</f>
        <v>252</v>
      </c>
      <c r="E39" s="6">
        <v>0</v>
      </c>
      <c r="F39" s="5">
        <f t="shared" si="2"/>
        <v>960</v>
      </c>
    </row>
    <row r="40" spans="2:6" x14ac:dyDescent="0.3">
      <c r="B40" s="4" t="s">
        <v>240</v>
      </c>
      <c r="C40" s="5">
        <f>'Baseline Emissions'!$E$165</f>
        <v>1212</v>
      </c>
      <c r="D40" s="5">
        <f>'Project Emissions'!$E$170</f>
        <v>252</v>
      </c>
      <c r="E40" s="6">
        <v>0</v>
      </c>
      <c r="F40" s="5">
        <f t="shared" si="2"/>
        <v>960</v>
      </c>
    </row>
    <row r="41" spans="2:6" x14ac:dyDescent="0.3">
      <c r="B41" s="107" t="s">
        <v>301</v>
      </c>
      <c r="C41" s="5">
        <f>ROUND(C33*245/365,0)</f>
        <v>814</v>
      </c>
      <c r="D41" s="5">
        <f>ROUND(D33*224/365,0)</f>
        <v>155</v>
      </c>
      <c r="E41" s="6">
        <v>0</v>
      </c>
      <c r="F41" s="5">
        <f t="shared" si="2"/>
        <v>659</v>
      </c>
    </row>
    <row r="42" spans="2:6" ht="18" x14ac:dyDescent="0.3">
      <c r="B42" s="7" t="s">
        <v>205</v>
      </c>
      <c r="C42" s="8">
        <f>SUM(C31:C41)</f>
        <v>12120</v>
      </c>
      <c r="D42" s="8">
        <f>SUM(D31:D41)</f>
        <v>2505</v>
      </c>
      <c r="E42" s="8">
        <f>SUM(E31:E41)</f>
        <v>0</v>
      </c>
      <c r="F42" s="8">
        <f>SUM(F31:F41)</f>
        <v>9615</v>
      </c>
    </row>
    <row r="43" spans="2:6" x14ac:dyDescent="0.3">
      <c r="B43" s="166" t="s">
        <v>285</v>
      </c>
      <c r="C43" s="166"/>
      <c r="D43" s="166"/>
      <c r="E43" s="166"/>
      <c r="F43" s="166"/>
    </row>
    <row r="44" spans="2:6" ht="18" x14ac:dyDescent="0.3">
      <c r="B44" s="3" t="s">
        <v>200</v>
      </c>
      <c r="C44" s="3" t="s">
        <v>201</v>
      </c>
      <c r="D44" s="3" t="s">
        <v>202</v>
      </c>
      <c r="E44" s="3" t="s">
        <v>203</v>
      </c>
      <c r="F44" s="3" t="s">
        <v>204</v>
      </c>
    </row>
    <row r="45" spans="2:6" x14ac:dyDescent="0.3">
      <c r="B45" s="4" t="s">
        <v>304</v>
      </c>
      <c r="C45" s="5">
        <f>ROUND(C48*117/365,0)</f>
        <v>1001</v>
      </c>
      <c r="D45" s="5">
        <f>ROUND(D48*117/365,0)</f>
        <v>150</v>
      </c>
      <c r="E45" s="6">
        <v>0</v>
      </c>
      <c r="F45" s="5">
        <f>C45-D45-E45</f>
        <v>851</v>
      </c>
    </row>
    <row r="46" spans="2:6" x14ac:dyDescent="0.3">
      <c r="B46" s="4" t="s">
        <v>232</v>
      </c>
      <c r="C46" s="5">
        <f>'Baseline Emissions'!$E$219</f>
        <v>3122</v>
      </c>
      <c r="D46" s="5">
        <f>'Project Emissions'!$E$226</f>
        <v>469</v>
      </c>
      <c r="E46" s="6">
        <v>0</v>
      </c>
      <c r="F46" s="5">
        <f t="shared" ref="F46:F55" si="3">C46-D46-E46</f>
        <v>2653</v>
      </c>
    </row>
    <row r="47" spans="2:6" x14ac:dyDescent="0.3">
      <c r="B47" s="4" t="s">
        <v>233</v>
      </c>
      <c r="C47" s="5">
        <f>'Baseline Emissions'!$E$219</f>
        <v>3122</v>
      </c>
      <c r="D47" s="5">
        <f>'Project Emissions'!$E$226</f>
        <v>469</v>
      </c>
      <c r="E47" s="6">
        <v>0</v>
      </c>
      <c r="F47" s="5">
        <f t="shared" si="3"/>
        <v>2653</v>
      </c>
    </row>
    <row r="48" spans="2:6" x14ac:dyDescent="0.3">
      <c r="B48" s="4" t="s">
        <v>234</v>
      </c>
      <c r="C48" s="5">
        <f>'Baseline Emissions'!$E$219</f>
        <v>3122</v>
      </c>
      <c r="D48" s="5">
        <f>'Project Emissions'!$E$226</f>
        <v>469</v>
      </c>
      <c r="E48" s="6">
        <v>0</v>
      </c>
      <c r="F48" s="5">
        <f t="shared" si="3"/>
        <v>2653</v>
      </c>
    </row>
    <row r="49" spans="2:6" x14ac:dyDescent="0.3">
      <c r="B49" s="4" t="s">
        <v>235</v>
      </c>
      <c r="C49" s="5">
        <f>'Baseline Emissions'!$E$219</f>
        <v>3122</v>
      </c>
      <c r="D49" s="5">
        <f>'Project Emissions'!$E$226</f>
        <v>469</v>
      </c>
      <c r="E49" s="6">
        <v>0</v>
      </c>
      <c r="F49" s="5">
        <f t="shared" si="3"/>
        <v>2653</v>
      </c>
    </row>
    <row r="50" spans="2:6" x14ac:dyDescent="0.3">
      <c r="B50" s="4" t="s">
        <v>236</v>
      </c>
      <c r="C50" s="5">
        <f>'Baseline Emissions'!$E$219</f>
        <v>3122</v>
      </c>
      <c r="D50" s="5">
        <f>'Project Emissions'!$E$226</f>
        <v>469</v>
      </c>
      <c r="E50" s="6">
        <v>0</v>
      </c>
      <c r="F50" s="5">
        <f t="shared" si="3"/>
        <v>2653</v>
      </c>
    </row>
    <row r="51" spans="2:6" x14ac:dyDescent="0.3">
      <c r="B51" s="4" t="s">
        <v>237</v>
      </c>
      <c r="C51" s="5">
        <f>'Baseline Emissions'!$E$219</f>
        <v>3122</v>
      </c>
      <c r="D51" s="5">
        <f>'Project Emissions'!$E$226</f>
        <v>469</v>
      </c>
      <c r="E51" s="6">
        <v>0</v>
      </c>
      <c r="F51" s="5">
        <f t="shared" si="3"/>
        <v>2653</v>
      </c>
    </row>
    <row r="52" spans="2:6" x14ac:dyDescent="0.3">
      <c r="B52" s="4" t="s">
        <v>238</v>
      </c>
      <c r="C52" s="5">
        <f>'Baseline Emissions'!$E$219</f>
        <v>3122</v>
      </c>
      <c r="D52" s="5">
        <f>'Project Emissions'!$E$226</f>
        <v>469</v>
      </c>
      <c r="E52" s="6">
        <v>0</v>
      </c>
      <c r="F52" s="5">
        <f t="shared" si="3"/>
        <v>2653</v>
      </c>
    </row>
    <row r="53" spans="2:6" x14ac:dyDescent="0.3">
      <c r="B53" s="4" t="s">
        <v>239</v>
      </c>
      <c r="C53" s="5">
        <f>'Baseline Emissions'!$E$219</f>
        <v>3122</v>
      </c>
      <c r="D53" s="5">
        <f>'Project Emissions'!$E$226</f>
        <v>469</v>
      </c>
      <c r="E53" s="6">
        <v>0</v>
      </c>
      <c r="F53" s="5">
        <f t="shared" si="3"/>
        <v>2653</v>
      </c>
    </row>
    <row r="54" spans="2:6" x14ac:dyDescent="0.3">
      <c r="B54" s="4" t="s">
        <v>240</v>
      </c>
      <c r="C54" s="5">
        <f>'Baseline Emissions'!$E$219</f>
        <v>3122</v>
      </c>
      <c r="D54" s="5">
        <f>'Project Emissions'!$E$226</f>
        <v>469</v>
      </c>
      <c r="E54" s="6">
        <v>0</v>
      </c>
      <c r="F54" s="5">
        <f t="shared" si="3"/>
        <v>2653</v>
      </c>
    </row>
    <row r="55" spans="2:6" x14ac:dyDescent="0.3">
      <c r="B55" s="107" t="s">
        <v>301</v>
      </c>
      <c r="C55" s="5">
        <f>ROUND(C48*245/365,0)</f>
        <v>2096</v>
      </c>
      <c r="D55" s="5">
        <f>ROUND(D48*245/365,0)</f>
        <v>315</v>
      </c>
      <c r="E55" s="6">
        <v>0</v>
      </c>
      <c r="F55" s="5">
        <f t="shared" si="3"/>
        <v>1781</v>
      </c>
    </row>
    <row r="56" spans="2:6" ht="18" x14ac:dyDescent="0.3">
      <c r="B56" s="7" t="s">
        <v>205</v>
      </c>
      <c r="C56" s="8">
        <f>SUM(C45:C55)</f>
        <v>31195</v>
      </c>
      <c r="D56" s="8">
        <f>SUM(D45:D55)</f>
        <v>4686</v>
      </c>
      <c r="E56" s="6">
        <v>0</v>
      </c>
      <c r="F56" s="8">
        <f>SUM(F45:F55)</f>
        <v>26509</v>
      </c>
    </row>
    <row r="57" spans="2:6" x14ac:dyDescent="0.3">
      <c r="B57" s="166" t="s">
        <v>286</v>
      </c>
      <c r="C57" s="166"/>
      <c r="D57" s="166"/>
      <c r="E57" s="166"/>
      <c r="F57" s="166"/>
    </row>
    <row r="58" spans="2:6" ht="18" x14ac:dyDescent="0.3">
      <c r="B58" s="3" t="s">
        <v>200</v>
      </c>
      <c r="C58" s="3" t="s">
        <v>201</v>
      </c>
      <c r="D58" s="3" t="s">
        <v>202</v>
      </c>
      <c r="E58" s="3" t="s">
        <v>203</v>
      </c>
      <c r="F58" s="3" t="s">
        <v>204</v>
      </c>
    </row>
    <row r="59" spans="2:6" x14ac:dyDescent="0.3">
      <c r="B59" s="4" t="s">
        <v>305</v>
      </c>
      <c r="C59" s="5">
        <f>ROUND(C62*110/365,0)</f>
        <v>1659</v>
      </c>
      <c r="D59" s="5">
        <f>ROUND(D62*110/365,0)</f>
        <v>234</v>
      </c>
      <c r="E59" s="6">
        <v>0</v>
      </c>
      <c r="F59" s="5">
        <f>C59-D59-E59</f>
        <v>1425</v>
      </c>
    </row>
    <row r="60" spans="2:6" x14ac:dyDescent="0.3">
      <c r="B60" s="4" t="s">
        <v>232</v>
      </c>
      <c r="C60" s="5">
        <f>'Baseline Emissions'!$E$274</f>
        <v>5506</v>
      </c>
      <c r="D60" s="5">
        <f>'Project Emissions'!$E$283</f>
        <v>776</v>
      </c>
      <c r="E60" s="6">
        <v>0</v>
      </c>
      <c r="F60" s="5">
        <f t="shared" ref="F60:F69" si="4">C60-D60-E60</f>
        <v>4730</v>
      </c>
    </row>
    <row r="61" spans="2:6" x14ac:dyDescent="0.3">
      <c r="B61" s="4" t="s">
        <v>233</v>
      </c>
      <c r="C61" s="5">
        <f>'Baseline Emissions'!$E$274</f>
        <v>5506</v>
      </c>
      <c r="D61" s="5">
        <f>'Project Emissions'!$E$283</f>
        <v>776</v>
      </c>
      <c r="E61" s="6">
        <v>0</v>
      </c>
      <c r="F61" s="5">
        <f t="shared" si="4"/>
        <v>4730</v>
      </c>
    </row>
    <row r="62" spans="2:6" x14ac:dyDescent="0.3">
      <c r="B62" s="4" t="s">
        <v>234</v>
      </c>
      <c r="C62" s="5">
        <f>'Baseline Emissions'!$E$274</f>
        <v>5506</v>
      </c>
      <c r="D62" s="5">
        <f>'Project Emissions'!$E$283</f>
        <v>776</v>
      </c>
      <c r="E62" s="6">
        <v>0</v>
      </c>
      <c r="F62" s="5">
        <f t="shared" si="4"/>
        <v>4730</v>
      </c>
    </row>
    <row r="63" spans="2:6" x14ac:dyDescent="0.3">
      <c r="B63" s="4" t="s">
        <v>235</v>
      </c>
      <c r="C63" s="5">
        <f>'Baseline Emissions'!$E$274</f>
        <v>5506</v>
      </c>
      <c r="D63" s="5">
        <f>'Project Emissions'!$E$283</f>
        <v>776</v>
      </c>
      <c r="E63" s="6">
        <v>0</v>
      </c>
      <c r="F63" s="5">
        <f t="shared" si="4"/>
        <v>4730</v>
      </c>
    </row>
    <row r="64" spans="2:6" x14ac:dyDescent="0.3">
      <c r="B64" s="4" t="s">
        <v>236</v>
      </c>
      <c r="C64" s="5">
        <f>'Baseline Emissions'!$E$274</f>
        <v>5506</v>
      </c>
      <c r="D64" s="5">
        <f>'Project Emissions'!$E$283</f>
        <v>776</v>
      </c>
      <c r="E64" s="6">
        <v>0</v>
      </c>
      <c r="F64" s="5">
        <f t="shared" si="4"/>
        <v>4730</v>
      </c>
    </row>
    <row r="65" spans="2:6" x14ac:dyDescent="0.3">
      <c r="B65" s="4" t="s">
        <v>237</v>
      </c>
      <c r="C65" s="5">
        <f>'Baseline Emissions'!$E$274</f>
        <v>5506</v>
      </c>
      <c r="D65" s="5">
        <f>'Project Emissions'!$E$283</f>
        <v>776</v>
      </c>
      <c r="E65" s="6">
        <v>0</v>
      </c>
      <c r="F65" s="5">
        <f t="shared" si="4"/>
        <v>4730</v>
      </c>
    </row>
    <row r="66" spans="2:6" x14ac:dyDescent="0.3">
      <c r="B66" s="4" t="s">
        <v>238</v>
      </c>
      <c r="C66" s="5">
        <f>'Baseline Emissions'!$E$274</f>
        <v>5506</v>
      </c>
      <c r="D66" s="5">
        <f>'Project Emissions'!$E$283</f>
        <v>776</v>
      </c>
      <c r="E66" s="6">
        <v>0</v>
      </c>
      <c r="F66" s="5">
        <f t="shared" si="4"/>
        <v>4730</v>
      </c>
    </row>
    <row r="67" spans="2:6" x14ac:dyDescent="0.3">
      <c r="B67" s="4" t="s">
        <v>239</v>
      </c>
      <c r="C67" s="5">
        <f>'Baseline Emissions'!$E$274</f>
        <v>5506</v>
      </c>
      <c r="D67" s="5">
        <f>'Project Emissions'!$E$283</f>
        <v>776</v>
      </c>
      <c r="E67" s="6">
        <v>0</v>
      </c>
      <c r="F67" s="5">
        <f t="shared" si="4"/>
        <v>4730</v>
      </c>
    </row>
    <row r="68" spans="2:6" x14ac:dyDescent="0.3">
      <c r="B68" s="4" t="s">
        <v>240</v>
      </c>
      <c r="C68" s="5">
        <f>'Baseline Emissions'!$E$274</f>
        <v>5506</v>
      </c>
      <c r="D68" s="5">
        <f>'Project Emissions'!$E$283</f>
        <v>776</v>
      </c>
      <c r="E68" s="6">
        <v>0</v>
      </c>
      <c r="F68" s="5">
        <f t="shared" si="4"/>
        <v>4730</v>
      </c>
    </row>
    <row r="69" spans="2:6" x14ac:dyDescent="0.3">
      <c r="B69" s="107" t="s">
        <v>301</v>
      </c>
      <c r="C69" s="5">
        <f>ROUND(C63*245/365,0)</f>
        <v>3696</v>
      </c>
      <c r="D69" s="5">
        <f>ROUND(D63*245/365,0)</f>
        <v>521</v>
      </c>
      <c r="E69" s="6">
        <v>0</v>
      </c>
      <c r="F69" s="5">
        <f t="shared" si="4"/>
        <v>3175</v>
      </c>
    </row>
    <row r="70" spans="2:6" ht="18" x14ac:dyDescent="0.3">
      <c r="B70" s="7" t="s">
        <v>205</v>
      </c>
      <c r="C70" s="8">
        <f>SUM(C59:C69)</f>
        <v>54909</v>
      </c>
      <c r="D70" s="8">
        <f>SUM(D59:D69)</f>
        <v>7739</v>
      </c>
      <c r="E70" s="8">
        <f>SUM(E59:E69)</f>
        <v>0</v>
      </c>
      <c r="F70" s="8">
        <f>SUM(F59:F69)</f>
        <v>47170</v>
      </c>
    </row>
    <row r="71" spans="2:6" x14ac:dyDescent="0.3">
      <c r="B71" s="166" t="s">
        <v>288</v>
      </c>
      <c r="C71" s="166"/>
      <c r="D71" s="166"/>
      <c r="E71" s="166"/>
      <c r="F71" s="166"/>
    </row>
    <row r="72" spans="2:6" ht="18" x14ac:dyDescent="0.3">
      <c r="B72" s="3" t="s">
        <v>200</v>
      </c>
      <c r="C72" s="3" t="s">
        <v>201</v>
      </c>
      <c r="D72" s="3" t="s">
        <v>202</v>
      </c>
      <c r="E72" s="3" t="s">
        <v>203</v>
      </c>
      <c r="F72" s="3" t="s">
        <v>204</v>
      </c>
    </row>
    <row r="73" spans="2:6" x14ac:dyDescent="0.3">
      <c r="B73" s="4" t="s">
        <v>306</v>
      </c>
      <c r="C73" s="5">
        <f>ROUND(C76*113/365,0)</f>
        <v>1518</v>
      </c>
      <c r="D73" s="5">
        <f>ROUND(D76*113/365,0)</f>
        <v>188</v>
      </c>
      <c r="E73" s="6">
        <v>0</v>
      </c>
      <c r="F73" s="5">
        <f>C73-D73-E73</f>
        <v>1330</v>
      </c>
    </row>
    <row r="74" spans="2:6" x14ac:dyDescent="0.3">
      <c r="B74" s="4" t="s">
        <v>232</v>
      </c>
      <c r="C74" s="5">
        <f>'Baseline Emissions'!$E$328</f>
        <v>4902</v>
      </c>
      <c r="D74" s="5">
        <f>'Project Emissions'!$E$339</f>
        <v>606</v>
      </c>
      <c r="E74" s="6">
        <v>0</v>
      </c>
      <c r="F74" s="5">
        <f t="shared" ref="F74:F83" si="5">C74-D74-E74</f>
        <v>4296</v>
      </c>
    </row>
    <row r="75" spans="2:6" x14ac:dyDescent="0.3">
      <c r="B75" s="4" t="s">
        <v>233</v>
      </c>
      <c r="C75" s="5">
        <f>'Baseline Emissions'!$E$328</f>
        <v>4902</v>
      </c>
      <c r="D75" s="5">
        <f>'Project Emissions'!$E$339</f>
        <v>606</v>
      </c>
      <c r="E75" s="6">
        <v>0</v>
      </c>
      <c r="F75" s="5">
        <f t="shared" si="5"/>
        <v>4296</v>
      </c>
    </row>
    <row r="76" spans="2:6" x14ac:dyDescent="0.3">
      <c r="B76" s="4" t="s">
        <v>234</v>
      </c>
      <c r="C76" s="5">
        <f>'Baseline Emissions'!$E$328</f>
        <v>4902</v>
      </c>
      <c r="D76" s="5">
        <f>'Project Emissions'!$E$339</f>
        <v>606</v>
      </c>
      <c r="E76" s="6">
        <v>0</v>
      </c>
      <c r="F76" s="5">
        <f t="shared" si="5"/>
        <v>4296</v>
      </c>
    </row>
    <row r="77" spans="2:6" x14ac:dyDescent="0.3">
      <c r="B77" s="4" t="s">
        <v>235</v>
      </c>
      <c r="C77" s="5">
        <f>'Baseline Emissions'!$E$328</f>
        <v>4902</v>
      </c>
      <c r="D77" s="5">
        <f>'Project Emissions'!$E$339</f>
        <v>606</v>
      </c>
      <c r="E77" s="6">
        <v>0</v>
      </c>
      <c r="F77" s="5">
        <f t="shared" si="5"/>
        <v>4296</v>
      </c>
    </row>
    <row r="78" spans="2:6" x14ac:dyDescent="0.3">
      <c r="B78" s="4" t="s">
        <v>236</v>
      </c>
      <c r="C78" s="5">
        <f>'Baseline Emissions'!$E$328</f>
        <v>4902</v>
      </c>
      <c r="D78" s="5">
        <f>'Project Emissions'!$E$339</f>
        <v>606</v>
      </c>
      <c r="E78" s="6">
        <v>0</v>
      </c>
      <c r="F78" s="5">
        <f t="shared" si="5"/>
        <v>4296</v>
      </c>
    </row>
    <row r="79" spans="2:6" x14ac:dyDescent="0.3">
      <c r="B79" s="4" t="s">
        <v>237</v>
      </c>
      <c r="C79" s="5">
        <f>'Baseline Emissions'!$E$328</f>
        <v>4902</v>
      </c>
      <c r="D79" s="5">
        <f>'Project Emissions'!$E$339</f>
        <v>606</v>
      </c>
      <c r="E79" s="6">
        <v>0</v>
      </c>
      <c r="F79" s="5">
        <f t="shared" si="5"/>
        <v>4296</v>
      </c>
    </row>
    <row r="80" spans="2:6" x14ac:dyDescent="0.3">
      <c r="B80" s="4" t="s">
        <v>238</v>
      </c>
      <c r="C80" s="5">
        <f>'Baseline Emissions'!$E$328</f>
        <v>4902</v>
      </c>
      <c r="D80" s="5">
        <f>'Project Emissions'!$E$339</f>
        <v>606</v>
      </c>
      <c r="E80" s="6">
        <v>0</v>
      </c>
      <c r="F80" s="5">
        <f t="shared" si="5"/>
        <v>4296</v>
      </c>
    </row>
    <row r="81" spans="2:6" x14ac:dyDescent="0.3">
      <c r="B81" s="4" t="s">
        <v>239</v>
      </c>
      <c r="C81" s="5">
        <f>'Baseline Emissions'!$E$328</f>
        <v>4902</v>
      </c>
      <c r="D81" s="5">
        <f>'Project Emissions'!$E$339</f>
        <v>606</v>
      </c>
      <c r="E81" s="6">
        <v>0</v>
      </c>
      <c r="F81" s="5">
        <f t="shared" si="5"/>
        <v>4296</v>
      </c>
    </row>
    <row r="82" spans="2:6" x14ac:dyDescent="0.3">
      <c r="B82" s="4" t="s">
        <v>240</v>
      </c>
      <c r="C82" s="5">
        <f>'Baseline Emissions'!$E$328</f>
        <v>4902</v>
      </c>
      <c r="D82" s="5">
        <f>'Project Emissions'!$E$339</f>
        <v>606</v>
      </c>
      <c r="E82" s="6">
        <v>0</v>
      </c>
      <c r="F82" s="5">
        <f t="shared" si="5"/>
        <v>4296</v>
      </c>
    </row>
    <row r="83" spans="2:6" x14ac:dyDescent="0.3">
      <c r="B83" s="107" t="s">
        <v>301</v>
      </c>
      <c r="C83" s="5">
        <f>ROUND(C78*245/365,0)</f>
        <v>3290</v>
      </c>
      <c r="D83" s="5">
        <f>ROUND(D78*245/365,0)</f>
        <v>407</v>
      </c>
      <c r="E83" s="6">
        <v>0</v>
      </c>
      <c r="F83" s="5">
        <f t="shared" si="5"/>
        <v>2883</v>
      </c>
    </row>
    <row r="84" spans="2:6" ht="18" x14ac:dyDescent="0.3">
      <c r="B84" s="7" t="s">
        <v>205</v>
      </c>
      <c r="C84" s="8">
        <f>SUM(C73:C83)</f>
        <v>48926</v>
      </c>
      <c r="D84" s="8">
        <f>SUM(D73:D83)</f>
        <v>6049</v>
      </c>
      <c r="E84" s="8">
        <f>SUM(E73:E83)</f>
        <v>0</v>
      </c>
      <c r="F84" s="8">
        <f>SUM(F73:F83)</f>
        <v>42877</v>
      </c>
    </row>
    <row r="85" spans="2:6" x14ac:dyDescent="0.3">
      <c r="B85" s="166" t="s">
        <v>289</v>
      </c>
      <c r="C85" s="171"/>
      <c r="D85" s="171"/>
      <c r="E85" s="171"/>
      <c r="F85" s="171"/>
    </row>
    <row r="86" spans="2:6" ht="18" x14ac:dyDescent="0.3">
      <c r="B86" s="3" t="s">
        <v>200</v>
      </c>
      <c r="C86" s="3" t="s">
        <v>201</v>
      </c>
      <c r="D86" s="3" t="s">
        <v>202</v>
      </c>
      <c r="E86" s="3" t="s">
        <v>203</v>
      </c>
      <c r="F86" s="3" t="s">
        <v>204</v>
      </c>
    </row>
    <row r="87" spans="2:6" x14ac:dyDescent="0.3">
      <c r="B87" s="4" t="s">
        <v>307</v>
      </c>
      <c r="C87" s="5">
        <f>ROUND(C91*109/365,0)</f>
        <v>1629</v>
      </c>
      <c r="D87" s="5">
        <f>ROUND(D91*109/365,0)</f>
        <v>228</v>
      </c>
      <c r="E87" s="6">
        <v>0</v>
      </c>
      <c r="F87" s="5">
        <f>C87-D87-E87</f>
        <v>1401</v>
      </c>
    </row>
    <row r="88" spans="2:6" x14ac:dyDescent="0.3">
      <c r="B88" s="4" t="s">
        <v>232</v>
      </c>
      <c r="C88" s="5">
        <f>'Baseline Emissions'!$E$382</f>
        <v>5455</v>
      </c>
      <c r="D88" s="5">
        <f>'Project Emissions'!$E$395</f>
        <v>763</v>
      </c>
      <c r="E88" s="6">
        <v>0</v>
      </c>
      <c r="F88" s="5">
        <f t="shared" ref="F88:F97" si="6">C88-D88-E88</f>
        <v>4692</v>
      </c>
    </row>
    <row r="89" spans="2:6" x14ac:dyDescent="0.3">
      <c r="B89" s="4" t="s">
        <v>233</v>
      </c>
      <c r="C89" s="5">
        <f>'Baseline Emissions'!$E$382</f>
        <v>5455</v>
      </c>
      <c r="D89" s="5">
        <f>'Project Emissions'!$E$395</f>
        <v>763</v>
      </c>
      <c r="E89" s="6">
        <v>0</v>
      </c>
      <c r="F89" s="5">
        <f t="shared" si="6"/>
        <v>4692</v>
      </c>
    </row>
    <row r="90" spans="2:6" x14ac:dyDescent="0.3">
      <c r="B90" s="4" t="s">
        <v>234</v>
      </c>
      <c r="C90" s="5">
        <f>'Baseline Emissions'!$E$382</f>
        <v>5455</v>
      </c>
      <c r="D90" s="5">
        <f>'Project Emissions'!$E$395</f>
        <v>763</v>
      </c>
      <c r="E90" s="6">
        <v>0</v>
      </c>
      <c r="F90" s="5">
        <f t="shared" si="6"/>
        <v>4692</v>
      </c>
    </row>
    <row r="91" spans="2:6" x14ac:dyDescent="0.3">
      <c r="B91" s="4" t="s">
        <v>235</v>
      </c>
      <c r="C91" s="5">
        <f>'Baseline Emissions'!$E$382</f>
        <v>5455</v>
      </c>
      <c r="D91" s="5">
        <f>'Project Emissions'!$E$395</f>
        <v>763</v>
      </c>
      <c r="E91" s="6">
        <v>0</v>
      </c>
      <c r="F91" s="5">
        <f t="shared" si="6"/>
        <v>4692</v>
      </c>
    </row>
    <row r="92" spans="2:6" x14ac:dyDescent="0.3">
      <c r="B92" s="4" t="s">
        <v>236</v>
      </c>
      <c r="C92" s="5">
        <f>'Baseline Emissions'!$E$382</f>
        <v>5455</v>
      </c>
      <c r="D92" s="5">
        <f>'Project Emissions'!$E$395</f>
        <v>763</v>
      </c>
      <c r="E92" s="6">
        <v>0</v>
      </c>
      <c r="F92" s="5">
        <f t="shared" si="6"/>
        <v>4692</v>
      </c>
    </row>
    <row r="93" spans="2:6" x14ac:dyDescent="0.3">
      <c r="B93" s="4" t="s">
        <v>237</v>
      </c>
      <c r="C93" s="5">
        <f>'Baseline Emissions'!$E$382</f>
        <v>5455</v>
      </c>
      <c r="D93" s="5">
        <f>'Project Emissions'!$E$395</f>
        <v>763</v>
      </c>
      <c r="E93" s="6">
        <v>0</v>
      </c>
      <c r="F93" s="5">
        <f t="shared" si="6"/>
        <v>4692</v>
      </c>
    </row>
    <row r="94" spans="2:6" x14ac:dyDescent="0.3">
      <c r="B94" s="4" t="s">
        <v>238</v>
      </c>
      <c r="C94" s="5">
        <f>'Baseline Emissions'!$E$382</f>
        <v>5455</v>
      </c>
      <c r="D94" s="5">
        <f>'Project Emissions'!$E$395</f>
        <v>763</v>
      </c>
      <c r="E94" s="6">
        <v>0</v>
      </c>
      <c r="F94" s="5">
        <f t="shared" si="6"/>
        <v>4692</v>
      </c>
    </row>
    <row r="95" spans="2:6" x14ac:dyDescent="0.3">
      <c r="B95" s="4" t="s">
        <v>239</v>
      </c>
      <c r="C95" s="5">
        <f>'Baseline Emissions'!$E$382</f>
        <v>5455</v>
      </c>
      <c r="D95" s="5">
        <f>'Project Emissions'!$E$395</f>
        <v>763</v>
      </c>
      <c r="E95" s="6">
        <v>0</v>
      </c>
      <c r="F95" s="5">
        <f t="shared" si="6"/>
        <v>4692</v>
      </c>
    </row>
    <row r="96" spans="2:6" x14ac:dyDescent="0.3">
      <c r="B96" s="4" t="s">
        <v>240</v>
      </c>
      <c r="C96" s="5">
        <f>'Baseline Emissions'!$E$382</f>
        <v>5455</v>
      </c>
      <c r="D96" s="5">
        <f>'Project Emissions'!$E$395</f>
        <v>763</v>
      </c>
      <c r="E96" s="6">
        <v>0</v>
      </c>
      <c r="F96" s="5">
        <f t="shared" si="6"/>
        <v>4692</v>
      </c>
    </row>
    <row r="97" spans="2:6" x14ac:dyDescent="0.3">
      <c r="B97" s="107" t="s">
        <v>301</v>
      </c>
      <c r="C97" s="5">
        <f>ROUND(C92*245/365,0)</f>
        <v>3662</v>
      </c>
      <c r="D97" s="5">
        <f>ROUND(D92*245/365,0)</f>
        <v>512</v>
      </c>
      <c r="E97" s="6">
        <v>0</v>
      </c>
      <c r="F97" s="5">
        <f t="shared" si="6"/>
        <v>3150</v>
      </c>
    </row>
    <row r="98" spans="2:6" ht="18" x14ac:dyDescent="0.3">
      <c r="B98" s="7" t="s">
        <v>205</v>
      </c>
      <c r="C98" s="8">
        <f>SUM(C87:C97)</f>
        <v>54386</v>
      </c>
      <c r="D98" s="8">
        <f>SUM(D87:D97)</f>
        <v>7607</v>
      </c>
      <c r="E98" s="8">
        <f>SUM(E87:E97)</f>
        <v>0</v>
      </c>
      <c r="F98" s="8">
        <f>SUM(F87:F97)</f>
        <v>46779</v>
      </c>
    </row>
    <row r="99" spans="2:6" x14ac:dyDescent="0.3">
      <c r="B99" s="166" t="s">
        <v>290</v>
      </c>
      <c r="C99" s="171"/>
      <c r="D99" s="171"/>
      <c r="E99" s="171"/>
      <c r="F99" s="171"/>
    </row>
    <row r="100" spans="2:6" ht="18" x14ac:dyDescent="0.3">
      <c r="B100" s="3" t="s">
        <v>200</v>
      </c>
      <c r="C100" s="3" t="s">
        <v>201</v>
      </c>
      <c r="D100" s="3" t="s">
        <v>202</v>
      </c>
      <c r="E100" s="3" t="s">
        <v>203</v>
      </c>
      <c r="F100" s="3" t="s">
        <v>204</v>
      </c>
    </row>
    <row r="101" spans="2:6" x14ac:dyDescent="0.3">
      <c r="B101" s="4" t="s">
        <v>305</v>
      </c>
      <c r="C101" s="5">
        <f>ROUND(C105*110/365,0)</f>
        <v>1119</v>
      </c>
      <c r="D101" s="5">
        <f>ROUND(D105*110/365,0)</f>
        <v>157</v>
      </c>
      <c r="E101" s="6">
        <v>0</v>
      </c>
      <c r="F101" s="5">
        <f>C101-D101-E101</f>
        <v>962</v>
      </c>
    </row>
    <row r="102" spans="2:6" x14ac:dyDescent="0.3">
      <c r="B102" s="4" t="s">
        <v>232</v>
      </c>
      <c r="C102" s="5">
        <f>'Baseline Emissions'!$E$436</f>
        <v>3714</v>
      </c>
      <c r="D102" s="5">
        <f>'Project Emissions'!$E$451</f>
        <v>521</v>
      </c>
      <c r="E102" s="6">
        <v>0</v>
      </c>
      <c r="F102" s="5">
        <f t="shared" ref="F102:F111" si="7">C102-D102-E102</f>
        <v>3193</v>
      </c>
    </row>
    <row r="103" spans="2:6" x14ac:dyDescent="0.3">
      <c r="B103" s="4" t="s">
        <v>233</v>
      </c>
      <c r="C103" s="5">
        <f>'Baseline Emissions'!$E$436</f>
        <v>3714</v>
      </c>
      <c r="D103" s="5">
        <f>'Project Emissions'!$E$451</f>
        <v>521</v>
      </c>
      <c r="E103" s="6">
        <v>0</v>
      </c>
      <c r="F103" s="5">
        <f t="shared" si="7"/>
        <v>3193</v>
      </c>
    </row>
    <row r="104" spans="2:6" x14ac:dyDescent="0.3">
      <c r="B104" s="4" t="s">
        <v>234</v>
      </c>
      <c r="C104" s="5">
        <f>'Baseline Emissions'!$E$436</f>
        <v>3714</v>
      </c>
      <c r="D104" s="5">
        <f>'Project Emissions'!$E$451</f>
        <v>521</v>
      </c>
      <c r="E104" s="6">
        <v>0</v>
      </c>
      <c r="F104" s="5">
        <f t="shared" si="7"/>
        <v>3193</v>
      </c>
    </row>
    <row r="105" spans="2:6" x14ac:dyDescent="0.3">
      <c r="B105" s="4" t="s">
        <v>235</v>
      </c>
      <c r="C105" s="5">
        <f>'Baseline Emissions'!$E$436</f>
        <v>3714</v>
      </c>
      <c r="D105" s="5">
        <f>'Project Emissions'!$E$451</f>
        <v>521</v>
      </c>
      <c r="E105" s="6">
        <v>0</v>
      </c>
      <c r="F105" s="5">
        <f t="shared" si="7"/>
        <v>3193</v>
      </c>
    </row>
    <row r="106" spans="2:6" x14ac:dyDescent="0.3">
      <c r="B106" s="4" t="s">
        <v>236</v>
      </c>
      <c r="C106" s="5">
        <f>'Baseline Emissions'!$E$436</f>
        <v>3714</v>
      </c>
      <c r="D106" s="5">
        <f>'Project Emissions'!$E$451</f>
        <v>521</v>
      </c>
      <c r="E106" s="6">
        <v>0</v>
      </c>
      <c r="F106" s="5">
        <f t="shared" si="7"/>
        <v>3193</v>
      </c>
    </row>
    <row r="107" spans="2:6" x14ac:dyDescent="0.3">
      <c r="B107" s="4" t="s">
        <v>237</v>
      </c>
      <c r="C107" s="5">
        <f>'Baseline Emissions'!$E$436</f>
        <v>3714</v>
      </c>
      <c r="D107" s="5">
        <f>'Project Emissions'!$E$451</f>
        <v>521</v>
      </c>
      <c r="E107" s="6">
        <v>0</v>
      </c>
      <c r="F107" s="5">
        <f t="shared" si="7"/>
        <v>3193</v>
      </c>
    </row>
    <row r="108" spans="2:6" x14ac:dyDescent="0.3">
      <c r="B108" s="4" t="s">
        <v>238</v>
      </c>
      <c r="C108" s="5">
        <f>'Baseline Emissions'!$E$436</f>
        <v>3714</v>
      </c>
      <c r="D108" s="5">
        <f>'Project Emissions'!$E$451</f>
        <v>521</v>
      </c>
      <c r="E108" s="6">
        <v>0</v>
      </c>
      <c r="F108" s="5">
        <f t="shared" si="7"/>
        <v>3193</v>
      </c>
    </row>
    <row r="109" spans="2:6" x14ac:dyDescent="0.3">
      <c r="B109" s="4" t="s">
        <v>239</v>
      </c>
      <c r="C109" s="5">
        <f>'Baseline Emissions'!$E$436</f>
        <v>3714</v>
      </c>
      <c r="D109" s="5">
        <f>'Project Emissions'!$E$451</f>
        <v>521</v>
      </c>
      <c r="E109" s="6">
        <v>0</v>
      </c>
      <c r="F109" s="5">
        <f t="shared" si="7"/>
        <v>3193</v>
      </c>
    </row>
    <row r="110" spans="2:6" x14ac:dyDescent="0.3">
      <c r="B110" s="4" t="s">
        <v>240</v>
      </c>
      <c r="C110" s="5">
        <f>'Baseline Emissions'!$E$436</f>
        <v>3714</v>
      </c>
      <c r="D110" s="5">
        <f>'Project Emissions'!$E$451</f>
        <v>521</v>
      </c>
      <c r="E110" s="6">
        <v>0</v>
      </c>
      <c r="F110" s="5">
        <f t="shared" si="7"/>
        <v>3193</v>
      </c>
    </row>
    <row r="111" spans="2:6" x14ac:dyDescent="0.3">
      <c r="B111" s="107" t="s">
        <v>301</v>
      </c>
      <c r="C111" s="5">
        <f>ROUND(C105*245/365,0)</f>
        <v>2493</v>
      </c>
      <c r="D111" s="5">
        <f>ROUND(D105*245/365,0)</f>
        <v>350</v>
      </c>
      <c r="E111" s="6">
        <v>0</v>
      </c>
      <c r="F111" s="5">
        <f t="shared" si="7"/>
        <v>2143</v>
      </c>
    </row>
    <row r="112" spans="2:6" ht="18" x14ac:dyDescent="0.3">
      <c r="B112" s="7" t="s">
        <v>205</v>
      </c>
      <c r="C112" s="8">
        <f>SUM(C101:C111)</f>
        <v>37038</v>
      </c>
      <c r="D112" s="8">
        <f>SUM(D101:D111)</f>
        <v>5196</v>
      </c>
      <c r="E112" s="8">
        <f>SUM(E101:E111)</f>
        <v>0</v>
      </c>
      <c r="F112" s="8">
        <f>SUM(F101:F111)</f>
        <v>31842</v>
      </c>
    </row>
    <row r="113" spans="2:6" x14ac:dyDescent="0.3">
      <c r="B113" s="166" t="s">
        <v>291</v>
      </c>
      <c r="C113" s="166"/>
      <c r="D113" s="166"/>
      <c r="E113" s="166"/>
      <c r="F113" s="166"/>
    </row>
    <row r="114" spans="2:6" ht="18" x14ac:dyDescent="0.3">
      <c r="B114" s="3" t="s">
        <v>200</v>
      </c>
      <c r="C114" s="3" t="s">
        <v>201</v>
      </c>
      <c r="D114" s="3" t="s">
        <v>202</v>
      </c>
      <c r="E114" s="3" t="s">
        <v>203</v>
      </c>
      <c r="F114" s="3" t="s">
        <v>204</v>
      </c>
    </row>
    <row r="115" spans="2:6" x14ac:dyDescent="0.3">
      <c r="B115" s="4" t="s">
        <v>308</v>
      </c>
      <c r="C115" s="5">
        <f>ROUND(C120*108/365,0)</f>
        <v>3420</v>
      </c>
      <c r="D115" s="5">
        <f>ROUND(D120*108/365,0)</f>
        <v>567</v>
      </c>
      <c r="E115" s="6">
        <v>0</v>
      </c>
      <c r="F115" s="5">
        <f>C115-D115-E115</f>
        <v>2853</v>
      </c>
    </row>
    <row r="116" spans="2:6" x14ac:dyDescent="0.3">
      <c r="B116" s="4" t="s">
        <v>232</v>
      </c>
      <c r="C116" s="5">
        <f>'Baseline Emissions'!$E$491</f>
        <v>11560</v>
      </c>
      <c r="D116" s="5">
        <f>'Project Emissions'!$E$507</f>
        <v>1915</v>
      </c>
      <c r="E116" s="6">
        <v>0</v>
      </c>
      <c r="F116" s="5">
        <f t="shared" ref="F116:F125" si="8">C116-D116-E116</f>
        <v>9645</v>
      </c>
    </row>
    <row r="117" spans="2:6" x14ac:dyDescent="0.3">
      <c r="B117" s="4" t="s">
        <v>233</v>
      </c>
      <c r="C117" s="5">
        <f>'Baseline Emissions'!$E$491</f>
        <v>11560</v>
      </c>
      <c r="D117" s="5">
        <f>'Project Emissions'!$E$507</f>
        <v>1915</v>
      </c>
      <c r="E117" s="6">
        <v>0</v>
      </c>
      <c r="F117" s="5">
        <f t="shared" si="8"/>
        <v>9645</v>
      </c>
    </row>
    <row r="118" spans="2:6" x14ac:dyDescent="0.3">
      <c r="B118" s="4" t="s">
        <v>234</v>
      </c>
      <c r="C118" s="5">
        <f>'Baseline Emissions'!$E$491</f>
        <v>11560</v>
      </c>
      <c r="D118" s="5">
        <f>'Project Emissions'!$E$507</f>
        <v>1915</v>
      </c>
      <c r="E118" s="6">
        <v>0</v>
      </c>
      <c r="F118" s="5">
        <f t="shared" si="8"/>
        <v>9645</v>
      </c>
    </row>
    <row r="119" spans="2:6" x14ac:dyDescent="0.3">
      <c r="B119" s="4" t="s">
        <v>235</v>
      </c>
      <c r="C119" s="5">
        <f>'Baseline Emissions'!$E$491</f>
        <v>11560</v>
      </c>
      <c r="D119" s="5">
        <f>'Project Emissions'!$E$507</f>
        <v>1915</v>
      </c>
      <c r="E119" s="6">
        <v>0</v>
      </c>
      <c r="F119" s="5">
        <f t="shared" si="8"/>
        <v>9645</v>
      </c>
    </row>
    <row r="120" spans="2:6" x14ac:dyDescent="0.3">
      <c r="B120" s="4" t="s">
        <v>236</v>
      </c>
      <c r="C120" s="5">
        <f>'Baseline Emissions'!$E$491</f>
        <v>11560</v>
      </c>
      <c r="D120" s="5">
        <f>'Project Emissions'!$E$507</f>
        <v>1915</v>
      </c>
      <c r="E120" s="6">
        <v>0</v>
      </c>
      <c r="F120" s="5">
        <f t="shared" si="8"/>
        <v>9645</v>
      </c>
    </row>
    <row r="121" spans="2:6" x14ac:dyDescent="0.3">
      <c r="B121" s="4" t="s">
        <v>237</v>
      </c>
      <c r="C121" s="5">
        <f>'Baseline Emissions'!$E$491</f>
        <v>11560</v>
      </c>
      <c r="D121" s="5">
        <f>'Project Emissions'!$E$507</f>
        <v>1915</v>
      </c>
      <c r="E121" s="6">
        <v>0</v>
      </c>
      <c r="F121" s="5">
        <f t="shared" si="8"/>
        <v>9645</v>
      </c>
    </row>
    <row r="122" spans="2:6" x14ac:dyDescent="0.3">
      <c r="B122" s="4" t="s">
        <v>238</v>
      </c>
      <c r="C122" s="5">
        <f>'Baseline Emissions'!$E$491</f>
        <v>11560</v>
      </c>
      <c r="D122" s="5">
        <f>'Project Emissions'!$E$507</f>
        <v>1915</v>
      </c>
      <c r="E122" s="6">
        <v>0</v>
      </c>
      <c r="F122" s="5">
        <f t="shared" si="8"/>
        <v>9645</v>
      </c>
    </row>
    <row r="123" spans="2:6" x14ac:dyDescent="0.3">
      <c r="B123" s="4" t="s">
        <v>239</v>
      </c>
      <c r="C123" s="5">
        <f>'Baseline Emissions'!$E$491</f>
        <v>11560</v>
      </c>
      <c r="D123" s="5">
        <f>'Project Emissions'!$E$507</f>
        <v>1915</v>
      </c>
      <c r="E123" s="6">
        <v>0</v>
      </c>
      <c r="F123" s="5">
        <f t="shared" si="8"/>
        <v>9645</v>
      </c>
    </row>
    <row r="124" spans="2:6" x14ac:dyDescent="0.3">
      <c r="B124" s="4" t="s">
        <v>240</v>
      </c>
      <c r="C124" s="5">
        <f>'Baseline Emissions'!$E$491</f>
        <v>11560</v>
      </c>
      <c r="D124" s="5">
        <f>'Project Emissions'!$E$507</f>
        <v>1915</v>
      </c>
      <c r="E124" s="6">
        <v>0</v>
      </c>
      <c r="F124" s="5">
        <f t="shared" si="8"/>
        <v>9645</v>
      </c>
    </row>
    <row r="125" spans="2:6" x14ac:dyDescent="0.3">
      <c r="B125" s="107" t="s">
        <v>301</v>
      </c>
      <c r="C125" s="5">
        <f>ROUND(C120*245/365,0)</f>
        <v>7759</v>
      </c>
      <c r="D125" s="5">
        <f>ROUND(D120*245/365,0)</f>
        <v>1285</v>
      </c>
      <c r="E125" s="6">
        <v>0</v>
      </c>
      <c r="F125" s="5">
        <f t="shared" si="8"/>
        <v>6474</v>
      </c>
    </row>
    <row r="126" spans="2:6" ht="18" x14ac:dyDescent="0.3">
      <c r="B126" s="7" t="s">
        <v>205</v>
      </c>
      <c r="C126" s="8">
        <f>SUM(C115:C125)</f>
        <v>115219</v>
      </c>
      <c r="D126" s="8">
        <f>SUM(D115:D125)</f>
        <v>19087</v>
      </c>
      <c r="E126" s="8">
        <f>SUM(E115:E125)</f>
        <v>0</v>
      </c>
      <c r="F126" s="8">
        <f>SUM(F115:F125)</f>
        <v>96132</v>
      </c>
    </row>
    <row r="127" spans="2:6" x14ac:dyDescent="0.3">
      <c r="B127" s="166" t="s">
        <v>292</v>
      </c>
      <c r="C127" s="166"/>
      <c r="D127" s="166"/>
      <c r="E127" s="166"/>
      <c r="F127" s="166"/>
    </row>
    <row r="128" spans="2:6" ht="18" x14ac:dyDescent="0.3">
      <c r="B128" s="3" t="s">
        <v>200</v>
      </c>
      <c r="C128" s="3" t="s">
        <v>201</v>
      </c>
      <c r="D128" s="3" t="s">
        <v>202</v>
      </c>
      <c r="E128" s="3" t="s">
        <v>203</v>
      </c>
      <c r="F128" s="3" t="s">
        <v>204</v>
      </c>
    </row>
    <row r="129" spans="2:6" x14ac:dyDescent="0.3">
      <c r="B129" s="4" t="s">
        <v>309</v>
      </c>
      <c r="C129" s="5">
        <f>ROUND(C133*114/365,0)</f>
        <v>1023</v>
      </c>
      <c r="D129" s="5">
        <f>ROUND(D133*114/365,0)</f>
        <v>133</v>
      </c>
      <c r="E129" s="6">
        <v>0</v>
      </c>
      <c r="F129" s="5">
        <f>C129-D129-E129</f>
        <v>890</v>
      </c>
    </row>
    <row r="130" spans="2:6" x14ac:dyDescent="0.3">
      <c r="B130" s="4" t="s">
        <v>232</v>
      </c>
      <c r="C130" s="5">
        <f>'Baseline Emissions'!$E$546</f>
        <v>3274</v>
      </c>
      <c r="D130" s="5">
        <f>'Project Emissions'!$E$564</f>
        <v>425</v>
      </c>
      <c r="E130" s="6">
        <v>0</v>
      </c>
      <c r="F130" s="5">
        <f t="shared" ref="F130:F139" si="9">C130-D130-E130</f>
        <v>2849</v>
      </c>
    </row>
    <row r="131" spans="2:6" x14ac:dyDescent="0.3">
      <c r="B131" s="4" t="s">
        <v>233</v>
      </c>
      <c r="C131" s="5">
        <f>'Baseline Emissions'!$E$546</f>
        <v>3274</v>
      </c>
      <c r="D131" s="5">
        <f>'Project Emissions'!$E$564</f>
        <v>425</v>
      </c>
      <c r="E131" s="6">
        <v>0</v>
      </c>
      <c r="F131" s="5">
        <f t="shared" si="9"/>
        <v>2849</v>
      </c>
    </row>
    <row r="132" spans="2:6" x14ac:dyDescent="0.3">
      <c r="B132" s="4" t="s">
        <v>234</v>
      </c>
      <c r="C132" s="5">
        <f>'Baseline Emissions'!$E$546</f>
        <v>3274</v>
      </c>
      <c r="D132" s="5">
        <f>'Project Emissions'!$E$564</f>
        <v>425</v>
      </c>
      <c r="E132" s="6">
        <v>0</v>
      </c>
      <c r="F132" s="5">
        <f t="shared" si="9"/>
        <v>2849</v>
      </c>
    </row>
    <row r="133" spans="2:6" x14ac:dyDescent="0.3">
      <c r="B133" s="4" t="s">
        <v>235</v>
      </c>
      <c r="C133" s="5">
        <f>'Baseline Emissions'!$E$546</f>
        <v>3274</v>
      </c>
      <c r="D133" s="5">
        <f>'Project Emissions'!$E$564</f>
        <v>425</v>
      </c>
      <c r="E133" s="6">
        <v>0</v>
      </c>
      <c r="F133" s="5">
        <f t="shared" si="9"/>
        <v>2849</v>
      </c>
    </row>
    <row r="134" spans="2:6" x14ac:dyDescent="0.3">
      <c r="B134" s="4" t="s">
        <v>236</v>
      </c>
      <c r="C134" s="5">
        <f>'Baseline Emissions'!$E$546</f>
        <v>3274</v>
      </c>
      <c r="D134" s="5">
        <f>'Project Emissions'!$E$564</f>
        <v>425</v>
      </c>
      <c r="E134" s="6">
        <v>0</v>
      </c>
      <c r="F134" s="5">
        <f t="shared" si="9"/>
        <v>2849</v>
      </c>
    </row>
    <row r="135" spans="2:6" x14ac:dyDescent="0.3">
      <c r="B135" s="4" t="s">
        <v>237</v>
      </c>
      <c r="C135" s="5">
        <f>'Baseline Emissions'!$E$546</f>
        <v>3274</v>
      </c>
      <c r="D135" s="5">
        <f>'Project Emissions'!$E$564</f>
        <v>425</v>
      </c>
      <c r="E135" s="6">
        <v>0</v>
      </c>
      <c r="F135" s="5">
        <f t="shared" si="9"/>
        <v>2849</v>
      </c>
    </row>
    <row r="136" spans="2:6" x14ac:dyDescent="0.3">
      <c r="B136" s="4" t="s">
        <v>238</v>
      </c>
      <c r="C136" s="5">
        <f>'Baseline Emissions'!$E$546</f>
        <v>3274</v>
      </c>
      <c r="D136" s="5">
        <f>'Project Emissions'!$E$564</f>
        <v>425</v>
      </c>
      <c r="E136" s="6">
        <v>0</v>
      </c>
      <c r="F136" s="5">
        <f t="shared" si="9"/>
        <v>2849</v>
      </c>
    </row>
    <row r="137" spans="2:6" x14ac:dyDescent="0.3">
      <c r="B137" s="4" t="s">
        <v>239</v>
      </c>
      <c r="C137" s="5">
        <f>'Baseline Emissions'!$E$546</f>
        <v>3274</v>
      </c>
      <c r="D137" s="5">
        <f>'Project Emissions'!$E$564</f>
        <v>425</v>
      </c>
      <c r="E137" s="6">
        <v>0</v>
      </c>
      <c r="F137" s="5">
        <f t="shared" si="9"/>
        <v>2849</v>
      </c>
    </row>
    <row r="138" spans="2:6" x14ac:dyDescent="0.3">
      <c r="B138" s="4" t="s">
        <v>240</v>
      </c>
      <c r="C138" s="5">
        <f>'Baseline Emissions'!$E$546</f>
        <v>3274</v>
      </c>
      <c r="D138" s="5">
        <f>'Project Emissions'!$E$564</f>
        <v>425</v>
      </c>
      <c r="E138" s="6">
        <v>0</v>
      </c>
      <c r="F138" s="5">
        <f t="shared" si="9"/>
        <v>2849</v>
      </c>
    </row>
    <row r="139" spans="2:6" x14ac:dyDescent="0.3">
      <c r="B139" s="107" t="s">
        <v>301</v>
      </c>
      <c r="C139" s="5">
        <f>ROUND(C133*245/365,0)</f>
        <v>2198</v>
      </c>
      <c r="D139" s="5">
        <f>ROUND(D133*245/365,0)</f>
        <v>285</v>
      </c>
      <c r="E139" s="6">
        <v>0</v>
      </c>
      <c r="F139" s="5">
        <f t="shared" si="9"/>
        <v>1913</v>
      </c>
    </row>
    <row r="140" spans="2:6" ht="18" x14ac:dyDescent="0.3">
      <c r="B140" s="7" t="s">
        <v>205</v>
      </c>
      <c r="C140" s="8">
        <f>SUM(C129:C139)</f>
        <v>32687</v>
      </c>
      <c r="D140" s="8">
        <f>SUM(D129:D139)</f>
        <v>4243</v>
      </c>
      <c r="E140" s="8">
        <f>SUM(E129:E139)</f>
        <v>0</v>
      </c>
      <c r="F140" s="8">
        <f>SUM(F129:F139)</f>
        <v>28444</v>
      </c>
    </row>
    <row r="141" spans="2:6" x14ac:dyDescent="0.3">
      <c r="B141" s="166" t="s">
        <v>293</v>
      </c>
      <c r="C141" s="166"/>
      <c r="D141" s="166"/>
      <c r="E141" s="166"/>
      <c r="F141" s="166"/>
    </row>
    <row r="142" spans="2:6" ht="18" x14ac:dyDescent="0.3">
      <c r="B142" s="3" t="s">
        <v>200</v>
      </c>
      <c r="C142" s="3" t="s">
        <v>201</v>
      </c>
      <c r="D142" s="3" t="s">
        <v>202</v>
      </c>
      <c r="E142" s="3" t="s">
        <v>203</v>
      </c>
      <c r="F142" s="3" t="s">
        <v>204</v>
      </c>
    </row>
    <row r="143" spans="2:6" x14ac:dyDescent="0.3">
      <c r="B143" s="4" t="s">
        <v>310</v>
      </c>
      <c r="C143" s="5">
        <f>ROUND(C148*111/365,0)</f>
        <v>1171</v>
      </c>
      <c r="D143" s="5">
        <f>ROUND(D148*111/365,0)</f>
        <v>142</v>
      </c>
      <c r="E143" s="6">
        <v>0</v>
      </c>
      <c r="F143" s="5">
        <f>C143-D143-E143</f>
        <v>1029</v>
      </c>
    </row>
    <row r="144" spans="2:6" x14ac:dyDescent="0.3">
      <c r="B144" s="4" t="s">
        <v>232</v>
      </c>
      <c r="C144" s="5">
        <f>'Baseline Emissions'!$E$600</f>
        <v>3850</v>
      </c>
      <c r="D144" s="5">
        <f>'Project Emissions'!$E$620</f>
        <v>468</v>
      </c>
      <c r="E144" s="6">
        <v>0</v>
      </c>
      <c r="F144" s="5">
        <f t="shared" ref="F144:F153" si="10">C144-D144-E144</f>
        <v>3382</v>
      </c>
    </row>
    <row r="145" spans="2:6" x14ac:dyDescent="0.3">
      <c r="B145" s="4" t="s">
        <v>233</v>
      </c>
      <c r="C145" s="5">
        <f>'Baseline Emissions'!$E$600</f>
        <v>3850</v>
      </c>
      <c r="D145" s="5">
        <f>'Project Emissions'!$E$620</f>
        <v>468</v>
      </c>
      <c r="E145" s="6">
        <v>0</v>
      </c>
      <c r="F145" s="5">
        <f t="shared" si="10"/>
        <v>3382</v>
      </c>
    </row>
    <row r="146" spans="2:6" x14ac:dyDescent="0.3">
      <c r="B146" s="4" t="s">
        <v>234</v>
      </c>
      <c r="C146" s="5">
        <f>'Baseline Emissions'!$E$600</f>
        <v>3850</v>
      </c>
      <c r="D146" s="5">
        <f>'Project Emissions'!$E$620</f>
        <v>468</v>
      </c>
      <c r="E146" s="6">
        <v>0</v>
      </c>
      <c r="F146" s="5">
        <f t="shared" si="10"/>
        <v>3382</v>
      </c>
    </row>
    <row r="147" spans="2:6" x14ac:dyDescent="0.3">
      <c r="B147" s="4" t="s">
        <v>235</v>
      </c>
      <c r="C147" s="5">
        <f>'Baseline Emissions'!$E$600</f>
        <v>3850</v>
      </c>
      <c r="D147" s="5">
        <f>'Project Emissions'!$E$620</f>
        <v>468</v>
      </c>
      <c r="E147" s="6">
        <v>0</v>
      </c>
      <c r="F147" s="5">
        <f t="shared" si="10"/>
        <v>3382</v>
      </c>
    </row>
    <row r="148" spans="2:6" x14ac:dyDescent="0.3">
      <c r="B148" s="4" t="s">
        <v>236</v>
      </c>
      <c r="C148" s="5">
        <f>'Baseline Emissions'!$E$600</f>
        <v>3850</v>
      </c>
      <c r="D148" s="5">
        <f>'Project Emissions'!$E$620</f>
        <v>468</v>
      </c>
      <c r="E148" s="6">
        <v>0</v>
      </c>
      <c r="F148" s="5">
        <f t="shared" si="10"/>
        <v>3382</v>
      </c>
    </row>
    <row r="149" spans="2:6" x14ac:dyDescent="0.3">
      <c r="B149" s="4" t="s">
        <v>237</v>
      </c>
      <c r="C149" s="5">
        <f>'Baseline Emissions'!$E$600</f>
        <v>3850</v>
      </c>
      <c r="D149" s="5">
        <f>'Project Emissions'!$E$620</f>
        <v>468</v>
      </c>
      <c r="E149" s="6">
        <v>0</v>
      </c>
      <c r="F149" s="5">
        <f t="shared" si="10"/>
        <v>3382</v>
      </c>
    </row>
    <row r="150" spans="2:6" x14ac:dyDescent="0.3">
      <c r="B150" s="4" t="s">
        <v>238</v>
      </c>
      <c r="C150" s="5">
        <f>'Baseline Emissions'!$E$600</f>
        <v>3850</v>
      </c>
      <c r="D150" s="5">
        <f>'Project Emissions'!$E$620</f>
        <v>468</v>
      </c>
      <c r="E150" s="6">
        <v>0</v>
      </c>
      <c r="F150" s="5">
        <f t="shared" si="10"/>
        <v>3382</v>
      </c>
    </row>
    <row r="151" spans="2:6" x14ac:dyDescent="0.3">
      <c r="B151" s="4" t="s">
        <v>239</v>
      </c>
      <c r="C151" s="5">
        <f>'Baseline Emissions'!$E$600</f>
        <v>3850</v>
      </c>
      <c r="D151" s="5">
        <f>'Project Emissions'!$E$620</f>
        <v>468</v>
      </c>
      <c r="E151" s="6">
        <v>0</v>
      </c>
      <c r="F151" s="5">
        <f t="shared" si="10"/>
        <v>3382</v>
      </c>
    </row>
    <row r="152" spans="2:6" x14ac:dyDescent="0.3">
      <c r="B152" s="4" t="s">
        <v>240</v>
      </c>
      <c r="C152" s="5">
        <f>'Baseline Emissions'!$E$600</f>
        <v>3850</v>
      </c>
      <c r="D152" s="5">
        <f>'Project Emissions'!$E$620</f>
        <v>468</v>
      </c>
      <c r="E152" s="6">
        <v>0</v>
      </c>
      <c r="F152" s="5">
        <f t="shared" si="10"/>
        <v>3382</v>
      </c>
    </row>
    <row r="153" spans="2:6" x14ac:dyDescent="0.3">
      <c r="B153" s="107" t="s">
        <v>301</v>
      </c>
      <c r="C153" s="5">
        <f>ROUND(C148*245/365,0)</f>
        <v>2584</v>
      </c>
      <c r="D153" s="5">
        <f>ROUND(D148*245/365,0)</f>
        <v>314</v>
      </c>
      <c r="E153" s="6">
        <v>0</v>
      </c>
      <c r="F153" s="5">
        <f t="shared" si="10"/>
        <v>2270</v>
      </c>
    </row>
    <row r="154" spans="2:6" ht="18" x14ac:dyDescent="0.3">
      <c r="B154" s="7" t="s">
        <v>205</v>
      </c>
      <c r="C154" s="8">
        <f>SUM(C143:C153)</f>
        <v>38405</v>
      </c>
      <c r="D154" s="8">
        <f>SUM(D143:D153)</f>
        <v>4668</v>
      </c>
      <c r="E154" s="8">
        <f>SUM(E143:E153)</f>
        <v>0</v>
      </c>
      <c r="F154" s="8">
        <f>SUM(F143:F153)</f>
        <v>33737</v>
      </c>
    </row>
    <row r="155" spans="2:6" x14ac:dyDescent="0.3">
      <c r="B155" s="166" t="s">
        <v>294</v>
      </c>
      <c r="C155" s="166"/>
      <c r="D155" s="166"/>
      <c r="E155" s="166"/>
      <c r="F155" s="166"/>
    </row>
    <row r="156" spans="2:6" ht="18" x14ac:dyDescent="0.3">
      <c r="B156" s="3" t="s">
        <v>200</v>
      </c>
      <c r="C156" s="3" t="s">
        <v>201</v>
      </c>
      <c r="D156" s="3" t="s">
        <v>202</v>
      </c>
      <c r="E156" s="3" t="s">
        <v>203</v>
      </c>
      <c r="F156" s="3" t="s">
        <v>204</v>
      </c>
    </row>
    <row r="157" spans="2:6" x14ac:dyDescent="0.3">
      <c r="B157" s="4" t="s">
        <v>311</v>
      </c>
      <c r="C157" s="5">
        <f>ROUND(C160*112/365,0)</f>
        <v>827</v>
      </c>
      <c r="D157" s="5">
        <f>ROUND(D160*112/365,0)</f>
        <v>140</v>
      </c>
      <c r="E157" s="6">
        <v>0</v>
      </c>
      <c r="F157" s="5">
        <f>C157-D157-E157</f>
        <v>687</v>
      </c>
    </row>
    <row r="158" spans="2:6" x14ac:dyDescent="0.3">
      <c r="B158" s="4" t="s">
        <v>232</v>
      </c>
      <c r="C158" s="5">
        <f>'Baseline Emissions'!$E$655</f>
        <v>2696</v>
      </c>
      <c r="D158" s="5">
        <f>'Project Emissions'!$E$677</f>
        <v>457</v>
      </c>
      <c r="E158" s="6">
        <v>0</v>
      </c>
      <c r="F158" s="5">
        <f t="shared" ref="F158:F167" si="11">C158-D158-E158</f>
        <v>2239</v>
      </c>
    </row>
    <row r="159" spans="2:6" x14ac:dyDescent="0.3">
      <c r="B159" s="4" t="s">
        <v>233</v>
      </c>
      <c r="C159" s="5">
        <f>'Baseline Emissions'!$E$655</f>
        <v>2696</v>
      </c>
      <c r="D159" s="5">
        <f>'Project Emissions'!$E$677</f>
        <v>457</v>
      </c>
      <c r="E159" s="6">
        <v>0</v>
      </c>
      <c r="F159" s="5">
        <f t="shared" si="11"/>
        <v>2239</v>
      </c>
    </row>
    <row r="160" spans="2:6" x14ac:dyDescent="0.3">
      <c r="B160" s="4" t="s">
        <v>234</v>
      </c>
      <c r="C160" s="5">
        <f>'Baseline Emissions'!$E$655</f>
        <v>2696</v>
      </c>
      <c r="D160" s="5">
        <f>'Project Emissions'!$E$677</f>
        <v>457</v>
      </c>
      <c r="E160" s="6">
        <v>0</v>
      </c>
      <c r="F160" s="5">
        <f t="shared" si="11"/>
        <v>2239</v>
      </c>
    </row>
    <row r="161" spans="2:6" x14ac:dyDescent="0.3">
      <c r="B161" s="4" t="s">
        <v>235</v>
      </c>
      <c r="C161" s="5">
        <f>'Baseline Emissions'!$E$655</f>
        <v>2696</v>
      </c>
      <c r="D161" s="5">
        <f>'Project Emissions'!$E$677</f>
        <v>457</v>
      </c>
      <c r="E161" s="6">
        <v>0</v>
      </c>
      <c r="F161" s="5">
        <f t="shared" si="11"/>
        <v>2239</v>
      </c>
    </row>
    <row r="162" spans="2:6" x14ac:dyDescent="0.3">
      <c r="B162" s="4" t="s">
        <v>236</v>
      </c>
      <c r="C162" s="5">
        <f>'Baseline Emissions'!$E$655</f>
        <v>2696</v>
      </c>
      <c r="D162" s="5">
        <f>'Project Emissions'!$E$677</f>
        <v>457</v>
      </c>
      <c r="E162" s="6">
        <v>0</v>
      </c>
      <c r="F162" s="5">
        <f t="shared" si="11"/>
        <v>2239</v>
      </c>
    </row>
    <row r="163" spans="2:6" x14ac:dyDescent="0.3">
      <c r="B163" s="4" t="s">
        <v>237</v>
      </c>
      <c r="C163" s="5">
        <f>'Baseline Emissions'!$E$655</f>
        <v>2696</v>
      </c>
      <c r="D163" s="5">
        <f>'Project Emissions'!$E$677</f>
        <v>457</v>
      </c>
      <c r="E163" s="6">
        <v>0</v>
      </c>
      <c r="F163" s="5">
        <f t="shared" si="11"/>
        <v>2239</v>
      </c>
    </row>
    <row r="164" spans="2:6" x14ac:dyDescent="0.3">
      <c r="B164" s="4" t="s">
        <v>238</v>
      </c>
      <c r="C164" s="5">
        <f>'Baseline Emissions'!$E$655</f>
        <v>2696</v>
      </c>
      <c r="D164" s="5">
        <f>'Project Emissions'!$E$677</f>
        <v>457</v>
      </c>
      <c r="E164" s="6">
        <v>0</v>
      </c>
      <c r="F164" s="5">
        <f t="shared" si="11"/>
        <v>2239</v>
      </c>
    </row>
    <row r="165" spans="2:6" x14ac:dyDescent="0.3">
      <c r="B165" s="4" t="s">
        <v>239</v>
      </c>
      <c r="C165" s="5">
        <f>'Baseline Emissions'!$E$655</f>
        <v>2696</v>
      </c>
      <c r="D165" s="5">
        <f>'Project Emissions'!$E$677</f>
        <v>457</v>
      </c>
      <c r="E165" s="6">
        <v>0</v>
      </c>
      <c r="F165" s="5">
        <f t="shared" si="11"/>
        <v>2239</v>
      </c>
    </row>
    <row r="166" spans="2:6" x14ac:dyDescent="0.3">
      <c r="B166" s="4" t="s">
        <v>240</v>
      </c>
      <c r="C166" s="5">
        <f>'Baseline Emissions'!$E$655</f>
        <v>2696</v>
      </c>
      <c r="D166" s="5">
        <f>'Project Emissions'!$E$677</f>
        <v>457</v>
      </c>
      <c r="E166" s="6">
        <v>0</v>
      </c>
      <c r="F166" s="5">
        <f t="shared" si="11"/>
        <v>2239</v>
      </c>
    </row>
    <row r="167" spans="2:6" x14ac:dyDescent="0.3">
      <c r="B167" s="107" t="s">
        <v>301</v>
      </c>
      <c r="C167" s="5">
        <f>ROUND(C160*245/365,0)</f>
        <v>1810</v>
      </c>
      <c r="D167" s="5">
        <f>ROUND(D160*245/365,0)</f>
        <v>307</v>
      </c>
      <c r="E167" s="6">
        <v>0</v>
      </c>
      <c r="F167" s="5">
        <f t="shared" si="11"/>
        <v>1503</v>
      </c>
    </row>
    <row r="168" spans="2:6" ht="18" x14ac:dyDescent="0.3">
      <c r="B168" s="7" t="s">
        <v>205</v>
      </c>
      <c r="C168" s="8">
        <f>SUM(C157:C167)</f>
        <v>26901</v>
      </c>
      <c r="D168" s="8">
        <f>SUM(D157:D167)</f>
        <v>4560</v>
      </c>
      <c r="E168" s="8">
        <f>SUM(E157:E167)</f>
        <v>0</v>
      </c>
      <c r="F168" s="8">
        <f>SUM(F157:F167)</f>
        <v>22341</v>
      </c>
    </row>
    <row r="169" spans="2:6" x14ac:dyDescent="0.3">
      <c r="B169" s="166" t="s">
        <v>295</v>
      </c>
      <c r="C169" s="166"/>
      <c r="D169" s="166"/>
      <c r="E169" s="166"/>
      <c r="F169" s="166"/>
    </row>
    <row r="170" spans="2:6" ht="18" x14ac:dyDescent="0.3">
      <c r="B170" s="3" t="s">
        <v>200</v>
      </c>
      <c r="C170" s="3" t="s">
        <v>201</v>
      </c>
      <c r="D170" s="3" t="s">
        <v>202</v>
      </c>
      <c r="E170" s="3" t="s">
        <v>203</v>
      </c>
      <c r="F170" s="3" t="s">
        <v>204</v>
      </c>
    </row>
    <row r="171" spans="2:6" x14ac:dyDescent="0.3">
      <c r="B171" s="4" t="s">
        <v>310</v>
      </c>
      <c r="C171" s="5">
        <f>ROUND(C176*111/365,0)</f>
        <v>1643</v>
      </c>
      <c r="D171" s="5">
        <f>ROUND(D176*111/365,0)</f>
        <v>169</v>
      </c>
      <c r="E171" s="6">
        <v>0</v>
      </c>
      <c r="F171" s="5">
        <f>C171-D171-E171</f>
        <v>1474</v>
      </c>
    </row>
    <row r="172" spans="2:6" x14ac:dyDescent="0.3">
      <c r="B172" s="4" t="s">
        <v>232</v>
      </c>
      <c r="C172" s="5">
        <f>'Baseline Emissions'!$E$709</f>
        <v>5403</v>
      </c>
      <c r="D172" s="5">
        <f>'Project Emissions'!$E$733</f>
        <v>555</v>
      </c>
      <c r="E172" s="6">
        <v>0</v>
      </c>
      <c r="F172" s="5">
        <f t="shared" ref="F172:F181" si="12">C172-D172-E172</f>
        <v>4848</v>
      </c>
    </row>
    <row r="173" spans="2:6" x14ac:dyDescent="0.3">
      <c r="B173" s="4" t="s">
        <v>233</v>
      </c>
      <c r="C173" s="5">
        <f>'Baseline Emissions'!$E$709</f>
        <v>5403</v>
      </c>
      <c r="D173" s="5">
        <f>'Project Emissions'!$E$733</f>
        <v>555</v>
      </c>
      <c r="E173" s="6">
        <v>0</v>
      </c>
      <c r="F173" s="5">
        <f t="shared" si="12"/>
        <v>4848</v>
      </c>
    </row>
    <row r="174" spans="2:6" x14ac:dyDescent="0.3">
      <c r="B174" s="4" t="s">
        <v>234</v>
      </c>
      <c r="C174" s="5">
        <f>'Baseline Emissions'!$E$709</f>
        <v>5403</v>
      </c>
      <c r="D174" s="5">
        <f>'Project Emissions'!$E$733</f>
        <v>555</v>
      </c>
      <c r="E174" s="6">
        <v>0</v>
      </c>
      <c r="F174" s="5">
        <f t="shared" si="12"/>
        <v>4848</v>
      </c>
    </row>
    <row r="175" spans="2:6" x14ac:dyDescent="0.3">
      <c r="B175" s="4" t="s">
        <v>235</v>
      </c>
      <c r="C175" s="5">
        <f>'Baseline Emissions'!$E$709</f>
        <v>5403</v>
      </c>
      <c r="D175" s="5">
        <f>'Project Emissions'!$E$733</f>
        <v>555</v>
      </c>
      <c r="E175" s="6">
        <v>0</v>
      </c>
      <c r="F175" s="5">
        <f t="shared" si="12"/>
        <v>4848</v>
      </c>
    </row>
    <row r="176" spans="2:6" x14ac:dyDescent="0.3">
      <c r="B176" s="4" t="s">
        <v>236</v>
      </c>
      <c r="C176" s="5">
        <f>'Baseline Emissions'!$E$709</f>
        <v>5403</v>
      </c>
      <c r="D176" s="5">
        <f>'Project Emissions'!$E$733</f>
        <v>555</v>
      </c>
      <c r="E176" s="6">
        <v>0</v>
      </c>
      <c r="F176" s="5">
        <f t="shared" si="12"/>
        <v>4848</v>
      </c>
    </row>
    <row r="177" spans="2:6" x14ac:dyDescent="0.3">
      <c r="B177" s="4" t="s">
        <v>237</v>
      </c>
      <c r="C177" s="5">
        <f>'Baseline Emissions'!$E$709</f>
        <v>5403</v>
      </c>
      <c r="D177" s="5">
        <f>'Project Emissions'!$E$733</f>
        <v>555</v>
      </c>
      <c r="E177" s="6">
        <v>0</v>
      </c>
      <c r="F177" s="5">
        <f t="shared" si="12"/>
        <v>4848</v>
      </c>
    </row>
    <row r="178" spans="2:6" x14ac:dyDescent="0.3">
      <c r="B178" s="4" t="s">
        <v>238</v>
      </c>
      <c r="C178" s="5">
        <f>'Baseline Emissions'!$E$709</f>
        <v>5403</v>
      </c>
      <c r="D178" s="5">
        <f>'Project Emissions'!$E$733</f>
        <v>555</v>
      </c>
      <c r="E178" s="6">
        <v>0</v>
      </c>
      <c r="F178" s="5">
        <f t="shared" si="12"/>
        <v>4848</v>
      </c>
    </row>
    <row r="179" spans="2:6" x14ac:dyDescent="0.3">
      <c r="B179" s="4" t="s">
        <v>239</v>
      </c>
      <c r="C179" s="5">
        <f>'Baseline Emissions'!$E$709</f>
        <v>5403</v>
      </c>
      <c r="D179" s="5">
        <f>'Project Emissions'!$E$733</f>
        <v>555</v>
      </c>
      <c r="E179" s="6">
        <v>0</v>
      </c>
      <c r="F179" s="5">
        <f t="shared" si="12"/>
        <v>4848</v>
      </c>
    </row>
    <row r="180" spans="2:6" x14ac:dyDescent="0.3">
      <c r="B180" s="4" t="s">
        <v>240</v>
      </c>
      <c r="C180" s="5">
        <f>'Baseline Emissions'!$E$709</f>
        <v>5403</v>
      </c>
      <c r="D180" s="5">
        <f>'Project Emissions'!$E$733</f>
        <v>555</v>
      </c>
      <c r="E180" s="6">
        <v>0</v>
      </c>
      <c r="F180" s="5">
        <f t="shared" si="12"/>
        <v>4848</v>
      </c>
    </row>
    <row r="181" spans="2:6" x14ac:dyDescent="0.3">
      <c r="B181" s="107" t="s">
        <v>301</v>
      </c>
      <c r="C181" s="5">
        <f>ROUND(C176*245/365,0)</f>
        <v>3627</v>
      </c>
      <c r="D181" s="5">
        <f>ROUND(D176*245/365,0)</f>
        <v>373</v>
      </c>
      <c r="E181" s="6">
        <v>0</v>
      </c>
      <c r="F181" s="5">
        <f t="shared" si="12"/>
        <v>3254</v>
      </c>
    </row>
    <row r="182" spans="2:6" ht="18" x14ac:dyDescent="0.3">
      <c r="B182" s="7" t="s">
        <v>205</v>
      </c>
      <c r="C182" s="8">
        <f>SUM(C171:C181)</f>
        <v>53897</v>
      </c>
      <c r="D182" s="8">
        <f>SUM(D171:D181)</f>
        <v>5537</v>
      </c>
      <c r="E182" s="8">
        <f>SUM(E171:E181)</f>
        <v>0</v>
      </c>
      <c r="F182" s="8">
        <f>SUM(F171:F181)</f>
        <v>48360</v>
      </c>
    </row>
    <row r="183" spans="2:6" x14ac:dyDescent="0.3">
      <c r="B183" s="166" t="s">
        <v>315</v>
      </c>
      <c r="C183" s="166"/>
      <c r="D183" s="166"/>
      <c r="E183" s="166"/>
      <c r="F183" s="166"/>
    </row>
    <row r="184" spans="2:6" ht="18" x14ac:dyDescent="0.3">
      <c r="B184" s="3" t="s">
        <v>200</v>
      </c>
      <c r="C184" s="3" t="s">
        <v>201</v>
      </c>
      <c r="D184" s="3" t="s">
        <v>202</v>
      </c>
      <c r="E184" s="3" t="s">
        <v>203</v>
      </c>
      <c r="F184" s="3" t="s">
        <v>204</v>
      </c>
    </row>
    <row r="185" spans="2:6" x14ac:dyDescent="0.3">
      <c r="B185" s="4" t="s">
        <v>312</v>
      </c>
      <c r="C185" s="5">
        <f>ROUND(C190*105/365,0)</f>
        <v>5067</v>
      </c>
      <c r="D185" s="5">
        <f>ROUND(D190*105/365,0)</f>
        <v>497</v>
      </c>
      <c r="E185" s="6">
        <v>0</v>
      </c>
      <c r="F185" s="5">
        <f>C185-D185-E185</f>
        <v>4570</v>
      </c>
    </row>
    <row r="186" spans="2:6" x14ac:dyDescent="0.3">
      <c r="B186" s="4" t="s">
        <v>232</v>
      </c>
      <c r="C186" s="5">
        <f>'Baseline Emissions'!$E$764</f>
        <v>17614</v>
      </c>
      <c r="D186" s="5">
        <f>'Project Emissions'!$E$790</f>
        <v>1728</v>
      </c>
      <c r="E186" s="6">
        <v>0</v>
      </c>
      <c r="F186" s="5">
        <f t="shared" ref="F186:F195" si="13">C186-D186-E186</f>
        <v>15886</v>
      </c>
    </row>
    <row r="187" spans="2:6" x14ac:dyDescent="0.3">
      <c r="B187" s="4" t="s">
        <v>233</v>
      </c>
      <c r="C187" s="5">
        <f>'Baseline Emissions'!$E$764</f>
        <v>17614</v>
      </c>
      <c r="D187" s="5">
        <f>'Project Emissions'!$E$790</f>
        <v>1728</v>
      </c>
      <c r="E187" s="6">
        <v>0</v>
      </c>
      <c r="F187" s="5">
        <f t="shared" si="13"/>
        <v>15886</v>
      </c>
    </row>
    <row r="188" spans="2:6" x14ac:dyDescent="0.3">
      <c r="B188" s="4" t="s">
        <v>234</v>
      </c>
      <c r="C188" s="5">
        <f>'Baseline Emissions'!$E$764</f>
        <v>17614</v>
      </c>
      <c r="D188" s="5">
        <f>'Project Emissions'!$E$790</f>
        <v>1728</v>
      </c>
      <c r="E188" s="6">
        <v>0</v>
      </c>
      <c r="F188" s="5">
        <f t="shared" si="13"/>
        <v>15886</v>
      </c>
    </row>
    <row r="189" spans="2:6" x14ac:dyDescent="0.3">
      <c r="B189" s="4" t="s">
        <v>235</v>
      </c>
      <c r="C189" s="5">
        <f>'Baseline Emissions'!$E$764</f>
        <v>17614</v>
      </c>
      <c r="D189" s="5">
        <f>'Project Emissions'!$E$790</f>
        <v>1728</v>
      </c>
      <c r="E189" s="6">
        <v>0</v>
      </c>
      <c r="F189" s="5">
        <f t="shared" si="13"/>
        <v>15886</v>
      </c>
    </row>
    <row r="190" spans="2:6" x14ac:dyDescent="0.3">
      <c r="B190" s="4" t="s">
        <v>236</v>
      </c>
      <c r="C190" s="5">
        <f>'Baseline Emissions'!$E$764</f>
        <v>17614</v>
      </c>
      <c r="D190" s="5">
        <f>'Project Emissions'!$E$790</f>
        <v>1728</v>
      </c>
      <c r="E190" s="6">
        <v>0</v>
      </c>
      <c r="F190" s="5">
        <f t="shared" si="13"/>
        <v>15886</v>
      </c>
    </row>
    <row r="191" spans="2:6" x14ac:dyDescent="0.3">
      <c r="B191" s="4" t="s">
        <v>237</v>
      </c>
      <c r="C191" s="5">
        <f>'Baseline Emissions'!$E$764</f>
        <v>17614</v>
      </c>
      <c r="D191" s="5">
        <f>'Project Emissions'!$E$790</f>
        <v>1728</v>
      </c>
      <c r="E191" s="6">
        <v>0</v>
      </c>
      <c r="F191" s="5">
        <f t="shared" si="13"/>
        <v>15886</v>
      </c>
    </row>
    <row r="192" spans="2:6" x14ac:dyDescent="0.3">
      <c r="B192" s="4" t="s">
        <v>238</v>
      </c>
      <c r="C192" s="5">
        <f>'Baseline Emissions'!$E$764</f>
        <v>17614</v>
      </c>
      <c r="D192" s="5">
        <f>'Project Emissions'!$E$790</f>
        <v>1728</v>
      </c>
      <c r="E192" s="6">
        <v>0</v>
      </c>
      <c r="F192" s="5">
        <f t="shared" si="13"/>
        <v>15886</v>
      </c>
    </row>
    <row r="193" spans="2:6" x14ac:dyDescent="0.3">
      <c r="B193" s="4" t="s">
        <v>239</v>
      </c>
      <c r="C193" s="5">
        <f>'Baseline Emissions'!$E$764</f>
        <v>17614</v>
      </c>
      <c r="D193" s="5">
        <f>'Project Emissions'!$E$790</f>
        <v>1728</v>
      </c>
      <c r="E193" s="6">
        <v>0</v>
      </c>
      <c r="F193" s="5">
        <f t="shared" si="13"/>
        <v>15886</v>
      </c>
    </row>
    <row r="194" spans="2:6" x14ac:dyDescent="0.3">
      <c r="B194" s="4" t="s">
        <v>240</v>
      </c>
      <c r="C194" s="5">
        <f>'Baseline Emissions'!$E$764</f>
        <v>17614</v>
      </c>
      <c r="D194" s="5">
        <f>'Project Emissions'!$E$790</f>
        <v>1728</v>
      </c>
      <c r="E194" s="6">
        <v>0</v>
      </c>
      <c r="F194" s="5">
        <f t="shared" si="13"/>
        <v>15886</v>
      </c>
    </row>
    <row r="195" spans="2:6" x14ac:dyDescent="0.3">
      <c r="B195" s="107" t="s">
        <v>301</v>
      </c>
      <c r="C195" s="5">
        <f>ROUND(C190*245/365,0)</f>
        <v>11823</v>
      </c>
      <c r="D195" s="5">
        <f>ROUND(D190*245/365,0)</f>
        <v>1160</v>
      </c>
      <c r="E195" s="6">
        <v>0</v>
      </c>
      <c r="F195" s="5">
        <f t="shared" si="13"/>
        <v>10663</v>
      </c>
    </row>
    <row r="196" spans="2:6" ht="18" x14ac:dyDescent="0.3">
      <c r="B196" s="7" t="s">
        <v>205</v>
      </c>
      <c r="C196" s="8">
        <f>SUM(C185:C195)</f>
        <v>175416</v>
      </c>
      <c r="D196" s="8">
        <f>SUM(D185:D195)</f>
        <v>17209</v>
      </c>
      <c r="E196" s="8">
        <f>SUM(E185:E195)</f>
        <v>0</v>
      </c>
      <c r="F196" s="8">
        <f>SUM(F185:F195)</f>
        <v>158207</v>
      </c>
    </row>
    <row r="197" spans="2:6" x14ac:dyDescent="0.3">
      <c r="B197" s="166" t="s">
        <v>297</v>
      </c>
      <c r="C197" s="166"/>
      <c r="D197" s="166"/>
      <c r="E197" s="166"/>
      <c r="F197" s="166"/>
    </row>
    <row r="198" spans="2:6" ht="18" x14ac:dyDescent="0.3">
      <c r="B198" s="3" t="s">
        <v>200</v>
      </c>
      <c r="C198" s="3" t="s">
        <v>201</v>
      </c>
      <c r="D198" s="3" t="s">
        <v>202</v>
      </c>
      <c r="E198" s="3" t="s">
        <v>203</v>
      </c>
      <c r="F198" s="3" t="s">
        <v>204</v>
      </c>
    </row>
    <row r="199" spans="2:6" x14ac:dyDescent="0.3">
      <c r="B199" s="4" t="s">
        <v>313</v>
      </c>
      <c r="C199" s="5">
        <f>ROUND(C203*103/365,0)</f>
        <v>4832</v>
      </c>
      <c r="D199" s="5">
        <f>ROUND(D203*103/365,0)</f>
        <v>487</v>
      </c>
      <c r="E199" s="6">
        <v>0</v>
      </c>
      <c r="F199" s="5">
        <f>C199-D199-E199</f>
        <v>4345</v>
      </c>
    </row>
    <row r="200" spans="2:6" x14ac:dyDescent="0.3">
      <c r="B200" s="4" t="s">
        <v>232</v>
      </c>
      <c r="C200" s="5">
        <f>'Baseline Emissions'!$E$818</f>
        <v>17124</v>
      </c>
      <c r="D200" s="5">
        <f>'Project Emissions'!$E$846</f>
        <v>1726</v>
      </c>
      <c r="E200" s="6">
        <v>0</v>
      </c>
      <c r="F200" s="5">
        <f t="shared" ref="F200:F209" si="14">C200-D200-E200</f>
        <v>15398</v>
      </c>
    </row>
    <row r="201" spans="2:6" x14ac:dyDescent="0.3">
      <c r="B201" s="4" t="s">
        <v>233</v>
      </c>
      <c r="C201" s="5">
        <f>'Baseline Emissions'!$E$818</f>
        <v>17124</v>
      </c>
      <c r="D201" s="5">
        <f>'Project Emissions'!$E$846</f>
        <v>1726</v>
      </c>
      <c r="E201" s="6">
        <v>0</v>
      </c>
      <c r="F201" s="5">
        <f t="shared" si="14"/>
        <v>15398</v>
      </c>
    </row>
    <row r="202" spans="2:6" x14ac:dyDescent="0.3">
      <c r="B202" s="4" t="s">
        <v>234</v>
      </c>
      <c r="C202" s="5">
        <f>'Baseline Emissions'!$E$818</f>
        <v>17124</v>
      </c>
      <c r="D202" s="5">
        <f>'Project Emissions'!$E$846</f>
        <v>1726</v>
      </c>
      <c r="E202" s="6">
        <v>0</v>
      </c>
      <c r="F202" s="5">
        <f t="shared" si="14"/>
        <v>15398</v>
      </c>
    </row>
    <row r="203" spans="2:6" x14ac:dyDescent="0.3">
      <c r="B203" s="4" t="s">
        <v>235</v>
      </c>
      <c r="C203" s="5">
        <f>'Baseline Emissions'!$E$818</f>
        <v>17124</v>
      </c>
      <c r="D203" s="5">
        <f>'Project Emissions'!$E$846</f>
        <v>1726</v>
      </c>
      <c r="E203" s="6">
        <v>0</v>
      </c>
      <c r="F203" s="5">
        <f t="shared" si="14"/>
        <v>15398</v>
      </c>
    </row>
    <row r="204" spans="2:6" x14ac:dyDescent="0.3">
      <c r="B204" s="4" t="s">
        <v>236</v>
      </c>
      <c r="C204" s="5">
        <f>'Baseline Emissions'!$E$818</f>
        <v>17124</v>
      </c>
      <c r="D204" s="5">
        <f>'Project Emissions'!$E$846</f>
        <v>1726</v>
      </c>
      <c r="E204" s="6">
        <v>0</v>
      </c>
      <c r="F204" s="5">
        <f t="shared" si="14"/>
        <v>15398</v>
      </c>
    </row>
    <row r="205" spans="2:6" x14ac:dyDescent="0.3">
      <c r="B205" s="4" t="s">
        <v>237</v>
      </c>
      <c r="C205" s="5">
        <f>'Baseline Emissions'!$E$818</f>
        <v>17124</v>
      </c>
      <c r="D205" s="5">
        <f>'Project Emissions'!$E$846</f>
        <v>1726</v>
      </c>
      <c r="E205" s="6">
        <v>0</v>
      </c>
      <c r="F205" s="5">
        <f t="shared" si="14"/>
        <v>15398</v>
      </c>
    </row>
    <row r="206" spans="2:6" x14ac:dyDescent="0.3">
      <c r="B206" s="4" t="s">
        <v>238</v>
      </c>
      <c r="C206" s="5">
        <f>'Baseline Emissions'!$E$818</f>
        <v>17124</v>
      </c>
      <c r="D206" s="5">
        <f>'Project Emissions'!$E$846</f>
        <v>1726</v>
      </c>
      <c r="E206" s="6">
        <v>0</v>
      </c>
      <c r="F206" s="5">
        <f t="shared" si="14"/>
        <v>15398</v>
      </c>
    </row>
    <row r="207" spans="2:6" x14ac:dyDescent="0.3">
      <c r="B207" s="4" t="s">
        <v>239</v>
      </c>
      <c r="C207" s="5">
        <f>'Baseline Emissions'!$E$818</f>
        <v>17124</v>
      </c>
      <c r="D207" s="5">
        <f>'Project Emissions'!$E$846</f>
        <v>1726</v>
      </c>
      <c r="E207" s="6">
        <v>0</v>
      </c>
      <c r="F207" s="5">
        <f t="shared" si="14"/>
        <v>15398</v>
      </c>
    </row>
    <row r="208" spans="2:6" x14ac:dyDescent="0.3">
      <c r="B208" s="4" t="s">
        <v>240</v>
      </c>
      <c r="C208" s="5">
        <f>'Baseline Emissions'!$E$818</f>
        <v>17124</v>
      </c>
      <c r="D208" s="5">
        <f>'Project Emissions'!$E$846</f>
        <v>1726</v>
      </c>
      <c r="E208" s="6">
        <v>0</v>
      </c>
      <c r="F208" s="5">
        <f t="shared" si="14"/>
        <v>15398</v>
      </c>
    </row>
    <row r="209" spans="2:6" x14ac:dyDescent="0.3">
      <c r="B209" s="107" t="s">
        <v>301</v>
      </c>
      <c r="C209" s="5">
        <f>ROUND(C203*245/365,0)</f>
        <v>11494</v>
      </c>
      <c r="D209" s="5">
        <f>ROUND(D203*245/365,0)</f>
        <v>1159</v>
      </c>
      <c r="E209" s="6">
        <v>0</v>
      </c>
      <c r="F209" s="5">
        <f t="shared" si="14"/>
        <v>10335</v>
      </c>
    </row>
    <row r="210" spans="2:6" ht="18" x14ac:dyDescent="0.3">
      <c r="B210" s="7" t="s">
        <v>205</v>
      </c>
      <c r="C210" s="8">
        <f>SUM(C199:C209)</f>
        <v>170442</v>
      </c>
      <c r="D210" s="8">
        <f>SUM(D199:D209)</f>
        <v>17180</v>
      </c>
      <c r="E210" s="8">
        <f>SUM(E199:E209)</f>
        <v>0</v>
      </c>
      <c r="F210" s="8">
        <f>SUM(F199:F209)</f>
        <v>153262</v>
      </c>
    </row>
    <row r="211" spans="2:6" x14ac:dyDescent="0.3">
      <c r="B211" s="166" t="s">
        <v>298</v>
      </c>
      <c r="C211" s="166"/>
      <c r="D211" s="166"/>
      <c r="E211" s="166"/>
      <c r="F211" s="166"/>
    </row>
    <row r="212" spans="2:6" ht="18" x14ac:dyDescent="0.3">
      <c r="B212" s="3" t="s">
        <v>200</v>
      </c>
      <c r="C212" s="3" t="s">
        <v>201</v>
      </c>
      <c r="D212" s="3" t="s">
        <v>202</v>
      </c>
      <c r="E212" s="3" t="s">
        <v>203</v>
      </c>
      <c r="F212" s="3" t="s">
        <v>204</v>
      </c>
    </row>
    <row r="213" spans="2:6" x14ac:dyDescent="0.3">
      <c r="B213" s="4" t="s">
        <v>309</v>
      </c>
      <c r="C213" s="5">
        <f>ROUND(C218*114/365,0)</f>
        <v>990</v>
      </c>
      <c r="D213" s="5">
        <f>ROUND(D218*114/365,0)</f>
        <v>117</v>
      </c>
      <c r="E213" s="6">
        <v>0</v>
      </c>
      <c r="F213" s="5">
        <f>C213-D213-E213</f>
        <v>873</v>
      </c>
    </row>
    <row r="214" spans="2:6" x14ac:dyDescent="0.3">
      <c r="B214" s="4" t="s">
        <v>232</v>
      </c>
      <c r="C214" s="5">
        <f>'Baseline Emissions'!$E$872</f>
        <v>3169</v>
      </c>
      <c r="D214" s="5">
        <f>'Project Emissions'!$E$902</f>
        <v>374</v>
      </c>
      <c r="E214" s="6">
        <v>0</v>
      </c>
      <c r="F214" s="5">
        <f t="shared" ref="F214:F223" si="15">C214-D214-E214</f>
        <v>2795</v>
      </c>
    </row>
    <row r="215" spans="2:6" x14ac:dyDescent="0.3">
      <c r="B215" s="4" t="s">
        <v>233</v>
      </c>
      <c r="C215" s="5">
        <f>'Baseline Emissions'!$E$872</f>
        <v>3169</v>
      </c>
      <c r="D215" s="5">
        <f>'Project Emissions'!$E$902</f>
        <v>374</v>
      </c>
      <c r="E215" s="6">
        <v>0</v>
      </c>
      <c r="F215" s="5">
        <f t="shared" si="15"/>
        <v>2795</v>
      </c>
    </row>
    <row r="216" spans="2:6" x14ac:dyDescent="0.3">
      <c r="B216" s="4" t="s">
        <v>234</v>
      </c>
      <c r="C216" s="5">
        <f>'Baseline Emissions'!$E$872</f>
        <v>3169</v>
      </c>
      <c r="D216" s="5">
        <f>'Project Emissions'!$E$902</f>
        <v>374</v>
      </c>
      <c r="E216" s="6">
        <v>0</v>
      </c>
      <c r="F216" s="5">
        <f t="shared" si="15"/>
        <v>2795</v>
      </c>
    </row>
    <row r="217" spans="2:6" x14ac:dyDescent="0.3">
      <c r="B217" s="4" t="s">
        <v>235</v>
      </c>
      <c r="C217" s="5">
        <f>'Baseline Emissions'!$E$872</f>
        <v>3169</v>
      </c>
      <c r="D217" s="5">
        <f>'Project Emissions'!$E$902</f>
        <v>374</v>
      </c>
      <c r="E217" s="6">
        <v>0</v>
      </c>
      <c r="F217" s="5">
        <f t="shared" si="15"/>
        <v>2795</v>
      </c>
    </row>
    <row r="218" spans="2:6" x14ac:dyDescent="0.3">
      <c r="B218" s="4" t="s">
        <v>236</v>
      </c>
      <c r="C218" s="5">
        <f>'Baseline Emissions'!$E$872</f>
        <v>3169</v>
      </c>
      <c r="D218" s="5">
        <f>'Project Emissions'!$E$902</f>
        <v>374</v>
      </c>
      <c r="E218" s="6">
        <v>0</v>
      </c>
      <c r="F218" s="5">
        <f t="shared" si="15"/>
        <v>2795</v>
      </c>
    </row>
    <row r="219" spans="2:6" x14ac:dyDescent="0.3">
      <c r="B219" s="4" t="s">
        <v>237</v>
      </c>
      <c r="C219" s="5">
        <f>'Baseline Emissions'!$E$872</f>
        <v>3169</v>
      </c>
      <c r="D219" s="5">
        <f>'Project Emissions'!$E$902</f>
        <v>374</v>
      </c>
      <c r="E219" s="6">
        <v>0</v>
      </c>
      <c r="F219" s="5">
        <f t="shared" si="15"/>
        <v>2795</v>
      </c>
    </row>
    <row r="220" spans="2:6" x14ac:dyDescent="0.3">
      <c r="B220" s="4" t="s">
        <v>238</v>
      </c>
      <c r="C220" s="5">
        <f>'Baseline Emissions'!$E$872</f>
        <v>3169</v>
      </c>
      <c r="D220" s="5">
        <f>'Project Emissions'!$E$902</f>
        <v>374</v>
      </c>
      <c r="E220" s="6">
        <v>0</v>
      </c>
      <c r="F220" s="5">
        <f t="shared" si="15"/>
        <v>2795</v>
      </c>
    </row>
    <row r="221" spans="2:6" x14ac:dyDescent="0.3">
      <c r="B221" s="4" t="s">
        <v>239</v>
      </c>
      <c r="C221" s="5">
        <f>'Baseline Emissions'!$E$872</f>
        <v>3169</v>
      </c>
      <c r="D221" s="5">
        <f>'Project Emissions'!$E$902</f>
        <v>374</v>
      </c>
      <c r="E221" s="6">
        <v>0</v>
      </c>
      <c r="F221" s="5">
        <f t="shared" si="15"/>
        <v>2795</v>
      </c>
    </row>
    <row r="222" spans="2:6" x14ac:dyDescent="0.3">
      <c r="B222" s="4" t="s">
        <v>240</v>
      </c>
      <c r="C222" s="5">
        <f>'Baseline Emissions'!$E$872</f>
        <v>3169</v>
      </c>
      <c r="D222" s="5">
        <f>'Project Emissions'!$E$902</f>
        <v>374</v>
      </c>
      <c r="E222" s="6">
        <v>0</v>
      </c>
      <c r="F222" s="5">
        <f t="shared" si="15"/>
        <v>2795</v>
      </c>
    </row>
    <row r="223" spans="2:6" x14ac:dyDescent="0.3">
      <c r="B223" s="107" t="s">
        <v>301</v>
      </c>
      <c r="C223" s="5">
        <f>ROUND(C218*245/365,0)</f>
        <v>2127</v>
      </c>
      <c r="D223" s="5">
        <f>ROUND(D218*245/365,0)</f>
        <v>251</v>
      </c>
      <c r="E223" s="6">
        <v>0</v>
      </c>
      <c r="F223" s="5">
        <f t="shared" si="15"/>
        <v>1876</v>
      </c>
    </row>
    <row r="224" spans="2:6" ht="18" x14ac:dyDescent="0.3">
      <c r="B224" s="7" t="s">
        <v>205</v>
      </c>
      <c r="C224" s="8">
        <f>SUM(C213:C223)</f>
        <v>31638</v>
      </c>
      <c r="D224" s="8">
        <f>SUM(D213:D223)</f>
        <v>3734</v>
      </c>
      <c r="E224" s="8">
        <f>SUM(E213:E223)</f>
        <v>0</v>
      </c>
      <c r="F224" s="8">
        <f>SUM(F213:F223)</f>
        <v>27904</v>
      </c>
    </row>
    <row r="227" spans="2:6" x14ac:dyDescent="0.3">
      <c r="B227" s="167" t="s">
        <v>314</v>
      </c>
      <c r="C227" s="167"/>
      <c r="D227" s="167"/>
      <c r="E227" s="167"/>
      <c r="F227" s="167"/>
    </row>
    <row r="228" spans="2:6" ht="18" x14ac:dyDescent="0.3">
      <c r="B228" s="3" t="s">
        <v>200</v>
      </c>
      <c r="C228" s="3" t="s">
        <v>201</v>
      </c>
      <c r="D228" s="3" t="s">
        <v>202</v>
      </c>
      <c r="E228" s="3" t="s">
        <v>203</v>
      </c>
      <c r="F228" s="3" t="s">
        <v>204</v>
      </c>
    </row>
    <row r="229" spans="2:6" x14ac:dyDescent="0.3">
      <c r="B229" s="4" t="s">
        <v>300</v>
      </c>
      <c r="C229" s="5">
        <f>C213+C199+C185+C171+C157+C143+C129+C115+C101+C87+C73+C59+C45+C31+C17+C3</f>
        <v>28391</v>
      </c>
      <c r="D229" s="5">
        <f>D213+D199+D185+D171+D157+D143+D129+D115+D101+D87+D73+D59+D45+D31+D17+D3</f>
        <v>3560</v>
      </c>
      <c r="E229" s="5">
        <f>E213+E199+E185+E171+E157+E143+E129+E115+E101+E87+E73+E59+E45+E31+E17+E3</f>
        <v>0</v>
      </c>
      <c r="F229" s="5">
        <f>C229-D229-E229</f>
        <v>24831</v>
      </c>
    </row>
    <row r="230" spans="2:6" x14ac:dyDescent="0.3">
      <c r="B230" s="4" t="s">
        <v>232</v>
      </c>
      <c r="C230" s="5">
        <f t="shared" ref="C230:E239" si="16">C214+C200+C186+C172+C158+C144+C130+C116+C102+C88+C74+C60+C46+C32+C18+C4</f>
        <v>95176</v>
      </c>
      <c r="D230" s="5">
        <f t="shared" si="16"/>
        <v>11880</v>
      </c>
      <c r="E230" s="5">
        <f t="shared" si="16"/>
        <v>0</v>
      </c>
      <c r="F230" s="5">
        <f t="shared" ref="F230:F239" si="17">C230-D230-E230</f>
        <v>83296</v>
      </c>
    </row>
    <row r="231" spans="2:6" x14ac:dyDescent="0.3">
      <c r="B231" s="4" t="s">
        <v>233</v>
      </c>
      <c r="C231" s="5">
        <f t="shared" si="16"/>
        <v>95176</v>
      </c>
      <c r="D231" s="5">
        <f t="shared" si="16"/>
        <v>11880</v>
      </c>
      <c r="E231" s="5">
        <f t="shared" si="16"/>
        <v>0</v>
      </c>
      <c r="F231" s="5">
        <f>C231-D231-E231</f>
        <v>83296</v>
      </c>
    </row>
    <row r="232" spans="2:6" x14ac:dyDescent="0.3">
      <c r="B232" s="4" t="s">
        <v>234</v>
      </c>
      <c r="C232" s="5">
        <f t="shared" si="16"/>
        <v>95176</v>
      </c>
      <c r="D232" s="5">
        <f t="shared" si="16"/>
        <v>11880</v>
      </c>
      <c r="E232" s="5">
        <f t="shared" si="16"/>
        <v>0</v>
      </c>
      <c r="F232" s="5">
        <f t="shared" si="17"/>
        <v>83296</v>
      </c>
    </row>
    <row r="233" spans="2:6" x14ac:dyDescent="0.3">
      <c r="B233" s="4" t="s">
        <v>235</v>
      </c>
      <c r="C233" s="5">
        <f t="shared" si="16"/>
        <v>95176</v>
      </c>
      <c r="D233" s="5">
        <f t="shared" si="16"/>
        <v>11880</v>
      </c>
      <c r="E233" s="5">
        <f t="shared" si="16"/>
        <v>0</v>
      </c>
      <c r="F233" s="5">
        <f t="shared" si="17"/>
        <v>83296</v>
      </c>
    </row>
    <row r="234" spans="2:6" x14ac:dyDescent="0.3">
      <c r="B234" s="4" t="s">
        <v>236</v>
      </c>
      <c r="C234" s="5">
        <f t="shared" si="16"/>
        <v>95176</v>
      </c>
      <c r="D234" s="5">
        <f t="shared" si="16"/>
        <v>11880</v>
      </c>
      <c r="E234" s="5">
        <f t="shared" si="16"/>
        <v>0</v>
      </c>
      <c r="F234" s="5">
        <f t="shared" si="17"/>
        <v>83296</v>
      </c>
    </row>
    <row r="235" spans="2:6" x14ac:dyDescent="0.3">
      <c r="B235" s="4" t="s">
        <v>237</v>
      </c>
      <c r="C235" s="5">
        <f t="shared" si="16"/>
        <v>95176</v>
      </c>
      <c r="D235" s="5">
        <f t="shared" si="16"/>
        <v>11880</v>
      </c>
      <c r="E235" s="5">
        <f t="shared" si="16"/>
        <v>0</v>
      </c>
      <c r="F235" s="5">
        <f t="shared" si="17"/>
        <v>83296</v>
      </c>
    </row>
    <row r="236" spans="2:6" x14ac:dyDescent="0.3">
      <c r="B236" s="4" t="s">
        <v>238</v>
      </c>
      <c r="C236" s="5">
        <f t="shared" si="16"/>
        <v>95176</v>
      </c>
      <c r="D236" s="5">
        <f t="shared" si="16"/>
        <v>11880</v>
      </c>
      <c r="E236" s="5">
        <f t="shared" si="16"/>
        <v>0</v>
      </c>
      <c r="F236" s="5">
        <f t="shared" si="17"/>
        <v>83296</v>
      </c>
    </row>
    <row r="237" spans="2:6" x14ac:dyDescent="0.3">
      <c r="B237" s="4" t="s">
        <v>239</v>
      </c>
      <c r="C237" s="5">
        <f t="shared" si="16"/>
        <v>95176</v>
      </c>
      <c r="D237" s="5">
        <f t="shared" si="16"/>
        <v>11880</v>
      </c>
      <c r="E237" s="5">
        <f t="shared" si="16"/>
        <v>0</v>
      </c>
      <c r="F237" s="5">
        <f t="shared" si="17"/>
        <v>83296</v>
      </c>
    </row>
    <row r="238" spans="2:6" x14ac:dyDescent="0.3">
      <c r="B238" s="4" t="s">
        <v>240</v>
      </c>
      <c r="C238" s="5">
        <f t="shared" si="16"/>
        <v>95176</v>
      </c>
      <c r="D238" s="5">
        <f t="shared" si="16"/>
        <v>11880</v>
      </c>
      <c r="E238" s="5">
        <f t="shared" si="16"/>
        <v>0</v>
      </c>
      <c r="F238" s="5">
        <f t="shared" si="17"/>
        <v>83296</v>
      </c>
    </row>
    <row r="239" spans="2:6" x14ac:dyDescent="0.3">
      <c r="B239" s="4" t="s">
        <v>301</v>
      </c>
      <c r="C239" s="5">
        <f t="shared" si="16"/>
        <v>63886</v>
      </c>
      <c r="D239" s="5">
        <f t="shared" si="16"/>
        <v>7961</v>
      </c>
      <c r="E239" s="5">
        <f t="shared" si="16"/>
        <v>0</v>
      </c>
      <c r="F239" s="5">
        <f t="shared" si="17"/>
        <v>55925</v>
      </c>
    </row>
    <row r="240" spans="2:6" ht="18" x14ac:dyDescent="0.3">
      <c r="B240" s="7" t="s">
        <v>205</v>
      </c>
      <c r="C240" s="8">
        <f>SUM(C229:C239)</f>
        <v>948861</v>
      </c>
      <c r="D240" s="8">
        <f>SUM(D229:D239)</f>
        <v>118441</v>
      </c>
      <c r="E240" s="8">
        <f>SUM(E229:E239)</f>
        <v>0</v>
      </c>
      <c r="F240" s="8">
        <f>SUM(F229:F239)</f>
        <v>830420</v>
      </c>
    </row>
  </sheetData>
  <mergeCells count="17">
    <mergeCell ref="B155:F155"/>
    <mergeCell ref="B1:F1"/>
    <mergeCell ref="B15:F15"/>
    <mergeCell ref="B29:F29"/>
    <mergeCell ref="B43:F43"/>
    <mergeCell ref="B57:F57"/>
    <mergeCell ref="B71:F71"/>
    <mergeCell ref="B85:F85"/>
    <mergeCell ref="B99:F99"/>
    <mergeCell ref="B113:F113"/>
    <mergeCell ref="B127:F127"/>
    <mergeCell ref="B141:F141"/>
    <mergeCell ref="B169:F169"/>
    <mergeCell ref="B183:F183"/>
    <mergeCell ref="B197:F197"/>
    <mergeCell ref="B211:F211"/>
    <mergeCell ref="B227:F227"/>
  </mergeCells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Cover Page</vt:lpstr>
      <vt:lpstr>Baseline Emissions</vt:lpstr>
      <vt:lpstr>Project Emissions</vt:lpstr>
      <vt:lpstr>Emission Reductions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aborde</dc:creator>
  <cp:lastModifiedBy>林一</cp:lastModifiedBy>
  <cp:lastPrinted>2010-08-16T14:50:00Z</cp:lastPrinted>
  <dcterms:created xsi:type="dcterms:W3CDTF">2010-07-29T15:57:00Z</dcterms:created>
  <dcterms:modified xsi:type="dcterms:W3CDTF">2023-02-19T13:49:16Z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90FE29D168534428BFC33550A8DF758F</vt:lpwstr>
  </property>
  <property fmtid="{D5CDD505-2E9C-101B-9397-08002B2CF9AE}" pid="3" name="KSOProductBuildVer">
    <vt:lpwstr>2052-11.1.0.11115</vt:lpwstr>
  </property>
</Properties>
</file>