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GS1247 - IKR/11. Zambia/7_Verification/Review/MP2/Verification/R3/"/>
    </mc:Choice>
  </mc:AlternateContent>
  <xr:revisionPtr revIDLastSave="676" documentId="13_ncr:1_{E7319F81-B467-4965-B216-3C80B8AE7BF7}" xr6:coauthVersionLast="47" xr6:coauthVersionMax="47" xr10:uidLastSave="{B6992E30-0C9F-4622-AE86-C3D59F684C15}"/>
  <bookViews>
    <workbookView xWindow="-120" yWindow="-120" windowWidth="20730" windowHeight="11160" firstSheet="1" activeTab="4" xr2:uid="{FE331768-4FE1-4A0F-B3F1-6D78FBC55F98}"/>
  </bookViews>
  <sheets>
    <sheet name="Summary" sheetId="11" r:id="rId1"/>
    <sheet name="ER Calcs" sheetId="3" r:id="rId2"/>
    <sheet name="PTDs" sheetId="2" r:id="rId3"/>
    <sheet name="Downdays Summary" sheetId="15" r:id="rId4"/>
    <sheet name="SDG Calcs" sheetId="1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" i="3" l="1"/>
  <c r="O7" i="2"/>
  <c r="O5" i="2"/>
  <c r="O3" i="2"/>
  <c r="V3" i="2" l="1"/>
  <c r="O12" i="2"/>
  <c r="O11" i="2"/>
  <c r="O10" i="2"/>
  <c r="O9" i="2"/>
  <c r="O8" i="2"/>
  <c r="O6" i="2"/>
  <c r="O4" i="2"/>
  <c r="T5" i="2"/>
  <c r="T4" i="2"/>
  <c r="T3" i="2"/>
  <c r="U4" i="15" l="1"/>
  <c r="T4" i="15"/>
  <c r="T12" i="2" l="1"/>
  <c r="T6" i="2"/>
  <c r="T7" i="2"/>
  <c r="T8" i="2"/>
  <c r="T9" i="2"/>
  <c r="T10" i="2"/>
  <c r="T11" i="2"/>
  <c r="S4" i="2"/>
  <c r="S5" i="2"/>
  <c r="S6" i="2"/>
  <c r="S7" i="2"/>
  <c r="S8" i="2"/>
  <c r="S9" i="2"/>
  <c r="S10" i="2"/>
  <c r="S11" i="2"/>
  <c r="S12" i="2"/>
  <c r="S3" i="2"/>
  <c r="R5" i="2"/>
  <c r="R6" i="2"/>
  <c r="R7" i="2"/>
  <c r="R8" i="2"/>
  <c r="R9" i="2"/>
  <c r="R10" i="2"/>
  <c r="R11" i="2"/>
  <c r="R12" i="2"/>
  <c r="R4" i="2"/>
  <c r="Q12" i="2"/>
  <c r="Q11" i="2"/>
  <c r="C22" i="2"/>
  <c r="Q9" i="2" s="1"/>
  <c r="Q10" i="2"/>
  <c r="Q7" i="2"/>
  <c r="Q6" i="2"/>
  <c r="Q3" i="2"/>
  <c r="N4" i="2"/>
  <c r="N5" i="2"/>
  <c r="N6" i="2"/>
  <c r="N7" i="2"/>
  <c r="N8" i="2"/>
  <c r="N9" i="2"/>
  <c r="N10" i="2"/>
  <c r="N11" i="2"/>
  <c r="N12" i="2"/>
  <c r="N3" i="2"/>
  <c r="M5" i="2"/>
  <c r="M6" i="2"/>
  <c r="M7" i="2"/>
  <c r="M8" i="2"/>
  <c r="M9" i="2"/>
  <c r="M10" i="2"/>
  <c r="M11" i="2"/>
  <c r="M12" i="2"/>
  <c r="M4" i="2"/>
  <c r="L12" i="2"/>
  <c r="L11" i="2"/>
  <c r="L10" i="2"/>
  <c r="L9" i="2"/>
  <c r="L8" i="2"/>
  <c r="L7" i="2"/>
  <c r="L6" i="2"/>
  <c r="L5" i="2"/>
  <c r="L4" i="2"/>
  <c r="L3" i="2"/>
  <c r="V4" i="15"/>
  <c r="V15" i="15" s="1"/>
  <c r="C9" i="10"/>
  <c r="T15" i="15"/>
  <c r="U15" i="15"/>
  <c r="V7" i="15"/>
  <c r="V8" i="15"/>
  <c r="V9" i="15"/>
  <c r="V10" i="15"/>
  <c r="V11" i="15"/>
  <c r="V12" i="15"/>
  <c r="V13" i="15"/>
  <c r="V14" i="15"/>
  <c r="V6" i="15"/>
  <c r="J9" i="11"/>
  <c r="F21" i="2"/>
  <c r="J8" i="2"/>
  <c r="J9" i="2"/>
  <c r="J10" i="2"/>
  <c r="J11" i="2"/>
  <c r="J12" i="2"/>
  <c r="J4" i="2"/>
  <c r="J29" i="3"/>
  <c r="O29" i="3" s="1"/>
  <c r="Q4" i="2" l="1"/>
  <c r="Q8" i="2"/>
  <c r="Q5" i="2"/>
  <c r="I21" i="2"/>
  <c r="G21" i="2"/>
  <c r="H21" i="2" s="1"/>
  <c r="J21" i="2" s="1"/>
  <c r="J13" i="2"/>
  <c r="C5" i="10"/>
  <c r="J35" i="3"/>
  <c r="O35" i="3"/>
  <c r="J34" i="3"/>
  <c r="O34" i="3"/>
  <c r="C3" i="10"/>
  <c r="C16" i="10"/>
  <c r="C20" i="2"/>
  <c r="I13" i="2"/>
  <c r="C25" i="2" s="1"/>
  <c r="C26" i="2" s="1"/>
  <c r="E28" i="11"/>
  <c r="E27" i="11"/>
  <c r="E24" i="11"/>
  <c r="E14" i="11"/>
  <c r="E13" i="11"/>
  <c r="E10" i="11"/>
  <c r="E9" i="11"/>
  <c r="E23" i="11"/>
  <c r="O8" i="3"/>
  <c r="O7" i="3"/>
  <c r="O15" i="3" s="1"/>
  <c r="O5" i="3"/>
  <c r="J9" i="3"/>
  <c r="O9" i="3"/>
  <c r="J8" i="3"/>
  <c r="J7" i="3"/>
  <c r="J15" i="3"/>
  <c r="J5" i="3"/>
  <c r="O13" i="3"/>
  <c r="J13" i="3"/>
  <c r="E13" i="3"/>
  <c r="E15" i="3"/>
  <c r="C14" i="10"/>
  <c r="I22" i="2" l="1"/>
  <c r="F22" i="2"/>
  <c r="C23" i="2"/>
  <c r="O13" i="2" l="1"/>
  <c r="J6" i="3" s="1"/>
  <c r="F24" i="2"/>
  <c r="G24" i="2" s="1"/>
  <c r="G22" i="2"/>
  <c r="H22" i="2" s="1"/>
  <c r="J22" i="2" s="1"/>
  <c r="V4" i="2" l="1"/>
  <c r="V5" i="2"/>
  <c r="V6" i="2"/>
  <c r="V7" i="2"/>
  <c r="V8" i="2"/>
  <c r="V9" i="2"/>
  <c r="V10" i="2"/>
  <c r="V11" i="2"/>
  <c r="V12" i="2"/>
  <c r="J14" i="3"/>
  <c r="J18" i="3" s="1"/>
  <c r="J28" i="3" s="1"/>
  <c r="E8" i="11" s="1"/>
  <c r="J10" i="3"/>
  <c r="J27" i="3" s="1"/>
  <c r="V13" i="2" l="1"/>
  <c r="E6" i="3" s="1"/>
  <c r="E10" i="3" s="1"/>
  <c r="E27" i="3" s="1"/>
  <c r="T13" i="2"/>
  <c r="O6" i="3" s="1"/>
  <c r="J31" i="3"/>
  <c r="E7" i="11"/>
  <c r="O10" i="3" l="1"/>
  <c r="O27" i="3" s="1"/>
  <c r="O14" i="3"/>
  <c r="O18" i="3" s="1"/>
  <c r="O28" i="3" s="1"/>
  <c r="E22" i="11" s="1"/>
  <c r="E14" i="3"/>
  <c r="E18" i="3" s="1"/>
  <c r="E28" i="3" s="1"/>
  <c r="E31" i="3" s="1"/>
  <c r="J36" i="3"/>
  <c r="E11" i="11"/>
  <c r="J38" i="3" l="1"/>
  <c r="E21" i="11"/>
  <c r="O31" i="3"/>
  <c r="E15" i="11"/>
  <c r="E17" i="11" l="1"/>
  <c r="E35" i="11" s="1"/>
  <c r="E38" i="3"/>
  <c r="O36" i="3"/>
  <c r="E25" i="11"/>
  <c r="K7" i="11"/>
  <c r="E29" i="11" l="1"/>
  <c r="O38" i="3"/>
  <c r="E31" i="11" l="1"/>
  <c r="E36" i="11" s="1"/>
  <c r="K8" i="11" l="1"/>
  <c r="K9" i="11" s="1"/>
  <c r="E37" i="11"/>
  <c r="C20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tc={EAC074B0-B859-4B84-AC60-20EABF18D917}</author>
    <author>tc={73071404-9D90-4082-8212-DF9ED28121AF}</author>
    <author>tc={DE093842-0C0D-49D7-B805-3CC1EFCA30AE}</author>
  </authors>
  <commentList>
    <comment ref="E29" authorId="0" shapeId="0" xr:uid="{EAC074B0-B859-4B84-AC60-20EABF18D917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95%</t>
      </text>
    </comment>
    <comment ref="J29" authorId="1" shapeId="0" xr:uid="{73071404-9D90-4082-8212-DF9ED28121AF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95%</t>
      </text>
    </comment>
    <comment ref="O29" authorId="2" shapeId="0" xr:uid="{DE093842-0C0D-49D7-B805-3CC1EFCA30AE}">
      <text>
        <t>[Threaded comment]
Your version of Excel allows you to read this threaded comment; however, any edits to it will get removed if the file is opened in a newer version of Excel. Learn more: https://go.microsoft.com/fwlink/?linkid=870924
Comment:
    Capped 95%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tc={D80747FC-FE01-4DF2-8B9A-A918DE10FDAA}</author>
    <author>tc={FD7C11F2-6D95-4D29-B055-B6D5F343BDBC}</author>
    <author>tc={41ED6DEB-9784-4572-A0BA-F2179D6E3F0B}</author>
    <author>tc={523CB30B-FBD7-4EE3-B437-77CEE456DA46}</author>
    <author>tc={5EC27837-D448-4AEB-87EF-2146A315EE8E}</author>
    <author>tc={B64AD6C2-9993-4BD5-A11F-7204756BB8BC}</author>
    <author>tc={34FF18D1-DA94-4634-BF0D-841EBCA6B76D}</author>
    <author>tc={B2230ECB-9EDF-4053-B485-5C50917E0056}</author>
    <author>tc={7B385C73-A52A-4598-9A9C-275581E0A9EE}</author>
  </authors>
  <commentList>
    <comment ref="C4" authorId="0" shapeId="0" xr:uid="{D80747FC-FE01-4DF2-8B9A-A918DE10FDAA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no. people using the borehole's in this VPA, capped at 300 people per BH</t>
      </text>
    </comment>
    <comment ref="C5" authorId="1" shapeId="0" xr:uid="{FD7C11F2-6D95-4D29-B055-B6D5F343BDBC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Baseline Survey</t>
      </text>
    </comment>
    <comment ref="C6" authorId="2" shapeId="0" xr:uid="{41ED6DEB-9784-4572-A0BA-F2179D6E3F0B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Baseline Survey</t>
      </text>
    </comment>
    <comment ref="C10" authorId="3" shapeId="0" xr:uid="{523CB30B-FBD7-4EE3-B437-77CEE456DA46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Baseline Survey</t>
      </text>
    </comment>
    <comment ref="C11" authorId="4" shapeId="0" xr:uid="{5EC27837-D448-4AEB-87EF-2146A315EE8E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Project Survey from MP2</t>
      </text>
    </comment>
    <comment ref="C15" authorId="5" shapeId="0" xr:uid="{B64AD6C2-9993-4BD5-A11F-7204756BB8BC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no. people using the borehole's in this VPA, capped at 300 people per BH</t>
      </text>
    </comment>
    <comment ref="C16" authorId="6" shapeId="0" xr:uid="{34FF18D1-DA94-4634-BF0D-841EBCA6B76D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Baseline Survey</t>
      </text>
    </comment>
    <comment ref="C17" authorId="7" shapeId="0" xr:uid="{B2230ECB-9EDF-4053-B485-5C50917E0056}">
      <text>
        <t>[Threaded comment]
Your version of Excel allows you to read this threaded comment; however, any edits to it will get removed if the file is opened in a newer version of Excel. Learn more: https://go.microsoft.com/fwlink/?linkid=870924
Comment:
    Usage Survey from MP1</t>
      </text>
    </comment>
    <comment ref="C20" authorId="8" shapeId="0" xr:uid="{7B385C73-A52A-4598-9A9C-275581E0A9EE}">
      <text>
        <t>[Threaded comment]
Your version of Excel allows you to read this threaded comment; however, any edits to it will get removed if the file is opened in a newer version of Excel. Learn more: https://go.microsoft.com/fwlink/?linkid=870924
Comment:
    ERs from MP2. See breakdown in ER Calcs tab</t>
      </text>
    </comment>
  </commentList>
</comments>
</file>

<file path=xl/sharedStrings.xml><?xml version="1.0" encoding="utf-8"?>
<sst xmlns="http://schemas.openxmlformats.org/spreadsheetml/2006/main" count="471" uniqueCount="188">
  <si>
    <t>Emission Reductions - 16/08/20 - 15/08/21</t>
  </si>
  <si>
    <t>ERs_by Vintage</t>
  </si>
  <si>
    <t>2020 Emission Reductions</t>
  </si>
  <si>
    <t>Emission Reductions by Vintage-Capped</t>
  </si>
  <si>
    <t>Emissions Reductions</t>
  </si>
  <si>
    <t>Year</t>
  </si>
  <si>
    <t>MP1</t>
  </si>
  <si>
    <t>MP2</t>
  </si>
  <si>
    <t>N/A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</si>
  <si>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</si>
  <si>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</si>
  <si>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</si>
  <si>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</si>
  <si>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</si>
  <si>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</si>
  <si>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</si>
  <si>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fraction</t>
  </si>
  <si>
    <t>Total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</si>
  <si>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</si>
  <si>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</si>
  <si>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</si>
  <si>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</si>
  <si>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</si>
  <si>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</si>
  <si>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</si>
  <si>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t>Xboil</t>
  </si>
  <si>
    <t>Percentage</t>
  </si>
  <si>
    <t>ERy</t>
  </si>
  <si>
    <t>Capped ERs</t>
  </si>
  <si>
    <t xml:space="preserve">Capped Emission Reductions </t>
  </si>
  <si>
    <t>2021 Emission Reductions</t>
  </si>
  <si>
    <t>Total Capped ERs for MP2</t>
  </si>
  <si>
    <t>Total ERs for MP2</t>
  </si>
  <si>
    <t>Total Emission Reductions</t>
  </si>
  <si>
    <t>Baseline Fuel Use (Bby)</t>
  </si>
  <si>
    <t>Expressed as a percentage, the portion of users of the project technology j who in the baseline were already consuming safe water without boiling it</t>
  </si>
  <si>
    <t>Cj</t>
  </si>
  <si>
    <t>Number of persons consuming water supplied by project scenario p through year y</t>
  </si>
  <si>
    <t>Njy</t>
  </si>
  <si>
    <t>Fuel to treat  1 litre of water using baseline tech</t>
  </si>
  <si>
    <t>Wb,y</t>
  </si>
  <si>
    <t>T/L</t>
  </si>
  <si>
    <t>Quantity safe water litres consumed in project scenario supplied by project technology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</si>
  <si>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</si>
  <si>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</si>
  <si>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</si>
  <si>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</si>
  <si>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</si>
  <si>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</si>
  <si>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</si>
  <si>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</si>
  <si>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Fossil fuel required to treat 1 litre for water in project scenario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</si>
  <si>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</si>
  <si>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</si>
  <si>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</si>
  <si>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</si>
  <si>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</si>
  <si>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</si>
  <si>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</si>
  <si>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</si>
  <si>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</si>
  <si>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</si>
  <si>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</si>
  <si>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</si>
  <si>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</si>
  <si>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</si>
  <si>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</si>
  <si>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</si>
  <si>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</si>
  <si>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</si>
  <si>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 Reductions Corrected for Suppressed Demand</t>
  </si>
  <si>
    <t>Capped Emission Reductions</t>
  </si>
  <si>
    <t>Capped Emission Reductions (daily cap)</t>
  </si>
  <si>
    <t>GS ID</t>
  </si>
  <si>
    <t>Borehole ID</t>
  </si>
  <si>
    <t>Village</t>
  </si>
  <si>
    <t>Latitude</t>
  </si>
  <si>
    <t>Longitude</t>
  </si>
  <si>
    <t>Rehabilitation Date</t>
  </si>
  <si>
    <t>No. HHs</t>
  </si>
  <si>
    <t>No. People</t>
  </si>
  <si>
    <t>Capped People</t>
  </si>
  <si>
    <t>Days Crediting</t>
  </si>
  <si>
    <t>Non-functioning Days</t>
  </si>
  <si>
    <t>Final Crediting Days</t>
  </si>
  <si>
    <t>2020 PTDS</t>
  </si>
  <si>
    <t>2021 PTDs</t>
  </si>
  <si>
    <t>Total MP2 PTDs</t>
  </si>
  <si>
    <t>GS7459</t>
  </si>
  <si>
    <t>LUN 015</t>
  </si>
  <si>
    <t xml:space="preserve">Kanyonge </t>
  </si>
  <si>
    <t>LUN 016</t>
  </si>
  <si>
    <t xml:space="preserve">Wadilika </t>
  </si>
  <si>
    <t>LUN 020</t>
  </si>
  <si>
    <t>Chikhumbi</t>
  </si>
  <si>
    <t>LUN 026</t>
  </si>
  <si>
    <t xml:space="preserve">Mukasanga </t>
  </si>
  <si>
    <t>LUN 028</t>
  </si>
  <si>
    <t xml:space="preserve">Chongo </t>
  </si>
  <si>
    <t>LUN 036</t>
  </si>
  <si>
    <t>Chikuba</t>
  </si>
  <si>
    <t>LUN 038</t>
  </si>
  <si>
    <t>Chaguza</t>
  </si>
  <si>
    <t>LUN 039</t>
  </si>
  <si>
    <t>Jenda</t>
  </si>
  <si>
    <t>LUN 043</t>
  </si>
  <si>
    <t xml:space="preserve">Janalume </t>
  </si>
  <si>
    <t>LUN 048</t>
  </si>
  <si>
    <t>Chaska</t>
  </si>
  <si>
    <t>Date</t>
  </si>
  <si>
    <t>MP2 Start</t>
  </si>
  <si>
    <t>MP2 End</t>
  </si>
  <si>
    <t>2020 End</t>
  </si>
  <si>
    <t xml:space="preserve">Functionality Assessment and Cap </t>
  </si>
  <si>
    <t>MP2 Crediting Days</t>
  </si>
  <si>
    <t>Total potential MP2 days per VPA</t>
  </si>
  <si>
    <t>Down Days (%)</t>
  </si>
  <si>
    <t>Functionality Cap</t>
  </si>
  <si>
    <t>Total potential MP2 days per BH</t>
  </si>
  <si>
    <t>Net Crediting Days per VPA with 95% cap</t>
  </si>
  <si>
    <t xml:space="preserve">Daily credit cap </t>
  </si>
  <si>
    <t>2020 crediting days</t>
  </si>
  <si>
    <t>2021 crediting days</t>
  </si>
  <si>
    <t>Total crediting days</t>
  </si>
  <si>
    <t>MP2 downdays %</t>
  </si>
  <si>
    <t>Total Annual PTDs</t>
  </si>
  <si>
    <t>Cap per PTD</t>
  </si>
  <si>
    <t>Q3 2020</t>
  </si>
  <si>
    <t>Q4 2020</t>
  </si>
  <si>
    <t>Q1 2021</t>
  </si>
  <si>
    <t>Q2 2021</t>
  </si>
  <si>
    <t>Q3 2021</t>
  </si>
  <si>
    <t>When calculating the number of crediting days to remove for water quality failures, the first day of MP2 (16/08/2020) was used as the first non-crediting day as the last testing period falls before MP2.</t>
  </si>
  <si>
    <t>GS Num</t>
  </si>
  <si>
    <t>VPA Num</t>
  </si>
  <si>
    <t>Date of Rehabilitation</t>
  </si>
  <si>
    <t>Non-functioning Period Start</t>
  </si>
  <si>
    <t xml:space="preserve">Non-functioning Period End </t>
  </si>
  <si>
    <t xml:space="preserve">Reason </t>
  </si>
  <si>
    <t>Total Non-functioning  Days 2020</t>
  </si>
  <si>
    <t>Total Non-functioning  Days 2021</t>
  </si>
  <si>
    <t>Total Non-functioning  Days MP2</t>
  </si>
  <si>
    <t>WQ failure</t>
  </si>
  <si>
    <t>WQT fail, treatment, retest</t>
  </si>
  <si>
    <t>Replacement of parts</t>
  </si>
  <si>
    <t>Bearrings replaced</t>
  </si>
  <si>
    <t>Replacement of bearings and rubber cups</t>
  </si>
  <si>
    <t xml:space="preserve">Cleaning and replacement of parts </t>
  </si>
  <si>
    <t>Cleaning and Flushing</t>
  </si>
  <si>
    <t xml:space="preserve">SDG 3: Good Health and Well Being </t>
  </si>
  <si>
    <t>Description</t>
  </si>
  <si>
    <t>Psafe = Py * (1-Cj) * (1-Pb,boil)</t>
  </si>
  <si>
    <t>Unit</t>
  </si>
  <si>
    <t>Source</t>
  </si>
  <si>
    <t>Psafe</t>
  </si>
  <si>
    <t xml:space="preserve">Number of additional persons consuming safe water in the project activity compared to the baseline scenario. </t>
  </si>
  <si>
    <t>people</t>
  </si>
  <si>
    <t>Py</t>
  </si>
  <si>
    <t>Number of persons having access to safe water in the project activity</t>
  </si>
  <si>
    <t>Project Database: User List</t>
  </si>
  <si>
    <t>Expressed as a percentage, the portion of users of the project technology j who in the baseline were already consuming safe water without boiling it.</t>
  </si>
  <si>
    <t>%</t>
  </si>
  <si>
    <t xml:space="preserve">Baseline Survey </t>
  </si>
  <si>
    <t>Pb,boil</t>
  </si>
  <si>
    <t>Percentage of persons boiling water for purification in the baseline scenario.</t>
  </si>
  <si>
    <t>SDG 5: Gender Equality</t>
  </si>
  <si>
    <t>TRy = (Tb,y - Tp,y) / Tb,y</t>
  </si>
  <si>
    <t>TRy</t>
  </si>
  <si>
    <t xml:space="preserve">Total reduction time spent collecting water and firewood for project activity in year y </t>
  </si>
  <si>
    <t>hours</t>
  </si>
  <si>
    <t>Tb,y</t>
  </si>
  <si>
    <t xml:space="preserve">Baseline time spent collecting water and firewood per household per trip </t>
  </si>
  <si>
    <t>Baseline Survey</t>
  </si>
  <si>
    <t>Tp,y</t>
  </si>
  <si>
    <t>Project time spent collecting water and firewood per household per trip</t>
  </si>
  <si>
    <t>Project Survey MP2</t>
  </si>
  <si>
    <t>SDG 6: Clean Water and Sanitation</t>
  </si>
  <si>
    <t>Paccess = Py * (1 – Cj) * Up,y</t>
  </si>
  <si>
    <t>Paccess</t>
  </si>
  <si>
    <t>Number of additional persons having access to safe water in the project activity compared to the baseline scenario</t>
  </si>
  <si>
    <t xml:space="preserve">Up,y </t>
  </si>
  <si>
    <r>
      <t>Usage rate in project scenario p during</t>
    </r>
    <r>
      <rPr>
        <vertAlign val="sub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year y</t>
    </r>
  </si>
  <si>
    <t>Usage Survey MP2</t>
  </si>
  <si>
    <t>SDG 13: Climate Action</t>
  </si>
  <si>
    <t>Er,y</t>
  </si>
  <si>
    <t xml:space="preserve">CO2 emission reductions for the current monitoring period </t>
  </si>
  <si>
    <t>VER</t>
  </si>
  <si>
    <t>ER Calcs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</si>
</sst>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000"/>
    <numFmt numFmtId="166" formatCode="_-* #,##0_-;\-* #,##0_-;_-* &quot;-&quot;??_-;_-@_-"/>
    <numFmt numFmtId="167" formatCode="0.0"/>
    <numFmt numFmtId="168" formatCode="0.00000"/>
    <numFmt numFmtId="169" formatCode="_-* #,##0.0000_-;\-* #,##0.0000_-;_-* &quot;-&quot;??_-;_-@_-"/>
    <numFmt numFmtId="170" formatCode="0.000000"/>
    <numFmt numFmtId="171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charset val="1"/>
    </font>
    <font>
      <sz val="1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44444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44546A"/>
        <bgColor rgb="FF000000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wrapText="1"/>
    </xf>
    <xf numFmtId="3" fontId="0" fillId="4" borderId="15" xfId="0" applyNumberFormat="1" applyFill="1" applyBorder="1"/>
    <xf numFmtId="0" fontId="0" fillId="0" borderId="4" xfId="0" applyBorder="1"/>
    <xf numFmtId="1" fontId="3" fillId="4" borderId="18" xfId="0" applyNumberFormat="1" applyFont="1" applyFill="1" applyBorder="1"/>
    <xf numFmtId="1" fontId="3" fillId="4" borderId="13" xfId="0" applyNumberFormat="1" applyFont="1" applyFill="1" applyBorder="1"/>
    <xf numFmtId="0" fontId="0" fillId="9" borderId="26" xfId="0" applyFill="1" applyBorder="1" applyAlignment="1">
      <alignment wrapText="1"/>
    </xf>
    <xf numFmtId="0" fontId="2" fillId="10" borderId="28" xfId="0" applyFont="1" applyFill="1" applyBorder="1" applyAlignment="1">
      <alignment horizontal="center"/>
    </xf>
    <xf numFmtId="0" fontId="2" fillId="10" borderId="29" xfId="0" applyFont="1" applyFill="1" applyBorder="1" applyAlignment="1">
      <alignment horizontal="center"/>
    </xf>
    <xf numFmtId="0" fontId="2" fillId="10" borderId="30" xfId="0" applyFont="1" applyFill="1" applyBorder="1" applyAlignment="1">
      <alignment horizontal="center"/>
    </xf>
    <xf numFmtId="0" fontId="0" fillId="3" borderId="0" xfId="0" applyFill="1" applyAlignment="1">
      <alignment horizontal="center" vertical="center" textRotation="90"/>
    </xf>
    <xf numFmtId="14" fontId="0" fillId="3" borderId="0" xfId="0" applyNumberFormat="1" applyFill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0" fillId="3" borderId="0" xfId="0" applyNumberFormat="1" applyFill="1"/>
    <xf numFmtId="0" fontId="0" fillId="4" borderId="1" xfId="0" applyFill="1" applyBorder="1"/>
    <xf numFmtId="166" fontId="0" fillId="4" borderId="1" xfId="1" applyNumberFormat="1" applyFont="1" applyFill="1" applyBorder="1"/>
    <xf numFmtId="1" fontId="0" fillId="4" borderId="1" xfId="0" applyNumberFormat="1" applyFill="1" applyBorder="1"/>
    <xf numFmtId="3" fontId="0" fillId="4" borderId="1" xfId="0" applyNumberFormat="1" applyFill="1" applyBorder="1"/>
    <xf numFmtId="3" fontId="0" fillId="3" borderId="0" xfId="0" applyNumberFormat="1" applyFill="1"/>
    <xf numFmtId="0" fontId="0" fillId="0" borderId="32" xfId="0" applyBorder="1"/>
    <xf numFmtId="10" fontId="0" fillId="4" borderId="1" xfId="0" applyNumberFormat="1" applyFill="1" applyBorder="1"/>
    <xf numFmtId="0" fontId="3" fillId="0" borderId="32" xfId="0" applyFont="1" applyBorder="1"/>
    <xf numFmtId="0" fontId="3" fillId="0" borderId="1" xfId="0" applyFont="1" applyBorder="1"/>
    <xf numFmtId="0" fontId="3" fillId="0" borderId="4" xfId="0" applyFont="1" applyBorder="1"/>
    <xf numFmtId="1" fontId="2" fillId="11" borderId="1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2" borderId="1" xfId="0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10" fontId="0" fillId="0" borderId="1" xfId="0" applyNumberFormat="1" applyBorder="1" applyAlignment="1">
      <alignment horizontal="right" vertical="top"/>
    </xf>
    <xf numFmtId="0" fontId="0" fillId="0" borderId="0" xfId="0" applyAlignment="1">
      <alignment vertical="top"/>
    </xf>
    <xf numFmtId="10" fontId="0" fillId="0" borderId="1" xfId="0" applyNumberFormat="1" applyBorder="1" applyAlignment="1">
      <alignment horizontal="right" vertical="top" wrapText="1"/>
    </xf>
    <xf numFmtId="2" fontId="0" fillId="4" borderId="1" xfId="0" applyNumberFormat="1" applyFill="1" applyBorder="1"/>
    <xf numFmtId="165" fontId="0" fillId="4" borderId="1" xfId="0" applyNumberFormat="1" applyFill="1" applyBorder="1"/>
    <xf numFmtId="14" fontId="0" fillId="3" borderId="31" xfId="0" applyNumberFormat="1" applyFill="1" applyBorder="1" applyAlignment="1">
      <alignment horizontal="left"/>
    </xf>
    <xf numFmtId="14" fontId="0" fillId="3" borderId="31" xfId="0" applyNumberFormat="1" applyFill="1" applyBorder="1"/>
    <xf numFmtId="14" fontId="0" fillId="0" borderId="31" xfId="0" applyNumberFormat="1" applyBorder="1"/>
    <xf numFmtId="0" fontId="3" fillId="3" borderId="31" xfId="0" applyFont="1" applyFill="1" applyBorder="1" applyAlignment="1">
      <alignment horizontal="left" wrapText="1"/>
    </xf>
    <xf numFmtId="0" fontId="3" fillId="3" borderId="31" xfId="0" applyFont="1" applyFill="1" applyBorder="1" applyAlignment="1">
      <alignment horizontal="left"/>
    </xf>
    <xf numFmtId="0" fontId="0" fillId="0" borderId="31" xfId="0" applyBorder="1"/>
    <xf numFmtId="0" fontId="3" fillId="3" borderId="31" xfId="0" applyFont="1" applyFill="1" applyBorder="1"/>
    <xf numFmtId="1" fontId="0" fillId="3" borderId="31" xfId="0" applyNumberFormat="1" applyFill="1" applyBorder="1"/>
    <xf numFmtId="0" fontId="0" fillId="3" borderId="31" xfId="0" applyFill="1" applyBorder="1"/>
    <xf numFmtId="167" fontId="0" fillId="3" borderId="31" xfId="0" applyNumberFormat="1" applyFill="1" applyBorder="1"/>
    <xf numFmtId="0" fontId="0" fillId="0" borderId="14" xfId="0" applyBorder="1"/>
    <xf numFmtId="0" fontId="0" fillId="0" borderId="11" xfId="0" applyBorder="1"/>
    <xf numFmtId="10" fontId="0" fillId="4" borderId="15" xfId="0" applyNumberFormat="1" applyFill="1" applyBorder="1"/>
    <xf numFmtId="0" fontId="3" fillId="0" borderId="14" xfId="0" applyFont="1" applyBorder="1"/>
    <xf numFmtId="1" fontId="3" fillId="4" borderId="15" xfId="0" applyNumberFormat="1" applyFont="1" applyFill="1" applyBorder="1"/>
    <xf numFmtId="0" fontId="3" fillId="0" borderId="16" xfId="0" applyFont="1" applyBorder="1"/>
    <xf numFmtId="0" fontId="3" fillId="0" borderId="17" xfId="0" applyFont="1" applyBorder="1"/>
    <xf numFmtId="1" fontId="0" fillId="3" borderId="0" xfId="0" applyNumberFormat="1" applyFill="1" applyAlignment="1">
      <alignment wrapText="1"/>
    </xf>
    <xf numFmtId="0" fontId="3" fillId="0" borderId="1" xfId="0" applyFont="1" applyBorder="1" applyAlignment="1">
      <alignment wrapText="1"/>
    </xf>
    <xf numFmtId="1" fontId="3" fillId="4" borderId="13" xfId="0" applyNumberFormat="1" applyFont="1" applyFill="1" applyBorder="1" applyAlignment="1">
      <alignment wrapText="1"/>
    </xf>
    <xf numFmtId="1" fontId="3" fillId="4" borderId="27" xfId="0" applyNumberFormat="1" applyFont="1" applyFill="1" applyBorder="1" applyAlignment="1">
      <alignment wrapText="1"/>
    </xf>
    <xf numFmtId="0" fontId="2" fillId="8" borderId="33" xfId="0" applyFont="1" applyFill="1" applyBorder="1" applyAlignment="1">
      <alignment horizontal="center" wrapText="1"/>
    </xf>
    <xf numFmtId="0" fontId="3" fillId="0" borderId="32" xfId="0" applyFont="1" applyBorder="1" applyAlignment="1">
      <alignment wrapText="1"/>
    </xf>
    <xf numFmtId="4" fontId="0" fillId="4" borderId="15" xfId="0" applyNumberFormat="1" applyFill="1" applyBorder="1"/>
    <xf numFmtId="0" fontId="0" fillId="0" borderId="1" xfId="0" applyBorder="1" applyAlignment="1">
      <alignment horizontal="left"/>
    </xf>
    <xf numFmtId="14" fontId="0" fillId="3" borderId="31" xfId="0" applyNumberFormat="1" applyFill="1" applyBorder="1" applyAlignment="1">
      <alignment horizontal="right"/>
    </xf>
    <xf numFmtId="9" fontId="0" fillId="3" borderId="1" xfId="2" applyFont="1" applyFill="1" applyBorder="1" applyAlignment="1">
      <alignment horizontal="right" vertical="top" wrapText="1"/>
    </xf>
    <xf numFmtId="0" fontId="3" fillId="3" borderId="36" xfId="0" applyFont="1" applyFill="1" applyBorder="1"/>
    <xf numFmtId="1" fontId="3" fillId="3" borderId="37" xfId="0" applyNumberFormat="1" applyFont="1" applyFill="1" applyBorder="1"/>
    <xf numFmtId="0" fontId="0" fillId="12" borderId="38" xfId="0" applyFill="1" applyBorder="1"/>
    <xf numFmtId="0" fontId="0" fillId="12" borderId="34" xfId="0" applyFill="1" applyBorder="1" applyAlignment="1">
      <alignment horizontal="left"/>
    </xf>
    <xf numFmtId="168" fontId="0" fillId="12" borderId="34" xfId="0" applyNumberFormat="1" applyFill="1" applyBorder="1" applyAlignment="1">
      <alignment horizontal="left"/>
    </xf>
    <xf numFmtId="14" fontId="0" fillId="12" borderId="34" xfId="0" applyNumberFormat="1" applyFill="1" applyBorder="1" applyAlignment="1">
      <alignment horizontal="left"/>
    </xf>
    <xf numFmtId="1" fontId="0" fillId="12" borderId="34" xfId="0" applyNumberFormat="1" applyFill="1" applyBorder="1" applyAlignment="1">
      <alignment horizontal="left"/>
    </xf>
    <xf numFmtId="0" fontId="0" fillId="12" borderId="14" xfId="0" applyFill="1" applyBorder="1"/>
    <xf numFmtId="0" fontId="0" fillId="12" borderId="1" xfId="0" applyFill="1" applyBorder="1" applyAlignment="1">
      <alignment horizontal="left"/>
    </xf>
    <xf numFmtId="168" fontId="0" fillId="12" borderId="1" xfId="0" applyNumberFormat="1" applyFill="1" applyBorder="1" applyAlignment="1">
      <alignment horizontal="left"/>
    </xf>
    <xf numFmtId="14" fontId="0" fillId="12" borderId="1" xfId="0" applyNumberFormat="1" applyFill="1" applyBorder="1" applyAlignment="1">
      <alignment horizontal="left"/>
    </xf>
    <xf numFmtId="1" fontId="0" fillId="12" borderId="1" xfId="0" applyNumberFormat="1" applyFill="1" applyBorder="1" applyAlignment="1">
      <alignment horizontal="left"/>
    </xf>
    <xf numFmtId="0" fontId="0" fillId="12" borderId="14" xfId="0" applyFill="1" applyBorder="1" applyAlignment="1">
      <alignment horizontal="left" vertical="center" wrapText="1"/>
    </xf>
    <xf numFmtId="0" fontId="0" fillId="12" borderId="16" xfId="0" applyFill="1" applyBorder="1" applyAlignment="1">
      <alignment horizontal="left" vertical="center" wrapText="1"/>
    </xf>
    <xf numFmtId="0" fontId="0" fillId="12" borderId="17" xfId="0" applyFill="1" applyBorder="1" applyAlignment="1">
      <alignment horizontal="left"/>
    </xf>
    <xf numFmtId="14" fontId="0" fillId="12" borderId="17" xfId="0" applyNumberFormat="1" applyFill="1" applyBorder="1" applyAlignment="1">
      <alignment horizontal="left"/>
    </xf>
    <xf numFmtId="170" fontId="0" fillId="4" borderId="1" xfId="0" applyNumberFormat="1" applyFill="1" applyBorder="1"/>
    <xf numFmtId="10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vertical="top"/>
    </xf>
    <xf numFmtId="0" fontId="0" fillId="3" borderId="1" xfId="0" applyFill="1" applyBorder="1"/>
    <xf numFmtId="0" fontId="3" fillId="3" borderId="32" xfId="0" applyFont="1" applyFill="1" applyBorder="1"/>
    <xf numFmtId="0" fontId="3" fillId="3" borderId="1" xfId="0" applyFont="1" applyFill="1" applyBorder="1"/>
    <xf numFmtId="0" fontId="3" fillId="3" borderId="4" xfId="0" applyFont="1" applyFill="1" applyBorder="1"/>
    <xf numFmtId="0" fontId="0" fillId="3" borderId="32" xfId="0" applyFill="1" applyBorder="1"/>
    <xf numFmtId="14" fontId="0" fillId="3" borderId="0" xfId="0" applyNumberFormat="1" applyFill="1" applyAlignment="1">
      <alignment wrapText="1"/>
    </xf>
    <xf numFmtId="1" fontId="0" fillId="0" borderId="0" xfId="0" applyNumberFormat="1"/>
    <xf numFmtId="0" fontId="2" fillId="10" borderId="0" xfId="0" applyFont="1" applyFill="1" applyAlignment="1">
      <alignment horizontal="center"/>
    </xf>
    <xf numFmtId="0" fontId="0" fillId="12" borderId="42" xfId="0" applyFill="1" applyBorder="1" applyAlignment="1">
      <alignment horizontal="left" wrapText="1"/>
    </xf>
    <xf numFmtId="0" fontId="0" fillId="12" borderId="32" xfId="0" applyFill="1" applyBorder="1" applyAlignment="1">
      <alignment horizontal="left" wrapText="1"/>
    </xf>
    <xf numFmtId="0" fontId="0" fillId="12" borderId="43" xfId="0" applyFill="1" applyBorder="1" applyAlignment="1">
      <alignment horizontal="left" wrapText="1"/>
    </xf>
    <xf numFmtId="0" fontId="0" fillId="12" borderId="1" xfId="0" applyFill="1" applyBorder="1" applyAlignment="1">
      <alignment horizontal="left" wrapText="1"/>
    </xf>
    <xf numFmtId="1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 wrapText="1"/>
    </xf>
    <xf numFmtId="166" fontId="0" fillId="3" borderId="1" xfId="1" applyNumberFormat="1" applyFont="1" applyFill="1" applyBorder="1" applyAlignment="1">
      <alignment horizontal="left" vertical="top"/>
    </xf>
    <xf numFmtId="0" fontId="11" fillId="14" borderId="44" xfId="0" applyFont="1" applyFill="1" applyBorder="1" applyAlignment="1">
      <alignment horizontal="center" wrapText="1"/>
    </xf>
    <xf numFmtId="0" fontId="0" fillId="0" borderId="44" xfId="0" applyBorder="1" applyAlignment="1">
      <alignment horizontal="center" wrapText="1"/>
    </xf>
    <xf numFmtId="1" fontId="0" fillId="0" borderId="44" xfId="0" applyNumberFormat="1" applyBorder="1" applyAlignment="1">
      <alignment horizontal="center" wrapText="1"/>
    </xf>
    <xf numFmtId="0" fontId="12" fillId="14" borderId="45" xfId="0" applyFont="1" applyFill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 wrapText="1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13" fillId="17" borderId="47" xfId="0" applyFont="1" applyFill="1" applyBorder="1" applyAlignment="1">
      <alignment horizontal="left" vertical="center" wrapText="1"/>
    </xf>
    <xf numFmtId="0" fontId="13" fillId="17" borderId="49" xfId="0" applyFont="1" applyFill="1" applyBorder="1" applyAlignment="1">
      <alignment horizontal="left" vertical="center" wrapText="1"/>
    </xf>
    <xf numFmtId="0" fontId="13" fillId="17" borderId="46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/>
    </xf>
    <xf numFmtId="0" fontId="13" fillId="17" borderId="4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1" fontId="0" fillId="0" borderId="1" xfId="0" applyNumberForma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1" fontId="0" fillId="0" borderId="1" xfId="0" applyNumberFormat="1" applyBorder="1" applyAlignment="1">
      <alignment vertical="center" wrapText="1"/>
    </xf>
    <xf numFmtId="14" fontId="0" fillId="3" borderId="1" xfId="0" applyNumberForma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3" fillId="17" borderId="1" xfId="0" applyFont="1" applyFill="1" applyBorder="1" applyAlignment="1">
      <alignment horizontal="left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13" fillId="3" borderId="50" xfId="0" applyFont="1" applyFill="1" applyBorder="1" applyAlignment="1">
      <alignment horizontal="left" vertical="center" wrapText="1"/>
    </xf>
    <xf numFmtId="0" fontId="13" fillId="3" borderId="33" xfId="0" applyFont="1" applyFill="1" applyBorder="1" applyAlignment="1">
      <alignment horizontal="left" vertical="center" wrapText="1"/>
    </xf>
    <xf numFmtId="0" fontId="13" fillId="3" borderId="45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32" xfId="0" applyNumberFormat="1" applyFill="1" applyBorder="1" applyAlignment="1">
      <alignment horizontal="center" vertical="center" wrapText="1"/>
    </xf>
    <xf numFmtId="0" fontId="14" fillId="17" borderId="0" xfId="0" applyFont="1" applyFill="1"/>
    <xf numFmtId="0" fontId="14" fillId="17" borderId="33" xfId="0" applyFont="1" applyFill="1" applyBorder="1" applyAlignment="1">
      <alignment vertical="center" wrapText="1"/>
    </xf>
    <xf numFmtId="0" fontId="0" fillId="0" borderId="39" xfId="0" applyBorder="1"/>
    <xf numFmtId="0" fontId="15" fillId="18" borderId="0" xfId="0" applyFont="1" applyFill="1"/>
    <xf numFmtId="0" fontId="11" fillId="18" borderId="0" xfId="0" applyFont="1" applyFill="1"/>
    <xf numFmtId="0" fontId="11" fillId="18" borderId="1" xfId="0" applyFont="1" applyFill="1" applyBorder="1" applyAlignment="1">
      <alignment horizontal="center"/>
    </xf>
    <xf numFmtId="0" fontId="11" fillId="18" borderId="53" xfId="0" applyFont="1" applyFill="1" applyBorder="1" applyAlignment="1">
      <alignment horizontal="left"/>
    </xf>
    <xf numFmtId="0" fontId="11" fillId="0" borderId="54" xfId="0" applyFont="1" applyBorder="1" applyAlignment="1">
      <alignment horizontal="center"/>
    </xf>
    <xf numFmtId="10" fontId="0" fillId="0" borderId="1" xfId="2" applyNumberFormat="1" applyFont="1" applyBorder="1" applyAlignment="1">
      <alignment horizontal="center"/>
    </xf>
    <xf numFmtId="9" fontId="11" fillId="18" borderId="1" xfId="0" applyNumberFormat="1" applyFont="1" applyFill="1" applyBorder="1"/>
    <xf numFmtId="0" fontId="11" fillId="18" borderId="1" xfId="0" applyFont="1" applyFill="1" applyBorder="1"/>
    <xf numFmtId="1" fontId="11" fillId="18" borderId="1" xfId="0" applyNumberFormat="1" applyFont="1" applyFill="1" applyBorder="1"/>
    <xf numFmtId="0" fontId="11" fillId="18" borderId="1" xfId="0" applyFont="1" applyFill="1" applyBorder="1" applyAlignment="1">
      <alignment horizontal="left"/>
    </xf>
    <xf numFmtId="10" fontId="11" fillId="18" borderId="1" xfId="0" applyNumberFormat="1" applyFont="1" applyFill="1" applyBorder="1" applyAlignment="1">
      <alignment horizontal="center"/>
    </xf>
    <xf numFmtId="0" fontId="12" fillId="18" borderId="44" xfId="0" applyFont="1" applyFill="1" applyBorder="1"/>
    <xf numFmtId="0" fontId="12" fillId="18" borderId="55" xfId="0" applyFont="1" applyFill="1" applyBorder="1" applyAlignment="1">
      <alignment horizontal="center"/>
    </xf>
    <xf numFmtId="10" fontId="12" fillId="19" borderId="56" xfId="0" applyNumberFormat="1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58" xfId="0" applyFont="1" applyFill="1" applyBorder="1" applyAlignment="1">
      <alignment horizontal="center"/>
    </xf>
    <xf numFmtId="0" fontId="2" fillId="10" borderId="10" xfId="0" applyFont="1" applyFill="1" applyBorder="1" applyAlignment="1">
      <alignment horizontal="center"/>
    </xf>
    <xf numFmtId="1" fontId="0" fillId="3" borderId="1" xfId="0" applyNumberFormat="1" applyFill="1" applyBorder="1"/>
    <xf numFmtId="1" fontId="0" fillId="3" borderId="33" xfId="0" applyNumberFormat="1" applyFill="1" applyBorder="1"/>
    <xf numFmtId="166" fontId="3" fillId="3" borderId="31" xfId="1" applyNumberFormat="1" applyFont="1" applyFill="1" applyBorder="1"/>
    <xf numFmtId="166" fontId="3" fillId="3" borderId="0" xfId="1" applyNumberFormat="1" applyFont="1" applyFill="1"/>
    <xf numFmtId="166" fontId="3" fillId="3" borderId="48" xfId="1" applyNumberFormat="1" applyFont="1" applyFill="1" applyBorder="1"/>
    <xf numFmtId="166" fontId="3" fillId="3" borderId="58" xfId="1" applyNumberFormat="1" applyFont="1" applyFill="1" applyBorder="1"/>
    <xf numFmtId="166" fontId="3" fillId="13" borderId="7" xfId="1" applyNumberFormat="1" applyFont="1" applyFill="1" applyBorder="1"/>
    <xf numFmtId="166" fontId="0" fillId="3" borderId="0" xfId="0" applyNumberFormat="1" applyFill="1"/>
    <xf numFmtId="169" fontId="0" fillId="3" borderId="0" xfId="0" applyNumberFormat="1" applyFill="1"/>
    <xf numFmtId="0" fontId="0" fillId="14" borderId="0" xfId="0" applyFill="1"/>
    <xf numFmtId="0" fontId="16" fillId="0" borderId="0" xfId="0" applyFont="1"/>
    <xf numFmtId="0" fontId="13" fillId="14" borderId="0" xfId="0" applyFont="1" applyFill="1"/>
    <xf numFmtId="0" fontId="0" fillId="14" borderId="1" xfId="0" applyFill="1" applyBorder="1" applyAlignment="1">
      <alignment vertical="top" wrapText="1"/>
    </xf>
    <xf numFmtId="167" fontId="0" fillId="14" borderId="1" xfId="0" applyNumberFormat="1" applyFill="1" applyBorder="1" applyAlignment="1">
      <alignment vertical="top"/>
    </xf>
    <xf numFmtId="2" fontId="0" fillId="3" borderId="1" xfId="0" applyNumberFormat="1" applyFill="1" applyBorder="1" applyAlignment="1">
      <alignment horizontal="right" vertical="top" wrapText="1"/>
    </xf>
    <xf numFmtId="2" fontId="0" fillId="14" borderId="1" xfId="0" applyNumberFormat="1" applyFill="1" applyBorder="1" applyAlignment="1">
      <alignment vertical="top"/>
    </xf>
    <xf numFmtId="166" fontId="0" fillId="3" borderId="0" xfId="0" applyNumberFormat="1" applyFill="1" applyAlignment="1">
      <alignment horizontal="center" wrapText="1"/>
    </xf>
    <xf numFmtId="14" fontId="9" fillId="3" borderId="33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4" fontId="17" fillId="3" borderId="50" xfId="0" applyNumberFormat="1" applyFont="1" applyFill="1" applyBorder="1" applyAlignment="1">
      <alignment horizontal="left" vertical="center" wrapText="1"/>
    </xf>
    <xf numFmtId="0" fontId="17" fillId="3" borderId="45" xfId="0" applyFont="1" applyFill="1" applyBorder="1" applyAlignment="1">
      <alignment horizontal="left" vertical="center" wrapText="1"/>
    </xf>
    <xf numFmtId="14" fontId="9" fillId="3" borderId="50" xfId="0" applyNumberFormat="1" applyFont="1" applyFill="1" applyBorder="1" applyAlignment="1">
      <alignment horizontal="center" vertical="center" wrapText="1"/>
    </xf>
    <xf numFmtId="0" fontId="13" fillId="17" borderId="29" xfId="0" applyFont="1" applyFill="1" applyBorder="1" applyAlignment="1">
      <alignment horizontal="left" vertical="center" wrapText="1"/>
    </xf>
    <xf numFmtId="0" fontId="13" fillId="17" borderId="3" xfId="0" applyFont="1" applyFill="1" applyBorder="1" applyAlignment="1">
      <alignment horizontal="left" vertical="center" wrapText="1"/>
    </xf>
    <xf numFmtId="0" fontId="13" fillId="17" borderId="51" xfId="0" applyFont="1" applyFill="1" applyBorder="1" applyAlignment="1">
      <alignment horizontal="left" vertical="center" wrapText="1"/>
    </xf>
    <xf numFmtId="171" fontId="0" fillId="0" borderId="2" xfId="0" applyNumberForma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3" fillId="17" borderId="31" xfId="0" applyFont="1" applyFill="1" applyBorder="1" applyAlignment="1">
      <alignment horizontal="left" vertical="center" wrapText="1"/>
    </xf>
    <xf numFmtId="0" fontId="13" fillId="17" borderId="6" xfId="0" applyFont="1" applyFill="1" applyBorder="1" applyAlignment="1">
      <alignment horizontal="left" vertical="center" wrapText="1"/>
    </xf>
    <xf numFmtId="0" fontId="13" fillId="17" borderId="48" xfId="0" applyFont="1" applyFill="1" applyBorder="1" applyAlignment="1">
      <alignment horizontal="left" vertical="center" wrapText="1"/>
    </xf>
    <xf numFmtId="1" fontId="3" fillId="3" borderId="0" xfId="0" applyNumberFormat="1" applyFont="1" applyFill="1"/>
    <xf numFmtId="0" fontId="11" fillId="18" borderId="0" xfId="0" applyFont="1" applyFill="1" applyAlignment="1">
      <alignment horizontal="center" vertical="center" wrapText="1"/>
    </xf>
    <xf numFmtId="1" fontId="11" fillId="18" borderId="0" xfId="0" applyNumberFormat="1" applyFont="1" applyFill="1"/>
    <xf numFmtId="0" fontId="0" fillId="3" borderId="0" xfId="0" applyFill="1" applyAlignment="1">
      <alignment horizontal="left" wrapText="1"/>
    </xf>
    <xf numFmtId="0" fontId="18" fillId="20" borderId="28" xfId="0" applyFont="1" applyFill="1" applyBorder="1" applyAlignment="1">
      <alignment horizontal="center" wrapText="1"/>
    </xf>
    <xf numFmtId="0" fontId="18" fillId="20" borderId="29" xfId="0" applyFont="1" applyFill="1" applyBorder="1" applyAlignment="1">
      <alignment horizontal="center" wrapText="1"/>
    </xf>
    <xf numFmtId="166" fontId="3" fillId="3" borderId="0" xfId="1" applyNumberFormat="1" applyFont="1" applyFill="1" applyBorder="1"/>
    <xf numFmtId="0" fontId="0" fillId="3" borderId="1" xfId="0" applyFill="1" applyBorder="1" applyAlignment="1">
      <alignment horizontal="center" vertical="center"/>
    </xf>
    <xf numFmtId="14" fontId="13" fillId="14" borderId="0" xfId="0" applyNumberFormat="1" applyFont="1" applyFill="1" applyAlignment="1">
      <alignment horizontal="center"/>
    </xf>
    <xf numFmtId="166" fontId="0" fillId="3" borderId="0" xfId="0" applyNumberFormat="1" applyFill="1" applyAlignment="1">
      <alignment wrapText="1"/>
    </xf>
    <xf numFmtId="0" fontId="0" fillId="0" borderId="0" xfId="0" applyAlignment="1">
      <alignment horizontal="right"/>
    </xf>
    <xf numFmtId="0" fontId="19" fillId="0" borderId="0" xfId="0" applyFont="1" applyAlignment="1">
      <alignment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2" fillId="6" borderId="14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5" borderId="10" xfId="0" applyFont="1" applyFill="1" applyBorder="1" applyAlignment="1">
      <alignment horizontal="center" wrapText="1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9" borderId="24" xfId="0" applyFont="1" applyFill="1" applyBorder="1" applyAlignment="1">
      <alignment horizontal="left" wrapText="1"/>
    </xf>
    <xf numFmtId="0" fontId="3" fillId="9" borderId="25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7" fillId="7" borderId="19" xfId="0" applyFont="1" applyFill="1" applyBorder="1" applyAlignment="1">
      <alignment horizontal="center" wrapText="1"/>
    </xf>
    <xf numFmtId="0" fontId="7" fillId="7" borderId="20" xfId="0" applyFont="1" applyFill="1" applyBorder="1" applyAlignment="1">
      <alignment horizontal="center" wrapText="1"/>
    </xf>
    <xf numFmtId="0" fontId="7" fillId="7" borderId="21" xfId="0" applyFont="1" applyFill="1" applyBorder="1" applyAlignment="1">
      <alignment horizontal="center" wrapText="1"/>
    </xf>
    <xf numFmtId="0" fontId="2" fillId="5" borderId="0" xfId="0" applyFont="1" applyFill="1" applyAlignment="1">
      <alignment horizontal="center" wrapText="1"/>
    </xf>
    <xf numFmtId="0" fontId="2" fillId="6" borderId="3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11" fillId="18" borderId="1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textRotation="90"/>
    </xf>
    <xf numFmtId="0" fontId="8" fillId="3" borderId="40" xfId="0" applyFont="1" applyFill="1" applyBorder="1" applyAlignment="1">
      <alignment horizontal="center" vertical="center" textRotation="90"/>
    </xf>
    <xf numFmtId="0" fontId="8" fillId="3" borderId="37" xfId="0" applyFont="1" applyFill="1" applyBorder="1" applyAlignment="1">
      <alignment horizontal="center" vertical="center" textRotation="90"/>
    </xf>
    <xf numFmtId="0" fontId="11" fillId="18" borderId="1" xfId="0" applyFont="1" applyFill="1" applyBorder="1" applyAlignment="1">
      <alignment horizontal="center"/>
    </xf>
    <xf numFmtId="0" fontId="11" fillId="18" borderId="1" xfId="0" applyFont="1" applyFill="1" applyBorder="1" applyAlignment="1">
      <alignment horizontal="center" wrapText="1"/>
    </xf>
    <xf numFmtId="0" fontId="11" fillId="18" borderId="1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3" fillId="16" borderId="41" xfId="0" applyFont="1" applyFill="1" applyBorder="1" applyAlignment="1">
      <alignment horizontal="center"/>
    </xf>
    <xf numFmtId="0" fontId="13" fillId="16" borderId="47" xfId="0" applyFont="1" applyFill="1" applyBorder="1" applyAlignment="1">
      <alignment horizontal="center"/>
    </xf>
    <xf numFmtId="0" fontId="13" fillId="16" borderId="29" xfId="0" applyFont="1" applyFill="1" applyBorder="1" applyAlignment="1">
      <alignment horizontal="center"/>
    </xf>
    <xf numFmtId="0" fontId="13" fillId="16" borderId="48" xfId="0" applyFont="1" applyFill="1" applyBorder="1" applyAlignment="1">
      <alignment horizontal="center"/>
    </xf>
    <xf numFmtId="14" fontId="0" fillId="0" borderId="29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0" fillId="15" borderId="5" xfId="0" applyFont="1" applyFill="1" applyBorder="1" applyAlignment="1">
      <alignment horizontal="center"/>
    </xf>
    <xf numFmtId="0" fontId="10" fillId="15" borderId="6" xfId="0" applyFont="1" applyFill="1" applyBorder="1" applyAlignment="1">
      <alignment horizontal="center"/>
    </xf>
    <xf numFmtId="0" fontId="10" fillId="15" borderId="7" xfId="0" applyFont="1" applyFill="1" applyBorder="1" applyAlignment="1">
      <alignment horizontal="center"/>
    </xf>
    <xf numFmtId="0" fontId="13" fillId="16" borderId="6" xfId="0" applyFont="1" applyFill="1" applyBorder="1" applyAlignment="1">
      <alignment horizontal="center"/>
    </xf>
    <xf numFmtId="0" fontId="13" fillId="16" borderId="9" xfId="0" applyFont="1" applyFill="1" applyBorder="1" applyAlignment="1">
      <alignment horizontal="center"/>
    </xf>
    <xf numFmtId="0" fontId="8" fillId="3" borderId="51" xfId="0" applyFont="1" applyFill="1" applyBorder="1" applyAlignment="1">
      <alignment horizontal="center" vertical="center" textRotation="90"/>
    </xf>
    <xf numFmtId="0" fontId="8" fillId="3" borderId="50" xfId="0" applyFont="1" applyFill="1" applyBorder="1" applyAlignment="1">
      <alignment horizontal="center" vertical="center" textRotation="90"/>
    </xf>
    <xf numFmtId="0" fontId="8" fillId="3" borderId="52" xfId="0" applyFont="1" applyFill="1" applyBorder="1" applyAlignment="1">
      <alignment horizontal="center" vertical="center" textRotation="90"/>
    </xf>
    <xf numFmtId="0" fontId="14" fillId="3" borderId="29" xfId="0" applyFont="1" applyFill="1" applyBorder="1" applyAlignment="1">
      <alignment horizontal="center" vertical="center"/>
    </xf>
    <xf numFmtId="0" fontId="14" fillId="3" borderId="3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</cellXfs>
  <cellStyles count="5">
    <cellStyle name="Comma" xfId="1" builtinId="3"/>
    <cellStyle name="Comma 2 2" xfId="4" xr:uid="{FA0A90B8-5A38-4C1E-88A3-0D49AE74C7FA}"/>
    <cellStyle name="Comma 3" xfId="3" xr:uid="{0332FC9F-67B9-456D-9393-4851EA4FE072}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497B0"/>
      <color rgb="FFD9D9D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loud 12" id="{B4FB68CE-F520-4E8C-8857-21AEFE641BA7}" userId="cloud 12" providerId="None"/>
  <person displayName="Amie Nevin" id="{0D6F66E2-B275-4AFF-80D6-BDCA159EA530}" userId="Amie Nevin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9" dT="2021-09-16T16:48:27.04" personId="{0D6F66E2-B275-4AFF-80D6-BDCA159EA530}" id="{EAC074B0-B859-4B84-AC60-20EABF18D917}">
    <text>Capped 95%</text>
  </threadedComment>
  <threadedComment ref="J29" dT="2021-09-16T16:48:35.09" personId="{0D6F66E2-B275-4AFF-80D6-BDCA159EA530}" id="{73071404-9D90-4082-8212-DF9ED28121AF}">
    <text>Capped 95%</text>
  </threadedComment>
  <threadedComment ref="O29" dT="2021-09-16T16:48:39.27" personId="{0D6F66E2-B275-4AFF-80D6-BDCA159EA530}" id="{DE093842-0C0D-49D7-B805-3CC1EFCA30AE}">
    <text>Capped 95%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4" dT="2020-08-13T13:19:58.38" personId="{B4FB68CE-F520-4E8C-8857-21AEFE641BA7}" id="{D80747FC-FE01-4DF2-8B9A-A918DE10FDAA}">
    <text>Total no. people using the borehole's in this VPA, capped at 300 people per BH</text>
  </threadedComment>
  <threadedComment ref="C5" dT="2020-08-13T13:18:18.75" personId="{B4FB68CE-F520-4E8C-8857-21AEFE641BA7}" id="{FD7C11F2-6D95-4D29-B055-B6D5F343BDBC}">
    <text>From Baseline Survey</text>
  </threadedComment>
  <threadedComment ref="C6" dT="2020-08-13T13:19:06.42" personId="{B4FB68CE-F520-4E8C-8857-21AEFE641BA7}" id="{41ED6DEB-9784-4572-A0BA-F2179D6E3F0B}">
    <text>From Baseline Survey</text>
  </threadedComment>
  <threadedComment ref="C10" dT="2020-08-13T13:17:56.07" personId="{B4FB68CE-F520-4E8C-8857-21AEFE641BA7}" id="{523CB30B-FBD7-4EE3-B437-77CEE456DA46}">
    <text>From Baseline Survey</text>
  </threadedComment>
  <threadedComment ref="C11" dT="2020-08-13T13:18:08.36" personId="{B4FB68CE-F520-4E8C-8857-21AEFE641BA7}" id="{5EC27837-D448-4AEB-87EF-2146A315EE8E}">
    <text>From Project Survey from MP2</text>
  </threadedComment>
  <threadedComment ref="C15" dT="2020-08-13T13:20:31.05" personId="{B4FB68CE-F520-4E8C-8857-21AEFE641BA7}" id="{B64AD6C2-9993-4BD5-A11F-7204756BB8BC}">
    <text>Total no. people using the borehole's in this VPA, capped at 300 people per BH</text>
  </threadedComment>
  <threadedComment ref="C16" dT="2020-08-13T13:17:44.30" personId="{B4FB68CE-F520-4E8C-8857-21AEFE641BA7}" id="{34FF18D1-DA94-4634-BF0D-841EBCA6B76D}">
    <text>From Baseline Survey</text>
  </threadedComment>
  <threadedComment ref="C17" dT="2020-08-13T13:17:31.64" personId="{B4FB68CE-F520-4E8C-8857-21AEFE641BA7}" id="{B2230ECB-9EDF-4053-B485-5C50917E0056}">
    <text>Usage Survey from MP1</text>
  </threadedComment>
  <threadedComment ref="C20" dT="2020-08-13T13:19:26.65" personId="{B4FB68CE-F520-4E8C-8857-21AEFE641BA7}" id="{7B385C73-A52A-4598-9A9C-275581E0A9EE}">
    <text>ERs from MP2. See breakdown in ER Calcs tab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4DBD-B7E9-4340-AB68-CC25ACC8D4A5}">
  <dimension ref="B2:L38"/>
  <sheetViews>
    <sheetView topLeftCell="A13" zoomScale="70" zoomScaleNormal="70" workbookViewId="0">
      <selection activeCell="E37" sqref="E37"/>
    </sheetView>
  </sheetViews>
  <sheetFormatPr defaultColWidth="9.140625" defaultRowHeight="15"/>
  <cols>
    <col min="1" max="1" width="9.140625" style="4"/>
    <col min="2" max="2" width="47.5703125" style="4" customWidth="1"/>
    <col min="3" max="3" width="9" style="4" customWidth="1"/>
    <col min="4" max="4" width="11" style="4" bestFit="1" customWidth="1"/>
    <col min="5" max="5" width="11.42578125" style="4" customWidth="1"/>
    <col min="6" max="6" width="9.140625" style="4"/>
    <col min="7" max="7" width="10.42578125" style="4" bestFit="1" customWidth="1"/>
    <col min="8" max="8" width="3.28515625" style="4" customWidth="1"/>
    <col min="9" max="10" width="9.5703125" style="4" customWidth="1"/>
    <col min="11" max="11" width="25.5703125" style="4" customWidth="1"/>
    <col min="12" max="16384" width="9.140625" style="4"/>
  </cols>
  <sheetData>
    <row r="2" spans="2:12" ht="19.5" customHeight="1">
      <c r="B2" s="204" t="s">
        <v>0</v>
      </c>
      <c r="C2" s="205"/>
      <c r="D2" s="205"/>
      <c r="E2" s="206"/>
      <c r="F2" s="5"/>
      <c r="G2" s="5"/>
      <c r="H2" s="5"/>
      <c r="I2" s="204" t="s">
        <v>1</v>
      </c>
      <c r="J2" s="205"/>
      <c r="K2" s="206"/>
    </row>
    <row r="3" spans="2:12">
      <c r="B3" s="5"/>
      <c r="C3" s="5"/>
      <c r="D3" s="5"/>
      <c r="E3" s="5"/>
      <c r="F3" s="5"/>
      <c r="G3" s="5"/>
      <c r="H3" s="5"/>
      <c r="I3" s="5"/>
      <c r="J3" s="5"/>
      <c r="K3" s="5"/>
    </row>
    <row r="4" spans="2:12" ht="15" customHeight="1" thickBot="1">
      <c r="B4" s="210" t="s">
        <v>2</v>
      </c>
      <c r="C4" s="211"/>
      <c r="D4" s="211"/>
      <c r="E4" s="212"/>
      <c r="G4" s="5"/>
      <c r="H4" s="5"/>
      <c r="I4" s="225" t="s">
        <v>3</v>
      </c>
      <c r="J4" s="226"/>
      <c r="K4" s="226"/>
    </row>
    <row r="5" spans="2:12">
      <c r="B5" s="213" t="s">
        <v>4</v>
      </c>
      <c r="C5" s="214"/>
      <c r="D5" s="214"/>
      <c r="E5" s="215"/>
      <c r="G5" s="5"/>
      <c r="H5" s="5"/>
      <c r="I5" s="63" t="s">
        <v>5</v>
      </c>
      <c r="J5" s="63" t="s">
        <v>6</v>
      </c>
      <c r="K5" s="63" t="s">
        <v>7</v>
      </c>
    </row>
    <row r="6" spans="2:12">
      <c r="B6" s="112"/>
      <c r="C6" s="113"/>
      <c r="D6" s="113"/>
      <c r="E6" s="114"/>
      <c r="G6" s="5"/>
      <c r="H6" s="5"/>
      <c r="I6" s="108">
        <v>2019</v>
      </c>
      <c r="J6" s="105">
        <v>335</v>
      </c>
      <c r="K6" s="105" t="s">
        <v>8</v>
      </c>
    </row>
    <row r="7" spans="2:12">
      <c r="B7" s="52" t="s">
        <v>9</v>
      </c>
      <c r="C7" s="2" t="s">
        <v>10</v>
      </c>
      <c r="D7" s="2" t="s">
        <v>11</v>
      </c>
      <c r="E7" s="6">
        <f>'ER Calcs'!J27</f>
        <v>1258</v>
      </c>
      <c r="G7" s="5"/>
      <c r="H7" s="5"/>
      <c r="I7" s="109">
        <v>2020</v>
      </c>
      <c r="J7" s="106">
        <v>1316</v>
      </c>
      <c r="K7" s="107">
        <f>E35</f>
        <v>1173</v>
      </c>
    </row>
    <row r="8" spans="2:12">
      <c r="B8" s="52" t="s">
        <v>12</v>
      </c>
      <c r="C8" s="2" t="s">
        <v>13</v>
      </c>
      <c r="D8" s="2" t="s">
        <v>11</v>
      </c>
      <c r="E8" s="6">
        <f>'ER Calcs'!J28</f>
        <v>0</v>
      </c>
      <c r="G8" s="5"/>
      <c r="H8" s="5"/>
      <c r="I8" s="109">
        <v>2021</v>
      </c>
      <c r="J8" s="106" t="s">
        <v>8</v>
      </c>
      <c r="K8" s="107">
        <f>E36</f>
        <v>2048</v>
      </c>
      <c r="L8" s="18"/>
    </row>
    <row r="9" spans="2:12">
      <c r="B9" s="52" t="s">
        <v>14</v>
      </c>
      <c r="C9" s="2" t="s">
        <v>15</v>
      </c>
      <c r="D9" s="2" t="s">
        <v>16</v>
      </c>
      <c r="E9" s="65">
        <f>'ER Calcs'!J29</f>
        <v>0.95</v>
      </c>
      <c r="G9" s="5"/>
      <c r="H9" s="5"/>
      <c r="I9" s="31" t="s">
        <v>17</v>
      </c>
      <c r="J9" s="110">
        <f>SUM(J6:J8)</f>
        <v>1651</v>
      </c>
      <c r="K9" s="111">
        <f>SUM(K7:K8)</f>
        <v>3221</v>
      </c>
    </row>
    <row r="10" spans="2:12">
      <c r="B10" s="52" t="s">
        <v>18</v>
      </c>
      <c r="C10" s="2" t="s">
        <v>19</v>
      </c>
      <c r="D10" s="2" t="s">
        <v>11</v>
      </c>
      <c r="E10" s="6">
        <f>'ER Calcs'!J30</f>
        <v>0</v>
      </c>
      <c r="G10" s="5"/>
      <c r="H10" s="5"/>
    </row>
    <row r="11" spans="2:12">
      <c r="B11" s="52" t="s">
        <v>20</v>
      </c>
      <c r="C11" s="2" t="s">
        <v>21</v>
      </c>
      <c r="D11" s="2" t="s">
        <v>11</v>
      </c>
      <c r="E11" s="6">
        <f>'ER Calcs'!J31</f>
        <v>1195</v>
      </c>
      <c r="G11" s="5"/>
      <c r="H11" s="5"/>
      <c r="I11" s="5"/>
      <c r="J11" s="5"/>
      <c r="K11" s="5"/>
    </row>
    <row r="12" spans="2:12">
      <c r="B12" s="213" t="s">
        <v>22</v>
      </c>
      <c r="C12" s="214"/>
      <c r="D12" s="214"/>
      <c r="E12" s="215"/>
      <c r="G12" s="5"/>
      <c r="H12" s="5"/>
      <c r="I12" s="5"/>
      <c r="J12" s="5"/>
      <c r="K12" s="59"/>
    </row>
    <row r="13" spans="2:12">
      <c r="B13" s="53" t="s">
        <v>23</v>
      </c>
      <c r="C13" s="2"/>
      <c r="D13" s="7"/>
      <c r="E13" s="54">
        <f>'ER Calcs'!J34</f>
        <v>0.98199999999999998</v>
      </c>
      <c r="G13" s="5"/>
      <c r="H13" s="5"/>
      <c r="I13" s="5"/>
      <c r="J13" s="5"/>
      <c r="K13" s="5"/>
    </row>
    <row r="14" spans="2:12">
      <c r="B14" s="53" t="s">
        <v>24</v>
      </c>
      <c r="C14" s="2" t="s">
        <v>25</v>
      </c>
      <c r="D14" s="7" t="s">
        <v>26</v>
      </c>
      <c r="E14" s="54">
        <f>'ER Calcs'!J35</f>
        <v>1.7999999999999999E-2</v>
      </c>
      <c r="G14" s="5"/>
      <c r="H14" s="5"/>
      <c r="I14" s="5"/>
      <c r="J14" s="5"/>
      <c r="K14" s="5"/>
    </row>
    <row r="15" spans="2:12">
      <c r="B15" s="55" t="s">
        <v>20</v>
      </c>
      <c r="C15" s="27" t="s">
        <v>27</v>
      </c>
      <c r="D15" s="27" t="s">
        <v>11</v>
      </c>
      <c r="E15" s="56">
        <f>'ER Calcs'!J36</f>
        <v>1173</v>
      </c>
      <c r="G15" s="5"/>
      <c r="H15" s="5"/>
      <c r="I15" s="5"/>
      <c r="J15" s="5"/>
      <c r="K15" s="5"/>
    </row>
    <row r="16" spans="2:12">
      <c r="B16" s="207" t="s">
        <v>28</v>
      </c>
      <c r="C16" s="208"/>
      <c r="D16" s="208"/>
      <c r="E16" s="209"/>
      <c r="G16" s="5"/>
      <c r="H16" s="5"/>
      <c r="I16" s="5"/>
      <c r="J16" s="5"/>
      <c r="K16" s="5"/>
    </row>
    <row r="17" spans="2:11">
      <c r="B17" s="57" t="s">
        <v>29</v>
      </c>
      <c r="C17" s="58" t="s">
        <v>27</v>
      </c>
      <c r="D17" s="58" t="s">
        <v>11</v>
      </c>
      <c r="E17" s="8">
        <f>'ER Calcs'!J38</f>
        <v>1173</v>
      </c>
      <c r="G17" s="5"/>
      <c r="H17" s="5"/>
      <c r="I17" s="5"/>
      <c r="J17" s="5"/>
      <c r="K17" s="5"/>
    </row>
    <row r="18" spans="2:11">
      <c r="B18" s="5"/>
      <c r="C18" s="5"/>
      <c r="D18" s="5"/>
      <c r="E18" s="5"/>
      <c r="G18" s="95"/>
      <c r="H18" s="5"/>
      <c r="I18" s="5"/>
      <c r="J18" s="5"/>
      <c r="K18" s="5"/>
    </row>
    <row r="19" spans="2:11">
      <c r="B19" s="210" t="s">
        <v>30</v>
      </c>
      <c r="C19" s="211"/>
      <c r="D19" s="211"/>
      <c r="E19" s="212"/>
      <c r="F19" s="5"/>
      <c r="G19" s="95"/>
      <c r="H19" s="5"/>
      <c r="I19" s="5"/>
      <c r="J19" s="5"/>
      <c r="K19" s="5"/>
    </row>
    <row r="20" spans="2:11">
      <c r="B20" s="213" t="s">
        <v>4</v>
      </c>
      <c r="C20" s="214"/>
      <c r="D20" s="214"/>
      <c r="E20" s="215"/>
      <c r="F20" s="5"/>
      <c r="G20" s="5"/>
      <c r="H20" s="5"/>
      <c r="I20" s="5"/>
      <c r="J20" s="5"/>
      <c r="K20" s="5"/>
    </row>
    <row r="21" spans="2:11">
      <c r="B21" s="52" t="s">
        <v>9</v>
      </c>
      <c r="C21" s="2" t="s">
        <v>10</v>
      </c>
      <c r="D21" s="2" t="s">
        <v>11</v>
      </c>
      <c r="E21" s="6">
        <f>'ER Calcs'!O27</f>
        <v>2196</v>
      </c>
      <c r="F21" s="5"/>
      <c r="G21" s="5"/>
      <c r="H21" s="5"/>
      <c r="I21" s="5"/>
      <c r="J21" s="5"/>
      <c r="K21" s="5"/>
    </row>
    <row r="22" spans="2:11">
      <c r="B22" s="52" t="s">
        <v>12</v>
      </c>
      <c r="C22" s="2" t="s">
        <v>13</v>
      </c>
      <c r="D22" s="2" t="s">
        <v>11</v>
      </c>
      <c r="E22" s="6">
        <f>'ER Calcs'!O28</f>
        <v>0</v>
      </c>
      <c r="F22" s="5"/>
      <c r="G22" s="5"/>
      <c r="H22" s="5"/>
      <c r="I22" s="5"/>
      <c r="J22" s="5"/>
      <c r="K22" s="5"/>
    </row>
    <row r="23" spans="2:11">
      <c r="B23" s="52" t="s">
        <v>14</v>
      </c>
      <c r="C23" s="2" t="s">
        <v>15</v>
      </c>
      <c r="D23" s="2" t="s">
        <v>16</v>
      </c>
      <c r="E23" s="65">
        <f>'ER Calcs'!O29</f>
        <v>0.95</v>
      </c>
      <c r="F23" s="5"/>
      <c r="G23" s="5"/>
      <c r="H23" s="5"/>
      <c r="I23" s="5"/>
      <c r="J23" s="5"/>
      <c r="K23" s="5"/>
    </row>
    <row r="24" spans="2:11">
      <c r="B24" s="52" t="s">
        <v>18</v>
      </c>
      <c r="C24" s="2" t="s">
        <v>19</v>
      </c>
      <c r="D24" s="2" t="s">
        <v>11</v>
      </c>
      <c r="E24" s="6">
        <f>'ER Calcs'!O30</f>
        <v>0</v>
      </c>
      <c r="F24" s="5"/>
      <c r="G24" s="5"/>
      <c r="H24" s="5"/>
      <c r="I24" s="5"/>
      <c r="J24" s="5"/>
      <c r="K24" s="5"/>
    </row>
    <row r="25" spans="2:11">
      <c r="B25" s="52" t="s">
        <v>20</v>
      </c>
      <c r="C25" s="2" t="s">
        <v>21</v>
      </c>
      <c r="D25" s="2" t="s">
        <v>11</v>
      </c>
      <c r="E25" s="6">
        <f>'ER Calcs'!O31</f>
        <v>2086</v>
      </c>
      <c r="F25" s="5"/>
      <c r="G25" s="5"/>
      <c r="H25" s="5"/>
      <c r="I25" s="5"/>
      <c r="J25" s="5"/>
      <c r="K25" s="5"/>
    </row>
    <row r="26" spans="2:11">
      <c r="B26" s="213" t="s">
        <v>22</v>
      </c>
      <c r="C26" s="214"/>
      <c r="D26" s="214"/>
      <c r="E26" s="215"/>
      <c r="F26" s="5"/>
      <c r="G26" s="5"/>
      <c r="H26" s="5"/>
      <c r="I26" s="5"/>
      <c r="J26" s="5"/>
      <c r="K26" s="5"/>
    </row>
    <row r="27" spans="2:11">
      <c r="B27" s="53" t="s">
        <v>23</v>
      </c>
      <c r="C27" s="2"/>
      <c r="D27" s="7"/>
      <c r="E27" s="54">
        <f>'ER Calcs'!O34</f>
        <v>0.98199999999999998</v>
      </c>
      <c r="F27" s="5"/>
      <c r="G27" s="5"/>
      <c r="H27" s="5"/>
      <c r="I27" s="5"/>
      <c r="J27" s="5"/>
      <c r="K27" s="5"/>
    </row>
    <row r="28" spans="2:11">
      <c r="B28" s="53" t="s">
        <v>24</v>
      </c>
      <c r="C28" s="2" t="s">
        <v>25</v>
      </c>
      <c r="D28" s="7" t="s">
        <v>26</v>
      </c>
      <c r="E28" s="54">
        <f>'ER Calcs'!O35</f>
        <v>1.7999999999999999E-2</v>
      </c>
      <c r="F28" s="5"/>
      <c r="G28" s="5"/>
      <c r="H28" s="5"/>
      <c r="I28" s="5"/>
      <c r="J28" s="5"/>
      <c r="K28" s="5"/>
    </row>
    <row r="29" spans="2:11">
      <c r="B29" s="57" t="s">
        <v>20</v>
      </c>
      <c r="C29" s="58" t="s">
        <v>21</v>
      </c>
      <c r="D29" s="58" t="s">
        <v>11</v>
      </c>
      <c r="E29" s="8">
        <f>'ER Calcs'!O36</f>
        <v>2048</v>
      </c>
      <c r="F29" s="5"/>
      <c r="G29" s="5"/>
      <c r="H29" s="5"/>
      <c r="I29" s="5"/>
      <c r="J29" s="5"/>
      <c r="K29" s="5"/>
    </row>
    <row r="30" spans="2:11">
      <c r="B30" s="207" t="s">
        <v>28</v>
      </c>
      <c r="C30" s="208"/>
      <c r="D30" s="208"/>
      <c r="E30" s="209"/>
      <c r="F30" s="5"/>
      <c r="G30" s="5"/>
      <c r="H30" s="5"/>
      <c r="I30" s="5"/>
      <c r="J30" s="5"/>
      <c r="K30" s="5"/>
    </row>
    <row r="31" spans="2:11">
      <c r="B31" s="57" t="s">
        <v>29</v>
      </c>
      <c r="C31" s="58" t="s">
        <v>27</v>
      </c>
      <c r="D31" s="58" t="s">
        <v>11</v>
      </c>
      <c r="E31" s="8">
        <f>'ER Calcs'!O38</f>
        <v>2048</v>
      </c>
      <c r="F31" s="5"/>
      <c r="G31" s="5"/>
      <c r="H31" s="5"/>
      <c r="I31" s="5"/>
      <c r="J31" s="5"/>
      <c r="K31" s="5"/>
    </row>
    <row r="32" spans="2:11">
      <c r="B32" s="5"/>
      <c r="C32" s="5"/>
      <c r="D32" s="5"/>
      <c r="E32" s="5"/>
      <c r="F32" s="5"/>
      <c r="G32" s="5"/>
      <c r="H32" s="5"/>
      <c r="I32" s="59"/>
      <c r="J32" s="59"/>
      <c r="K32" s="5"/>
    </row>
    <row r="33" spans="2:11" ht="15.75">
      <c r="B33" s="227" t="s">
        <v>31</v>
      </c>
      <c r="C33" s="228"/>
      <c r="D33" s="228"/>
      <c r="E33" s="229"/>
      <c r="F33" s="5"/>
      <c r="G33" s="5"/>
      <c r="H33" s="5"/>
      <c r="I33" s="5"/>
      <c r="J33" s="5"/>
      <c r="K33" s="5"/>
    </row>
    <row r="34" spans="2:11">
      <c r="B34" s="216" t="s">
        <v>4</v>
      </c>
      <c r="C34" s="217"/>
      <c r="D34" s="217"/>
      <c r="E34" s="218"/>
      <c r="F34" s="5"/>
      <c r="G34" s="5"/>
      <c r="H34" s="5"/>
      <c r="I34" s="5"/>
      <c r="J34" s="5"/>
      <c r="K34" s="5"/>
    </row>
    <row r="35" spans="2:11">
      <c r="B35" s="219">
        <v>2020</v>
      </c>
      <c r="C35" s="220"/>
      <c r="D35" s="60"/>
      <c r="E35" s="9">
        <f>E17</f>
        <v>1173</v>
      </c>
      <c r="F35" s="5"/>
      <c r="G35" s="5"/>
      <c r="H35" s="5"/>
      <c r="I35" s="5"/>
      <c r="J35" s="5"/>
      <c r="K35" s="5"/>
    </row>
    <row r="36" spans="2:11">
      <c r="B36" s="221">
        <v>2021</v>
      </c>
      <c r="C36" s="222"/>
      <c r="D36" s="60"/>
      <c r="E36" s="61">
        <f>E31</f>
        <v>2048</v>
      </c>
      <c r="F36" s="5"/>
      <c r="G36" s="5"/>
      <c r="H36" s="5"/>
      <c r="I36" s="5"/>
      <c r="J36" s="5"/>
      <c r="K36" s="5"/>
    </row>
    <row r="37" spans="2:11">
      <c r="B37" s="223" t="s">
        <v>32</v>
      </c>
      <c r="C37" s="224"/>
      <c r="D37" s="10"/>
      <c r="E37" s="62">
        <f>SUM(E35:E36)</f>
        <v>3221</v>
      </c>
      <c r="F37" s="5"/>
      <c r="G37" s="5"/>
      <c r="H37" s="5"/>
      <c r="I37" s="5"/>
      <c r="J37" s="5"/>
      <c r="K37" s="5"/>
    </row>
    <row r="38" spans="2:11">
      <c r="B38" s="5"/>
      <c r="C38" s="5"/>
      <c r="D38" s="5"/>
      <c r="E38" s="5"/>
      <c r="F38" s="5"/>
      <c r="G38" s="5"/>
      <c r="H38" s="5"/>
    </row>
  </sheetData>
  <mergeCells count="16">
    <mergeCell ref="B34:E34"/>
    <mergeCell ref="B35:C35"/>
    <mergeCell ref="B36:C36"/>
    <mergeCell ref="B37:C37"/>
    <mergeCell ref="I4:K4"/>
    <mergeCell ref="B30:E30"/>
    <mergeCell ref="B33:E33"/>
    <mergeCell ref="I2:K2"/>
    <mergeCell ref="B16:E16"/>
    <mergeCell ref="B19:E19"/>
    <mergeCell ref="B20:E20"/>
    <mergeCell ref="B26:E26"/>
    <mergeCell ref="B2:E2"/>
    <mergeCell ref="B4:E4"/>
    <mergeCell ref="B5:E5"/>
    <mergeCell ref="B12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7922-DACD-4A9B-B223-6A58928E6631}">
  <dimension ref="A1:AF605"/>
  <sheetViews>
    <sheetView topLeftCell="E9" zoomScale="70" zoomScaleNormal="70" workbookViewId="0">
      <selection activeCell="E37" sqref="E37"/>
    </sheetView>
  </sheetViews>
  <sheetFormatPr defaultRowHeight="15"/>
  <cols>
    <col min="2" max="2" width="81.140625" style="4" customWidth="1"/>
    <col min="3" max="3" width="19.140625" style="4" bestFit="1" customWidth="1"/>
    <col min="4" max="4" width="12.5703125" style="4" bestFit="1" customWidth="1"/>
    <col min="5" max="5" width="19.42578125" style="4" customWidth="1"/>
    <col min="6" max="6" width="9.140625" style="4"/>
    <col min="7" max="7" width="80.7109375" style="4" customWidth="1"/>
    <col min="8" max="8" width="19.140625" style="4" bestFit="1" customWidth="1"/>
    <col min="9" max="9" width="12.5703125" style="4" bestFit="1" customWidth="1"/>
    <col min="10" max="10" width="13.140625" style="4" bestFit="1" customWidth="1"/>
    <col min="11" max="11" width="9.140625" style="4"/>
    <col min="12" max="12" width="81.140625" style="4" customWidth="1"/>
    <col min="13" max="13" width="19.140625" style="4" bestFit="1" customWidth="1"/>
    <col min="14" max="14" width="16.42578125" style="4" customWidth="1"/>
    <col min="15" max="15" width="17.5703125" style="4" customWidth="1"/>
  </cols>
  <sheetData>
    <row r="1" spans="1:32"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>
      <c r="A2" s="4"/>
      <c r="B2" s="230" t="s">
        <v>33</v>
      </c>
      <c r="C2" s="230"/>
      <c r="D2" s="230"/>
      <c r="E2" s="230"/>
      <c r="G2" s="230" t="s">
        <v>2</v>
      </c>
      <c r="H2" s="230"/>
      <c r="I2" s="230"/>
      <c r="J2" s="230"/>
      <c r="L2" s="230" t="s">
        <v>30</v>
      </c>
      <c r="M2" s="230"/>
      <c r="N2" s="230"/>
      <c r="O2" s="230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4"/>
      <c r="B4" s="208" t="s">
        <v>34</v>
      </c>
      <c r="C4" s="208"/>
      <c r="D4" s="208"/>
      <c r="E4" s="208"/>
      <c r="G4" s="208" t="s">
        <v>34</v>
      </c>
      <c r="H4" s="208"/>
      <c r="I4" s="208"/>
      <c r="J4" s="208"/>
      <c r="L4" s="231" t="s">
        <v>34</v>
      </c>
      <c r="M4" s="214"/>
      <c r="N4" s="214"/>
      <c r="O4" s="232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32.25" customHeight="1">
      <c r="A5" s="4"/>
      <c r="B5" s="1" t="s">
        <v>35</v>
      </c>
      <c r="C5" s="2" t="s">
        <v>36</v>
      </c>
      <c r="D5" s="2" t="s">
        <v>16</v>
      </c>
      <c r="E5" s="25">
        <v>1.8200000000000001E-2</v>
      </c>
      <c r="G5" s="1" t="s">
        <v>35</v>
      </c>
      <c r="H5" s="2" t="s">
        <v>36</v>
      </c>
      <c r="I5" s="2" t="s">
        <v>16</v>
      </c>
      <c r="J5" s="41">
        <f>E5</f>
        <v>1.8200000000000001E-2</v>
      </c>
      <c r="L5" s="1" t="s">
        <v>35</v>
      </c>
      <c r="M5" s="2" t="s">
        <v>36</v>
      </c>
      <c r="N5" s="2" t="s">
        <v>16</v>
      </c>
      <c r="O5" s="41">
        <f>E5</f>
        <v>1.8200000000000001E-2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4"/>
      <c r="B6" s="2" t="s">
        <v>37</v>
      </c>
      <c r="C6" s="2" t="s">
        <v>38</v>
      </c>
      <c r="D6" s="2"/>
      <c r="E6" s="20">
        <f>PTDs!V13</f>
        <v>718758</v>
      </c>
      <c r="G6" s="2" t="s">
        <v>37</v>
      </c>
      <c r="H6" s="2" t="s">
        <v>38</v>
      </c>
      <c r="I6" s="2"/>
      <c r="J6" s="20">
        <f>PTDs!O13</f>
        <v>263028</v>
      </c>
      <c r="L6" s="2" t="s">
        <v>37</v>
      </c>
      <c r="M6" s="2" t="s">
        <v>38</v>
      </c>
      <c r="N6" s="2"/>
      <c r="O6" s="20">
        <f>PTDs!T13</f>
        <v>455730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4"/>
      <c r="B7" s="2" t="s">
        <v>39</v>
      </c>
      <c r="C7" s="2" t="s">
        <v>40</v>
      </c>
      <c r="D7" s="2" t="s">
        <v>41</v>
      </c>
      <c r="E7" s="85">
        <v>4.0000000000000002E-4</v>
      </c>
      <c r="G7" s="2" t="s">
        <v>39</v>
      </c>
      <c r="H7" s="2" t="s">
        <v>40</v>
      </c>
      <c r="I7" s="2" t="s">
        <v>41</v>
      </c>
      <c r="J7" s="85">
        <f>E7</f>
        <v>4.0000000000000002E-4</v>
      </c>
      <c r="L7" s="2" t="s">
        <v>39</v>
      </c>
      <c r="M7" s="2" t="s">
        <v>40</v>
      </c>
      <c r="N7" s="2" t="s">
        <v>41</v>
      </c>
      <c r="O7" s="85">
        <f>E7</f>
        <v>4.0000000000000002E-4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4"/>
      <c r="B8" s="1" t="s">
        <v>42</v>
      </c>
      <c r="C8" s="2" t="s">
        <v>43</v>
      </c>
      <c r="D8" s="2" t="s">
        <v>44</v>
      </c>
      <c r="E8" s="40">
        <v>7.44</v>
      </c>
      <c r="G8" s="1" t="s">
        <v>42</v>
      </c>
      <c r="H8" s="2" t="s">
        <v>43</v>
      </c>
      <c r="I8" s="2" t="s">
        <v>44</v>
      </c>
      <c r="J8" s="40">
        <f>E8</f>
        <v>7.44</v>
      </c>
      <c r="L8" s="1" t="s">
        <v>42</v>
      </c>
      <c r="M8" s="2" t="s">
        <v>43</v>
      </c>
      <c r="N8" s="2" t="s">
        <v>44</v>
      </c>
      <c r="O8" s="40">
        <f>E8</f>
        <v>7.44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A9" s="4"/>
      <c r="B9" s="1" t="s">
        <v>45</v>
      </c>
      <c r="C9" s="2" t="s">
        <v>46</v>
      </c>
      <c r="D9" s="2" t="s">
        <v>44</v>
      </c>
      <c r="E9" s="21">
        <v>0</v>
      </c>
      <c r="G9" s="1" t="s">
        <v>45</v>
      </c>
      <c r="H9" s="2" t="s">
        <v>46</v>
      </c>
      <c r="I9" s="2" t="s">
        <v>44</v>
      </c>
      <c r="J9" s="40">
        <f>E9</f>
        <v>0</v>
      </c>
      <c r="L9" s="1" t="s">
        <v>45</v>
      </c>
      <c r="M9" s="2" t="s">
        <v>46</v>
      </c>
      <c r="N9" s="2" t="s">
        <v>44</v>
      </c>
      <c r="O9" s="21">
        <f>J9</f>
        <v>0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4"/>
      <c r="B10" s="2" t="s">
        <v>47</v>
      </c>
      <c r="C10" s="2" t="s">
        <v>48</v>
      </c>
      <c r="D10" s="2" t="s">
        <v>49</v>
      </c>
      <c r="E10" s="21">
        <f>ROUNDDOWN((1-E5)*E6*E7*(E8+E9),0)</f>
        <v>2100</v>
      </c>
      <c r="G10" s="2" t="s">
        <v>47</v>
      </c>
      <c r="H10" s="2" t="s">
        <v>48</v>
      </c>
      <c r="I10" s="2" t="s">
        <v>49</v>
      </c>
      <c r="J10" s="21">
        <f>ROUNDDOWN((1-J5)*J6*J7*(J8+J9),0)</f>
        <v>768</v>
      </c>
      <c r="L10" s="2" t="s">
        <v>47</v>
      </c>
      <c r="M10" s="2" t="s">
        <v>48</v>
      </c>
      <c r="N10" s="2" t="s">
        <v>49</v>
      </c>
      <c r="O10" s="21">
        <f>ROUNDDOWN((1-O5)*O6*O7*(O8+O9),0)</f>
        <v>1331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4"/>
      <c r="B12" s="208" t="s">
        <v>50</v>
      </c>
      <c r="C12" s="208"/>
      <c r="D12" s="208"/>
      <c r="E12" s="208"/>
      <c r="G12" s="208" t="s">
        <v>50</v>
      </c>
      <c r="H12" s="208"/>
      <c r="I12" s="208"/>
      <c r="J12" s="208"/>
      <c r="L12" s="231" t="s">
        <v>50</v>
      </c>
      <c r="M12" s="214"/>
      <c r="N12" s="214"/>
      <c r="O12" s="23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ht="30">
      <c r="A13" s="4"/>
      <c r="B13" s="1" t="s">
        <v>35</v>
      </c>
      <c r="C13" s="2" t="s">
        <v>36</v>
      </c>
      <c r="D13" s="2" t="s">
        <v>16</v>
      </c>
      <c r="E13" s="41">
        <f>E5</f>
        <v>1.8200000000000001E-2</v>
      </c>
      <c r="G13" s="1" t="s">
        <v>35</v>
      </c>
      <c r="H13" s="2" t="s">
        <v>36</v>
      </c>
      <c r="I13" s="2" t="s">
        <v>16</v>
      </c>
      <c r="J13" s="41">
        <f>J5</f>
        <v>1.8200000000000001E-2</v>
      </c>
      <c r="L13" s="1" t="s">
        <v>35</v>
      </c>
      <c r="M13" s="2" t="s">
        <v>36</v>
      </c>
      <c r="N13" s="2" t="s">
        <v>16</v>
      </c>
      <c r="O13" s="41">
        <f>O5</f>
        <v>1.8200000000000001E-2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>
      <c r="A14" s="4"/>
      <c r="B14" s="2" t="s">
        <v>37</v>
      </c>
      <c r="C14" s="2" t="s">
        <v>38</v>
      </c>
      <c r="D14" s="2"/>
      <c r="E14" s="20">
        <f>E6</f>
        <v>718758</v>
      </c>
      <c r="G14" s="2" t="s">
        <v>37</v>
      </c>
      <c r="H14" s="2" t="s">
        <v>38</v>
      </c>
      <c r="I14" s="2"/>
      <c r="J14" s="20">
        <f>J6</f>
        <v>263028</v>
      </c>
      <c r="L14" s="2" t="s">
        <v>37</v>
      </c>
      <c r="M14" s="2" t="s">
        <v>38</v>
      </c>
      <c r="N14" s="2"/>
      <c r="O14" s="20">
        <f>O6</f>
        <v>455730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>
      <c r="A15" s="4"/>
      <c r="B15" s="2" t="s">
        <v>51</v>
      </c>
      <c r="C15" s="2" t="s">
        <v>52</v>
      </c>
      <c r="D15" s="2" t="s">
        <v>41</v>
      </c>
      <c r="E15" s="85">
        <f>E7</f>
        <v>4.0000000000000002E-4</v>
      </c>
      <c r="G15" s="2" t="s">
        <v>51</v>
      </c>
      <c r="H15" s="2" t="s">
        <v>52</v>
      </c>
      <c r="I15" s="2" t="s">
        <v>41</v>
      </c>
      <c r="J15" s="85">
        <f>J7</f>
        <v>4.0000000000000002E-4</v>
      </c>
      <c r="L15" s="2" t="s">
        <v>51</v>
      </c>
      <c r="M15" s="2" t="s">
        <v>52</v>
      </c>
      <c r="N15" s="2" t="s">
        <v>41</v>
      </c>
      <c r="O15" s="85">
        <f>O7</f>
        <v>4.0000000000000002E-4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>
      <c r="A16" s="4"/>
      <c r="B16" s="2" t="s">
        <v>53</v>
      </c>
      <c r="C16" s="2" t="s">
        <v>46</v>
      </c>
      <c r="D16" s="2" t="s">
        <v>44</v>
      </c>
      <c r="E16" s="19">
        <v>0</v>
      </c>
      <c r="G16" s="2" t="s">
        <v>53</v>
      </c>
      <c r="H16" s="2" t="s">
        <v>46</v>
      </c>
      <c r="I16" s="2" t="s">
        <v>44</v>
      </c>
      <c r="J16" s="19">
        <v>0</v>
      </c>
      <c r="L16" s="2" t="s">
        <v>53</v>
      </c>
      <c r="M16" s="2" t="s">
        <v>46</v>
      </c>
      <c r="N16" s="2" t="s">
        <v>44</v>
      </c>
      <c r="O16" s="19">
        <v>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>
      <c r="A17" s="4"/>
      <c r="B17" s="2" t="s">
        <v>54</v>
      </c>
      <c r="C17" s="2" t="s">
        <v>55</v>
      </c>
      <c r="D17" s="2" t="s">
        <v>44</v>
      </c>
      <c r="E17" s="19">
        <v>0</v>
      </c>
      <c r="G17" s="2" t="s">
        <v>54</v>
      </c>
      <c r="H17" s="2" t="s">
        <v>55</v>
      </c>
      <c r="I17" s="2" t="s">
        <v>44</v>
      </c>
      <c r="J17" s="19">
        <v>0</v>
      </c>
      <c r="L17" s="2" t="s">
        <v>54</v>
      </c>
      <c r="M17" s="2" t="s">
        <v>55</v>
      </c>
      <c r="N17" s="2" t="s">
        <v>44</v>
      </c>
      <c r="O17" s="19">
        <v>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>
      <c r="A18" s="4"/>
      <c r="B18" s="2" t="s">
        <v>56</v>
      </c>
      <c r="C18" s="2" t="s">
        <v>57</v>
      </c>
      <c r="D18" s="2" t="s">
        <v>49</v>
      </c>
      <c r="E18" s="21">
        <f>ROUNDDOWN((1-E13)*E14*E15*(E16+E17),0)</f>
        <v>0</v>
      </c>
      <c r="G18" s="2" t="s">
        <v>56</v>
      </c>
      <c r="H18" s="2" t="s">
        <v>57</v>
      </c>
      <c r="I18" s="2" t="s">
        <v>49</v>
      </c>
      <c r="J18" s="21">
        <f>ROUNDDOWN((1-J13)*J14*J15*(J16+J17),0)</f>
        <v>0</v>
      </c>
      <c r="L18" s="2" t="s">
        <v>56</v>
      </c>
      <c r="M18" s="2" t="s">
        <v>57</v>
      </c>
      <c r="N18" s="2" t="s">
        <v>49</v>
      </c>
      <c r="O18" s="21">
        <f>ROUNDDOWN((1-O13)*O14*O15*(O16+O17),0)</f>
        <v>0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>
      <c r="A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>
      <c r="A20" s="4"/>
      <c r="B20" s="231" t="s">
        <v>58</v>
      </c>
      <c r="C20" s="214"/>
      <c r="D20" s="214"/>
      <c r="E20" s="232"/>
      <c r="G20" s="231" t="s">
        <v>58</v>
      </c>
      <c r="H20" s="214"/>
      <c r="I20" s="214"/>
      <c r="J20" s="232"/>
      <c r="L20" s="231" t="s">
        <v>58</v>
      </c>
      <c r="M20" s="214"/>
      <c r="N20" s="214"/>
      <c r="O20" s="232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>
      <c r="A21" s="4"/>
      <c r="B21" s="1" t="s">
        <v>59</v>
      </c>
      <c r="C21" s="2" t="s">
        <v>59</v>
      </c>
      <c r="D21" s="2" t="s">
        <v>60</v>
      </c>
      <c r="E21" s="40">
        <v>0.86</v>
      </c>
      <c r="G21" s="1" t="s">
        <v>59</v>
      </c>
      <c r="H21" s="2" t="s">
        <v>59</v>
      </c>
      <c r="I21" s="2" t="s">
        <v>60</v>
      </c>
      <c r="J21" s="40">
        <v>0.86</v>
      </c>
      <c r="L21" s="1" t="s">
        <v>59</v>
      </c>
      <c r="M21" s="2" t="s">
        <v>59</v>
      </c>
      <c r="N21" s="2" t="s">
        <v>60</v>
      </c>
      <c r="O21" s="40">
        <v>0.86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>
      <c r="A22" s="4"/>
      <c r="B22" s="2" t="s">
        <v>61</v>
      </c>
      <c r="C22" s="2" t="s">
        <v>62</v>
      </c>
      <c r="D22" s="2" t="s">
        <v>63</v>
      </c>
      <c r="E22" s="19">
        <v>112</v>
      </c>
      <c r="G22" s="2" t="s">
        <v>61</v>
      </c>
      <c r="H22" s="2" t="s">
        <v>62</v>
      </c>
      <c r="I22" s="2" t="s">
        <v>63</v>
      </c>
      <c r="J22" s="19">
        <v>112</v>
      </c>
      <c r="L22" s="2" t="s">
        <v>61</v>
      </c>
      <c r="M22" s="2" t="s">
        <v>62</v>
      </c>
      <c r="N22" s="2" t="s">
        <v>63</v>
      </c>
      <c r="O22" s="19">
        <v>112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>
      <c r="A23" s="4"/>
      <c r="B23" s="2" t="s">
        <v>64</v>
      </c>
      <c r="C23" s="2" t="s">
        <v>65</v>
      </c>
      <c r="D23" s="2" t="s">
        <v>66</v>
      </c>
      <c r="E23" s="19">
        <v>8.6920000000000002</v>
      </c>
      <c r="G23" s="2" t="s">
        <v>64</v>
      </c>
      <c r="H23" s="2" t="s">
        <v>65</v>
      </c>
      <c r="I23" s="2" t="s">
        <v>66</v>
      </c>
      <c r="J23" s="19">
        <v>8.6920000000000002</v>
      </c>
      <c r="L23" s="2" t="s">
        <v>64</v>
      </c>
      <c r="M23" s="2" t="s">
        <v>65</v>
      </c>
      <c r="N23" s="2" t="s">
        <v>66</v>
      </c>
      <c r="O23" s="19">
        <v>9.4600000000000009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>
      <c r="A24" s="4"/>
      <c r="B24" s="2" t="s">
        <v>67</v>
      </c>
      <c r="C24" s="2" t="s">
        <v>68</v>
      </c>
      <c r="D24" s="2" t="s">
        <v>69</v>
      </c>
      <c r="E24" s="19">
        <v>1.5599999999999999E-2</v>
      </c>
      <c r="G24" s="2" t="s">
        <v>67</v>
      </c>
      <c r="H24" s="2" t="s">
        <v>68</v>
      </c>
      <c r="I24" s="2" t="s">
        <v>69</v>
      </c>
      <c r="J24" s="19">
        <v>1.5599999999999999E-2</v>
      </c>
      <c r="L24" s="2" t="s">
        <v>67</v>
      </c>
      <c r="M24" s="2" t="s">
        <v>68</v>
      </c>
      <c r="N24" s="2" t="s">
        <v>69</v>
      </c>
      <c r="O24" s="19">
        <v>1.5599999999999999E-2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>
      <c r="A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>
      <c r="A26" s="4"/>
      <c r="B26" s="231" t="s">
        <v>4</v>
      </c>
      <c r="C26" s="214"/>
      <c r="D26" s="214"/>
      <c r="E26" s="232"/>
      <c r="G26" s="231" t="s">
        <v>4</v>
      </c>
      <c r="H26" s="214"/>
      <c r="I26" s="214"/>
      <c r="J26" s="232"/>
      <c r="L26" s="231" t="s">
        <v>4</v>
      </c>
      <c r="M26" s="214"/>
      <c r="N26" s="214"/>
      <c r="O26" s="23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>
      <c r="A27" s="4"/>
      <c r="B27" s="2" t="s">
        <v>9</v>
      </c>
      <c r="C27" s="2" t="s">
        <v>10</v>
      </c>
      <c r="D27" s="2" t="s">
        <v>11</v>
      </c>
      <c r="E27" s="22">
        <f>ROUNDDOWN(E10*((E22*E21)+E23)*E24,0)</f>
        <v>3440</v>
      </c>
      <c r="G27" s="2" t="s">
        <v>9</v>
      </c>
      <c r="H27" s="2" t="s">
        <v>10</v>
      </c>
      <c r="I27" s="2" t="s">
        <v>11</v>
      </c>
      <c r="J27" s="22">
        <f>ROUNDDOWN(J10*((J22*J21)+J23)*J24,0)</f>
        <v>1258</v>
      </c>
      <c r="L27" s="2" t="s">
        <v>9</v>
      </c>
      <c r="M27" s="2" t="s">
        <v>10</v>
      </c>
      <c r="N27" s="2" t="s">
        <v>11</v>
      </c>
      <c r="O27" s="22">
        <f>ROUNDDOWN(O10*((O22*O21)+O23)*O24,0)</f>
        <v>2196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>
      <c r="A28" s="4"/>
      <c r="B28" s="2" t="s">
        <v>12</v>
      </c>
      <c r="C28" s="2" t="s">
        <v>13</v>
      </c>
      <c r="D28" s="2" t="s">
        <v>11</v>
      </c>
      <c r="E28" s="22">
        <f>E18*((E22*E21)+E23)*E24</f>
        <v>0</v>
      </c>
      <c r="G28" s="2" t="s">
        <v>12</v>
      </c>
      <c r="H28" s="2" t="s">
        <v>13</v>
      </c>
      <c r="I28" s="2" t="s">
        <v>11</v>
      </c>
      <c r="J28" s="22">
        <f>J18*((J22*J21)+J23)*J24</f>
        <v>0</v>
      </c>
      <c r="L28" s="2" t="s">
        <v>12</v>
      </c>
      <c r="M28" s="2" t="s">
        <v>13</v>
      </c>
      <c r="N28" s="2" t="s">
        <v>11</v>
      </c>
      <c r="O28" s="22">
        <f>O18*((O22*O21)+O23)*O24</f>
        <v>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>
      <c r="A29" s="4"/>
      <c r="B29" s="2" t="s">
        <v>14</v>
      </c>
      <c r="C29" s="2" t="s">
        <v>15</v>
      </c>
      <c r="D29" s="2" t="s">
        <v>16</v>
      </c>
      <c r="E29" s="19">
        <v>0.95</v>
      </c>
      <c r="G29" s="2" t="s">
        <v>14</v>
      </c>
      <c r="H29" s="2" t="s">
        <v>15</v>
      </c>
      <c r="I29" s="2" t="s">
        <v>16</v>
      </c>
      <c r="J29" s="19">
        <f>E29</f>
        <v>0.95</v>
      </c>
      <c r="L29" s="2" t="s">
        <v>14</v>
      </c>
      <c r="M29" s="2" t="s">
        <v>15</v>
      </c>
      <c r="N29" s="2" t="s">
        <v>16</v>
      </c>
      <c r="O29" s="19">
        <f>J29</f>
        <v>0.95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>
      <c r="A30" s="4"/>
      <c r="B30" s="2" t="s">
        <v>18</v>
      </c>
      <c r="C30" s="2" t="s">
        <v>19</v>
      </c>
      <c r="D30" s="2" t="s">
        <v>11</v>
      </c>
      <c r="E30" s="19">
        <v>0</v>
      </c>
      <c r="G30" s="2" t="s">
        <v>18</v>
      </c>
      <c r="H30" s="2" t="s">
        <v>19</v>
      </c>
      <c r="I30" s="2" t="s">
        <v>11</v>
      </c>
      <c r="J30" s="19">
        <v>0</v>
      </c>
      <c r="L30" s="2" t="s">
        <v>18</v>
      </c>
      <c r="M30" s="2" t="s">
        <v>19</v>
      </c>
      <c r="N30" s="2" t="s">
        <v>11</v>
      </c>
      <c r="O30" s="19">
        <v>0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>
      <c r="A31" s="4"/>
      <c r="B31" s="2" t="s">
        <v>33</v>
      </c>
      <c r="C31" s="2" t="s">
        <v>21</v>
      </c>
      <c r="D31" s="2" t="s">
        <v>11</v>
      </c>
      <c r="E31" s="21">
        <f>ROUNDDOWN(((E27-E28)*E29)-E30,0)</f>
        <v>3268</v>
      </c>
      <c r="G31" s="2" t="s">
        <v>33</v>
      </c>
      <c r="H31" s="2" t="s">
        <v>21</v>
      </c>
      <c r="I31" s="2" t="s">
        <v>11</v>
      </c>
      <c r="J31" s="21">
        <f>ROUNDDOWN(((J27-J28)*J29)-J30,0)</f>
        <v>1195</v>
      </c>
      <c r="L31" s="2" t="s">
        <v>33</v>
      </c>
      <c r="M31" s="2" t="s">
        <v>21</v>
      </c>
      <c r="N31" s="2" t="s">
        <v>11</v>
      </c>
      <c r="O31" s="21">
        <f>ROUNDDOWN(((O27-O28)*O29)-O30,0)</f>
        <v>2086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>
      <c r="A32" s="4"/>
      <c r="D32" s="23"/>
      <c r="I32" s="23"/>
      <c r="N32" s="23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>
      <c r="A33" s="4"/>
      <c r="B33" s="231" t="s">
        <v>22</v>
      </c>
      <c r="C33" s="214"/>
      <c r="D33" s="214"/>
      <c r="E33" s="232"/>
      <c r="G33" s="231" t="s">
        <v>22</v>
      </c>
      <c r="H33" s="214"/>
      <c r="I33" s="214"/>
      <c r="J33" s="232"/>
      <c r="L33" s="231" t="s">
        <v>22</v>
      </c>
      <c r="M33" s="214"/>
      <c r="N33" s="214"/>
      <c r="O33" s="23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>
      <c r="A34" s="4"/>
      <c r="B34" s="24" t="s">
        <v>23</v>
      </c>
      <c r="C34" s="2"/>
      <c r="D34" s="7"/>
      <c r="E34" s="25">
        <v>0.98199999999999998</v>
      </c>
      <c r="G34" s="24" t="s">
        <v>23</v>
      </c>
      <c r="H34" s="2"/>
      <c r="I34" s="7"/>
      <c r="J34" s="25">
        <f>E34</f>
        <v>0.98199999999999998</v>
      </c>
      <c r="L34" s="24" t="s">
        <v>23</v>
      </c>
      <c r="M34" s="2"/>
      <c r="N34" s="7"/>
      <c r="O34" s="25">
        <f>J34</f>
        <v>0.98199999999999998</v>
      </c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>
      <c r="A35" s="4"/>
      <c r="B35" s="24" t="s">
        <v>24</v>
      </c>
      <c r="C35" s="2" t="s">
        <v>25</v>
      </c>
      <c r="D35" s="7" t="s">
        <v>26</v>
      </c>
      <c r="E35" s="25">
        <v>1.7999999999999999E-2</v>
      </c>
      <c r="G35" s="24" t="s">
        <v>24</v>
      </c>
      <c r="H35" s="2" t="s">
        <v>25</v>
      </c>
      <c r="I35" s="7" t="s">
        <v>26</v>
      </c>
      <c r="J35" s="25">
        <f>E35</f>
        <v>1.7999999999999999E-2</v>
      </c>
      <c r="L35" s="24" t="s">
        <v>24</v>
      </c>
      <c r="M35" s="2" t="s">
        <v>25</v>
      </c>
      <c r="N35" s="7" t="s">
        <v>26</v>
      </c>
      <c r="O35" s="25">
        <f>J35</f>
        <v>1.7999999999999999E-2</v>
      </c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>
      <c r="A36" s="4"/>
      <c r="B36" s="64" t="s">
        <v>70</v>
      </c>
      <c r="C36" s="27" t="s">
        <v>21</v>
      </c>
      <c r="D36" s="28" t="s">
        <v>11</v>
      </c>
      <c r="E36" s="29">
        <f>J36+O36</f>
        <v>3221</v>
      </c>
      <c r="G36" s="26" t="s">
        <v>70</v>
      </c>
      <c r="H36" s="27" t="s">
        <v>21</v>
      </c>
      <c r="I36" s="28" t="s">
        <v>11</v>
      </c>
      <c r="J36" s="29">
        <f>ROUNDDOWN(J31*(1-J35),0)</f>
        <v>1173</v>
      </c>
      <c r="L36" s="26" t="s">
        <v>70</v>
      </c>
      <c r="M36" s="27" t="s">
        <v>21</v>
      </c>
      <c r="N36" s="28" t="s">
        <v>11</v>
      </c>
      <c r="O36" s="29">
        <f>ROUNDDOWN(O31*(1-O35),0)</f>
        <v>2048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spans="1:32">
      <c r="A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>
      <c r="A38" s="4"/>
      <c r="B38" s="91" t="s">
        <v>71</v>
      </c>
      <c r="C38" s="92"/>
      <c r="D38" s="93" t="s">
        <v>11</v>
      </c>
      <c r="E38" s="29">
        <f>J38+O38</f>
        <v>3221</v>
      </c>
      <c r="G38" s="94" t="s">
        <v>72</v>
      </c>
      <c r="H38" s="90"/>
      <c r="I38" s="93" t="s">
        <v>11</v>
      </c>
      <c r="J38" s="29">
        <f>ROUNDDOWN(IF(E36&gt;10000,J6*PTDs!C26,J36),0)</f>
        <v>1173</v>
      </c>
      <c r="L38" s="26" t="s">
        <v>71</v>
      </c>
      <c r="M38" s="27"/>
      <c r="N38" s="28" t="s">
        <v>11</v>
      </c>
      <c r="O38" s="29">
        <f>ROUNDDOWN(IF(J36&gt;10000,O6*PTDs!H26,O36),0)</f>
        <v>2048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ht="30" customHeight="1">
      <c r="A39" s="4"/>
      <c r="B39" s="234"/>
      <c r="C39" s="234"/>
      <c r="D39" s="234"/>
      <c r="E39" s="234"/>
      <c r="G39" s="233"/>
      <c r="H39" s="233"/>
      <c r="I39" s="233"/>
      <c r="J39" s="233"/>
      <c r="L39" s="233"/>
      <c r="M39" s="233"/>
      <c r="N39" s="233"/>
      <c r="O39" s="233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spans="1:32" ht="30" customHeight="1">
      <c r="A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spans="1:32">
      <c r="A41" s="4"/>
      <c r="G41" s="18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>
      <c r="A42" s="4"/>
      <c r="G42" s="18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spans="1:32">
      <c r="A43" s="4"/>
      <c r="G43" s="18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>
      <c r="A44" s="4"/>
      <c r="E44" s="18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>
      <c r="A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>
      <c r="A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>
      <c r="A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>
      <c r="A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>
      <c r="A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>
      <c r="A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>
      <c r="A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>
      <c r="A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>
      <c r="A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>
      <c r="A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>
      <c r="A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>
      <c r="A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>
      <c r="A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>
      <c r="A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>
      <c r="A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>
      <c r="A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>
      <c r="A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>
      <c r="A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>
      <c r="A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>
      <c r="A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>
      <c r="A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>
      <c r="A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>
      <c r="A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>
      <c r="A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>
      <c r="A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>
      <c r="A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>
      <c r="A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>
      <c r="A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>
      <c r="A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>
      <c r="A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>
      <c r="A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>
      <c r="A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>
      <c r="A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>
      <c r="A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>
      <c r="A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>
      <c r="A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>
      <c r="A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>
      <c r="A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>
      <c r="A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>
      <c r="A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>
      <c r="A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>
      <c r="A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>
      <c r="A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>
      <c r="A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>
      <c r="A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>
      <c r="A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>
      <c r="A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>
      <c r="A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>
      <c r="A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>
      <c r="A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>
      <c r="A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>
      <c r="A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>
      <c r="A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>
      <c r="A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>
      <c r="A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>
      <c r="A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>
      <c r="A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>
      <c r="A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>
      <c r="A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>
      <c r="A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>
      <c r="A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>
      <c r="A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32">
      <c r="A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32">
      <c r="A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32">
      <c r="A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32">
      <c r="A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32">
      <c r="A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32">
      <c r="A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>
      <c r="A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>
      <c r="A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>
      <c r="A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>
      <c r="A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>
      <c r="A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>
      <c r="A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>
      <c r="A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>
      <c r="A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>
      <c r="A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>
      <c r="A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>
      <c r="A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>
      <c r="A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>
      <c r="A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>
      <c r="A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>
      <c r="A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>
      <c r="A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>
      <c r="A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>
      <c r="A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>
      <c r="A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>
      <c r="A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>
      <c r="A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>
      <c r="A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>
      <c r="A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>
      <c r="A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>
      <c r="A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>
      <c r="A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>
      <c r="A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>
      <c r="A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>
      <c r="A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>
      <c r="A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>
      <c r="A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>
      <c r="A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>
      <c r="A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>
      <c r="A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>
      <c r="A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>
      <c r="A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>
      <c r="A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>
      <c r="A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>
      <c r="A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>
      <c r="A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>
      <c r="A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>
      <c r="A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>
      <c r="A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>
      <c r="A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>
      <c r="A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>
      <c r="A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>
      <c r="A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>
      <c r="A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>
      <c r="A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>
      <c r="A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>
      <c r="A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>
      <c r="A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>
      <c r="A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>
      <c r="A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>
      <c r="A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>
      <c r="A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>
      <c r="A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>
      <c r="A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>
      <c r="A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>
      <c r="A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>
      <c r="A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>
      <c r="A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>
      <c r="A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>
      <c r="A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>
      <c r="A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>
      <c r="A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>
      <c r="A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>
      <c r="A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6:32"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6:32"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6:32"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6:32"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6:32"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6:32"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6:32"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6:32"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6:32"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6:32"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6:32"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6:32"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6:32"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6:32"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6:32"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6:32"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6:32"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6:32"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6:32"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6:32"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6:32"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6:32"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6:32"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6:32"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6:32"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6:32"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6:32"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6:32"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6:32"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6:32"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6:32"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6:32"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6:32"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6:32"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6:32"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6:32"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6:32"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6:32"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6:32"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6:32"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6:32"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6:32"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6:32"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6:32"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6:32"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6:32"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6:32"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6:32"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6:32"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6:32"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6:32"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6:32"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6:32"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6:32"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6:32"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6:32"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6:32"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6:32"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6:32"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6:32"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6:32"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6:32"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6:32"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6:32"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6:32"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6:32"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6:32"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6:32"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6:32"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6:32"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6:32"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6:32"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6:32"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6:32"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6:32"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6:32"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6:32"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6:32"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6:32"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6:32"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6:32"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6:32"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6:32"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6:32"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6:32"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6:32"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6:32"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6:32"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6:32"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6:32"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6:32"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6:32"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6:32"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6:32"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6:32"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6:32"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6:32"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6:32"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6:32"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6:32"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6:32"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6:32"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6:32"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6:32"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6:32"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6:32"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6:32"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6:32"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6:32"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6:32"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6:32"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6:32"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6:32"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6:32"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6:32"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6:32"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6:32"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6:32"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6:32"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6:32"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6:32"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6:32"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6:32"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6:32"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6:32"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6:32"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6:32"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6:32"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spans="16:32"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spans="16:32"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spans="16:32"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spans="16:32"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spans="16:32"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spans="16:32"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spans="16:32"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spans="16:32"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spans="16:32"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spans="16:32"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spans="16:32"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spans="16:32"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spans="16:32"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spans="16:32"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spans="16:32"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spans="16:32"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spans="16:32"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spans="16:32"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spans="16:32"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spans="16:32"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spans="16:32"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spans="16:32"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spans="16:32"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spans="16:32"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spans="16:32"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spans="16:32"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spans="16:32"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spans="16:32"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spans="16:32"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spans="16:32"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spans="16:32"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spans="16:32"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spans="16:32"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spans="16:32"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spans="16:32"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spans="16:32"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spans="16:32"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spans="16:32"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spans="16:32"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spans="16:32"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spans="16:32"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spans="16:32"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spans="16:32"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spans="16:32"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spans="16:32"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spans="16:32"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spans="16:32"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spans="16:32"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spans="16:32"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spans="16:32"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spans="16:32"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spans="16:32"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spans="16:32"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spans="16:32"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spans="16:32"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spans="16:32"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spans="16:32"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spans="16:32"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spans="16:32"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spans="16:32"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spans="16:32"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spans="16:32"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spans="16:32"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spans="16:32"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spans="16:32"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spans="16:32"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spans="16:32"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spans="16:32"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spans="16:32"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spans="16:32"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spans="16:32"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spans="16:32"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spans="16:32"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spans="16:32"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spans="16:32"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spans="16:32"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spans="16:32"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spans="16:32"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spans="16:32"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spans="16:32"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spans="16:32"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spans="16:32"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spans="16:32"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spans="16:32"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spans="16:32"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spans="16:32"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spans="16:32"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spans="16:32"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spans="16:32"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spans="16:32"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spans="16:32"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spans="16:32"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spans="16:32"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spans="16:32"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spans="16:32"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spans="16:32"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spans="16:32"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spans="16:32"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spans="16:32"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spans="16:32"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spans="16:32"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spans="16:32"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spans="16:32"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spans="16:32"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spans="16:32"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spans="16:32"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spans="16:32"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spans="16:32"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spans="16:32"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spans="16:32"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spans="16:32"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spans="16:32"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spans="16:32"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spans="16:32"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spans="16:32"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spans="16:32"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spans="16:32"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spans="16:32"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spans="16:32"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spans="16:32"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spans="16:32"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spans="16:32"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spans="16:32"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spans="16:32"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spans="16:32"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spans="16:32"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spans="16:32"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spans="16:32"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spans="16:32"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spans="16:32"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spans="16:32"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spans="16:32"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spans="16:32"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spans="16:32"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spans="16:32"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spans="16:32"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spans="16:32"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spans="16:32"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spans="16:32"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spans="16:32"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spans="16:32"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spans="16:32"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spans="16:32"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spans="16:32"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spans="16:32"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spans="16:32"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spans="16:32"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spans="16:32"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spans="16:32"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spans="16:32"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spans="16:32"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spans="16:32"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spans="16:32"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spans="16:32"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spans="16:32"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spans="16:32"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spans="16:32"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spans="16:32"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spans="16:32"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spans="16:32"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spans="16:32"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spans="16:32"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spans="16:32"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spans="16:32"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spans="16:32"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spans="16:32"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spans="16:32"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spans="16:32"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spans="16:32"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spans="16:32"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spans="16:32"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spans="16:32"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spans="16:32"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spans="16:32"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spans="16:32"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spans="16:32"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spans="16:32"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spans="16:32"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spans="16:32"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spans="16:32"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spans="16:32"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spans="16:32"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spans="16:32"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spans="16:32"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spans="16:32"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spans="16:32"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spans="16:32"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spans="16:32"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spans="16:32"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spans="16:32"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spans="16:32"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spans="16:32"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spans="16:32"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spans="16:32"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spans="16:32"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spans="16:32"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spans="16:32"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spans="16:32"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spans="16:32"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spans="16:32"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spans="16:32"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spans="16:32"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spans="16:32"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spans="16:32"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spans="16:32"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spans="16:32"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spans="16:32"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spans="16:32"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spans="16:32"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spans="16:32"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spans="16:32"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spans="16:32"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spans="16:32"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spans="16:32"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spans="16:32"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spans="16:32"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spans="16:32"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spans="16:32"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spans="16:32"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spans="16:32"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spans="16:32"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spans="16:32"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spans="16:32"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spans="16:32"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spans="16:32"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spans="16:32"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spans="16:32"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spans="16:32"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spans="16:32"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spans="16:32"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spans="16:32"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spans="16:32"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spans="16:32"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spans="16:32"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spans="16:32"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spans="16:32"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spans="16:32"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spans="16:32"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spans="16:32"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spans="16:32"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spans="16:32"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spans="16:32"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spans="16:32"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spans="16:32"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spans="16:32"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spans="16:32"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spans="16:32"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spans="16:32"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spans="16:32"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spans="16:32"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spans="16:32"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spans="16:32"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spans="16:32"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spans="16:32"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spans="16:32"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spans="16:32"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spans="16:32"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spans="16:32"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spans="16:32"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spans="16:32"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spans="16:32"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spans="16:32"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spans="16:32"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spans="16:32"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spans="16:32"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spans="16:32"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spans="16:32"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spans="16:32"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spans="16:32"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spans="16:32"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spans="16:32"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spans="16:32"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spans="16:32"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spans="16:32"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spans="16:32"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spans="16:32"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spans="16:32"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spans="16:32"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spans="16:32"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spans="16:32"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spans="16:32"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spans="16:32"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spans="16:32"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spans="16:32"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spans="16:32"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</sheetData>
  <mergeCells count="21">
    <mergeCell ref="G39:J39"/>
    <mergeCell ref="B39:E39"/>
    <mergeCell ref="L39:O39"/>
    <mergeCell ref="B26:E26"/>
    <mergeCell ref="G26:J26"/>
    <mergeCell ref="L26:O26"/>
    <mergeCell ref="B33:E33"/>
    <mergeCell ref="G33:J33"/>
    <mergeCell ref="L33:O33"/>
    <mergeCell ref="B12:E12"/>
    <mergeCell ref="G12:J12"/>
    <mergeCell ref="L12:O12"/>
    <mergeCell ref="B20:E20"/>
    <mergeCell ref="G20:J20"/>
    <mergeCell ref="L20:O20"/>
    <mergeCell ref="B2:E2"/>
    <mergeCell ref="G2:J2"/>
    <mergeCell ref="L2:O2"/>
    <mergeCell ref="B4:E4"/>
    <mergeCell ref="G4:J4"/>
    <mergeCell ref="L4:O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980D-BA6D-4E4D-97F7-4C1BEB93D7AD}">
  <dimension ref="A1:AS286"/>
  <sheetViews>
    <sheetView topLeftCell="J1" zoomScale="70" zoomScaleNormal="70" workbookViewId="0">
      <selection activeCell="L25" sqref="L25"/>
    </sheetView>
  </sheetViews>
  <sheetFormatPr defaultRowHeight="15"/>
  <cols>
    <col min="1" max="1" width="4.42578125" customWidth="1"/>
    <col min="2" max="2" width="19.42578125" customWidth="1"/>
    <col min="3" max="3" width="17.85546875" customWidth="1"/>
    <col min="4" max="4" width="14.85546875" customWidth="1"/>
    <col min="5" max="5" width="20.85546875" customWidth="1"/>
    <col min="6" max="6" width="14.140625" customWidth="1"/>
    <col min="7" max="7" width="14.85546875" customWidth="1"/>
    <col min="8" max="8" width="15.85546875" customWidth="1"/>
    <col min="9" max="9" width="22" customWidth="1"/>
    <col min="10" max="10" width="23.7109375" customWidth="1"/>
    <col min="11" max="11" width="4.5703125" customWidth="1"/>
    <col min="12" max="12" width="11" customWidth="1"/>
    <col min="13" max="13" width="10.42578125" customWidth="1"/>
    <col min="14" max="14" width="14.140625" customWidth="1"/>
    <col min="15" max="15" width="13" customWidth="1"/>
    <col min="16" max="16" width="3.7109375" customWidth="1"/>
    <col min="17" max="17" width="8.85546875" customWidth="1"/>
    <col min="18" max="18" width="11.5703125" customWidth="1"/>
    <col min="19" max="19" width="12.42578125" customWidth="1"/>
    <col min="20" max="20" width="16.5703125" customWidth="1"/>
    <col min="21" max="21" width="2.5703125" customWidth="1"/>
    <col min="22" max="22" width="16.5703125" customWidth="1"/>
    <col min="23" max="45" width="9.140625" style="4"/>
  </cols>
  <sheetData>
    <row r="1" spans="1:22" s="4" customFormat="1" ht="15.75" thickBot="1">
      <c r="O1" s="156"/>
      <c r="P1" s="157"/>
      <c r="Q1" s="157"/>
      <c r="R1" s="157"/>
      <c r="S1" s="157"/>
      <c r="T1" s="158"/>
      <c r="U1" s="157"/>
      <c r="V1" s="156">
        <v>2021</v>
      </c>
    </row>
    <row r="2" spans="1:22" ht="50.45" customHeight="1" thickBot="1">
      <c r="A2" s="4"/>
      <c r="B2" s="11" t="s">
        <v>73</v>
      </c>
      <c r="C2" s="12" t="s">
        <v>74</v>
      </c>
      <c r="D2" s="12" t="s">
        <v>75</v>
      </c>
      <c r="E2" s="12" t="s">
        <v>76</v>
      </c>
      <c r="F2" s="12" t="s">
        <v>77</v>
      </c>
      <c r="G2" s="12" t="s">
        <v>78</v>
      </c>
      <c r="H2" s="12" t="s">
        <v>79</v>
      </c>
      <c r="I2" s="13" t="s">
        <v>80</v>
      </c>
      <c r="J2" s="97" t="s">
        <v>81</v>
      </c>
      <c r="K2" s="157"/>
      <c r="L2" s="196" t="s">
        <v>82</v>
      </c>
      <c r="M2" s="197" t="s">
        <v>83</v>
      </c>
      <c r="N2" s="197" t="s">
        <v>84</v>
      </c>
      <c r="O2" s="11" t="s">
        <v>85</v>
      </c>
      <c r="P2" s="159"/>
      <c r="Q2" s="196" t="s">
        <v>82</v>
      </c>
      <c r="R2" s="197" t="s">
        <v>83</v>
      </c>
      <c r="S2" s="197" t="s">
        <v>84</v>
      </c>
      <c r="T2" s="13" t="s">
        <v>86</v>
      </c>
      <c r="U2" s="160"/>
      <c r="V2" s="161" t="s">
        <v>87</v>
      </c>
    </row>
    <row r="3" spans="1:22" ht="17.45" customHeight="1">
      <c r="A3" s="4"/>
      <c r="B3" s="236" t="s">
        <v>88</v>
      </c>
      <c r="C3" s="71" t="s">
        <v>89</v>
      </c>
      <c r="D3" s="72" t="s">
        <v>90</v>
      </c>
      <c r="E3" s="73">
        <v>-12.35821</v>
      </c>
      <c r="F3" s="73">
        <v>33.21725</v>
      </c>
      <c r="G3" s="74">
        <v>43728</v>
      </c>
      <c r="H3" s="75">
        <v>85</v>
      </c>
      <c r="I3" s="98">
        <v>412</v>
      </c>
      <c r="J3" s="101">
        <v>300</v>
      </c>
      <c r="K3" s="195"/>
      <c r="L3" s="137">
        <f>C21</f>
        <v>138</v>
      </c>
      <c r="M3" s="137">
        <v>138</v>
      </c>
      <c r="N3" s="199">
        <f>L3-M3</f>
        <v>0</v>
      </c>
      <c r="O3" s="162">
        <f>N3*J3</f>
        <v>0</v>
      </c>
      <c r="P3" s="163"/>
      <c r="Q3" s="162">
        <f>C22</f>
        <v>227</v>
      </c>
      <c r="R3" s="162">
        <v>146</v>
      </c>
      <c r="S3" s="162">
        <f>Q3-R3</f>
        <v>81</v>
      </c>
      <c r="T3" s="162">
        <f>S3*J3</f>
        <v>24300</v>
      </c>
      <c r="U3" s="163"/>
      <c r="V3" s="162">
        <f>O3+T3</f>
        <v>24300</v>
      </c>
    </row>
    <row r="4" spans="1:22">
      <c r="A4" s="4"/>
      <c r="B4" s="237"/>
      <c r="C4" s="76" t="s">
        <v>91</v>
      </c>
      <c r="D4" s="77" t="s">
        <v>92</v>
      </c>
      <c r="E4" s="78">
        <v>-12.362869999999999</v>
      </c>
      <c r="F4" s="78">
        <v>33.285589999999999</v>
      </c>
      <c r="G4" s="79">
        <v>43728</v>
      </c>
      <c r="H4" s="80">
        <v>38</v>
      </c>
      <c r="I4" s="99">
        <v>185</v>
      </c>
      <c r="J4" s="101">
        <f>I4</f>
        <v>185</v>
      </c>
      <c r="K4" s="195"/>
      <c r="L4" s="137">
        <f>C21</f>
        <v>138</v>
      </c>
      <c r="M4" s="137">
        <f>'Downdays Summary'!T6</f>
        <v>0</v>
      </c>
      <c r="N4" s="199">
        <f t="shared" ref="N4:N12" si="0">L4-M4</f>
        <v>138</v>
      </c>
      <c r="O4" s="162">
        <f t="shared" ref="O4:O12" si="1">N4*J4</f>
        <v>25530</v>
      </c>
      <c r="P4" s="163"/>
      <c r="Q4" s="162">
        <f>C22</f>
        <v>227</v>
      </c>
      <c r="R4" s="162">
        <f>'Downdays Summary'!U6</f>
        <v>1</v>
      </c>
      <c r="S4" s="162">
        <f t="shared" ref="S4:S12" si="2">Q4-R4</f>
        <v>226</v>
      </c>
      <c r="T4" s="162">
        <f>S4*J4</f>
        <v>41810</v>
      </c>
      <c r="U4" s="163"/>
      <c r="V4" s="162">
        <f t="shared" ref="V4:V12" si="3">O4+T4</f>
        <v>67340</v>
      </c>
    </row>
    <row r="5" spans="1:22">
      <c r="A5" s="4"/>
      <c r="B5" s="237"/>
      <c r="C5" s="81" t="s">
        <v>93</v>
      </c>
      <c r="D5" s="77" t="s">
        <v>94</v>
      </c>
      <c r="E5" s="78">
        <v>-12.41948</v>
      </c>
      <c r="F5" s="78">
        <v>33.279600000000002</v>
      </c>
      <c r="G5" s="79">
        <v>43732</v>
      </c>
      <c r="H5" s="80">
        <v>73</v>
      </c>
      <c r="I5" s="99">
        <v>374</v>
      </c>
      <c r="J5" s="101">
        <v>300</v>
      </c>
      <c r="K5" s="195"/>
      <c r="L5" s="137">
        <f>C21</f>
        <v>138</v>
      </c>
      <c r="M5" s="137">
        <f>'Downdays Summary'!T7</f>
        <v>0</v>
      </c>
      <c r="N5" s="199">
        <f t="shared" si="0"/>
        <v>138</v>
      </c>
      <c r="O5" s="162">
        <f>N5*J5</f>
        <v>41400</v>
      </c>
      <c r="P5" s="163"/>
      <c r="Q5" s="162">
        <f>C22</f>
        <v>227</v>
      </c>
      <c r="R5" s="162">
        <f>'Downdays Summary'!U7</f>
        <v>1</v>
      </c>
      <c r="S5" s="162">
        <f t="shared" si="2"/>
        <v>226</v>
      </c>
      <c r="T5" s="162">
        <f>S5*J5</f>
        <v>67800</v>
      </c>
      <c r="U5" s="163"/>
      <c r="V5" s="162">
        <f t="shared" si="3"/>
        <v>109200</v>
      </c>
    </row>
    <row r="6" spans="1:22">
      <c r="A6" s="4"/>
      <c r="B6" s="237"/>
      <c r="C6" s="81" t="s">
        <v>95</v>
      </c>
      <c r="D6" s="77" t="s">
        <v>96</v>
      </c>
      <c r="E6" s="78">
        <v>-12.836600000000001</v>
      </c>
      <c r="F6" s="78">
        <v>32.027180000000001</v>
      </c>
      <c r="G6" s="79">
        <v>43784</v>
      </c>
      <c r="H6" s="80">
        <v>52</v>
      </c>
      <c r="I6" s="99">
        <v>447</v>
      </c>
      <c r="J6" s="101">
        <v>300</v>
      </c>
      <c r="K6" s="195"/>
      <c r="L6" s="137">
        <f>C21</f>
        <v>138</v>
      </c>
      <c r="M6" s="137">
        <f>'Downdays Summary'!T8</f>
        <v>0</v>
      </c>
      <c r="N6" s="199">
        <f t="shared" si="0"/>
        <v>138</v>
      </c>
      <c r="O6" s="162">
        <f t="shared" si="1"/>
        <v>41400</v>
      </c>
      <c r="P6" s="163"/>
      <c r="Q6" s="162">
        <f>C22</f>
        <v>227</v>
      </c>
      <c r="R6" s="162">
        <f>'Downdays Summary'!U8</f>
        <v>1</v>
      </c>
      <c r="S6" s="162">
        <f t="shared" si="2"/>
        <v>226</v>
      </c>
      <c r="T6" s="162">
        <f t="shared" ref="T6:T11" si="4">S6*J6</f>
        <v>67800</v>
      </c>
      <c r="U6" s="163"/>
      <c r="V6" s="162">
        <f t="shared" si="3"/>
        <v>109200</v>
      </c>
    </row>
    <row r="7" spans="1:22">
      <c r="A7" s="4"/>
      <c r="B7" s="237"/>
      <c r="C7" s="81" t="s">
        <v>97</v>
      </c>
      <c r="D7" s="77" t="s">
        <v>98</v>
      </c>
      <c r="E7" s="77">
        <v>-12.84402</v>
      </c>
      <c r="F7" s="77">
        <v>32.023949999999999</v>
      </c>
      <c r="G7" s="79">
        <v>43785</v>
      </c>
      <c r="H7" s="77">
        <v>50</v>
      </c>
      <c r="I7" s="99">
        <v>325</v>
      </c>
      <c r="J7" s="101">
        <v>300</v>
      </c>
      <c r="K7" s="195"/>
      <c r="L7" s="137">
        <f>C21</f>
        <v>138</v>
      </c>
      <c r="M7" s="137">
        <f>'Downdays Summary'!T9</f>
        <v>0</v>
      </c>
      <c r="N7" s="199">
        <f t="shared" si="0"/>
        <v>138</v>
      </c>
      <c r="O7" s="162">
        <f>N7*J7</f>
        <v>41400</v>
      </c>
      <c r="P7" s="163"/>
      <c r="Q7" s="162">
        <f>C22</f>
        <v>227</v>
      </c>
      <c r="R7" s="162">
        <f>'Downdays Summary'!U9</f>
        <v>0</v>
      </c>
      <c r="S7" s="162">
        <f t="shared" si="2"/>
        <v>227</v>
      </c>
      <c r="T7" s="162">
        <f t="shared" si="4"/>
        <v>68100</v>
      </c>
      <c r="U7" s="163"/>
      <c r="V7" s="162">
        <f t="shared" si="3"/>
        <v>109500</v>
      </c>
    </row>
    <row r="8" spans="1:22">
      <c r="A8" s="4"/>
      <c r="B8" s="237"/>
      <c r="C8" s="81" t="s">
        <v>99</v>
      </c>
      <c r="D8" s="77" t="s">
        <v>100</v>
      </c>
      <c r="E8" s="77">
        <v>-12.42986</v>
      </c>
      <c r="F8" s="77">
        <v>32.281300000000002</v>
      </c>
      <c r="G8" s="79">
        <v>43790</v>
      </c>
      <c r="H8" s="77">
        <v>26</v>
      </c>
      <c r="I8" s="99">
        <v>134</v>
      </c>
      <c r="J8" s="101">
        <f t="shared" ref="J8:J12" si="5">I8</f>
        <v>134</v>
      </c>
      <c r="K8" s="195"/>
      <c r="L8" s="137">
        <f>C21</f>
        <v>138</v>
      </c>
      <c r="M8" s="137">
        <f>'Downdays Summary'!T10</f>
        <v>0</v>
      </c>
      <c r="N8" s="199">
        <f t="shared" si="0"/>
        <v>138</v>
      </c>
      <c r="O8" s="162">
        <f t="shared" si="1"/>
        <v>18492</v>
      </c>
      <c r="P8" s="163"/>
      <c r="Q8" s="162">
        <f>C22</f>
        <v>227</v>
      </c>
      <c r="R8" s="162">
        <f>'Downdays Summary'!U10</f>
        <v>1</v>
      </c>
      <c r="S8" s="162">
        <f t="shared" si="2"/>
        <v>226</v>
      </c>
      <c r="T8" s="162">
        <f t="shared" si="4"/>
        <v>30284</v>
      </c>
      <c r="U8" s="163"/>
      <c r="V8" s="162">
        <f t="shared" si="3"/>
        <v>48776</v>
      </c>
    </row>
    <row r="9" spans="1:22">
      <c r="A9" s="4"/>
      <c r="B9" s="237"/>
      <c r="C9" s="81" t="s">
        <v>101</v>
      </c>
      <c r="D9" s="77" t="s">
        <v>102</v>
      </c>
      <c r="E9" s="77">
        <v>-12.44631</v>
      </c>
      <c r="F9" s="77">
        <v>32.251829999999998</v>
      </c>
      <c r="G9" s="79">
        <v>43791</v>
      </c>
      <c r="H9" s="77">
        <v>34</v>
      </c>
      <c r="I9" s="99">
        <v>181</v>
      </c>
      <c r="J9" s="101">
        <f t="shared" si="5"/>
        <v>181</v>
      </c>
      <c r="K9" s="195"/>
      <c r="L9" s="137">
        <f>C21</f>
        <v>138</v>
      </c>
      <c r="M9" s="137">
        <f>'Downdays Summary'!T11</f>
        <v>0</v>
      </c>
      <c r="N9" s="199">
        <f t="shared" si="0"/>
        <v>138</v>
      </c>
      <c r="O9" s="162">
        <f t="shared" si="1"/>
        <v>24978</v>
      </c>
      <c r="P9" s="163"/>
      <c r="Q9" s="162">
        <f>C22</f>
        <v>227</v>
      </c>
      <c r="R9" s="162">
        <f>'Downdays Summary'!U11</f>
        <v>1</v>
      </c>
      <c r="S9" s="162">
        <f t="shared" si="2"/>
        <v>226</v>
      </c>
      <c r="T9" s="162">
        <f t="shared" si="4"/>
        <v>40906</v>
      </c>
      <c r="U9" s="163"/>
      <c r="V9" s="162">
        <f t="shared" si="3"/>
        <v>65884</v>
      </c>
    </row>
    <row r="10" spans="1:22">
      <c r="A10" s="4"/>
      <c r="B10" s="237"/>
      <c r="C10" s="81" t="s">
        <v>103</v>
      </c>
      <c r="D10" s="77" t="s">
        <v>104</v>
      </c>
      <c r="E10" s="77">
        <v>-12.318659999999999</v>
      </c>
      <c r="F10" s="77">
        <v>33.114550000000001</v>
      </c>
      <c r="G10" s="79">
        <v>43806</v>
      </c>
      <c r="H10" s="77">
        <v>23</v>
      </c>
      <c r="I10" s="99">
        <v>132</v>
      </c>
      <c r="J10" s="101">
        <f t="shared" si="5"/>
        <v>132</v>
      </c>
      <c r="K10" s="195"/>
      <c r="L10" s="137">
        <f>C21</f>
        <v>138</v>
      </c>
      <c r="M10" s="137">
        <f>'Downdays Summary'!T12</f>
        <v>0</v>
      </c>
      <c r="N10" s="199">
        <f t="shared" si="0"/>
        <v>138</v>
      </c>
      <c r="O10" s="162">
        <f t="shared" si="1"/>
        <v>18216</v>
      </c>
      <c r="P10" s="163"/>
      <c r="Q10" s="162">
        <f>C22</f>
        <v>227</v>
      </c>
      <c r="R10" s="162">
        <f>'Downdays Summary'!U12</f>
        <v>1</v>
      </c>
      <c r="S10" s="162">
        <f t="shared" si="2"/>
        <v>226</v>
      </c>
      <c r="T10" s="162">
        <f t="shared" si="4"/>
        <v>29832</v>
      </c>
      <c r="U10" s="163"/>
      <c r="V10" s="162">
        <f t="shared" si="3"/>
        <v>48048</v>
      </c>
    </row>
    <row r="11" spans="1:22">
      <c r="A11" s="4"/>
      <c r="B11" s="237"/>
      <c r="C11" s="81" t="s">
        <v>105</v>
      </c>
      <c r="D11" s="77" t="s">
        <v>106</v>
      </c>
      <c r="E11" s="77">
        <v>-12.208349999999999</v>
      </c>
      <c r="F11" s="77">
        <v>33.14246</v>
      </c>
      <c r="G11" s="79">
        <v>43782</v>
      </c>
      <c r="H11" s="77">
        <v>39</v>
      </c>
      <c r="I11" s="99">
        <v>175</v>
      </c>
      <c r="J11" s="101">
        <f t="shared" si="5"/>
        <v>175</v>
      </c>
      <c r="K11" s="195"/>
      <c r="L11" s="137">
        <f>C21</f>
        <v>138</v>
      </c>
      <c r="M11" s="137">
        <f>'Downdays Summary'!T13</f>
        <v>0</v>
      </c>
      <c r="N11" s="199">
        <f t="shared" si="0"/>
        <v>138</v>
      </c>
      <c r="O11" s="162">
        <f t="shared" si="1"/>
        <v>24150</v>
      </c>
      <c r="P11" s="163"/>
      <c r="Q11" s="162">
        <f>C22</f>
        <v>227</v>
      </c>
      <c r="R11" s="162">
        <f>'Downdays Summary'!U13</f>
        <v>0</v>
      </c>
      <c r="S11" s="162">
        <f t="shared" si="2"/>
        <v>227</v>
      </c>
      <c r="T11" s="162">
        <f t="shared" si="4"/>
        <v>39725</v>
      </c>
      <c r="U11" s="163"/>
      <c r="V11" s="162">
        <f t="shared" si="3"/>
        <v>63875</v>
      </c>
    </row>
    <row r="12" spans="1:22" ht="15.75" thickBot="1">
      <c r="A12" s="4"/>
      <c r="B12" s="238"/>
      <c r="C12" s="82" t="s">
        <v>107</v>
      </c>
      <c r="D12" s="83" t="s">
        <v>108</v>
      </c>
      <c r="E12" s="83">
        <v>-12.229889999999999</v>
      </c>
      <c r="F12" s="83">
        <v>33.256100000000004</v>
      </c>
      <c r="G12" s="84">
        <v>43809</v>
      </c>
      <c r="H12" s="83">
        <v>39</v>
      </c>
      <c r="I12" s="100">
        <v>199</v>
      </c>
      <c r="J12" s="101">
        <f t="shared" si="5"/>
        <v>199</v>
      </c>
      <c r="K12" s="195"/>
      <c r="L12" s="137">
        <f>C21</f>
        <v>138</v>
      </c>
      <c r="M12" s="137">
        <f>'Downdays Summary'!T14</f>
        <v>0</v>
      </c>
      <c r="N12" s="199">
        <f t="shared" si="0"/>
        <v>138</v>
      </c>
      <c r="O12" s="162">
        <f t="shared" si="1"/>
        <v>27462</v>
      </c>
      <c r="P12" s="163"/>
      <c r="Q12" s="162">
        <f>C22</f>
        <v>227</v>
      </c>
      <c r="R12" s="162">
        <f>'Downdays Summary'!U14</f>
        <v>0</v>
      </c>
      <c r="S12" s="162">
        <f t="shared" si="2"/>
        <v>227</v>
      </c>
      <c r="T12" s="162">
        <f>S12*J12</f>
        <v>45173</v>
      </c>
      <c r="U12" s="163"/>
      <c r="V12" s="162">
        <f t="shared" si="3"/>
        <v>72635</v>
      </c>
    </row>
    <row r="13" spans="1:22" ht="15.75" thickBot="1">
      <c r="A13" s="4"/>
      <c r="B13" s="14"/>
      <c r="D13" s="4"/>
      <c r="E13" s="4"/>
      <c r="F13" s="4"/>
      <c r="G13" s="15"/>
      <c r="H13" s="69" t="s">
        <v>17</v>
      </c>
      <c r="I13" s="70">
        <f>SUM(I3:I12)</f>
        <v>2564</v>
      </c>
      <c r="J13" s="70">
        <f>SUM(J3:J12)</f>
        <v>2206</v>
      </c>
      <c r="K13" s="192"/>
      <c r="L13" s="192"/>
      <c r="M13" s="192"/>
      <c r="N13" s="4"/>
      <c r="O13" s="164">
        <f>SUM(O3:O12)</f>
        <v>263028</v>
      </c>
      <c r="P13" s="198"/>
      <c r="Q13" s="198"/>
      <c r="R13" s="198"/>
      <c r="S13" s="165"/>
      <c r="T13" s="166">
        <f>SUM(T3:T12)</f>
        <v>455730</v>
      </c>
      <c r="U13" s="167"/>
      <c r="V13" s="168">
        <f>SUM(V3:V12)</f>
        <v>718758</v>
      </c>
    </row>
    <row r="14" spans="1:22">
      <c r="A14" s="4"/>
      <c r="B14" s="16"/>
      <c r="C14" s="17" t="s">
        <v>109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15.75" thickBot="1">
      <c r="A15" s="4"/>
      <c r="B15" s="42" t="s">
        <v>110</v>
      </c>
      <c r="C15" s="43">
        <v>44059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69"/>
      <c r="P15" s="169"/>
      <c r="Q15" s="169"/>
      <c r="R15" s="169"/>
      <c r="S15" s="4"/>
      <c r="T15" s="4"/>
      <c r="U15" s="4"/>
      <c r="V15" s="170"/>
    </row>
    <row r="16" spans="1:22" ht="15.75" thickBot="1">
      <c r="A16" s="4"/>
      <c r="B16" s="42" t="s">
        <v>111</v>
      </c>
      <c r="C16" s="67">
        <v>44423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01"/>
      <c r="P16" s="178"/>
      <c r="Q16" s="178"/>
      <c r="R16" s="178"/>
      <c r="S16" s="4"/>
      <c r="T16" s="4"/>
      <c r="U16" s="4"/>
      <c r="V16" s="4"/>
    </row>
    <row r="17" spans="1:22" ht="15.75" thickBot="1">
      <c r="A17" s="4"/>
      <c r="B17" s="43" t="s">
        <v>112</v>
      </c>
      <c r="C17" s="44">
        <v>44196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201"/>
      <c r="P17" s="178"/>
      <c r="Q17" s="178"/>
      <c r="R17" s="178"/>
      <c r="S17" s="4"/>
      <c r="T17" s="4"/>
      <c r="U17" s="4"/>
      <c r="V17" s="4"/>
    </row>
    <row r="18" spans="1:22" ht="18.75">
      <c r="A18" s="4"/>
      <c r="D18" s="4"/>
      <c r="E18" s="142" t="s">
        <v>113</v>
      </c>
      <c r="F18" s="143"/>
      <c r="G18" s="143"/>
      <c r="H18" s="143"/>
      <c r="I18" s="143"/>
      <c r="J18" s="143"/>
      <c r="K18" s="143"/>
      <c r="L18" s="143"/>
      <c r="M18" s="143"/>
      <c r="N18" s="4"/>
      <c r="O18" s="201"/>
      <c r="P18" s="178"/>
      <c r="Q18" s="178"/>
      <c r="R18" s="178"/>
      <c r="S18" s="4"/>
      <c r="T18" s="4"/>
      <c r="U18" s="4"/>
      <c r="V18" s="4"/>
    </row>
    <row r="19" spans="1:22" ht="15" customHeight="1" thickBot="1">
      <c r="A19" s="4"/>
      <c r="B19" s="30" t="s">
        <v>114</v>
      </c>
      <c r="D19" s="4"/>
      <c r="E19" s="239"/>
      <c r="F19" s="240" t="s">
        <v>115</v>
      </c>
      <c r="G19" s="241" t="s">
        <v>116</v>
      </c>
      <c r="H19" s="241" t="s">
        <v>117</v>
      </c>
      <c r="I19" s="235" t="s">
        <v>118</v>
      </c>
      <c r="J19" s="235" t="s">
        <v>119</v>
      </c>
      <c r="K19" s="193"/>
      <c r="L19" s="193"/>
      <c r="M19" s="193"/>
      <c r="N19" s="4"/>
      <c r="O19" s="201"/>
      <c r="P19" s="178"/>
      <c r="Q19" s="178"/>
      <c r="R19" s="178"/>
      <c r="S19" s="4"/>
      <c r="T19" s="4"/>
      <c r="U19" s="4"/>
      <c r="V19" s="4"/>
    </row>
    <row r="20" spans="1:22" ht="15.75" thickBot="1">
      <c r="A20" s="4"/>
      <c r="B20" s="45" t="s">
        <v>120</v>
      </c>
      <c r="C20" s="51">
        <f>10000/365</f>
        <v>27.397260273972602</v>
      </c>
      <c r="D20" s="4"/>
      <c r="E20" s="239"/>
      <c r="F20" s="240"/>
      <c r="G20" s="241"/>
      <c r="H20" s="241"/>
      <c r="I20" s="235"/>
      <c r="J20" s="235"/>
      <c r="K20" s="193"/>
      <c r="L20" s="193"/>
      <c r="M20" s="193"/>
      <c r="N20" s="4"/>
      <c r="O20" s="4"/>
      <c r="P20" s="4"/>
      <c r="Q20" s="4"/>
      <c r="R20" s="4"/>
      <c r="S20" s="4"/>
      <c r="T20" s="4"/>
      <c r="U20" s="4"/>
      <c r="V20" s="4"/>
    </row>
    <row r="21" spans="1:22">
      <c r="A21" s="4"/>
      <c r="B21" s="46" t="s">
        <v>121</v>
      </c>
      <c r="C21" s="47">
        <v>138</v>
      </c>
      <c r="D21" s="4"/>
      <c r="E21" s="145" t="s">
        <v>121</v>
      </c>
      <c r="F21" s="146">
        <f>C21*10</f>
        <v>1380</v>
      </c>
      <c r="G21" s="147">
        <f>'Downdays Summary'!T15/PTDs!F21</f>
        <v>0.1</v>
      </c>
      <c r="H21" s="148">
        <f>IF(G21&lt;5%,95%,100%-G21)</f>
        <v>0.9</v>
      </c>
      <c r="I21" s="149">
        <f>C21</f>
        <v>138</v>
      </c>
      <c r="J21" s="150">
        <f>I21*H21</f>
        <v>124.2</v>
      </c>
      <c r="K21" s="194"/>
      <c r="L21" s="194"/>
      <c r="M21" s="194"/>
      <c r="N21" s="4"/>
      <c r="O21" s="171"/>
      <c r="P21" s="171"/>
      <c r="Q21" s="171"/>
      <c r="R21" s="171"/>
      <c r="S21" s="171"/>
      <c r="T21" s="171"/>
      <c r="U21" s="171"/>
      <c r="V21" s="171"/>
    </row>
    <row r="22" spans="1:22">
      <c r="A22" s="4"/>
      <c r="B22" s="46" t="s">
        <v>122</v>
      </c>
      <c r="C22" s="50">
        <f>C16-C17</f>
        <v>227</v>
      </c>
      <c r="D22" s="4"/>
      <c r="E22" s="151" t="s">
        <v>122</v>
      </c>
      <c r="F22" s="144">
        <f>C22*10</f>
        <v>2270</v>
      </c>
      <c r="G22" s="152">
        <f>'Downdays Summary'!U15/PTDs!F22</f>
        <v>6.7400881057268727E-2</v>
      </c>
      <c r="H22" s="148">
        <f>IF(G22&lt;5%,95%,100%-G22)</f>
        <v>0.93259911894273129</v>
      </c>
      <c r="I22" s="150">
        <f>C22</f>
        <v>227</v>
      </c>
      <c r="J22" s="150">
        <f>I22*H22</f>
        <v>211.7</v>
      </c>
      <c r="K22" s="194"/>
      <c r="L22" s="194"/>
      <c r="M22" s="194"/>
      <c r="N22" s="4"/>
      <c r="O22" s="4"/>
      <c r="P22" s="4"/>
      <c r="Q22" s="4"/>
      <c r="R22" s="4"/>
      <c r="S22" s="4"/>
      <c r="T22" s="4"/>
      <c r="U22" s="4"/>
      <c r="V22" s="4"/>
    </row>
    <row r="23" spans="1:22">
      <c r="A23" s="4"/>
      <c r="B23" s="48" t="s">
        <v>123</v>
      </c>
      <c r="C23" s="49">
        <f>C21+C22</f>
        <v>365</v>
      </c>
      <c r="D23" s="4"/>
      <c r="E23" s="143"/>
      <c r="F23" s="143"/>
      <c r="G23" s="143"/>
      <c r="H23" s="143"/>
      <c r="I23" s="143"/>
      <c r="J23" s="143"/>
      <c r="K23" s="143"/>
      <c r="L23" s="143"/>
      <c r="M23" s="143"/>
      <c r="N23" s="4"/>
      <c r="O23" s="4"/>
      <c r="P23" s="4"/>
      <c r="Q23" s="4"/>
      <c r="R23" s="4"/>
      <c r="S23" s="4"/>
      <c r="T23" s="4"/>
      <c r="U23" s="4"/>
      <c r="V23" s="4"/>
    </row>
    <row r="24" spans="1:22">
      <c r="A24" s="4"/>
      <c r="D24" s="4"/>
      <c r="E24" s="153" t="s">
        <v>124</v>
      </c>
      <c r="F24" s="154">
        <f>F21+F22</f>
        <v>3650</v>
      </c>
      <c r="G24" s="155">
        <f>'Downdays Summary'!V15/PTDs!F24</f>
        <v>7.9726027397260271E-2</v>
      </c>
      <c r="H24" s="143"/>
      <c r="I24" s="143"/>
      <c r="J24" s="143"/>
      <c r="K24" s="143"/>
      <c r="L24" s="143"/>
      <c r="M24" s="143"/>
      <c r="N24" s="4"/>
      <c r="O24" s="4"/>
      <c r="P24" s="4"/>
      <c r="Q24" s="4"/>
      <c r="R24" s="4"/>
      <c r="S24" s="4"/>
      <c r="T24" s="4"/>
      <c r="U24" s="4"/>
      <c r="V24" s="4"/>
    </row>
    <row r="25" spans="1:22">
      <c r="A25" s="4"/>
      <c r="B25" s="141" t="s">
        <v>125</v>
      </c>
      <c r="C25" s="141">
        <f>I13*365</f>
        <v>935860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>
      <c r="A26" s="4"/>
      <c r="B26" s="47" t="s">
        <v>126</v>
      </c>
      <c r="C26" s="47">
        <f>10000/C25</f>
        <v>1.0685358921206164E-2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4:22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4:22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4:22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4:22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4:22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4:22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4:22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4:22"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4:22"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4:22"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4:22"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4:22"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4:22"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4:22"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4:22"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4:22"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4:22"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4:22"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4:22"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4:22"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4:22"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4:22"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4:22"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4:22"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4:22"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4:22"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4:22"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4:22"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4:22"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4:22"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4:22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4:22"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4:14"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4:14"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4:14"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4:14"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4:14"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4:14"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4:14"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4:14"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4:14"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4:14"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4:14"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4:14"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4:14"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4:14"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4:14"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4:14"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4:14"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4:14"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4:14"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4:14"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4:14"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4:14"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4:14"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4:14"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4:14"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4:14"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4:14"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4:14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4:14"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4:14"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4:14"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4:14"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4:14"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4:14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4:14"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4:14"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4:14"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4:14"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4:14"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4:14"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4:14"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4:14"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4:14"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4:14"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4:14"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4:14"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4:14"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4:14"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4:14"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4:14"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4:14"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4:14"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4:14"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4:14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4:14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4:14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4:14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4:14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4:14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4:14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4:14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4:14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4:14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4:14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4:14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4:14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4:14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4:14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4:14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4:14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4:14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4:14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4:14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4:14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4:14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4:14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4:14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4:14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4:14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4:14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4:14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4:14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4:14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4:14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4:14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4:14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4:14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4:14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4:14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4:14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4:14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4:14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4:14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4:14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4:14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4:14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4:14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4:14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4:14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4:14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4:14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4:14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4:14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4:14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4:14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4:14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4:14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4:14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4:14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4:14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4:14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4:14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4:14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4:14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4:14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4:14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4:14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4:14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4:14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4:14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4:14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4:14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4:14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4:14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4:14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4:14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4:14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4:14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4:14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4:14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4:14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4:14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4:14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4:14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4:14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4:14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4:14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4:14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4:14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4:14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4:14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4:14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</sheetData>
  <mergeCells count="7">
    <mergeCell ref="I19:I20"/>
    <mergeCell ref="J19:J20"/>
    <mergeCell ref="B3:B12"/>
    <mergeCell ref="E19:E20"/>
    <mergeCell ref="F19:F20"/>
    <mergeCell ref="G19:G20"/>
    <mergeCell ref="H19:H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5C0E-E098-4478-B3FA-AC1E09DCA7CD}">
  <dimension ref="A1:AB15"/>
  <sheetViews>
    <sheetView topLeftCell="M1" zoomScale="50" zoomScaleNormal="50" workbookViewId="0">
      <selection activeCell="Y1" sqref="Y1:AB1048576"/>
    </sheetView>
  </sheetViews>
  <sheetFormatPr defaultRowHeight="15"/>
  <cols>
    <col min="2" max="2" width="10.7109375" customWidth="1"/>
    <col min="3" max="3" width="13.7109375" customWidth="1"/>
    <col min="4" max="4" width="18.42578125" customWidth="1"/>
    <col min="5" max="5" width="24" customWidth="1"/>
    <col min="6" max="6" width="22.42578125" customWidth="1"/>
    <col min="7" max="7" width="24.28515625" customWidth="1"/>
    <col min="8" max="8" width="22.85546875" customWidth="1"/>
    <col min="9" max="9" width="25" customWidth="1"/>
    <col min="11" max="12" width="19" customWidth="1"/>
    <col min="13" max="13" width="14.42578125" customWidth="1"/>
    <col min="14" max="14" width="13.5703125" customWidth="1"/>
    <col min="15" max="15" width="14.85546875" customWidth="1"/>
    <col min="16" max="16" width="16.85546875" customWidth="1"/>
    <col min="17" max="18" width="14.28515625" customWidth="1"/>
    <col min="19" max="19" width="13.85546875" customWidth="1"/>
    <col min="20" max="20" width="17.85546875" customWidth="1"/>
    <col min="21" max="21" width="17.42578125" customWidth="1"/>
    <col min="22" max="22" width="23" customWidth="1"/>
    <col min="25" max="28" width="9.140625" style="202"/>
  </cols>
  <sheetData>
    <row r="1" spans="1:28" ht="15.75" thickBot="1">
      <c r="H1" s="96"/>
    </row>
    <row r="2" spans="1:28" ht="16.5" thickBot="1">
      <c r="A2" s="263"/>
      <c r="B2" s="263"/>
      <c r="C2" s="263"/>
      <c r="D2" s="115"/>
      <c r="E2" s="264" t="s">
        <v>127</v>
      </c>
      <c r="F2" s="265"/>
      <c r="G2" s="266"/>
      <c r="H2" s="267" t="s">
        <v>128</v>
      </c>
      <c r="I2" s="267"/>
      <c r="J2" s="268"/>
      <c r="K2" s="255" t="s">
        <v>129</v>
      </c>
      <c r="L2" s="256"/>
      <c r="M2" s="257"/>
      <c r="N2" s="255" t="s">
        <v>130</v>
      </c>
      <c r="O2" s="256"/>
      <c r="P2" s="257"/>
      <c r="Q2" s="255" t="s">
        <v>131</v>
      </c>
      <c r="R2" s="256"/>
      <c r="S2" s="258"/>
      <c r="T2" s="200">
        <v>44197</v>
      </c>
      <c r="U2" s="200">
        <v>44196</v>
      </c>
      <c r="V2" s="173"/>
      <c r="Y2" s="242" t="s">
        <v>132</v>
      </c>
      <c r="Z2" s="243"/>
      <c r="AA2" s="243"/>
      <c r="AB2" s="244"/>
    </row>
    <row r="3" spans="1:28" ht="48" thickBot="1">
      <c r="A3" s="120" t="s">
        <v>133</v>
      </c>
      <c r="B3" s="116" t="s">
        <v>134</v>
      </c>
      <c r="C3" s="116" t="s">
        <v>74</v>
      </c>
      <c r="D3" s="116" t="s">
        <v>135</v>
      </c>
      <c r="E3" s="117" t="s">
        <v>136</v>
      </c>
      <c r="F3" s="116" t="s">
        <v>137</v>
      </c>
      <c r="G3" s="118" t="s">
        <v>138</v>
      </c>
      <c r="H3" s="116" t="s">
        <v>136</v>
      </c>
      <c r="I3" s="116" t="s">
        <v>137</v>
      </c>
      <c r="J3" s="131" t="s">
        <v>138</v>
      </c>
      <c r="K3" s="117" t="s">
        <v>136</v>
      </c>
      <c r="L3" s="184" t="s">
        <v>137</v>
      </c>
      <c r="M3" s="185" t="s">
        <v>138</v>
      </c>
      <c r="N3" s="186" t="s">
        <v>136</v>
      </c>
      <c r="O3" s="116" t="s">
        <v>137</v>
      </c>
      <c r="P3" s="131" t="s">
        <v>138</v>
      </c>
      <c r="Q3" s="117" t="s">
        <v>136</v>
      </c>
      <c r="R3" s="116" t="s">
        <v>137</v>
      </c>
      <c r="S3" s="118" t="s">
        <v>138</v>
      </c>
      <c r="T3" s="189" t="s">
        <v>139</v>
      </c>
      <c r="U3" s="190" t="s">
        <v>140</v>
      </c>
      <c r="V3" s="191" t="s">
        <v>141</v>
      </c>
      <c r="Y3" s="245"/>
      <c r="Z3" s="246"/>
      <c r="AA3" s="246"/>
      <c r="AB3" s="247"/>
    </row>
    <row r="4" spans="1:28" ht="57" customHeight="1" thickBot="1">
      <c r="A4" s="269" t="s">
        <v>88</v>
      </c>
      <c r="B4" s="272">
        <v>193</v>
      </c>
      <c r="C4" s="261" t="s">
        <v>89</v>
      </c>
      <c r="D4" s="259">
        <v>43728</v>
      </c>
      <c r="E4" s="181">
        <v>44059</v>
      </c>
      <c r="F4" s="134"/>
      <c r="G4" s="182" t="s">
        <v>142</v>
      </c>
      <c r="H4" s="134"/>
      <c r="I4" s="134"/>
      <c r="J4" s="136"/>
      <c r="K4" s="183"/>
      <c r="L4" s="2"/>
      <c r="M4" s="2"/>
      <c r="N4" s="188"/>
      <c r="O4" s="179">
        <v>44342</v>
      </c>
      <c r="P4" s="180" t="s">
        <v>143</v>
      </c>
      <c r="Q4" s="133"/>
      <c r="R4" s="134"/>
      <c r="S4" s="135"/>
      <c r="T4" s="251">
        <f>T2-E4</f>
        <v>138</v>
      </c>
      <c r="U4" s="253">
        <f>(O4-U2)+1</f>
        <v>147</v>
      </c>
      <c r="V4" s="253">
        <f>T4+U4</f>
        <v>285</v>
      </c>
      <c r="Y4" s="248"/>
      <c r="Z4" s="249"/>
      <c r="AA4" s="249"/>
      <c r="AB4" s="250"/>
    </row>
    <row r="5" spans="1:28" ht="45" customHeight="1">
      <c r="A5" s="270"/>
      <c r="B5" s="273"/>
      <c r="C5" s="262"/>
      <c r="D5" s="260"/>
      <c r="E5" s="125"/>
      <c r="F5" s="125"/>
      <c r="G5" s="125"/>
      <c r="H5" s="126"/>
      <c r="I5" s="126"/>
      <c r="J5" s="130"/>
      <c r="K5" s="123">
        <v>44200</v>
      </c>
      <c r="L5" s="187">
        <v>44200</v>
      </c>
      <c r="M5" s="132" t="s">
        <v>144</v>
      </c>
      <c r="N5" s="132"/>
      <c r="O5" s="124"/>
      <c r="P5" s="132"/>
      <c r="Q5" s="124"/>
      <c r="R5" s="137"/>
      <c r="S5" s="138"/>
      <c r="T5" s="252"/>
      <c r="U5" s="254"/>
      <c r="V5" s="254"/>
      <c r="Y5" s="203"/>
      <c r="Z5" s="203"/>
      <c r="AA5" s="203"/>
      <c r="AB5" s="203"/>
    </row>
    <row r="6" spans="1:28" ht="45" customHeight="1">
      <c r="A6" s="270"/>
      <c r="B6" s="273"/>
      <c r="C6" s="66" t="s">
        <v>91</v>
      </c>
      <c r="D6" s="119">
        <v>43728</v>
      </c>
      <c r="E6" s="125"/>
      <c r="F6" s="125"/>
      <c r="G6" s="125"/>
      <c r="H6" s="126"/>
      <c r="I6" s="126"/>
      <c r="J6" s="127"/>
      <c r="K6" s="123">
        <v>44201</v>
      </c>
      <c r="L6" s="123">
        <v>44201</v>
      </c>
      <c r="M6" s="124" t="s">
        <v>145</v>
      </c>
      <c r="N6" s="124"/>
      <c r="O6" s="124"/>
      <c r="P6" s="124"/>
      <c r="Q6" s="124"/>
      <c r="R6" s="124"/>
      <c r="S6" s="124"/>
      <c r="T6" s="137"/>
      <c r="U6" s="137">
        <v>1</v>
      </c>
      <c r="V6" s="137">
        <f>T6+U6</f>
        <v>1</v>
      </c>
    </row>
    <row r="7" spans="1:28" ht="67.5" customHeight="1">
      <c r="A7" s="270"/>
      <c r="B7" s="273"/>
      <c r="C7" s="87" t="s">
        <v>93</v>
      </c>
      <c r="D7" s="119">
        <v>43732</v>
      </c>
      <c r="E7" s="125"/>
      <c r="F7" s="125"/>
      <c r="G7" s="125"/>
      <c r="H7" s="125"/>
      <c r="I7" s="125"/>
      <c r="J7" s="129"/>
      <c r="K7" s="124"/>
      <c r="L7" s="124"/>
      <c r="M7" s="124"/>
      <c r="N7" s="124"/>
      <c r="O7" s="124"/>
      <c r="P7" s="124"/>
      <c r="Q7" s="121">
        <v>44407</v>
      </c>
      <c r="R7" s="121">
        <v>44407</v>
      </c>
      <c r="S7" s="122" t="s">
        <v>146</v>
      </c>
      <c r="T7" s="137"/>
      <c r="U7" s="137">
        <v>1</v>
      </c>
      <c r="V7" s="137">
        <f t="shared" ref="V7:V14" si="0">T7+U7</f>
        <v>1</v>
      </c>
    </row>
    <row r="8" spans="1:28" ht="88.5" customHeight="1">
      <c r="A8" s="270"/>
      <c r="B8" s="273"/>
      <c r="C8" s="87" t="s">
        <v>95</v>
      </c>
      <c r="D8" s="119">
        <v>43784</v>
      </c>
      <c r="E8" s="125"/>
      <c r="F8" s="125"/>
      <c r="G8" s="125"/>
      <c r="H8" s="125"/>
      <c r="I8" s="125"/>
      <c r="J8" s="129"/>
      <c r="K8" s="124"/>
      <c r="L8" s="124"/>
      <c r="M8" s="124"/>
      <c r="N8" s="124"/>
      <c r="O8" s="124"/>
      <c r="P8" s="124"/>
      <c r="Q8" s="121">
        <v>44403</v>
      </c>
      <c r="R8" s="121">
        <v>44403</v>
      </c>
      <c r="S8" s="122" t="s">
        <v>146</v>
      </c>
      <c r="T8" s="137"/>
      <c r="U8" s="137">
        <v>1</v>
      </c>
      <c r="V8" s="137">
        <f t="shared" si="0"/>
        <v>1</v>
      </c>
    </row>
    <row r="9" spans="1:28" ht="45" customHeight="1">
      <c r="A9" s="270"/>
      <c r="B9" s="273"/>
      <c r="C9" s="87" t="s">
        <v>97</v>
      </c>
      <c r="D9" s="119">
        <v>43785</v>
      </c>
      <c r="E9" s="125"/>
      <c r="F9" s="125"/>
      <c r="G9" s="125"/>
      <c r="H9" s="125"/>
      <c r="I9" s="125"/>
      <c r="J9" s="129"/>
      <c r="K9" s="124"/>
      <c r="L9" s="124"/>
      <c r="M9" s="124"/>
      <c r="N9" s="124"/>
      <c r="O9" s="124"/>
      <c r="P9" s="124"/>
      <c r="Q9" s="124"/>
      <c r="R9" s="124"/>
      <c r="S9" s="124"/>
      <c r="T9" s="137"/>
      <c r="U9" s="137"/>
      <c r="V9" s="137">
        <f t="shared" si="0"/>
        <v>0</v>
      </c>
    </row>
    <row r="10" spans="1:28" ht="45" customHeight="1">
      <c r="A10" s="270"/>
      <c r="B10" s="273"/>
      <c r="C10" s="87" t="s">
        <v>99</v>
      </c>
      <c r="D10" s="119">
        <v>43790</v>
      </c>
      <c r="E10" s="125"/>
      <c r="F10" s="125"/>
      <c r="G10" s="125"/>
      <c r="H10" s="128"/>
      <c r="I10" s="128"/>
      <c r="J10" s="127"/>
      <c r="K10" s="124">
        <v>44199</v>
      </c>
      <c r="L10" s="124">
        <v>44199</v>
      </c>
      <c r="M10" s="124" t="s">
        <v>147</v>
      </c>
      <c r="N10" s="124"/>
      <c r="O10" s="124"/>
      <c r="P10" s="124"/>
      <c r="Q10" s="124"/>
      <c r="R10" s="124"/>
      <c r="S10" s="124"/>
      <c r="T10" s="137"/>
      <c r="U10" s="137">
        <v>1</v>
      </c>
      <c r="V10" s="137">
        <f t="shared" si="0"/>
        <v>1</v>
      </c>
    </row>
    <row r="11" spans="1:28" ht="76.5" customHeight="1">
      <c r="A11" s="270"/>
      <c r="B11" s="273"/>
      <c r="C11" s="87" t="s">
        <v>101</v>
      </c>
      <c r="D11" s="119">
        <v>43791</v>
      </c>
      <c r="E11" s="125"/>
      <c r="F11" s="125"/>
      <c r="G11" s="125"/>
      <c r="H11" s="125"/>
      <c r="I11" s="125"/>
      <c r="J11" s="129"/>
      <c r="K11" s="124"/>
      <c r="L11" s="124"/>
      <c r="M11" s="124"/>
      <c r="N11" s="124"/>
      <c r="O11" s="124"/>
      <c r="P11" s="124"/>
      <c r="Q11" s="121">
        <v>44401</v>
      </c>
      <c r="R11" s="121">
        <v>44401</v>
      </c>
      <c r="S11" s="122" t="s">
        <v>146</v>
      </c>
      <c r="T11" s="137"/>
      <c r="U11" s="137">
        <v>1</v>
      </c>
      <c r="V11" s="137">
        <f t="shared" si="0"/>
        <v>1</v>
      </c>
    </row>
    <row r="12" spans="1:28" ht="45" customHeight="1">
      <c r="A12" s="270"/>
      <c r="B12" s="273"/>
      <c r="C12" s="87" t="s">
        <v>103</v>
      </c>
      <c r="D12" s="119">
        <v>43806</v>
      </c>
      <c r="E12" s="125"/>
      <c r="F12" s="125"/>
      <c r="G12" s="125"/>
      <c r="H12" s="126"/>
      <c r="I12" s="126"/>
      <c r="J12" s="127"/>
      <c r="K12" s="124"/>
      <c r="L12" s="124"/>
      <c r="M12" s="124"/>
      <c r="N12" s="123">
        <v>44338</v>
      </c>
      <c r="O12" s="123">
        <v>44338</v>
      </c>
      <c r="P12" s="124" t="s">
        <v>148</v>
      </c>
      <c r="Q12" s="124"/>
      <c r="R12" s="124"/>
      <c r="S12" s="124"/>
      <c r="T12" s="137"/>
      <c r="U12" s="137">
        <v>1</v>
      </c>
      <c r="V12" s="137">
        <f t="shared" si="0"/>
        <v>1</v>
      </c>
    </row>
    <row r="13" spans="1:28" ht="45" customHeight="1">
      <c r="A13" s="270"/>
      <c r="B13" s="273"/>
      <c r="C13" s="87" t="s">
        <v>105</v>
      </c>
      <c r="D13" s="119">
        <v>43782</v>
      </c>
      <c r="E13" s="125"/>
      <c r="F13" s="125"/>
      <c r="G13" s="125"/>
      <c r="H13" s="125"/>
      <c r="I13" s="125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6"/>
      <c r="U13" s="126"/>
      <c r="V13" s="137">
        <f t="shared" si="0"/>
        <v>0</v>
      </c>
    </row>
    <row r="14" spans="1:28" ht="45" customHeight="1">
      <c r="A14" s="271"/>
      <c r="B14" s="274"/>
      <c r="C14" s="87" t="s">
        <v>107</v>
      </c>
      <c r="D14" s="119">
        <v>43809</v>
      </c>
      <c r="E14" s="125"/>
      <c r="F14" s="125"/>
      <c r="G14" s="125"/>
      <c r="H14" s="125"/>
      <c r="I14" s="125"/>
      <c r="J14" s="129"/>
      <c r="K14" s="126"/>
      <c r="L14" s="126"/>
      <c r="M14" s="129"/>
      <c r="N14" s="129"/>
      <c r="O14" s="129"/>
      <c r="P14" s="129"/>
      <c r="Q14" s="129"/>
      <c r="R14" s="126"/>
      <c r="S14" s="129"/>
      <c r="T14" s="126"/>
      <c r="U14" s="126"/>
      <c r="V14" s="137">
        <f t="shared" si="0"/>
        <v>0</v>
      </c>
    </row>
    <row r="15" spans="1:28" ht="21">
      <c r="A15" s="139" t="s">
        <v>17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>
        <f>SUM(T4:T14)</f>
        <v>138</v>
      </c>
      <c r="U15" s="139">
        <f>SUM(U4:U14)</f>
        <v>153</v>
      </c>
      <c r="V15" s="140">
        <f>SUM(V4:V14)</f>
        <v>291</v>
      </c>
    </row>
  </sheetData>
  <mergeCells count="14">
    <mergeCell ref="D4:D5"/>
    <mergeCell ref="C4:C5"/>
    <mergeCell ref="A2:C2"/>
    <mergeCell ref="E2:G2"/>
    <mergeCell ref="H2:J2"/>
    <mergeCell ref="A4:A14"/>
    <mergeCell ref="B4:B14"/>
    <mergeCell ref="Y2:AB4"/>
    <mergeCell ref="T4:T5"/>
    <mergeCell ref="U4:U5"/>
    <mergeCell ref="V4:V5"/>
    <mergeCell ref="K2:M2"/>
    <mergeCell ref="N2:P2"/>
    <mergeCell ref="Q2:S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546D4-9223-4D69-9B99-7320A8C2C0D6}">
  <dimension ref="A2:G20"/>
  <sheetViews>
    <sheetView tabSelected="1" zoomScale="60" zoomScaleNormal="60" workbookViewId="0">
      <selection activeCell="B8" sqref="B8"/>
    </sheetView>
  </sheetViews>
  <sheetFormatPr defaultRowHeight="15"/>
  <cols>
    <col min="1" max="1" width="27.42578125" customWidth="1"/>
    <col min="2" max="2" width="99.5703125" customWidth="1"/>
    <col min="3" max="3" width="30" customWidth="1"/>
    <col min="4" max="4" width="11.140625" customWidth="1"/>
    <col min="5" max="5" width="26.28515625" customWidth="1"/>
  </cols>
  <sheetData>
    <row r="2" spans="1:7" ht="30.75" customHeight="1">
      <c r="A2" s="32" t="s">
        <v>149</v>
      </c>
      <c r="B2" s="3" t="s">
        <v>150</v>
      </c>
      <c r="C2" s="3" t="s">
        <v>151</v>
      </c>
      <c r="D2" s="3" t="s">
        <v>152</v>
      </c>
      <c r="E2" s="3" t="s">
        <v>153</v>
      </c>
    </row>
    <row r="3" spans="1:7" ht="34.5" customHeight="1">
      <c r="A3" s="33" t="s">
        <v>154</v>
      </c>
      <c r="B3" s="34" t="s">
        <v>155</v>
      </c>
      <c r="C3" s="102">
        <f>C4*(1-C5)*(1-C6)</f>
        <v>2067.3045886</v>
      </c>
      <c r="D3" s="35" t="s">
        <v>156</v>
      </c>
      <c r="E3" s="35"/>
    </row>
    <row r="4" spans="1:7" ht="18" customHeight="1">
      <c r="A4" s="35" t="s">
        <v>157</v>
      </c>
      <c r="B4" s="172" t="s">
        <v>158</v>
      </c>
      <c r="C4" s="88">
        <v>2206</v>
      </c>
      <c r="D4" s="35" t="s">
        <v>156</v>
      </c>
      <c r="E4" s="35" t="s">
        <v>159</v>
      </c>
      <c r="G4" s="96"/>
    </row>
    <row r="5" spans="1:7" ht="31.5" customHeight="1">
      <c r="A5" s="36" t="s">
        <v>36</v>
      </c>
      <c r="B5" s="34" t="s">
        <v>160</v>
      </c>
      <c r="C5" s="37">
        <f>'ER Calcs'!E5</f>
        <v>1.8200000000000001E-2</v>
      </c>
      <c r="D5" s="35" t="s">
        <v>161</v>
      </c>
      <c r="E5" s="35" t="s">
        <v>162</v>
      </c>
    </row>
    <row r="6" spans="1:7" ht="18" customHeight="1">
      <c r="A6" s="35" t="s">
        <v>163</v>
      </c>
      <c r="B6" s="34" t="s">
        <v>164</v>
      </c>
      <c r="C6" s="86">
        <v>4.5499999999999999E-2</v>
      </c>
      <c r="D6" s="35" t="s">
        <v>161</v>
      </c>
      <c r="E6" s="35" t="s">
        <v>162</v>
      </c>
    </row>
    <row r="7" spans="1:7">
      <c r="A7" s="38"/>
      <c r="B7" s="38"/>
      <c r="C7" s="38"/>
      <c r="D7" s="38"/>
    </row>
    <row r="8" spans="1:7">
      <c r="A8" s="3" t="s">
        <v>165</v>
      </c>
      <c r="B8" s="3" t="s">
        <v>150</v>
      </c>
      <c r="C8" s="3" t="s">
        <v>166</v>
      </c>
      <c r="D8" s="3" t="s">
        <v>152</v>
      </c>
      <c r="E8" s="3" t="s">
        <v>153</v>
      </c>
    </row>
    <row r="9" spans="1:7" ht="19.5" customHeight="1">
      <c r="A9" s="34" t="s">
        <v>167</v>
      </c>
      <c r="B9" s="174" t="s">
        <v>168</v>
      </c>
      <c r="C9" s="176">
        <f>C10-C11</f>
        <v>0.71000000000000019</v>
      </c>
      <c r="D9" s="35" t="s">
        <v>169</v>
      </c>
      <c r="E9" s="35"/>
    </row>
    <row r="10" spans="1:7" ht="21.75" customHeight="1">
      <c r="A10" s="34" t="s">
        <v>170</v>
      </c>
      <c r="B10" s="174" t="s">
        <v>171</v>
      </c>
      <c r="C10" s="175">
        <v>2.2000000000000002</v>
      </c>
      <c r="D10" s="35" t="s">
        <v>169</v>
      </c>
      <c r="E10" s="35" t="s">
        <v>172</v>
      </c>
    </row>
    <row r="11" spans="1:7" ht="20.25" customHeight="1">
      <c r="A11" s="34" t="s">
        <v>173</v>
      </c>
      <c r="B11" s="174" t="s">
        <v>174</v>
      </c>
      <c r="C11" s="177">
        <v>1.49</v>
      </c>
      <c r="D11" s="35" t="s">
        <v>169</v>
      </c>
      <c r="E11" s="35" t="s">
        <v>175</v>
      </c>
    </row>
    <row r="12" spans="1:7">
      <c r="A12" s="38"/>
      <c r="B12" s="38"/>
      <c r="C12" s="38"/>
      <c r="D12" s="38"/>
    </row>
    <row r="13" spans="1:7" ht="33" customHeight="1">
      <c r="A13" s="32" t="s">
        <v>176</v>
      </c>
      <c r="B13" s="3" t="s">
        <v>150</v>
      </c>
      <c r="C13" s="3" t="s">
        <v>177</v>
      </c>
      <c r="D13" s="3" t="s">
        <v>152</v>
      </c>
      <c r="E13" s="3" t="s">
        <v>153</v>
      </c>
    </row>
    <row r="14" spans="1:7" ht="30.75" customHeight="1">
      <c r="A14" s="34" t="s">
        <v>178</v>
      </c>
      <c r="B14" s="34" t="s">
        <v>179</v>
      </c>
      <c r="C14" s="103">
        <f>C15*(1-C16)*C17</f>
        <v>2057.5582600000002</v>
      </c>
      <c r="D14" s="35" t="s">
        <v>156</v>
      </c>
      <c r="E14" s="35"/>
      <c r="G14" s="96"/>
    </row>
    <row r="15" spans="1:7" ht="18.75" customHeight="1">
      <c r="A15" s="34" t="s">
        <v>157</v>
      </c>
      <c r="B15" s="34" t="s">
        <v>158</v>
      </c>
      <c r="C15" s="89">
        <v>2206</v>
      </c>
      <c r="D15" s="35" t="s">
        <v>156</v>
      </c>
      <c r="E15" s="35" t="s">
        <v>159</v>
      </c>
      <c r="G15" s="96"/>
    </row>
    <row r="16" spans="1:7" ht="30.75" customHeight="1">
      <c r="A16" s="34" t="s">
        <v>36</v>
      </c>
      <c r="B16" s="34" t="s">
        <v>160</v>
      </c>
      <c r="C16" s="39">
        <f>C5</f>
        <v>1.8200000000000001E-2</v>
      </c>
      <c r="D16" s="35" t="s">
        <v>161</v>
      </c>
      <c r="E16" s="35" t="s">
        <v>172</v>
      </c>
    </row>
    <row r="17" spans="1:5" ht="18" customHeight="1">
      <c r="A17" s="34" t="s">
        <v>180</v>
      </c>
      <c r="B17" s="34" t="s">
        <v>181</v>
      </c>
      <c r="C17" s="68">
        <v>0.95</v>
      </c>
      <c r="D17" s="35" t="s">
        <v>161</v>
      </c>
      <c r="E17" s="35" t="s">
        <v>182</v>
      </c>
    </row>
    <row r="18" spans="1:5">
      <c r="A18" s="38"/>
      <c r="B18" s="38"/>
      <c r="C18" s="38"/>
      <c r="D18" s="38"/>
    </row>
    <row r="19" spans="1:5" ht="16.5" customHeight="1">
      <c r="A19" s="32" t="s">
        <v>183</v>
      </c>
      <c r="B19" s="3" t="s">
        <v>150</v>
      </c>
      <c r="C19" s="3"/>
      <c r="D19" s="3" t="s">
        <v>152</v>
      </c>
      <c r="E19" s="3" t="s">
        <v>152</v>
      </c>
    </row>
    <row r="20" spans="1:5">
      <c r="A20" s="34" t="s">
        <v>184</v>
      </c>
      <c r="B20" s="35" t="s">
        <v>185</v>
      </c>
      <c r="C20" s="104">
        <f>Summary!E37</f>
        <v>3221</v>
      </c>
      <c r="D20" s="35" t="s">
        <v>186</v>
      </c>
      <c r="E20" s="35" t="s">
        <v>187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7" ma:contentTypeDescription="Create a new document." ma:contentTypeScope="" ma:versionID="439770bec7794d21e15900065ecc15c8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1bbc5ad7ea28e613aaec200fd9de14a7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169E23-70A1-4293-B884-30985B61ADB8}"/>
</file>

<file path=customXml/itemProps2.xml><?xml version="1.0" encoding="utf-8"?>
<ds:datastoreItem xmlns:ds="http://schemas.openxmlformats.org/officeDocument/2006/customXml" ds:itemID="{35CF40A8-9123-4C65-B5D6-6DA3B4710C42}"/>
</file>

<file path=customXml/itemProps3.xml><?xml version="1.0" encoding="utf-8"?>
<ds:datastoreItem xmlns:ds="http://schemas.openxmlformats.org/officeDocument/2006/customXml" ds:itemID="{DC071935-D26F-4D9F-AF5E-831D70AE22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Amie Nevin</dc:creator>
  <cp:keywords/>
  <dc:description/>
  <cp:lastModifiedBy>Megan Jones</cp:lastModifiedBy>
  <cp:revision/>
  <dcterms:created xsi:type="dcterms:W3CDTF">2019-04-23T07:55:53Z</dcterms:created>
  <dcterms:modified xsi:type="dcterms:W3CDTF">2022-05-16T10:14:32Z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MediaServiceImageTags">
    <vt:lpwstr/>
  </property>
</Properties>
</file>